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ФХД'!$Q$90</definedName>
    <definedName name="B_FHD_CHECK_INDEX_2">'Показатели ФХД'!$Q$92</definedName>
    <definedName name="B_FHD_COSTS_INDEX_1">'Показатели ФХД'!$H$89:$O$89</definedName>
    <definedName name="B_FHD_COSTS_INDEX_2">'Показатели ФХД'!$H$91:$O$91</definedName>
    <definedName name="B_FHD_DATA_TOP80_ACTIVITY">'Показатели ФХД'!$H$106:$O$106</definedName>
    <definedName name="B_FHD_diff_1">'Показатели ФХД'!$I$25:$I$27</definedName>
    <definedName name="B_FHD_FLAG_DIFFERENTIATION">'Показатели ФХД'!$H$24:$O$24</definedName>
    <definedName name="B_FHD_FLAG_INDEX_1">'Показатели ФХД'!$H$90:$O$90</definedName>
    <definedName name="B_FHD_FLAG_INDEX_2">'Показатели ФХД'!$H$92:$O$92</definedName>
    <definedName name="B_FHD_TKO_DATA_TOP80_ACTIVITY">'ТКО. Показатели ФХД'!$H$45:$O$45</definedName>
    <definedName name="B_FHD_TKO_diff_1">'ТКО. Показатели ФХД'!$I$10:$I$12</definedName>
    <definedName name="B_FHD_TKO_FLAG_DIFFERENTIATION">'ТКО. Показатели ФХД'!$H$9:$O$9</definedName>
    <definedName name="B_FHD_TKO_TRANS_DATA_TOP80_ACTIVITY">'ТКО. Транс. Показатели ФХД'!$H$36:$O$36</definedName>
    <definedName name="B_FHD_TKO_TRANS_diff_1">'ТКО. Транс. Показатели ФХД'!$I$10:$I$12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&gt;20%'!$D$13:$S$196</definedName>
    <definedName name="B_FHD20_COSTS_OPS_diff_1">'Показатели ФХД &gt;20%'!$Q$17</definedName>
    <definedName name="B_FHD20_COSTS_PH_diff_1">'Показатели ФХД &gt;20%'!$Q$56</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&gt;20%'!$V$11:$V$196</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ФХД'!$107:$115</definedName>
    <definedName name="BLOCK_POK_FHD_COLDVSNA_P2">'Показатели ФХД'!$140:$144</definedName>
    <definedName name="BLOCK_POK_FHD_HEAT_ONLY_REG_ORG_P1">'Показатели ФХД'!$80:$81</definedName>
    <definedName name="BLOCK_POK_FHD_HEAT_ONLY_REG_ORG_P2">'Показатели ФХД'!$105:$164</definedName>
    <definedName name="BLOCK_POK_FHD_HEAT_P1">'Показатели ФХД'!$33:$64</definedName>
    <definedName name="BLOCK_POK_FHD_HEAT_P2">'Показатели ФХД'!$97:$97</definedName>
    <definedName name="BLOCK_POK_FHD_HEAT_P3">'Показатели ФХД'!$124:$136</definedName>
    <definedName name="BLOCK_POK_FHD_HEAT_P4">'Показатели ФХД'!$138:$138</definedName>
    <definedName name="BLOCK_POK_FHD_HEAT_P5">'Показатели ФХД'!$145:$163</definedName>
    <definedName name="BLOCK_POK_FHD_HEAT_P6">'Показатели ФХД'!$71:$71</definedName>
    <definedName name="BLOCK_POK_FHD_HOTVSNA_P1">'Показатели ФХД'!$65:$67</definedName>
    <definedName name="BLOCK_POK_FHD_HOTVSNA_P2">'Показатели ФХД'!$116:$120</definedName>
    <definedName name="BLOCK_POK_FHD_NOT_HEAT_P1">'Показатели ФХД'!$91:$92</definedName>
    <definedName name="BLOCK_POK_FHD_NOT_HEAT_P2">'Показатели ФХД'!$105:$105</definedName>
    <definedName name="BLOCK_POK_FHD_NOT_HOTVSNA">'Показатели ФХД'!$72:$72</definedName>
    <definedName name="BLOCK_POK_FHD_VOTV_P1">'Показатели ФХД'!$121:$123</definedName>
    <definedName name="BLOCK_POK_FHD_VSNA">'Показатели ФХД'!$139:$139</definedName>
    <definedName name="BLOCK_POK_FHD20_NOT_HEAT">'Показатели ФХД &gt;20%'!$56:$58</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территорий'!$E$20:$I$20</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Дифференциация!$I$12:$I$29</definedName>
    <definedName name="DIFFERENTIATION_AREA_ID">Дифференциация!$U$11:$U$30</definedName>
    <definedName name="DIFFERENTIATION_CheckC">Дифференциация!$D$12:$M$29</definedName>
    <definedName name="DIFFERENTIATION_fieldMarker">Дифференциация!$W$12:$W$29</definedName>
    <definedName name="DIFFERENTIATION_ID">TEHSHEET!$E$57</definedName>
    <definedName name="DIFFERENTIATION_ID_DIFF">Дифференциация!$O$12:$O$29</definedName>
    <definedName name="DIFFERENTIATION_SYSTEM">Дифференциация!$M$12:$M$29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Дифференциация!$Q$12:$Q$29</definedName>
    <definedName name="DIFFERENTIATION_UNMERGE_SYSTEM">Дифференциация!$R$12:$R$29</definedName>
    <definedName name="DIFFERENTIATION_UNMERGE_VD">Дифференциация!$P$12:$P$29</definedName>
    <definedName name="DIFFERENTIATION_VD">Дифференциация!$E$12:$E$29</definedName>
    <definedName name="DIFFERENTIATION_VD_ID">Дифференциация!$V$11:$V$30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Детализация'!$A$125:$A$125</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Дифференциация!$G$12:$G$29</definedName>
    <definedName name="pDel_DIFFERENTIATION_SYSTEM">Дифференциация!$K$12:$K$29</definedName>
    <definedName name="pDel_DIFFERENTIATION_VD">Дифференциация!$C$12:$C$29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территорий'!$C$12:$C$20</definedName>
    <definedName name="pDel_LT_MO">'Список территорий'!$D$11:$D$20</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ФХД'!$F$64</definedName>
    <definedName name="pIns_B_FHD_2">'Показатели ФХД'!$F$96</definedName>
    <definedName name="pIns_B_FHD_3">'Показатели ФХД'!$F$126</definedName>
    <definedName name="pIns_B_FHD_4">'Показатели ФХД'!$F$144</definedName>
    <definedName name="pIns_B_FHD_5">'Показатели ФХД'!$F$151</definedName>
    <definedName name="pIns_B_FHD_6">'Показатели ФХД'!$F$158</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&gt;20%'!$D$196</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Детализация'!$F$125</definedName>
    <definedName name="pIns_IP_FIN_PLAN">'ИП. Финансовый план'!$Y$8</definedName>
    <definedName name="pIns_IP_MAIN">ИП!$G$15</definedName>
    <definedName name="pIns_IP_QRE">'ИП. КНЭ'!$F$28</definedName>
    <definedName name="pIns_List07">'Сведения об изменении'!$E$13</definedName>
    <definedName name="pIns_LT_AREA">'Список территорий'!$G$20</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p3">Ограничения!$F$36:$U$37</definedName>
    <definedName name="Q_LIMIT_p4">Ограничения!$F$38:$U$39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ФХД'!$O$164</definedName>
    <definedName name="tblEnd_1_B_FHD_TKO">'ТКО. Показатели ФХД'!$O$49</definedName>
    <definedName name="tblEnd_1_B_FHD_TKO_TRANS">'ТКО. Транс. Показатели ФХД'!$O$43</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Дифференциация!$M$30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Детализация'!$AH$125</definedName>
    <definedName name="tblEnd_1_IP_FIN_PLAN">'ИП. Финансовый план'!$Y$58</definedName>
    <definedName name="tblEnd_1_IP_MAIN">ИП!$AB$16</definedName>
    <definedName name="tblEnd_1_IP_QRE">'ИП. КНЭ'!$FX$28</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Ограничения!$U$40</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территорий'!$I$21</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территорий'!$E$11:$I$20</definedName>
    <definedName name="TERRITORY_ID">TEHSHEET!$E$56</definedName>
    <definedName name="TERRITORY_LIST_ID">'Список территорий'!$F$11:$F$20</definedName>
    <definedName name="TERRITORY_MO_LIST">'Список территорий'!$H$11:$H$20</definedName>
    <definedName name="TERRITORY_MR_LIST">'Список территорий'!$G$11:$G$20</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Дифференциация!$F$12:$F$29</definedName>
    <definedName name="Y_N_DIFFERENTIATION_SYSTEM">Дифференциация!$J$12:$J$29</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ter_5">'Список территорий'!$G$18:$I$18</definedName>
    <definedName name="IP_MAIN_ip_5">ИП!#REF!</definedName>
    <definedName name="IP_QRE_ip_5">'ИП. КНЭ'!#REF!</definedName>
    <definedName name="IP_DETAILED_ip_5">'ИП. Детализация'!#REF!</definedName>
    <definedName name="IP_FIN_PLAN_ip_5">'ИП. Финансовый план'!#REF!</definedName>
    <definedName name="REESTR_IP_RANGE">REESTR_IP!$A$2:$I$3</definedName>
    <definedName name="IP_MAIN_ip_51">ИП!#REF!</definedName>
    <definedName name="IP_QRE_ip_51">'ИП. КНЭ'!#REF!</definedName>
    <definedName name="IP_DETAILED_ip_51">'ИП. Детализация'!#REF!</definedName>
    <definedName name="IP_FIN_PLAN_ip_51">'ИП. Финансовый план'!#REF!</definedName>
    <definedName name="IP_MAIN_ip_511">ИП!#REF!</definedName>
    <definedName name="IP_QRE_ip_511">'ИП. КНЭ'!#REF!</definedName>
    <definedName name="IP_DETAILED_ip_511">'ИП. Детализация'!#REF!</definedName>
    <definedName name="IP_FIN_PLAN_ip_511">'ИП. Финансовый план'!#REF!</definedName>
    <definedName name="IP_MAIN_ip_5111">ИП!$13:$14</definedName>
    <definedName name="IP_QRE_ip_5111">'ИП. КНЭ'!$21:$27</definedName>
    <definedName name="IP_DETAILED_ip_5111">'ИП. Детализация'!$14:$124</definedName>
    <definedName name="IP_FIN_PLAN_ip_5111">'ИП. Финансовый план'!$K$11:$X$11</definedName>
    <definedName name="IP_MAIN_ip_51111">ИП!#REF!</definedName>
    <definedName name="IP_QRE_ip_51111">'ИП. КНЭ'!#REF!</definedName>
    <definedName name="IP_DETAILED_ip_51111">'ИП. Детализация'!#REF!</definedName>
    <definedName name="IP_FIN_PLAN_ip_51111">'ИП. Финансовый план'!#REF!</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&gt;20%'!$H$59:$R$61</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&gt;20%'!$H$120:$R$122</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&gt;20%'!$H$129:$R$131</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&gt;20%'!$H$158:$R$160</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&gt;20%'!$H$187:$R$189</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DESCRIPTION_TERRITORY">REESTR_DS!$B$2:$B$3</definedName>
    <definedName name="TERMS_TKO_REG_DATA">Договоры!$E$14:$F$15</definedName>
    <definedName name="pIns_P_T_TERMS_5">Договоры!$E$30</definedName>
    <definedName name="BLOCK_TERMS_TKO_TRANS_P2">Договоры!$27:$30</definedName>
    <definedName name="TERMS_TKO_TRANS_DATA_P2">Договоры!$E$29:$F$30</definedName>
    <definedName name="P_T_TERMS_LINK">Договоры!$F$12:$F$30</definedName>
    <definedName name="pDel_P_T_TERMS">Договоры!$C$12:$C$30</definedName>
    <definedName name="YEAR_IP_LIST">TEHSHEET!$BE$2:$BE$74</definedName>
    <definedName name="MONTH_IP_LIST">TEHSHEET!$BF$2:$BF$15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<sst xmlns="http://schemas.openxmlformats.org/spreadsheetml/2006/main" count="17473" uniqueCount="4279">
  <si>
    <t xml:space="preserve"> (требуется обновление)</t>
  </si>
  <si>
    <t>Код отчёта: PP110.OPEN.INFO.BALANCE.HEAT.EIAS</t>
  </si>
  <si>
    <t>Версия отчёта: 1.1.4</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</si>
  <si>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</si>
  <si>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</si>
  <si>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</si>
  <si>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</si>
  <si>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</si>
  <si>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</si>
  <si>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</si>
  <si>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</si>
  <si>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</si>
  <si>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</si>
  <si>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</si>
  <si>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</si>
  <si>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</si>
  <si>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</si>
  <si>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</si>
  <si>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</si>
  <si>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</si>
  <si>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</si>
  <si>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</si>
  <si>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</si>
  <si>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</si>
  <si>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</si>
  <si>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</si>
  <si>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</si>
  <si>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</si>
  <si>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</si>
  <si>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</si>
  <si>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</si>
  <si>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</si>
  <si>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</si>
  <si>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</si>
  <si>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</si>
  <si>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</si>
  <si>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</si>
  <si>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</si>
  <si>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</si>
  <si>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</si>
  <si>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</si>
  <si>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</si>
  <si>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</si>
  <si>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</si>
  <si>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</si>
  <si>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</si>
  <si>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</si>
  <si>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</si>
  <si>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</si>
  <si>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</si>
  <si>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</si>
  <si>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</si>
  <si>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</si>
  <si>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</si>
  <si>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</si>
  <si>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</si>
  <si>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</si>
  <si>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</si>
  <si>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</si>
  <si>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</si>
  <si>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</si>
  <si>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</si>
  <si>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</si>
  <si>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</si>
  <si>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</si>
  <si>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</si>
  <si>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</si>
  <si>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</si>
  <si>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</si>
  <si>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</si>
  <si>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</si>
  <si>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</si>
  <si>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</si>
  <si>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</si>
  <si>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</si>
  <si>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Маленьких Лариса Витальевна</t>
  </si>
  <si>
    <t>Должность</t>
  </si>
  <si>
    <t>ведущий экономист управления тарифного регулирования ПАО "ТГК-2"</t>
  </si>
  <si>
    <t>Контактный телефон</t>
  </si>
  <si>
    <t>(8182) 46-31-37</t>
  </si>
  <si>
    <t>E-mail</t>
  </si>
  <si>
    <t>MalenkikhLV@tgc-2.ru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</si>
  <si>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</si>
  <si>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</si>
  <si>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</si>
  <si>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</si>
  <si>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</si>
  <si>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</si>
  <si>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</si>
  <si>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</si>
  <si>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</si>
  <si>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</si>
  <si>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</si>
  <si>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</si>
  <si>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</si>
  <si>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</si>
  <si>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</si>
  <si>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</si>
  <si>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</si>
  <si>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</si>
  <si>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</si>
  <si>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</si>
  <si>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2</t>
  </si>
  <si>
    <t>×</t>
  </si>
  <si>
    <t>97</t>
  </si>
  <si>
    <t>Приморский муниципальный район</t>
  </si>
  <si>
    <t>Талажское</t>
  </si>
  <si>
    <t>11652460</t>
  </si>
  <si>
    <t>91</t>
  </si>
  <si>
    <t>Лисестровское</t>
  </si>
  <si>
    <t>11652436</t>
  </si>
  <si>
    <t>Добавить МО</t>
  </si>
  <si>
    <t>ter_5</t>
  </si>
  <si>
    <t>99</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</si>
  <si>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</si>
  <si>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</si>
  <si>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</si>
  <si>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</si>
  <si>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</si>
  <si>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</si>
  <si>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</si>
  <si>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</si>
  <si>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</si>
  <si>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</si>
  <si>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</si>
  <si>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</si>
  <si>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</si>
  <si>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</si>
  <si>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diff_1</t>
  </si>
  <si>
    <t>4190066</t>
  </si>
  <si>
    <t>a</t>
  </si>
  <si>
    <t>Добавить централизованную систему</t>
  </si>
  <si>
    <t>diff_5</t>
  </si>
  <si>
    <t>Добавить описание территории</t>
  </si>
  <si>
    <t>diff_51</t>
  </si>
  <si>
    <t>4190064</t>
  </si>
  <si>
    <t>diff_511</t>
  </si>
  <si>
    <t>4190068; 4190070</t>
  </si>
  <si>
    <t>diff_5111</t>
  </si>
  <si>
    <t>diff_51111</t>
  </si>
  <si>
    <t>4190067; 4190071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</si>
  <si>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</si>
  <si>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</si>
  <si>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</si>
  <si>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</si>
  <si>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</si>
  <si>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</si>
  <si>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</si>
  <si>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</si>
  <si>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</si>
  <si>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</si>
  <si>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</si>
  <si>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</si>
  <si>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</si>
  <si>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</si>
  <si>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</si>
  <si>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</si>
  <si>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</si>
  <si>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</si>
  <si>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</si>
  <si>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</si>
  <si>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</si>
  <si>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</si>
  <si>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</si>
  <si>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</si>
  <si>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</si>
  <si>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</si>
  <si>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</si>
  <si>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</si>
  <si>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</si>
  <si>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</si>
  <si>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</si>
  <si>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</si>
  <si>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</si>
  <si>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</si>
  <si>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</si>
  <si>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</si>
  <si>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</si>
  <si>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</si>
  <si>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</si>
  <si>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</si>
  <si>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</si>
  <si>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</si>
  <si>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</si>
  <si>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</si>
  <si>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</si>
  <si>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</si>
  <si>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</si>
  <si>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</si>
  <si>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</si>
  <si>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</si>
  <si>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</si>
  <si>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</si>
  <si>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</si>
  <si>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</si>
  <si>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</si>
  <si>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</si>
  <si>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</si>
  <si>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</si>
  <si>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</si>
  <si>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</si>
  <si>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</si>
  <si>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</si>
  <si>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</si>
  <si>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</si>
  <si>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</si>
  <si>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</si>
  <si>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</si>
  <si>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</si>
  <si>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</si>
  <si>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</si>
  <si>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</si>
  <si>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</si>
  <si>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</si>
  <si>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</si>
  <si>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</si>
  <si>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</si>
  <si>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</si>
  <si>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</si>
  <si>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</si>
  <si>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</si>
  <si>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</si>
  <si>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</si>
  <si>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</si>
  <si>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</si>
  <si>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</si>
  <si>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</si>
  <si>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</si>
  <si>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</si>
  <si>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</si>
  <si>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</si>
  <si>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</si>
  <si>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</si>
  <si>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</si>
  <si>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</si>
  <si>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</si>
  <si>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</si>
  <si>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</si>
  <si>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</si>
  <si>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</si>
  <si>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</si>
  <si>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</si>
  <si>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</si>
  <si>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</si>
  <si>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</si>
  <si>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</si>
  <si>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</si>
  <si>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</si>
  <si>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</si>
  <si>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</si>
  <si>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</si>
  <si>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</si>
  <si>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</si>
  <si>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</si>
  <si>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</si>
  <si>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</si>
  <si>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</si>
  <si>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</si>
  <si>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</si>
  <si>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</si>
  <si>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</si>
  <si>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</si>
  <si>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</si>
  <si>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</si>
  <si>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</si>
  <si>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</si>
  <si>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</si>
  <si>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</si>
  <si>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</si>
  <si>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</si>
  <si>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</si>
  <si>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</si>
  <si>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</si>
  <si>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</si>
  <si>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</si>
  <si>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</si>
  <si>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</si>
  <si>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</si>
  <si>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</si>
  <si>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</si>
  <si>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</si>
  <si>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</si>
  <si>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</si>
  <si>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</si>
  <si>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</si>
  <si>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</si>
  <si>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</si>
  <si>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</si>
  <si>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</si>
  <si>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</si>
  <si>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</si>
  <si>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</si>
  <si>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</si>
  <si>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</si>
  <si>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</si>
  <si>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</si>
  <si>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</si>
  <si>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</si>
  <si>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</si>
  <si>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</si>
  <si>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</si>
  <si>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</si>
  <si>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</si>
  <si>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</si>
  <si>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</si>
  <si>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</si>
  <si>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</si>
  <si>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</si>
  <si>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</si>
  <si>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</si>
  <si>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</si>
  <si>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</si>
  <si>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</si>
  <si>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</si>
  <si>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</si>
  <si>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</si>
  <si>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</si>
  <si>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</si>
  <si>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</si>
  <si>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</si>
  <si>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</si>
  <si>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</si>
  <si>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</si>
  <si>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</si>
  <si>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</si>
  <si>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</si>
  <si>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</si>
  <si>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</si>
  <si>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</si>
  <si>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</si>
  <si>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</si>
  <si>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</si>
  <si>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</si>
  <si>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</si>
  <si>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</si>
  <si>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</si>
  <si>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</si>
  <si>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</si>
  <si>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</si>
  <si>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</si>
  <si>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</si>
  <si>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</si>
  <si>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</si>
  <si>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</si>
  <si>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</si>
  <si>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</si>
  <si>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</si>
  <si>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</si>
  <si>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</si>
  <si>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</si>
  <si>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</si>
  <si>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</si>
  <si>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</si>
  <si>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</si>
  <si>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</si>
  <si>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</si>
  <si>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</si>
  <si>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</si>
  <si>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</si>
  <si>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</si>
  <si>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</si>
  <si>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</si>
  <si>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</si>
  <si>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</si>
  <si>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</si>
  <si>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</si>
  <si>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</si>
  <si>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</si>
  <si>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</si>
  <si>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</si>
  <si>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</si>
  <si>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</si>
  <si>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</si>
  <si>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</si>
  <si>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</si>
  <si>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</si>
  <si>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</si>
  <si>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</si>
  <si>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</si>
  <si>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</si>
  <si>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</si>
  <si>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</si>
  <si>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</si>
  <si>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</si>
  <si>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</si>
  <si>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</si>
  <si>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</si>
  <si>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</si>
  <si>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</si>
  <si>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</si>
  <si>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</si>
  <si>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</si>
  <si>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</si>
  <si>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</si>
  <si>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</si>
  <si>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</si>
  <si>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</si>
  <si>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</si>
  <si>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</si>
  <si>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</si>
  <si>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</si>
  <si>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</si>
  <si>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</si>
  <si>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</si>
  <si>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</si>
  <si>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</si>
  <si>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</si>
  <si>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</si>
  <si>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</si>
  <si>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</si>
  <si>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</si>
  <si>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</si>
  <si>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</si>
  <si>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</si>
  <si>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</si>
  <si>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</si>
  <si>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</si>
  <si>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</si>
  <si>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</si>
  <si>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</si>
  <si>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</si>
  <si>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</si>
  <si>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</si>
  <si>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</si>
  <si>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</si>
  <si>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</si>
  <si>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</si>
  <si>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</si>
  <si>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</si>
  <si>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</si>
  <si>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</si>
  <si>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</si>
  <si>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</si>
  <si>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</si>
  <si>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</si>
  <si>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</si>
  <si>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</si>
  <si>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</si>
  <si>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</si>
  <si>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</si>
  <si>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</si>
  <si>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</si>
  <si>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</si>
  <si>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</si>
  <si>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</si>
  <si>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</si>
  <si>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</si>
  <si>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</si>
  <si>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</si>
  <si>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</si>
  <si>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</si>
  <si>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</si>
  <si>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</si>
  <si>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</si>
  <si>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</si>
  <si>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</si>
  <si>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</si>
  <si>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</si>
  <si>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</si>
  <si>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</si>
  <si>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</si>
  <si>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</si>
  <si>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</si>
  <si>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</si>
  <si>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</si>
  <si>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</si>
  <si>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</si>
  <si>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</si>
  <si>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</si>
  <si>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</si>
  <si>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</si>
  <si>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</si>
  <si>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</si>
  <si>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</si>
  <si>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</si>
  <si>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</si>
  <si>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</si>
  <si>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</si>
  <si>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</si>
  <si>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</si>
  <si>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</si>
  <si>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</si>
  <si>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</si>
  <si>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</si>
  <si>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</si>
  <si>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</si>
  <si>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</si>
  <si>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</si>
  <si>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</si>
  <si>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</si>
  <si>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</si>
  <si>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</si>
  <si>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</si>
  <si>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</si>
  <si>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</si>
  <si>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</si>
  <si>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</si>
  <si>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</si>
  <si>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</si>
  <si>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</si>
  <si>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</si>
  <si>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</si>
  <si>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</si>
  <si>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</si>
  <si>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</si>
  <si>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</si>
  <si>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</si>
  <si>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</si>
  <si>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</si>
  <si>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</si>
  <si>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</si>
  <si>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</si>
  <si>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</si>
  <si>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</si>
  <si>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</si>
  <si>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</si>
  <si>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</si>
  <si>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</si>
  <si>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</si>
  <si>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</si>
  <si>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</si>
  <si>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</si>
  <si>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</si>
  <si>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</si>
  <si>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</si>
  <si>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</si>
  <si>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</si>
  <si>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</si>
  <si>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</si>
  <si>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</si>
  <si>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</si>
  <si>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</si>
  <si>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</si>
  <si>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</si>
  <si>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</si>
  <si>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</si>
  <si>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</si>
  <si>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</si>
  <si>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</si>
  <si>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</si>
  <si>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</si>
  <si>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</si>
  <si>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</si>
  <si>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</si>
  <si>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</si>
  <si>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</si>
  <si>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</si>
  <si>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</si>
  <si>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</si>
  <si>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</si>
  <si>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</si>
  <si>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</si>
  <si>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</si>
  <si>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</si>
  <si>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</si>
  <si>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</si>
  <si>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</si>
  <si>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</si>
  <si>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</si>
  <si>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</si>
  <si>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</si>
  <si>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</si>
  <si>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</si>
  <si>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</si>
  <si>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</si>
  <si>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</si>
  <si>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</si>
  <si>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</si>
  <si>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</si>
  <si>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</si>
  <si>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</si>
  <si>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</si>
  <si>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</si>
  <si>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</si>
  <si>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</si>
  <si>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</si>
  <si>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</si>
  <si>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</si>
  <si>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</si>
  <si>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</si>
  <si>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</si>
  <si>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</si>
  <si>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</si>
  <si>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</si>
  <si>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</si>
  <si>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</si>
  <si>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</si>
  <si>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</si>
  <si>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</si>
  <si>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мазут</t>
  </si>
  <si>
    <t>тонны</t>
  </si>
  <si>
    <t>уголь каменный</t>
  </si>
  <si>
    <t>дизельное топливо</t>
  </si>
  <si>
    <t>Добавить вид топлива</t>
  </si>
  <si>
    <t>HOTVSNA_P1</t>
  </si>
  <si>
    <t>руб.</t>
  </si>
  <si>
    <t>тыс. кВт·ч</t>
  </si>
  <si>
    <t>HEAT_P6</t>
  </si>
  <si>
    <t>NOT_HOTVSNA</t>
  </si>
  <si>
    <t>отсутствует</t>
  </si>
  <si>
    <t>есть</t>
  </si>
  <si>
    <t>NOT_HEAT_P1</t>
  </si>
  <si>
    <t>прочие</t>
  </si>
  <si>
    <t>Добавить прочие расходы</t>
  </si>
  <si>
    <t>HEAT_P2</t>
  </si>
  <si>
    <t>NOT_HEAT_P2</t>
  </si>
  <si>
    <t>hyp</t>
  </si>
  <si>
    <t>https://portal.eias.ru/Portal/DownloadPage.aspx?type=12&amp;guid=83e5f5aa-d1d8-4cb1-ba37-d3be34c0e834</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</si>
  <si>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</si>
  <si>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</si>
  <si>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</si>
  <si>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</si>
  <si>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</si>
  <si>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</si>
  <si>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</si>
  <si>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</si>
  <si>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</si>
  <si>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</si>
  <si>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</si>
  <si>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</si>
  <si>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</si>
  <si>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</si>
  <si>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</si>
  <si>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</si>
  <si>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</si>
  <si>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Архангельская ТЭЦ</t>
  </si>
  <si>
    <t>15.2</t>
  </si>
  <si>
    <t>Арендованные котельные</t>
  </si>
  <si>
    <t>15.3</t>
  </si>
  <si>
    <t>Северодвинская ТЭЦ-1</t>
  </si>
  <si>
    <t>15.4</t>
  </si>
  <si>
    <t>Северодвинская ТЭЦ-2</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</si>
  <si>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</si>
  <si>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16.2</t>
  </si>
  <si>
    <t>16.3</t>
  </si>
  <si>
    <t>16.4</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</si>
  <si>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</si>
  <si>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</si>
  <si>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</si>
  <si>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</si>
  <si>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</si>
  <si>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</si>
  <si>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</si>
  <si>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</si>
  <si>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</si>
  <si>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</si>
  <si>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</si>
  <si>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</si>
  <si>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</si>
  <si>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</si>
  <si>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</si>
  <si>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</si>
  <si>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</si>
  <si>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Прямые договора без торгов</t>
  </si>
  <si>
    <t xml:space="preserve">139/Дог23 от 07.02.2023
</t>
  </si>
  <si>
    <t>Договор на работы по техническому обслуживанию, текущему ремонту и устранению дефектов основного и вспомогательного оборудования Архангельской ТЭЦ ПАО "ТГК-2"</t>
  </si>
  <si>
    <t>тыс.руб.</t>
  </si>
  <si>
    <t>Добавить товар/услугу</t>
  </si>
  <si>
    <t>1.2</t>
  </si>
  <si>
    <t xml:space="preserve">304/Дог23 от 03.03.2023
</t>
  </si>
  <si>
    <t>Договор на выполнение работ по ремонту основного и вспомогательного оборудования Архангельской ТЭЦ ПАО "ТГК-2"</t>
  </si>
  <si>
    <t>1.3</t>
  </si>
  <si>
    <t xml:space="preserve">305/Дог23 от 31.05.2023
</t>
  </si>
  <si>
    <t>Договор на выполнение работ  по ремонту основного и вспомогательного оборудования турбинного отделения Архангельской ТЭЦ (капитальный ремонт паротурбинной установки ПТ-60-130/13 ст.№2 инвентарный №2100015069, текущий ремонт паротурбинной установки ПТ-60-130/13 ст.№1 инвентарный №2100015068)</t>
  </si>
  <si>
    <t>1.4</t>
  </si>
  <si>
    <t xml:space="preserve">528/Дог23 от 03.03.2023
</t>
  </si>
  <si>
    <t>Договор на выполнение работ по ремонту основного и вспомогательного оборудования котельного отделения и участка топливоподачи котлотурбинного цеха, химического цеха Архангельской ТЭЦ</t>
  </si>
  <si>
    <t>Добавить способ</t>
  </si>
  <si>
    <t xml:space="preserve">ООО "ТГК-2 СЕРВИС"
</t>
  </si>
  <si>
    <t xml:space="preserve">2623/Дог23 от 20.11.2023
</t>
  </si>
  <si>
    <t>Договор на выполнение работ на ремонт фасадов здания маслоаппаратной Архангельской ТЭЦ ПАО «ТГК-2»</t>
  </si>
  <si>
    <t xml:space="preserve">ООО "Теплоэлектромонтаж"
</t>
  </si>
  <si>
    <t>Торги/аукционы</t>
  </si>
  <si>
    <t xml:space="preserve">2072/Дог22 от 30.12.2022
</t>
  </si>
  <si>
    <t>Договор на выполнение работ по ремонту турбогенераторов, электротехнического оборудования, оборудования тепловой автоматики и измерений и контрольно-измерительных приборов Архангельской ТЭЦ ПАО "ТГК-2"</t>
  </si>
  <si>
    <t xml:space="preserve">ИП Еруженец Василий Афанасьевич
</t>
  </si>
  <si>
    <t xml:space="preserve">1344/Дог23 от 20.05.2023
</t>
  </si>
  <si>
    <t>Договор на выполнение работ по ремонту железнодорожных путей Архангельской ТЭЦ</t>
  </si>
  <si>
    <t xml:space="preserve">ООО "ПИРАМИДА"
</t>
  </si>
  <si>
    <t xml:space="preserve">1362/Дог23 от 23.05.2023
</t>
  </si>
  <si>
    <t>Договор на выполнение работ по ремонту защитных сооружений гражданской обороны №30 и №42 под ДТ ст.№№1 и 2 Архангельской ТЭЦ ПАО "ТГК-2"</t>
  </si>
  <si>
    <t xml:space="preserve">2300/Дог23 от 24.10.2023
</t>
  </si>
  <si>
    <t>Договор на выполнение работ по ремонту остекления Главного корпуса ТО и КО КТЦ Архангельской ТЭЦ ПАО "ТГК-2"</t>
  </si>
  <si>
    <t xml:space="preserve">ООО "Уралнефтегаз"
</t>
  </si>
  <si>
    <t xml:space="preserve">1413/Дог23 от 30.05.2023
</t>
  </si>
  <si>
    <t>Договор на выполнение работ по ремонту активной стали статора и замене обмотки статора асинхронного электродвигателя типа АС-4000/6000 Архангельской ТЭЦ</t>
  </si>
  <si>
    <t xml:space="preserve">ООО "Союзспецстрой"
</t>
  </si>
  <si>
    <t xml:space="preserve">1150/Дог23 от 26.04.2023
</t>
  </si>
  <si>
    <t>Договор на выполнение работ по ремонту зданий и сооружений Архангельской ТЭЦ ПАО "ТГК-2"</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</si>
  <si>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</si>
  <si>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</si>
  <si>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</si>
  <si>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 xml:space="preserve">ООО "ТГК-2 Энергоремонт"
</t>
  </si>
  <si>
    <t xml:space="preserve">№328/Дог23 от 07.03.2023
</t>
  </si>
  <si>
    <t>"Договор на выполнение работ по  среднему ремонту котельных установок ст. №8 и ст. №9 типа ПК-10-2 на объекте ПАО «ТГК-2»:
- Северодвинская ТЭЦ-1, Архангельская обл, Северодвинск г, Ягринское ш, 1/32"</t>
  </si>
  <si>
    <t xml:space="preserve">№319/Дог23 от 10.03.2023
</t>
  </si>
  <si>
    <t>"Договор на выполнение работ по ремонту основного и вспомогательного оборудования на объекте ПАО «ТГК-2»:
- Северодвинская ТЭЦ-1, Архангельская обл, Северодвинск г, Ягринское ш, 1/32"</t>
  </si>
  <si>
    <t xml:space="preserve">№60/Дог23 от 16.02.2023
</t>
  </si>
  <si>
    <t>"Договор на выполнение работ по техническому обслуживанию, текущему ремонту и устранению дефектов основного, вспомогательного оборудования ПАО ""ТГК-2"" в составе:
- Северодвинской ТЭЦ-1, Архангельская обл, Северодвинск г, Ягринское ш, 1/32"</t>
  </si>
  <si>
    <t xml:space="preserve">ООО «ТЕПЛОЭЛЕКТРОМОНТАЖ»
</t>
  </si>
  <si>
    <t xml:space="preserve">№273/Дог23 от 02.03.2023
</t>
  </si>
  <si>
    <t xml:space="preserve">Договор на выполнение работ по по капитальному, текущему ремонту турбогенераторов. Выполнение работ по ремонту основного и вспомогательного электротехнического оборудования и оборудования КИП и автоматики. </t>
  </si>
  <si>
    <t xml:space="preserve">ООО «Инженерный центр Бастион»
</t>
  </si>
  <si>
    <t xml:space="preserve">№822/Дог23 от 19.04.2023
</t>
  </si>
  <si>
    <t>Договор на ремонт зданий и сооружений Северодвинской ТЭЦ-1</t>
  </si>
  <si>
    <t xml:space="preserve">ООО «Путевой ресурс»
</t>
  </si>
  <si>
    <t xml:space="preserve">№1047/Дог23 от 21.04.2023 
</t>
  </si>
  <si>
    <t xml:space="preserve">Договор на выполнение работ по ремонту подкрановых путей крана - перегружателя №№1,2 Северодвинской ТЭЦ-1  </t>
  </si>
  <si>
    <t xml:space="preserve">ООО«Турбоэнергоремонт»
</t>
  </si>
  <si>
    <t xml:space="preserve">№1131/Дог23 от 26.04.2023
</t>
  </si>
  <si>
    <t>"Договор на выполнение сопутствующих работ для проведения контроля металла и экспертизы промышленной
безопасности Северодвинской ТЭЦ-1"</t>
  </si>
  <si>
    <t xml:space="preserve">ООО "ТГК-2 Энергоремонт"
</t>
  </si>
  <si>
    <t xml:space="preserve">№ 150/Дог23 от 01.02.2023
</t>
  </si>
  <si>
    <t>Техническое обслуживание, текущий ремонт и устранение дефектов основного и вспомогательного оборудования Северодвинской ТЭЦ-2</t>
  </si>
  <si>
    <t xml:space="preserve">№ 288/Дог23 от 14.03.2023
</t>
  </si>
  <si>
    <t xml:space="preserve">Ремонт основного и вспомогательного оборудования </t>
  </si>
  <si>
    <t xml:space="preserve">№ 274/Дог23 от 21.02.2023
</t>
  </si>
  <si>
    <t xml:space="preserve">Ремонт вспомогательного оборудования </t>
  </si>
  <si>
    <t xml:space="preserve">ООО «Турбоэнергоремонт»
</t>
  </si>
  <si>
    <t xml:space="preserve">№987/Дог23 от 20.04.2023
</t>
  </si>
  <si>
    <t xml:space="preserve">ООО «ТЕПЛОЭЛЕКТРОМОНТАЖ»
</t>
  </si>
  <si>
    <t xml:space="preserve">№ 244/Дог23 от 10.02.2023 
</t>
  </si>
  <si>
    <t xml:space="preserve">Ремонт электроооборудования и контрольно-измерительных приборов и автоматики </t>
  </si>
  <si>
    <t xml:space="preserve">ООО Энергия
</t>
  </si>
  <si>
    <t xml:space="preserve">№ 888/Дог23 от 14.04.2023
</t>
  </si>
  <si>
    <t>Ремонт зданий и сооружений, антикоррозийная защита оборудования</t>
  </si>
  <si>
    <t xml:space="preserve">ООО "ПСК "РЕСУРС"
</t>
  </si>
  <si>
    <t xml:space="preserve">№ 799/Дог23 от 07.04.2023
</t>
  </si>
  <si>
    <t xml:space="preserve">Ремонт дымовой трубы Н-200 м </t>
  </si>
  <si>
    <t xml:space="preserve">ООО "Промтехнология"
</t>
  </si>
  <si>
    <t xml:space="preserve">№ 667/Дог23 от 29.03.2023
</t>
  </si>
  <si>
    <t>Ремонт железнодорожных путей</t>
  </si>
  <si>
    <t>111</t>
  </si>
  <si>
    <t>1111</t>
  </si>
  <si>
    <t xml:space="preserve">ООО «СтройПроектЭкология»
</t>
  </si>
  <si>
    <t xml:space="preserve">№967/Дог23 от 14.04.2023 
</t>
  </si>
  <si>
    <t>Договор на выполнение работ  по капитальному ремонту ЗиС  Архангельских городских тепловых сетей  ПАО "ТГК-2</t>
  </si>
  <si>
    <t xml:space="preserve">ЗАО "АГСУМ"
</t>
  </si>
  <si>
    <t>№1426/Дог23 от 02.06.2023</t>
  </si>
  <si>
    <t>Договор на выполнение работ  по восстановлению благоустройства после ремонта  тепловых сетей АГТС</t>
  </si>
  <si>
    <t xml:space="preserve">ООО «Теплоэлектромонтаж»
</t>
  </si>
  <si>
    <t xml:space="preserve">№477/Дог23 от 01.03.2023 
</t>
  </si>
  <si>
    <t>Договор на работы по  ремонту основного и вспомогательного оборудования, зданий и сооружений и тепловых сетей на объектах  ПАО «ТГК-2» АГТС</t>
  </si>
  <si>
    <t xml:space="preserve">ООО "ТГК- 2 Энергоремонт" 
</t>
  </si>
  <si>
    <t>№604/Дог22 от 16.05.2022</t>
  </si>
  <si>
    <t xml:space="preserve"> Договор на работы по техническому обслуживанию, текущему ремонту и устранению дефектов основного, вспомогательного оборудования АГТС</t>
  </si>
  <si>
    <t xml:space="preserve">№594/Дог23 от 16.03.2023 </t>
  </si>
  <si>
    <t xml:space="preserve">Работы по восстановлению изоляции на тепловых сетях подрядным способом  Архангельский городских тепловых сетей </t>
  </si>
  <si>
    <t>2809/Дог23 от 11.12.2023</t>
  </si>
  <si>
    <t>Выполнение работ по восстановлению изоляции и восстановлению антикоррозионной защиты на тепловых сетях подрядным способом АГТС</t>
  </si>
  <si>
    <t>11111</t>
  </si>
  <si>
    <t xml:space="preserve">ООО "ТГК-2 Энергоремонт"
</t>
  </si>
  <si>
    <t xml:space="preserve">ДОГОВОР № 178/Дог23 от 09.03.2023
</t>
  </si>
  <si>
    <t>Договор на выполнение работ по техническому обслуживанию, текущему ремонту и устранению дефектов вспомогательного оборудования и тепловых сетей Северодвинских городских тепловых сетей ПАО "ТГК-2"</t>
  </si>
  <si>
    <t xml:space="preserve">ООО "Пирамида"
</t>
  </si>
  <si>
    <t xml:space="preserve">ДОГОВОР № 1363/Дог23 от 21.03.2022
</t>
  </si>
  <si>
    <t>Договор на выполнение работ по ремонту зданий и сооружений Северодвинских городских тепловых сетей ПАО "ТГК-2"</t>
  </si>
  <si>
    <t xml:space="preserve">Общество с ограниченной ответственностью «Стройэнергоизоляция»
</t>
  </si>
  <si>
    <t xml:space="preserve">ДОГОВОР № 862/Дог23 от 21.04.2023
</t>
  </si>
  <si>
    <t>Договор подряда на производство работ по капитальному ремонту тепловых сетей Северодвинских городских тепловых сетей</t>
  </si>
  <si>
    <t xml:space="preserve">Общества с ограниченной ответственностью «Теплоэлектромонтаж»
</t>
  </si>
  <si>
    <t>ДОГОВОР № 908/Дог23 от 27.03.2023</t>
  </si>
  <si>
    <t>Договор на проведение работ по ремонту электродвигателей Северодвинских городских тепловых сетей</t>
  </si>
  <si>
    <t xml:space="preserve">ИП Герасимчук П.А.
</t>
  </si>
  <si>
    <t xml:space="preserve">ДОГОВОР № 994/Дог23 от 16.05.2023
</t>
  </si>
  <si>
    <t>Договор на выполнение работ по восстановлению благоустройства после ремонтных работ Северодвинских городских тепловых сетей</t>
  </si>
  <si>
    <t>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</si>
  <si>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</si>
  <si>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</si>
  <si>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</si>
  <si>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</si>
  <si>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</si>
  <si>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</si>
  <si>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</si>
  <si>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</si>
  <si>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</si>
  <si>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</si>
  <si>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</si>
  <si>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</si>
  <si>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</si>
  <si>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</si>
  <si>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</si>
  <si>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</si>
  <si>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</si>
  <si>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</si>
  <si>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</si>
  <si>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</si>
  <si>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</si>
  <si>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</si>
  <si>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</si>
  <si>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</si>
  <si>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</si>
  <si>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</si>
  <si>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</si>
  <si>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</si>
  <si>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</si>
  <si>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</si>
  <si>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</si>
  <si>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</si>
  <si>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</si>
  <si>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</si>
  <si>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</si>
  <si>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</si>
  <si>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</si>
  <si>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</si>
  <si>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</si>
  <si>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</si>
  <si>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</si>
  <si>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</si>
  <si>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</si>
  <si>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</si>
  <si>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</si>
  <si>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</si>
  <si>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</si>
  <si>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</si>
  <si>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</si>
  <si>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</si>
  <si>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</si>
  <si>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</si>
  <si>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</si>
  <si>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</si>
  <si>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</si>
  <si>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</si>
  <si>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</si>
  <si>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</si>
  <si>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</si>
  <si>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</si>
  <si>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</si>
  <si>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</si>
  <si>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</si>
  <si>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</si>
  <si>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</si>
  <si>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</si>
  <si>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</si>
  <si>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</si>
  <si>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</si>
  <si>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</si>
  <si>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</si>
  <si>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</si>
  <si>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</si>
  <si>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</si>
  <si>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</si>
  <si>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</si>
  <si>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</si>
  <si>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</si>
  <si>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</si>
  <si>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</si>
  <si>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</si>
  <si>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</si>
  <si>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</si>
  <si>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</si>
  <si>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</si>
  <si>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</si>
  <si>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</si>
  <si>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</si>
  <si>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</si>
  <si>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</si>
  <si>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</si>
  <si>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</si>
  <si>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</si>
  <si>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</si>
  <si>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</si>
  <si>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</si>
  <si>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</si>
  <si>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</si>
  <si>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</si>
  <si>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</si>
  <si>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</si>
  <si>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</si>
  <si>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</si>
  <si>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</si>
  <si>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</si>
  <si>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</si>
  <si>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</si>
  <si>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</si>
  <si>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</si>
  <si>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</si>
  <si>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</si>
  <si>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</si>
  <si>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</si>
  <si>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</si>
  <si>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</si>
  <si>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</si>
  <si>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</si>
  <si>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</si>
  <si>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</si>
  <si>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</si>
  <si>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</si>
  <si>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</si>
  <si>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</si>
  <si>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</si>
  <si>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</si>
  <si>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</si>
  <si>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</si>
  <si>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</si>
  <si>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</si>
  <si>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</si>
  <si>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</si>
  <si>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</si>
  <si>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</si>
  <si>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</si>
  <si>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</si>
  <si>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</si>
  <si>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</si>
  <si>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</si>
  <si>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</si>
  <si>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</si>
  <si>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</si>
  <si>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</si>
  <si>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</si>
  <si>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</si>
  <si>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</si>
  <si>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</si>
  <si>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</si>
  <si>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</si>
  <si>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</si>
  <si>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</si>
  <si>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</si>
  <si>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</si>
  <si>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</si>
  <si>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</si>
  <si>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</si>
  <si>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</si>
  <si>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</si>
  <si>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</si>
  <si>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</si>
  <si>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</si>
  <si>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</si>
  <si>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</si>
  <si>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</si>
  <si>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</si>
  <si>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</si>
  <si>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</si>
  <si>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</si>
  <si>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</si>
  <si>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</si>
  <si>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</si>
  <si>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</si>
  <si>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</si>
  <si>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</si>
  <si>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</si>
  <si>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</si>
  <si>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</si>
  <si>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</si>
  <si>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</si>
  <si>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</si>
  <si>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</si>
  <si>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</si>
  <si>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</si>
  <si>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</si>
  <si>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</si>
  <si>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</si>
  <si>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</si>
  <si>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</si>
  <si>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</si>
  <si>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</si>
  <si>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</si>
  <si>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</si>
  <si>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</si>
  <si>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</si>
  <si>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</si>
  <si>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</si>
  <si>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</si>
  <si>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</si>
  <si>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</si>
  <si>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</si>
  <si>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</si>
  <si>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</si>
  <si>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</si>
  <si>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</si>
  <si>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</si>
  <si>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</si>
  <si>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</si>
  <si>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</si>
  <si>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</si>
  <si>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</si>
  <si>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</si>
  <si>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</si>
  <si>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</si>
  <si>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</si>
  <si>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</si>
  <si>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</si>
  <si>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</si>
  <si>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</si>
  <si>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</si>
  <si>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</si>
  <si>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</si>
  <si>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</si>
  <si>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</si>
  <si>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</si>
  <si>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</si>
  <si>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</si>
  <si>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</si>
  <si>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</si>
  <si>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</si>
  <si>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</si>
  <si>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</si>
  <si>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</si>
  <si>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</si>
  <si>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</si>
  <si>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</si>
  <si>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</si>
  <si>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</si>
  <si>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</si>
  <si>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</si>
  <si>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</si>
  <si>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</si>
  <si>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</si>
  <si>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</si>
  <si>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</si>
  <si>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</si>
  <si>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</si>
  <si>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</si>
  <si>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</si>
  <si>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</si>
  <si>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</si>
  <si>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</si>
  <si>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</si>
  <si>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</si>
  <si>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</si>
  <si>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</si>
  <si>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</si>
  <si>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</si>
  <si>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</si>
  <si>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</si>
  <si>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</si>
  <si>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</si>
  <si>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</si>
  <si>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</si>
  <si>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</si>
  <si>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</si>
  <si>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</si>
  <si>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</si>
  <si>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</si>
  <si>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</si>
  <si>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</si>
  <si>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</si>
  <si>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</si>
  <si>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</si>
  <si>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</si>
  <si>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</si>
  <si>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</si>
  <si>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</si>
  <si>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</si>
  <si>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</si>
  <si>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</si>
  <si>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</si>
  <si>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</si>
  <si>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</si>
  <si>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</si>
  <si>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</si>
  <si>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</si>
  <si>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</si>
  <si>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</si>
  <si>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</si>
  <si>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</si>
  <si>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</si>
  <si>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</si>
  <si>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</si>
  <si>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</si>
  <si>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</si>
  <si>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</si>
  <si>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</si>
  <si>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</si>
  <si>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</si>
  <si>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</si>
  <si>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</si>
  <si>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</si>
  <si>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</si>
  <si>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</si>
  <si>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</si>
  <si>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</si>
  <si>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</si>
  <si>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</si>
  <si>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</si>
  <si>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</si>
  <si>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</si>
  <si>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</si>
  <si>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</si>
  <si>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</si>
  <si>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</si>
  <si>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</si>
  <si>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</si>
  <si>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</si>
  <si>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</si>
  <si>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</si>
  <si>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</si>
  <si>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</si>
  <si>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</si>
  <si>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</si>
  <si>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</si>
  <si>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</si>
  <si>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</si>
  <si>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</si>
  <si>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</si>
  <si>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</si>
  <si>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</si>
  <si>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</si>
  <si>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</si>
  <si>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</si>
  <si>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</si>
  <si>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</si>
  <si>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</si>
  <si>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</si>
  <si>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</si>
  <si>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</si>
  <si>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</si>
  <si>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</si>
  <si>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</si>
  <si>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</si>
  <si>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</si>
  <si>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</si>
  <si>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</si>
  <si>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</si>
  <si>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</si>
  <si>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</si>
  <si>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</si>
  <si>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</si>
  <si>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</si>
  <si>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</si>
  <si>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</si>
  <si>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</si>
  <si>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</si>
  <si>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</si>
  <si>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</si>
  <si>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</si>
  <si>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</si>
  <si>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</si>
  <si>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</si>
  <si>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</si>
  <si>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</si>
  <si>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</si>
  <si>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</si>
  <si>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</si>
  <si>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</si>
  <si>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</si>
  <si>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</si>
  <si>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</si>
  <si>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</si>
  <si>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</si>
  <si>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</si>
  <si>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</si>
  <si>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</si>
  <si>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</si>
  <si>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</si>
  <si>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</si>
  <si>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</si>
  <si>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</si>
  <si>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</si>
  <si>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</si>
  <si>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</si>
  <si>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</si>
  <si>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</si>
  <si>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</si>
  <si>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</si>
  <si>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t>
  </si>
  <si>
    <t>уменьшение удельных затрат (повышение КПД); уменьшение издержек на производство; снижение аварийности; повышение надёжности и энергетической эффективности</t>
  </si>
  <si>
    <t>Министерство топливно-энергетического комплекса и жилищно-коммунального хозяйства Архангельской области</t>
  </si>
  <si>
    <t xml:space="preserve">Департамент городского хозяйства администрация муниципального образования "Город Архангельск", Комитет жилищно-коммунального хозяйства, транспорта и связи администрации муниципального образования "Северодвинск"
</t>
  </si>
  <si>
    <t>01.01.2014</t>
  </si>
  <si>
    <t>31.12.2025</t>
  </si>
  <si>
    <t>Об утверждении инвестиционной программы ПАО «ТГК-2» в сфере теплоснабжения на территории Архангельской области</t>
  </si>
  <si>
    <t>постановление</t>
  </si>
  <si>
    <t>200-п</t>
  </si>
  <si>
    <t>26.11.2015</t>
  </si>
  <si>
    <t>Постановление</t>
  </si>
  <si>
    <t>343-п</t>
  </si>
  <si>
    <t>ip_5111</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</si>
  <si>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</si>
  <si>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</si>
  <si>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</si>
  <si>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</si>
  <si>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</si>
  <si>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</si>
  <si>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</si>
  <si>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</si>
  <si>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</si>
  <si>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</si>
  <si>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</si>
  <si>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</si>
  <si>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</si>
  <si>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</si>
  <si>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</si>
  <si>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</si>
  <si>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</si>
  <si>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</si>
  <si>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</si>
  <si>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</si>
  <si>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</si>
  <si>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</si>
  <si>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</si>
  <si>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</si>
  <si>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</si>
  <si>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</si>
  <si>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</si>
  <si>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</si>
  <si>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</si>
  <si>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</si>
  <si>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</si>
  <si>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</si>
  <si>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</si>
  <si>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</si>
  <si>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</si>
  <si>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</si>
  <si>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2025</t>
  </si>
  <si>
    <t xml:space="preserve">  За счет платы за технологическое присоединение</t>
  </si>
  <si>
    <t>Добавить источник финансирования</t>
  </si>
  <si>
    <t>Добавить объект инфраструктуры</t>
  </si>
  <si>
    <t>увеличение пропускной способности существующих тепловых сетей в целях подключения потребителей</t>
  </si>
  <si>
    <t xml:space="preserve">      Прочие амортизационные отчисления</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</si>
  <si>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</si>
  <si>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</si>
  <si>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</si>
  <si>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</si>
  <si>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 xml:space="preserve">  Прибыль направляемая на инвестиции</t>
  </si>
  <si>
    <t>реконструкция или модернизация существующих объектов теплоснабжения, за исключением тепловых сетей</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</si>
  <si>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</si>
  <si>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направленные на повышение энергоэффективности в сфере теплоснабжения</t>
  </si>
  <si>
    <t>Март</t>
  </si>
  <si>
    <t>2023</t>
  </si>
  <si>
    <t>Январь</t>
  </si>
  <si>
    <t>2024</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</si>
  <si>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</si>
  <si>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</si>
  <si>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</si>
  <si>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</si>
  <si>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</si>
  <si>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</si>
  <si>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</si>
  <si>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</si>
  <si>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</si>
  <si>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</si>
  <si>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</si>
  <si>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</si>
  <si>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</si>
  <si>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</si>
  <si>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</si>
  <si>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</si>
  <si>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</si>
  <si>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</si>
  <si>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</si>
  <si>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</si>
  <si>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</si>
  <si>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</si>
  <si>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</si>
  <si>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</si>
  <si>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</si>
  <si>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</si>
  <si>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</si>
  <si>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</si>
  <si>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</si>
  <si>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</si>
  <si>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</si>
  <si>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</si>
  <si>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</si>
  <si>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</si>
  <si>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</si>
  <si>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</si>
  <si>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</si>
  <si>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</si>
  <si>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</si>
  <si>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</si>
  <si>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</si>
  <si>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</si>
  <si>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</si>
  <si>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</si>
  <si>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</si>
  <si>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</si>
  <si>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</si>
  <si>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</si>
  <si>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</si>
  <si>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</si>
  <si>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</si>
  <si>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</si>
  <si>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</si>
  <si>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</si>
  <si>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</si>
  <si>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</si>
  <si>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</si>
  <si>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</si>
  <si>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</si>
  <si>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</si>
  <si>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</si>
  <si>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</si>
  <si>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</si>
  <si>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</si>
  <si>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</si>
  <si>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</si>
  <si>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</si>
  <si>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</si>
  <si>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</si>
  <si>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</si>
  <si>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</si>
  <si>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</si>
  <si>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</si>
  <si>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</si>
  <si>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</si>
  <si>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</si>
  <si>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</si>
  <si>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</si>
  <si>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</si>
  <si>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</si>
  <si>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</si>
  <si>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</si>
  <si>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</si>
  <si>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</si>
  <si>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</si>
  <si>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</si>
  <si>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</si>
  <si>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</si>
  <si>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</si>
  <si>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</si>
  <si>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</si>
  <si>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</si>
  <si>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</si>
  <si>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</si>
  <si>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</si>
  <si>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</si>
  <si>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</si>
  <si>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Архангельские городские тепловые сети</t>
  </si>
  <si>
    <t>Северодвинские городские тепловые сети</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</si>
  <si>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</si>
  <si>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</si>
  <si>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</si>
  <si>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</si>
  <si>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</si>
  <si>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</si>
  <si>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</si>
  <si>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</si>
  <si>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</si>
  <si>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</si>
  <si>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</si>
  <si>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</si>
  <si>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</si>
  <si>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</si>
  <si>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</si>
  <si>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</si>
  <si>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</si>
  <si>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</si>
  <si>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</si>
  <si>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</si>
  <si>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</si>
  <si>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</si>
  <si>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</si>
  <si>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</si>
  <si>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</si>
  <si>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</si>
  <si>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</si>
  <si>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</si>
  <si>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</si>
  <si>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</si>
  <si>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</si>
  <si>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</si>
  <si>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</si>
  <si>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</si>
  <si>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</si>
  <si>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</si>
  <si>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</si>
  <si>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</si>
  <si>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</si>
  <si>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</si>
  <si>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</si>
  <si>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</si>
  <si>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</si>
  <si>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</si>
  <si>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</si>
  <si>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</si>
  <si>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</si>
  <si>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</si>
  <si>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</si>
  <si>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</si>
  <si>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</si>
  <si>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</si>
  <si>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</si>
  <si>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</si>
  <si>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</si>
  <si>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</si>
  <si>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</si>
  <si>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</si>
  <si>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</si>
  <si>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</si>
  <si>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</si>
  <si>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</si>
  <si>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</si>
  <si>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</si>
  <si>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</si>
  <si>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</si>
  <si>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</si>
  <si>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</si>
  <si>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</si>
  <si>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</si>
  <si>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</si>
  <si>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</si>
  <si>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</si>
  <si>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</si>
  <si>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</si>
  <si>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</si>
  <si>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</si>
  <si>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</si>
  <si>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</si>
  <si>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</si>
  <si>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</si>
  <si>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</si>
  <si>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</si>
  <si>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</si>
  <si>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</si>
  <si>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</si>
  <si>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</si>
  <si>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</si>
  <si>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</si>
  <si>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</si>
  <si>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</si>
  <si>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</si>
  <si>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</si>
  <si>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</si>
  <si>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</si>
  <si>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</si>
  <si>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</si>
  <si>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</si>
  <si>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</si>
  <si>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</si>
  <si>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</si>
  <si>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</si>
  <si>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</si>
  <si>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</si>
  <si>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</si>
  <si>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</si>
  <si>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</si>
  <si>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</si>
  <si>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</si>
  <si>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</si>
  <si>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</si>
  <si>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</si>
  <si>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</si>
  <si>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</si>
  <si>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</si>
  <si>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</si>
  <si>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</si>
  <si>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</si>
  <si>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</si>
  <si>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</si>
  <si>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</si>
  <si>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</si>
  <si>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</si>
  <si>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</si>
  <si>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</si>
  <si>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</si>
  <si>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</si>
  <si>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</si>
  <si>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</si>
  <si>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</si>
  <si>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</si>
  <si>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</si>
  <si>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</si>
  <si>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</si>
  <si>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</si>
  <si>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</si>
  <si>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</si>
  <si>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</si>
  <si>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</si>
  <si>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</si>
  <si>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</si>
  <si>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</si>
  <si>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</si>
  <si>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</si>
  <si>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</si>
  <si>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</si>
  <si>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</si>
  <si>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</si>
  <si>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</si>
  <si>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</si>
  <si>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</si>
  <si>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</si>
  <si>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</si>
  <si>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</si>
  <si>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</si>
  <si>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</si>
  <si>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</si>
  <si>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</si>
  <si>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</si>
  <si>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</si>
  <si>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</si>
  <si>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</si>
  <si>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</si>
  <si>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</si>
  <si>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</si>
  <si>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</si>
  <si>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</si>
  <si>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</si>
  <si>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</si>
  <si>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</si>
  <si>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</si>
  <si>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</si>
  <si>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</si>
  <si>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</si>
  <si>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</si>
  <si>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</si>
  <si>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</si>
  <si>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</si>
  <si>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</si>
  <si>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</si>
  <si>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</si>
  <si>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</si>
  <si>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</si>
  <si>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</si>
  <si>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</si>
  <si>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</si>
  <si>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</si>
  <si>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</si>
  <si>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</si>
  <si>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</si>
  <si>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</si>
  <si>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</si>
  <si>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</si>
  <si>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</si>
  <si>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</si>
  <si>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</si>
  <si>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</si>
  <si>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</si>
  <si>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</si>
  <si>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</si>
  <si>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</si>
  <si>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</si>
  <si>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</si>
  <si>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</si>
  <si>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</si>
  <si>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</si>
  <si>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</si>
  <si>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</si>
  <si>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</si>
  <si>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</si>
  <si>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</si>
  <si>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</si>
  <si>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</si>
  <si>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</si>
  <si>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</si>
  <si>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</si>
  <si>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</si>
  <si>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</si>
  <si>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</si>
  <si>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</si>
  <si>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</si>
  <si>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</si>
  <si>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</si>
  <si>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</si>
  <si>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</si>
  <si>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</si>
  <si>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</si>
  <si>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</si>
  <si>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</si>
  <si>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</si>
  <si>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</si>
  <si>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</si>
  <si>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</si>
  <si>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</si>
  <si>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</si>
  <si>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</si>
  <si>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</si>
  <si>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</si>
  <si>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</si>
  <si>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</si>
  <si>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</si>
  <si>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</si>
  <si>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</si>
  <si>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</si>
  <si>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</si>
  <si>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</si>
  <si>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</si>
  <si>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</si>
  <si>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</si>
  <si>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</si>
  <si>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</si>
  <si>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</si>
  <si>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</si>
  <si>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</si>
  <si>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</si>
  <si>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</si>
  <si>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</si>
  <si>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</si>
  <si>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</si>
  <si>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</si>
  <si>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</si>
  <si>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</si>
  <si>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</si>
  <si>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</si>
  <si>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</si>
  <si>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</si>
  <si>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</si>
  <si>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</si>
  <si>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</si>
  <si>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</si>
  <si>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</si>
  <si>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</si>
  <si>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</si>
  <si>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</si>
  <si>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</si>
  <si>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</si>
  <si>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</si>
  <si>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</si>
  <si>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</si>
  <si>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</si>
  <si>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</si>
  <si>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</si>
  <si>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</si>
  <si>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</si>
  <si>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</si>
  <si>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</si>
  <si>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</si>
  <si>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</si>
  <si>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</si>
  <si>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</si>
  <si>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</si>
  <si>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</si>
  <si>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</si>
  <si>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</si>
  <si>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</si>
  <si>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</si>
  <si>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</si>
  <si>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</si>
  <si>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</si>
  <si>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</si>
  <si>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</si>
  <si>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</si>
  <si>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</si>
  <si>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</si>
  <si>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</si>
  <si>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</si>
  <si>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</si>
  <si>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</si>
  <si>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</si>
  <si>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</si>
  <si>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</si>
  <si>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</si>
  <si>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</si>
  <si>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</si>
  <si>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</si>
  <si>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</si>
  <si>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</si>
  <si>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</si>
  <si>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</si>
  <si>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</si>
  <si>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</si>
  <si>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</si>
  <si>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</si>
  <si>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</si>
  <si>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</si>
  <si>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</si>
  <si>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</si>
  <si>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</si>
  <si>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</si>
  <si>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</si>
  <si>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</si>
  <si>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</si>
  <si>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</si>
  <si>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</si>
  <si>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</si>
  <si>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</si>
  <si>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</si>
  <si>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</si>
  <si>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</si>
  <si>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</si>
  <si>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</si>
  <si>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</si>
  <si>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</si>
  <si>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</si>
  <si>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</si>
  <si>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</si>
  <si>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</si>
  <si>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</si>
  <si>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</si>
  <si>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</si>
  <si>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</si>
  <si>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</si>
  <si>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</si>
  <si>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</si>
  <si>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</si>
  <si>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</si>
  <si>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</si>
  <si>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</si>
  <si>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</si>
  <si>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</si>
  <si>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</si>
  <si>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</si>
  <si>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</si>
  <si>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</si>
  <si>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</si>
  <si>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</si>
  <si>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</si>
  <si>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</si>
  <si>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</si>
  <si>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</si>
  <si>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</si>
  <si>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</si>
  <si>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</si>
  <si>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</si>
  <si>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</si>
  <si>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</si>
  <si>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</si>
  <si>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</si>
  <si>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</si>
  <si>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</si>
  <si>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</si>
  <si>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</si>
  <si>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</si>
  <si>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</si>
  <si>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</si>
  <si>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</si>
  <si>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</si>
  <si>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</si>
  <si>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</si>
  <si>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</si>
  <si>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</si>
  <si>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</si>
  <si>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</si>
  <si>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</si>
  <si>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</si>
  <si>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</si>
  <si>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</si>
  <si>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</si>
  <si>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</si>
  <si>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</si>
  <si>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</si>
  <si>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</si>
  <si>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</si>
  <si>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</si>
  <si>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</si>
  <si>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</si>
  <si>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</si>
  <si>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</si>
  <si>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</si>
  <si>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</si>
  <si>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</si>
  <si>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</si>
  <si>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</si>
  <si>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</si>
  <si>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</si>
  <si>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</si>
  <si>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</si>
  <si>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</si>
  <si>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</si>
  <si>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</si>
  <si>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</si>
  <si>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</si>
  <si>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</si>
  <si>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</si>
  <si>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</si>
  <si>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</si>
  <si>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</si>
  <si>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</si>
  <si>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</si>
  <si>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</si>
  <si>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</si>
  <si>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</si>
  <si>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</si>
  <si>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</si>
  <si>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</si>
  <si>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</si>
  <si>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</si>
  <si>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</si>
  <si>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</si>
  <si>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</si>
  <si>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</si>
  <si>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</si>
  <si>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</si>
  <si>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</si>
  <si>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</si>
  <si>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</si>
  <si>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</si>
  <si>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</si>
  <si>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</si>
  <si>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</si>
  <si>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</si>
  <si>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</si>
  <si>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</si>
  <si>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</si>
  <si>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</si>
  <si>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</si>
  <si>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</si>
  <si>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</si>
  <si>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</si>
  <si>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</si>
  <si>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</si>
  <si>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</si>
  <si>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</si>
  <si>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</si>
  <si>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</si>
  <si>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</si>
  <si>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</si>
  <si>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</si>
  <si>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</si>
  <si>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</si>
  <si>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</si>
  <si>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</si>
  <si>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</si>
  <si>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</si>
  <si>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</si>
  <si>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</si>
  <si>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</si>
  <si>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</si>
  <si>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</si>
  <si>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</si>
  <si>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</si>
  <si>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</si>
  <si>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</si>
  <si>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</si>
  <si>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</si>
  <si>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</si>
  <si>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</si>
  <si>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</si>
  <si>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</si>
  <si>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</si>
  <si>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</si>
  <si>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</si>
  <si>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</si>
  <si>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</si>
  <si>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</si>
  <si>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</si>
  <si>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</si>
  <si>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</si>
  <si>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</si>
  <si>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</si>
  <si>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</si>
  <si>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</si>
  <si>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</si>
  <si>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</si>
  <si>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</si>
  <si>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</si>
  <si>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</si>
  <si>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</si>
  <si>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</si>
  <si>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</si>
  <si>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</si>
  <si>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</si>
  <si>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</si>
  <si>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</si>
  <si>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</si>
  <si>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</si>
  <si>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</si>
  <si>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</si>
  <si>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</si>
  <si>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</si>
  <si>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</si>
  <si>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</si>
  <si>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</si>
  <si>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</si>
  <si>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</si>
  <si>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</si>
  <si>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</si>
  <si>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</si>
  <si>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</si>
  <si>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</si>
  <si>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</si>
  <si>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</si>
  <si>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</si>
  <si>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</si>
  <si>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</si>
  <si>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</si>
  <si>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</si>
  <si>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</si>
  <si>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</si>
  <si>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</si>
  <si>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</si>
  <si>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</si>
  <si>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</si>
  <si>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</si>
  <si>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</si>
  <si>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</si>
  <si>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</si>
  <si>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</si>
  <si>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</si>
  <si>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</si>
  <si>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</si>
  <si>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</si>
  <si>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</si>
  <si>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</si>
  <si>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</si>
  <si>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</si>
  <si>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</si>
  <si>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</si>
  <si>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</si>
  <si>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</si>
  <si>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</si>
  <si>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</si>
  <si>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</si>
  <si>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</si>
  <si>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</si>
  <si>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</si>
  <si>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</si>
  <si>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</si>
  <si>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</si>
  <si>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</si>
  <si>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</si>
  <si>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</si>
  <si>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</si>
  <si>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</si>
  <si>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</si>
  <si>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</si>
  <si>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</si>
  <si>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</si>
  <si>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</si>
  <si>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</si>
  <si>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</si>
  <si>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</si>
  <si>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</si>
  <si>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</si>
  <si>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</si>
  <si>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</si>
  <si>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</si>
  <si>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</si>
  <si>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</si>
  <si>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</si>
  <si>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</si>
  <si>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</si>
  <si>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</si>
  <si>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</si>
  <si>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</si>
  <si>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</si>
  <si>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</si>
  <si>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</si>
  <si>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</si>
  <si>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</si>
  <si>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</si>
  <si>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</si>
  <si>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</si>
  <si>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</si>
  <si>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</si>
  <si>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</si>
  <si>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</si>
  <si>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</si>
  <si>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</si>
  <si>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</si>
  <si>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</si>
  <si>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</si>
  <si>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</si>
  <si>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</si>
  <si>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</si>
  <si>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</si>
  <si>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</si>
  <si>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</si>
  <si>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</si>
  <si>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</si>
  <si>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</si>
  <si>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</si>
  <si>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</si>
  <si>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</si>
  <si>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</si>
  <si>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</si>
  <si>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</si>
  <si>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</si>
  <si>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</si>
  <si>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</si>
  <si>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</si>
  <si>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</si>
  <si>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</si>
  <si>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</si>
  <si>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</si>
  <si>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</si>
  <si>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</si>
  <si>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</si>
  <si>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</si>
  <si>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</si>
  <si>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</si>
  <si>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</si>
  <si>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</si>
  <si>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</si>
  <si>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</si>
  <si>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</si>
  <si>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</si>
  <si>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</si>
  <si>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</si>
  <si>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</si>
  <si>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</si>
  <si>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</si>
  <si>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</si>
  <si>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</si>
  <si>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</si>
  <si>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</si>
  <si>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</si>
  <si>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</si>
  <si>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</si>
  <si>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</si>
  <si>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</si>
  <si>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</si>
  <si>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</si>
  <si>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</si>
  <si>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</si>
  <si>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</si>
  <si>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</si>
  <si>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</si>
  <si>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</si>
  <si>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</si>
  <si>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</si>
  <si>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</si>
  <si>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</si>
  <si>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</si>
  <si>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</si>
  <si>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</si>
  <si>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</si>
  <si>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</si>
  <si>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</si>
  <si>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</si>
  <si>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</si>
  <si>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</si>
  <si>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</si>
  <si>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</si>
  <si>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</si>
  <si>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</si>
  <si>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</si>
  <si>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</si>
  <si>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</si>
  <si>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</si>
  <si>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</si>
  <si>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</si>
  <si>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</si>
  <si>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</si>
  <si>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</si>
  <si>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</si>
  <si>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</si>
  <si>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</si>
  <si>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</si>
  <si>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</si>
  <si>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</si>
  <si>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</si>
  <si>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</si>
  <si>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</si>
  <si>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</si>
  <si>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</si>
  <si>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</si>
  <si>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</si>
  <si>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</si>
  <si>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</si>
  <si>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</si>
  <si>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</si>
  <si>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</si>
  <si>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</si>
  <si>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</si>
  <si>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</si>
  <si>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</si>
  <si>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</si>
  <si>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</si>
  <si>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</si>
  <si>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</si>
  <si>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</si>
  <si>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</si>
  <si>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</si>
  <si>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</si>
  <si>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</si>
  <si>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</si>
  <si>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</si>
  <si>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</si>
  <si>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</si>
  <si>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</si>
  <si>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</si>
  <si>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</si>
  <si>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</si>
  <si>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</si>
  <si>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</si>
  <si>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</si>
  <si>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</si>
  <si>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</si>
  <si>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</si>
  <si>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</si>
  <si>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</si>
  <si>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</si>
  <si>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</si>
  <si>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</si>
  <si>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</si>
  <si>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</si>
  <si>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</si>
  <si>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</si>
  <si>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</si>
  <si>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</si>
  <si>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</si>
  <si>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</si>
  <si>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</si>
  <si>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</si>
  <si>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</si>
  <si>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</si>
  <si>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</si>
  <si>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</si>
  <si>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</si>
  <si>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</si>
  <si>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</si>
  <si>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В листе Показатели ФХД по строке 18.  в столбце J указано значение по СТЭЦ-1- 21.567, по СТЭЦ-2  составляет 27.956</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</si>
  <si>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</si>
  <si>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</si>
  <si>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</si>
  <si>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</si>
  <si>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</si>
  <si>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</si>
  <si>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</si>
  <si>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</si>
  <si>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</si>
  <si>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</si>
  <si>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</si>
  <si>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</si>
  <si>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</si>
  <si>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</si>
  <si>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</si>
  <si>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</si>
  <si>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</si>
  <si>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</si>
  <si>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</si>
  <si>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</si>
  <si>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</si>
  <si>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</si>
  <si>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</si>
  <si>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</si>
  <si>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</si>
  <si>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</si>
  <si>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</si>
  <si>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</si>
  <si>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</si>
  <si>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</si>
  <si>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</si>
  <si>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</si>
  <si>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</si>
  <si>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</si>
  <si>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</si>
  <si>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</si>
  <si>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</si>
  <si>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</si>
  <si>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</si>
  <si>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</si>
  <si>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</si>
  <si>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</si>
  <si>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</si>
  <si>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</si>
  <si>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</si>
  <si>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</si>
  <si>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</si>
  <si>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</si>
  <si>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</si>
  <si>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</si>
  <si>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</si>
  <si>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</si>
  <si>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</si>
  <si>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</si>
  <si>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</si>
  <si>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</si>
  <si>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</si>
  <si>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</si>
  <si>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</si>
  <si>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</si>
  <si>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</si>
  <si>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</si>
  <si>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</si>
  <si>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</si>
  <si>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</si>
  <si>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</si>
  <si>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</si>
  <si>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</si>
  <si>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</si>
  <si>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</si>
  <si>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</si>
  <si>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</si>
  <si>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</si>
  <si>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</si>
  <si>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</si>
  <si>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</si>
  <si>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</si>
  <si>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</si>
  <si>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</si>
  <si>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</si>
  <si>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</si>
  <si>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</si>
  <si>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</si>
  <si>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</si>
  <si>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</si>
  <si>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</si>
  <si>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</si>
  <si>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</si>
  <si>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</si>
  <si>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</si>
  <si>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</si>
  <si>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</si>
  <si>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</si>
  <si>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</si>
  <si>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</si>
  <si>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</si>
  <si>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</si>
  <si>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</si>
  <si>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</si>
  <si>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</si>
  <si>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</si>
  <si>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</si>
  <si>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</si>
  <si>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</si>
  <si>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</si>
  <si>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</si>
  <si>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</si>
  <si>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</si>
  <si>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</si>
  <si>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</si>
  <si>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</si>
  <si>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</si>
  <si>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</si>
  <si>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</si>
  <si>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</si>
  <si>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</si>
  <si>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</si>
  <si>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</si>
  <si>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</si>
  <si>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</si>
  <si>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</si>
  <si>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</si>
  <si>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</si>
  <si>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</si>
  <si>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</si>
  <si>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</si>
  <si>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</si>
  <si>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</si>
  <si>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</si>
  <si>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</si>
  <si>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</si>
  <si>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</si>
  <si>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</si>
  <si>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</si>
  <si>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</si>
  <si>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</si>
  <si>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</si>
  <si>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</si>
  <si>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</si>
  <si>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</si>
  <si>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</si>
  <si>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</si>
  <si>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</si>
  <si>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</si>
  <si>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</si>
  <si>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</si>
  <si>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</si>
  <si>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</si>
  <si>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</si>
  <si>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</si>
  <si>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</si>
  <si>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</si>
  <si>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</si>
  <si>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</si>
  <si>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</si>
  <si>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</si>
  <si>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</si>
  <si>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</si>
  <si>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</si>
  <si>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</si>
  <si>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</si>
  <si>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</si>
  <si>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</si>
  <si>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</si>
  <si>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</si>
  <si>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</si>
  <si>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</si>
  <si>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</si>
  <si>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</si>
  <si>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</si>
  <si>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</si>
  <si>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</si>
  <si>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</si>
  <si>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</si>
  <si>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</si>
  <si>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</si>
  <si>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</si>
  <si>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</si>
  <si>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</si>
  <si>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</si>
  <si>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</si>
  <si>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</si>
  <si>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</si>
  <si>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</si>
  <si>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</si>
  <si>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</si>
  <si>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</si>
  <si>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</si>
  <si>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</si>
  <si>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</si>
  <si>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</si>
  <si>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</si>
  <si>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</si>
  <si>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</si>
  <si>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</si>
  <si>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</si>
  <si>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</si>
  <si>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</si>
  <si>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</si>
  <si>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</si>
  <si>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</si>
  <si>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</si>
  <si>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</si>
  <si>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</si>
  <si>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</si>
  <si>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</si>
  <si>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</si>
  <si>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</si>
  <si>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</si>
  <si>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</si>
  <si>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</si>
  <si>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</si>
  <si>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</si>
  <si>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</si>
  <si>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</si>
  <si>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</si>
  <si>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</si>
  <si>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</si>
  <si>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</si>
  <si>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</si>
  <si>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</si>
  <si>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</si>
  <si>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</si>
  <si>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</si>
  <si>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</si>
  <si>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</si>
  <si>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</si>
  <si>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</si>
  <si>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</si>
  <si>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</si>
  <si>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</si>
  <si>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</si>
  <si>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</si>
  <si>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</si>
  <si>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</si>
  <si>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</si>
  <si>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</si>
  <si>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</si>
  <si>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</si>
  <si>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</si>
  <si>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</si>
  <si>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</si>
  <si>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</si>
  <si>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</si>
  <si>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</si>
  <si>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</si>
  <si>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</si>
  <si>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</si>
  <si>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</si>
  <si>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</si>
  <si>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</si>
  <si>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</si>
  <si>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</si>
  <si>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</si>
  <si>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</si>
  <si>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</si>
  <si>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</si>
  <si>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</si>
  <si>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</si>
  <si>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</si>
  <si>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</si>
  <si>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</si>
  <si>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</si>
  <si>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</si>
  <si>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</si>
  <si>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</si>
  <si>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</si>
  <si>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</si>
  <si>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</si>
  <si>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</si>
  <si>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</si>
  <si>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</si>
  <si>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</si>
  <si>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</si>
  <si>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</si>
  <si>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</si>
  <si>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</si>
  <si>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</si>
  <si>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</si>
  <si>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</si>
  <si>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</si>
  <si>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</si>
  <si>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</si>
  <si>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</si>
  <si>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</si>
  <si>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</si>
  <si>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</si>
  <si>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</si>
  <si>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</si>
  <si>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</si>
  <si>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</si>
  <si>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</si>
  <si>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</si>
  <si>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</si>
  <si>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</si>
  <si>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</si>
  <si>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</si>
  <si>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</si>
  <si>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</si>
  <si>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</si>
  <si>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</si>
  <si>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</si>
  <si>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</si>
  <si>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</si>
  <si>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</si>
  <si>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</si>
  <si>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</si>
  <si>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</si>
  <si>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</si>
  <si>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</si>
  <si>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</si>
  <si>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</si>
  <si>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</si>
  <si>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</si>
  <si>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</si>
  <si>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</si>
  <si>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</si>
  <si>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</si>
  <si>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</si>
  <si>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</si>
  <si>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</si>
  <si>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</si>
  <si>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</si>
  <si>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</si>
  <si>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</si>
  <si>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</si>
  <si>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</si>
  <si>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</si>
  <si>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</si>
  <si>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</si>
  <si>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</si>
  <si>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</si>
  <si>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</si>
  <si>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</si>
  <si>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</si>
  <si>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</si>
  <si>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</si>
  <si>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</si>
  <si>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</si>
  <si>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</si>
  <si>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</si>
  <si>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</si>
  <si>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</si>
  <si>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</si>
  <si>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</si>
  <si>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</si>
  <si>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</si>
  <si>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</si>
  <si>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</si>
  <si>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</si>
  <si>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</si>
  <si>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</si>
  <si>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</si>
  <si>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</si>
  <si>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</si>
  <si>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</si>
  <si>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</si>
  <si>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</si>
  <si>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</si>
  <si>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</si>
  <si>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</si>
  <si>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</si>
  <si>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</si>
  <si>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</si>
  <si>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</si>
  <si>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</si>
  <si>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</si>
  <si>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</si>
  <si>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</si>
  <si>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</si>
  <si>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</si>
  <si>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</si>
  <si>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</si>
  <si>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</si>
  <si>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</si>
  <si>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</si>
  <si>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</si>
  <si>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</si>
  <si>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</si>
  <si>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</si>
  <si>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</si>
  <si>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</si>
  <si>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</si>
  <si>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</si>
  <si>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</si>
  <si>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</si>
  <si>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</si>
  <si>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</si>
  <si>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</si>
  <si>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</si>
  <si>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</si>
  <si>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</si>
  <si>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</si>
  <si>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</si>
  <si>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</si>
  <si>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</si>
  <si>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</si>
  <si>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</si>
  <si>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</si>
  <si>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</si>
  <si>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</si>
  <si>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</si>
  <si>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</si>
  <si>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</si>
  <si>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</si>
  <si>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</si>
  <si>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</si>
  <si>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</si>
  <si>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</si>
  <si>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</si>
  <si>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</si>
  <si>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</si>
  <si>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</si>
  <si>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</si>
  <si>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</si>
  <si>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</si>
  <si>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</si>
  <si>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</si>
  <si>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</si>
  <si>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</si>
  <si>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</si>
  <si>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</si>
  <si>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</si>
  <si>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</si>
  <si>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</si>
  <si>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</si>
  <si>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</si>
  <si>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</si>
  <si>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</si>
  <si>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</si>
  <si>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</si>
  <si>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</si>
  <si>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</si>
  <si>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</si>
  <si>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</si>
  <si>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</si>
  <si>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</si>
  <si>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</si>
  <si>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</si>
  <si>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</si>
  <si>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</si>
  <si>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</si>
  <si>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</si>
  <si>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</si>
  <si>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</si>
  <si>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</si>
  <si>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</si>
  <si>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</si>
  <si>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</si>
  <si>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</si>
  <si>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</si>
  <si>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</si>
  <si>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</si>
  <si>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</si>
  <si>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</si>
  <si>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</si>
  <si>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</si>
  <si>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</si>
  <si>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</si>
  <si>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</si>
  <si>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</si>
  <si>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</si>
  <si>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</si>
  <si>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</si>
  <si>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</si>
  <si>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</si>
  <si>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</si>
  <si>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</si>
  <si>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</si>
  <si>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</si>
  <si>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</si>
  <si>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</si>
  <si>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</si>
  <si>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</si>
  <si>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</si>
  <si>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</si>
  <si>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</si>
  <si>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</si>
  <si>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</si>
  <si>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</si>
  <si>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</si>
  <si>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</si>
  <si>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</si>
  <si>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</si>
  <si>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</si>
  <si>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</si>
  <si>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</si>
  <si>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</si>
  <si>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</si>
  <si>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</si>
  <si>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</si>
  <si>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</si>
  <si>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</si>
  <si>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</si>
  <si>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</si>
  <si>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</si>
  <si>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</si>
  <si>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</si>
  <si>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</si>
  <si>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</si>
  <si>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</si>
  <si>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</si>
  <si>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</si>
  <si>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</si>
  <si>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</si>
  <si>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</si>
  <si>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</si>
  <si>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</si>
  <si>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</si>
  <si>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</si>
  <si>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</si>
  <si>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</si>
  <si>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</si>
  <si>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</si>
  <si>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</si>
  <si>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</si>
  <si>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</si>
  <si>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</si>
  <si>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</si>
  <si>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</si>
  <si>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</si>
  <si>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</si>
  <si>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</si>
  <si>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</si>
  <si>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</si>
  <si>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</si>
  <si>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</si>
  <si>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</si>
  <si>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</si>
  <si>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</si>
  <si>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</si>
  <si>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</si>
  <si>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</si>
  <si>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</si>
  <si>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</si>
  <si>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</si>
  <si>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</si>
  <si>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</si>
  <si>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</si>
  <si>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</si>
  <si>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</si>
  <si>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</si>
  <si>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</si>
  <si>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</si>
  <si>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</si>
  <si>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</si>
  <si>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</si>
  <si>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</si>
  <si>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</si>
  <si>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</si>
  <si>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</si>
  <si>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</si>
  <si>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</si>
  <si>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</si>
  <si>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</si>
  <si>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</si>
  <si>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</si>
  <si>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</si>
  <si>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</si>
  <si>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</si>
  <si>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</si>
  <si>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</si>
  <si>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</si>
  <si>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</si>
  <si>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</si>
  <si>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</si>
  <si>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</si>
  <si>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</si>
  <si>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</si>
  <si>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</si>
  <si>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</si>
  <si>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</si>
  <si>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</si>
  <si>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</si>
  <si>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</si>
  <si>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</si>
  <si>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</si>
  <si>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</si>
  <si>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</si>
  <si>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</si>
  <si>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</si>
  <si>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</si>
  <si>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</si>
  <si>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</si>
  <si>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</si>
  <si>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</si>
  <si>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</si>
  <si>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</si>
  <si>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</si>
  <si>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</si>
  <si>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</si>
  <si>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</si>
  <si>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</si>
  <si>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</si>
  <si>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</si>
  <si>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</si>
  <si>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</si>
  <si>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</si>
  <si>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</si>
  <si>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</si>
  <si>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</si>
  <si>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</si>
  <si>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</si>
  <si>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</si>
  <si>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</si>
  <si>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</si>
  <si>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</si>
  <si>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</si>
  <si>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</si>
  <si>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</si>
  <si>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</si>
  <si>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</si>
  <si>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</si>
  <si>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</si>
  <si>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</si>
  <si>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</si>
  <si>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</si>
  <si>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</si>
  <si>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</si>
  <si>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</si>
  <si>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</si>
  <si>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</si>
  <si>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</si>
  <si>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</si>
  <si>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</si>
  <si>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</si>
  <si>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</si>
  <si>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</si>
  <si>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</si>
  <si>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</si>
  <si>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</si>
  <si>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</si>
  <si>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</si>
  <si>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</si>
  <si>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</si>
  <si>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</si>
  <si>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</si>
  <si>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</si>
  <si>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</si>
  <si>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</si>
  <si>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</si>
  <si>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</si>
  <si>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</si>
  <si>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</si>
  <si>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</si>
  <si>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</si>
  <si>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</si>
  <si>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</si>
  <si>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</si>
  <si>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</si>
  <si>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</si>
  <si>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</si>
  <si>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</si>
  <si>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</si>
  <si>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</si>
  <si>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</si>
  <si>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</si>
  <si>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</si>
  <si>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</si>
  <si>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</si>
  <si>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</si>
  <si>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</si>
  <si>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</si>
  <si>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</si>
  <si>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</si>
  <si>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</si>
  <si>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</si>
  <si>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</si>
  <si>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</si>
  <si>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</si>
  <si>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</si>
  <si>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</si>
  <si>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</si>
  <si>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</si>
  <si>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</si>
  <si>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</si>
  <si>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</si>
  <si>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</si>
  <si>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</si>
  <si>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</si>
  <si>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</si>
  <si>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</si>
  <si>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</si>
  <si>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</si>
  <si>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</si>
  <si>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</si>
  <si>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</si>
  <si>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</si>
  <si>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</si>
  <si>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</si>
  <si>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</si>
  <si>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</si>
  <si>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</si>
  <si>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</si>
  <si>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</si>
  <si>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</si>
  <si>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</si>
  <si>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</si>
  <si>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</si>
  <si>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</si>
  <si>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</si>
  <si>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</si>
  <si>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</si>
  <si>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</si>
  <si>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</si>
  <si>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</si>
  <si>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</si>
  <si>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</si>
  <si>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</si>
  <si>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</si>
  <si>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</si>
  <si>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</si>
  <si>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</si>
  <si>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</si>
  <si>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</si>
  <si>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</si>
  <si>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</si>
  <si>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</si>
  <si>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</si>
  <si>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</si>
  <si>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</si>
  <si>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</si>
  <si>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</si>
  <si>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</si>
  <si>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</si>
  <si>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</si>
  <si>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</si>
  <si>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</si>
  <si>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</si>
  <si>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</si>
  <si>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</si>
  <si>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</si>
  <si>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</si>
  <si>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</si>
  <si>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</si>
  <si>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</si>
  <si>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</si>
  <si>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</si>
  <si>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</si>
  <si>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</si>
  <si>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</si>
  <si>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</si>
  <si>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</si>
  <si>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</si>
  <si>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</si>
  <si>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</si>
  <si>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</si>
  <si>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</si>
  <si>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</si>
  <si>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</si>
  <si>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</si>
  <si>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</si>
  <si>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</si>
  <si>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</si>
  <si>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</si>
  <si>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</si>
  <si>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</si>
  <si>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</si>
  <si>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</si>
  <si>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</si>
  <si>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</si>
  <si>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</si>
  <si>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</si>
  <si>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</si>
  <si>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</si>
  <si>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</si>
  <si>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</si>
  <si>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</si>
  <si>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</si>
  <si>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</si>
  <si>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</si>
  <si>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</si>
  <si>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</si>
  <si>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</si>
  <si>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</si>
  <si>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</si>
  <si>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</si>
  <si>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</si>
  <si>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</si>
  <si>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</si>
  <si>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</si>
  <si>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</si>
  <si>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</si>
  <si>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</si>
  <si>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</si>
  <si>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</si>
  <si>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</si>
  <si>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</si>
  <si>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</si>
  <si>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</si>
  <si>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</si>
  <si>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</si>
  <si>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</si>
  <si>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</si>
  <si>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</si>
  <si>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</si>
  <si>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</si>
  <si>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</si>
  <si>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</si>
  <si>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</si>
  <si>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</si>
  <si>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</si>
  <si>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</si>
  <si>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</si>
  <si>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</si>
  <si>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</si>
  <si>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</si>
  <si>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</si>
  <si>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</si>
  <si>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</si>
  <si>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</si>
  <si>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</si>
  <si>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</si>
  <si>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</si>
  <si>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</si>
  <si>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</si>
  <si>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</si>
  <si>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</si>
  <si>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</si>
  <si>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</si>
  <si>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</si>
  <si>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</si>
  <si>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</si>
  <si>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</si>
  <si>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</si>
  <si>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</si>
  <si>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</si>
  <si>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</si>
  <si>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</si>
  <si>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</si>
  <si>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</si>
  <si>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</si>
  <si>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</si>
  <si>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</si>
  <si>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</si>
  <si>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</si>
  <si>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</si>
  <si>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</si>
  <si>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</si>
  <si>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</si>
  <si>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</si>
  <si>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</si>
  <si>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</si>
  <si>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</si>
  <si>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</si>
  <si>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</si>
  <si>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</si>
  <si>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</si>
  <si>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</si>
  <si>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</si>
  <si>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</si>
  <si>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</si>
  <si>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</si>
  <si>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</si>
  <si>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</si>
  <si>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</si>
  <si>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</si>
  <si>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</si>
  <si>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</si>
  <si>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</si>
  <si>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</si>
  <si>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</si>
  <si>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</si>
  <si>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</si>
  <si>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</si>
  <si>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</si>
  <si>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28466681</t>
  </si>
  <si>
    <t>2921126730</t>
  </si>
  <si>
    <t>13-08-2013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</si>
  <si>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</si>
  <si>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</si>
  <si>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</si>
  <si>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</si>
  <si>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</si>
  <si>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</si>
  <si>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</si>
  <si>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</si>
  <si>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</si>
  <si>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</si>
  <si>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</si>
  <si>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</si>
  <si>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</si>
  <si>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</si>
  <si>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</si>
  <si>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</si>
  <si>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</si>
  <si>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</si>
  <si>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</si>
  <si>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</si>
  <si>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</si>
  <si>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</si>
  <si>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</si>
  <si>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</si>
  <si>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</si>
  <si>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</si>
  <si>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</si>
  <si>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</si>
  <si>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</si>
  <si>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</si>
  <si>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</si>
  <si>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</si>
  <si>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</si>
  <si>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</si>
  <si>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</si>
  <si>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</si>
  <si>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</si>
  <si>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</si>
  <si>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</si>
  <si>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</si>
  <si>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</si>
  <si>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</si>
  <si>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</si>
  <si>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</si>
  <si>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</si>
  <si>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</si>
  <si>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</si>
  <si>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</si>
  <si>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</si>
  <si>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</si>
  <si>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</si>
  <si>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</si>
  <si>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</si>
  <si>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</si>
  <si>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</si>
  <si>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</si>
  <si>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</si>
  <si>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</si>
  <si>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</si>
  <si>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</si>
  <si>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</si>
  <si>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</si>
  <si>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</si>
  <si>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</si>
  <si>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</si>
  <si>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</si>
  <si>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</si>
  <si>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</si>
  <si>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</si>
  <si>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</si>
  <si>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</si>
  <si>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</si>
  <si>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</si>
  <si>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</si>
  <si>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</si>
  <si>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</si>
  <si>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</si>
  <si>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</si>
  <si>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</si>
  <si>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</si>
  <si>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</si>
  <si>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</si>
  <si>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</si>
  <si>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</si>
  <si>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</si>
  <si>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</si>
  <si>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</si>
  <si>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</si>
  <si>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</si>
  <si>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</si>
  <si>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</si>
  <si>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</si>
  <si>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</si>
  <si>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</si>
  <si>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</si>
  <si>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</si>
  <si>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</si>
  <si>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</si>
  <si>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</si>
  <si>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</si>
  <si>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</si>
  <si>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</si>
  <si>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</si>
  <si>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</si>
  <si>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</si>
  <si>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</si>
  <si>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</si>
  <si>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</si>
  <si>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</si>
  <si>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</si>
  <si>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</si>
  <si>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</si>
  <si>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</si>
  <si>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</si>
  <si>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</si>
  <si>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</si>
  <si>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</si>
  <si>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</si>
  <si>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</si>
  <si>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</si>
  <si>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</si>
  <si>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</si>
  <si>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</si>
  <si>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</si>
  <si>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</si>
  <si>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</si>
  <si>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</si>
  <si>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</si>
  <si>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</si>
  <si>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</si>
  <si>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</si>
  <si>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</si>
  <si>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</si>
  <si>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</si>
  <si>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</si>
  <si>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</si>
  <si>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</si>
  <si>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</si>
  <si>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</si>
  <si>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</si>
  <si>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</si>
  <si>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</si>
  <si>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</si>
  <si>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</si>
  <si>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</si>
  <si>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</si>
  <si>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</si>
  <si>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</si>
  <si>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</si>
  <si>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</si>
  <si>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</si>
  <si>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</si>
  <si>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</si>
  <si>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</si>
  <si>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</si>
  <si>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</si>
  <si>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</si>
  <si>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</si>
  <si>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</si>
  <si>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</si>
  <si>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</si>
  <si>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</si>
  <si>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</si>
  <si>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</si>
  <si>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</si>
  <si>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</si>
  <si>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</si>
  <si>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</si>
  <si>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</si>
  <si>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</si>
  <si>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</si>
  <si>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</si>
  <si>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</si>
  <si>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</si>
  <si>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</si>
  <si>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</si>
  <si>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</si>
  <si>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</si>
  <si>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</si>
  <si>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</si>
  <si>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</si>
  <si>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</si>
  <si>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</si>
  <si>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</si>
  <si>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</si>
  <si>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</si>
  <si>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</si>
  <si>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</si>
  <si>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</si>
  <si>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</si>
  <si>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</si>
  <si>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</si>
  <si>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</si>
  <si>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</si>
  <si>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</si>
  <si>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</si>
  <si>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</si>
  <si>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</si>
  <si>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</si>
  <si>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</si>
  <si>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</si>
  <si>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</si>
  <si>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</si>
  <si>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</si>
  <si>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</si>
  <si>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</si>
  <si>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</si>
  <si>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</si>
  <si>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</si>
  <si>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</si>
  <si>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</si>
  <si>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</si>
  <si>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</si>
  <si>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</si>
  <si>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</si>
  <si>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</si>
  <si>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</si>
  <si>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</si>
  <si>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</si>
  <si>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</si>
  <si>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</si>
  <si>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</si>
  <si>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</si>
  <si>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</si>
  <si>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</si>
  <si>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</si>
  <si>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</si>
  <si>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</si>
  <si>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</si>
  <si>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</si>
  <si>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</si>
  <si>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</si>
  <si>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</si>
  <si>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</si>
  <si>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</si>
  <si>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</si>
  <si>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</si>
  <si>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</si>
  <si>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</si>
  <si>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</si>
  <si>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</si>
  <si>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</si>
  <si>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</si>
  <si>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</si>
  <si>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</si>
  <si>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</si>
  <si>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</si>
  <si>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</si>
  <si>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</si>
  <si>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</si>
  <si>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</si>
  <si>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</si>
  <si>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</si>
  <si>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</si>
  <si>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</si>
  <si>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</si>
  <si>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</si>
  <si>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</si>
  <si>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</si>
  <si>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</si>
  <si>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</si>
  <si>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</si>
  <si>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</si>
  <si>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</si>
  <si>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</si>
  <si>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</si>
  <si>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</si>
  <si>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</si>
  <si>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</si>
  <si>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</si>
  <si>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</si>
  <si>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</si>
  <si>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</si>
  <si>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</si>
  <si>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</si>
  <si>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</si>
  <si>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</si>
  <si>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</si>
  <si>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</si>
  <si>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</si>
  <si>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</si>
  <si>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</si>
  <si>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</si>
  <si>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</si>
  <si>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</si>
  <si>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</si>
  <si>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</si>
  <si>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</si>
  <si>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</si>
  <si>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</si>
  <si>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</si>
  <si>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</si>
  <si>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</si>
  <si>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</si>
  <si>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</si>
  <si>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</si>
  <si>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</si>
  <si>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</si>
  <si>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</si>
  <si>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</si>
  <si>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</si>
  <si>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</si>
  <si>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</si>
  <si>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</si>
  <si>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</si>
  <si>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</si>
  <si>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</si>
  <si>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</si>
  <si>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</si>
  <si>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</si>
  <si>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</si>
  <si>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</si>
  <si>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</si>
  <si>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</si>
  <si>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</si>
  <si>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</si>
  <si>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</si>
  <si>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</si>
  <si>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</si>
  <si>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</si>
  <si>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</si>
  <si>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</si>
  <si>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</si>
  <si>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</si>
  <si>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</si>
  <si>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</si>
  <si>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</si>
  <si>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</si>
  <si>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</si>
  <si>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</si>
  <si>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</si>
  <si>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</si>
  <si>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</si>
  <si>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</si>
  <si>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</si>
  <si>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</si>
  <si>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</si>
  <si>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</si>
  <si>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</si>
  <si>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</si>
  <si>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</si>
  <si>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</si>
  <si>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</si>
  <si>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</si>
  <si>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</si>
  <si>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</si>
  <si>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</si>
  <si>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</si>
  <si>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</si>
  <si>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</si>
  <si>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</si>
  <si>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</si>
  <si>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</si>
  <si>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</si>
  <si>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</si>
  <si>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</si>
  <si>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</si>
  <si>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</si>
  <si>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</si>
  <si>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</si>
  <si>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</si>
  <si>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</si>
  <si>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</si>
  <si>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</si>
  <si>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</si>
  <si>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</si>
  <si>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</si>
  <si>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</si>
  <si>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</si>
  <si>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</si>
  <si>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</si>
  <si>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</si>
  <si>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</si>
  <si>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</si>
  <si>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</si>
  <si>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</si>
  <si>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</si>
  <si>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</si>
  <si>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</si>
  <si>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</si>
  <si>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</si>
  <si>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</si>
  <si>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</si>
  <si>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</si>
  <si>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</si>
  <si>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</si>
  <si>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</si>
  <si>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</si>
  <si>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</si>
  <si>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</si>
  <si>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</si>
  <si>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</si>
  <si>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</si>
  <si>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</si>
  <si>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</si>
  <si>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</si>
  <si>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</si>
  <si>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</si>
  <si>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</si>
  <si>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</si>
  <si>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</si>
  <si>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</si>
  <si>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</si>
  <si>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</si>
  <si>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</si>
  <si>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</si>
  <si>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</si>
  <si>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</si>
  <si>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</si>
  <si>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</si>
  <si>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</si>
  <si>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</si>
  <si>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</si>
  <si>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</si>
  <si>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</si>
  <si>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</si>
  <si>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</si>
  <si>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</si>
  <si>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</si>
  <si>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</si>
  <si>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</si>
  <si>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</si>
  <si>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</si>
  <si>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</si>
  <si>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</si>
  <si>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</si>
  <si>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</si>
  <si>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</si>
  <si>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</si>
  <si>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</si>
  <si>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</si>
  <si>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</si>
  <si>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</si>
  <si>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</si>
  <si>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</si>
  <si>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</si>
  <si>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</si>
  <si>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</si>
  <si>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</si>
  <si>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</si>
  <si>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</si>
  <si>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</si>
  <si>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</si>
  <si>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</si>
  <si>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</si>
  <si>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</si>
  <si>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</si>
  <si>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</si>
  <si>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</si>
  <si>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</si>
  <si>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</si>
  <si>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</si>
  <si>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28869743</t>
  </si>
  <si>
    <t>МУП "Строитель"</t>
  </si>
  <si>
    <t>2919007479</t>
  </si>
  <si>
    <t>13-11-2013 00:00:00</t>
  </si>
  <si>
    <t>29648937</t>
  </si>
  <si>
    <t>МУП "Холмогорская водоочистка"</t>
  </si>
  <si>
    <t>2923007312</t>
  </si>
  <si>
    <t>31-07-2015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</si>
  <si>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</si>
  <si>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</si>
  <si>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</si>
  <si>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</si>
  <si>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</si>
  <si>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</si>
  <si>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</si>
  <si>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</si>
  <si>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</si>
  <si>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</si>
  <si>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</si>
  <si>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</si>
  <si>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</si>
  <si>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</si>
  <si>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</si>
  <si>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</si>
  <si>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</si>
  <si>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</si>
  <si>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</si>
  <si>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</si>
  <si>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</si>
  <si>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</si>
  <si>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</si>
  <si>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</si>
  <si>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</si>
  <si>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</si>
  <si>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</si>
  <si>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</si>
  <si>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</si>
  <si>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</si>
  <si>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</si>
  <si>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</si>
  <si>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</si>
  <si>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</si>
  <si>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</si>
  <si>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</si>
  <si>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</si>
  <si>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</si>
  <si>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</si>
  <si>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</si>
  <si>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</si>
  <si>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</si>
  <si>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</si>
  <si>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</si>
  <si>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</si>
  <si>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</si>
  <si>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</si>
  <si>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</si>
  <si>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</si>
  <si>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</si>
  <si>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</si>
  <si>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</si>
  <si>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</si>
  <si>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</si>
  <si>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</si>
  <si>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</si>
  <si>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</si>
  <si>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</si>
  <si>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</si>
  <si>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</si>
  <si>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</si>
  <si>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</si>
  <si>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</si>
  <si>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</si>
  <si>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</si>
  <si>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</si>
  <si>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</si>
  <si>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</si>
  <si>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</si>
  <si>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</si>
  <si>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</si>
  <si>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</si>
  <si>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</si>
  <si>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</si>
  <si>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</si>
  <si>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</si>
  <si>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</si>
  <si>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</si>
  <si>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</si>
  <si>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</si>
  <si>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</si>
  <si>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</si>
  <si>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</si>
  <si>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</si>
  <si>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</si>
  <si>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</si>
  <si>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</si>
  <si>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</si>
  <si>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</si>
  <si>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</si>
  <si>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</si>
  <si>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</si>
  <si>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</si>
  <si>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</si>
  <si>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</si>
  <si>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</si>
  <si>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</si>
  <si>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</si>
  <si>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</si>
  <si>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</si>
  <si>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</si>
  <si>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</si>
  <si>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</si>
  <si>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</si>
  <si>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</si>
  <si>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</si>
  <si>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</si>
  <si>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</si>
  <si>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</si>
  <si>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</si>
  <si>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</si>
  <si>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</si>
  <si>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</si>
  <si>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</si>
  <si>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</si>
  <si>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</si>
  <si>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</si>
  <si>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</si>
  <si>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</si>
  <si>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</si>
  <si>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</si>
  <si>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</si>
  <si>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</si>
  <si>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</si>
  <si>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</si>
  <si>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</si>
  <si>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</si>
  <si>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</si>
  <si>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</si>
  <si>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</si>
  <si>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</si>
  <si>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</si>
  <si>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</si>
  <si>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</si>
  <si>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</si>
  <si>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</si>
  <si>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</si>
  <si>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</si>
  <si>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</si>
  <si>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</si>
  <si>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</si>
  <si>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</si>
  <si>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</si>
  <si>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</si>
  <si>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</si>
  <si>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</si>
  <si>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</si>
  <si>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</si>
  <si>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</si>
  <si>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</si>
  <si>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</si>
  <si>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</si>
  <si>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</si>
  <si>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</si>
  <si>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</si>
  <si>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</si>
  <si>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</si>
  <si>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</si>
  <si>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</si>
  <si>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</si>
  <si>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</si>
  <si>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</si>
  <si>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</si>
  <si>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</si>
  <si>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</si>
  <si>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</si>
  <si>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</si>
  <si>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</si>
  <si>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</si>
  <si>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</si>
  <si>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</si>
  <si>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</si>
  <si>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</si>
  <si>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</si>
  <si>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</si>
  <si>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</si>
  <si>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</si>
  <si>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</si>
  <si>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</si>
  <si>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</si>
  <si>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</si>
  <si>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</si>
  <si>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</si>
  <si>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</si>
  <si>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</si>
  <si>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</si>
  <si>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</si>
  <si>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</si>
  <si>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</si>
  <si>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</si>
  <si>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</si>
  <si>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</si>
  <si>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</si>
  <si>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</si>
  <si>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</si>
  <si>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</si>
  <si>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</si>
  <si>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</si>
  <si>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</si>
  <si>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</si>
  <si>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</si>
  <si>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</si>
  <si>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</si>
  <si>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</si>
  <si>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</si>
  <si>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</si>
  <si>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</si>
  <si>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</si>
  <si>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</si>
  <si>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</si>
  <si>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</si>
  <si>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</si>
  <si>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</si>
  <si>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</si>
  <si>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</si>
  <si>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</si>
  <si>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</si>
  <si>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</si>
  <si>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</si>
  <si>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</si>
  <si>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</si>
  <si>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</si>
  <si>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</si>
  <si>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</si>
  <si>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</si>
  <si>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</si>
  <si>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</si>
  <si>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</si>
  <si>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</si>
  <si>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</si>
  <si>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</si>
  <si>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</si>
  <si>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</si>
  <si>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</si>
  <si>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</si>
  <si>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</si>
  <si>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</si>
  <si>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</si>
  <si>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</si>
  <si>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</si>
  <si>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</si>
  <si>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</si>
  <si>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</si>
  <si>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</si>
  <si>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</si>
  <si>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</si>
  <si>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</si>
  <si>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</si>
  <si>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</si>
  <si>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</si>
  <si>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</si>
  <si>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</si>
  <si>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</si>
  <si>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</si>
  <si>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</si>
  <si>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</si>
  <si>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</si>
  <si>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</si>
  <si>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</si>
  <si>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</si>
  <si>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</si>
  <si>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</si>
  <si>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</si>
  <si>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</si>
  <si>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</si>
  <si>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</si>
  <si>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</si>
  <si>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</si>
  <si>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</si>
  <si>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</si>
  <si>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</si>
  <si>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</si>
  <si>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</si>
  <si>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</si>
  <si>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</si>
  <si>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</si>
  <si>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</si>
  <si>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</si>
  <si>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</si>
  <si>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</si>
  <si>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</si>
  <si>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</si>
  <si>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</si>
  <si>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</si>
  <si>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</si>
  <si>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</si>
  <si>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</si>
  <si>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</si>
  <si>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</si>
  <si>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</si>
  <si>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</si>
  <si>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</si>
  <si>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</si>
  <si>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</si>
  <si>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</si>
  <si>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</si>
  <si>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</si>
  <si>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</si>
  <si>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</si>
  <si>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</si>
  <si>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</si>
  <si>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</si>
  <si>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</si>
  <si>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</si>
  <si>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</si>
  <si>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</si>
  <si>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</si>
  <si>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</si>
  <si>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</si>
  <si>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</si>
  <si>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</si>
  <si>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</si>
  <si>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</si>
  <si>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</si>
  <si>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</si>
  <si>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</si>
  <si>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</si>
  <si>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</si>
  <si>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</si>
  <si>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</si>
  <si>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</si>
  <si>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</si>
  <si>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</si>
  <si>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</si>
  <si>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</si>
  <si>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</si>
  <si>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</si>
  <si>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</si>
  <si>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</si>
  <si>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</si>
  <si>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</si>
  <si>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</si>
  <si>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</si>
  <si>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</si>
  <si>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</si>
  <si>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</si>
  <si>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</si>
  <si>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</si>
  <si>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</si>
  <si>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</si>
  <si>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</si>
  <si>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</si>
  <si>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</si>
  <si>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</si>
  <si>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</si>
  <si>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</si>
  <si>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</si>
  <si>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</si>
  <si>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</si>
  <si>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</si>
  <si>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</si>
  <si>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</si>
  <si>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</si>
  <si>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</si>
  <si>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</si>
  <si>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</si>
  <si>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</si>
  <si>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</si>
  <si>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</si>
  <si>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</si>
  <si>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</si>
  <si>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</si>
  <si>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</si>
  <si>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</si>
  <si>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</si>
  <si>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</si>
  <si>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</si>
  <si>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</si>
  <si>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</si>
  <si>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</si>
  <si>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</si>
  <si>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</si>
  <si>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</si>
  <si>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</si>
  <si>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</si>
  <si>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</si>
  <si>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</si>
  <si>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</si>
  <si>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</si>
  <si>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</si>
  <si>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</si>
  <si>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</si>
  <si>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</si>
  <si>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</si>
  <si>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</si>
  <si>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</si>
  <si>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</si>
  <si>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</si>
  <si>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</si>
  <si>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</si>
  <si>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</si>
  <si>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</si>
  <si>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</si>
  <si>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</si>
  <si>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</si>
  <si>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</si>
  <si>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</si>
  <si>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</si>
  <si>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</si>
  <si>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</si>
  <si>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</si>
  <si>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</si>
  <si>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</si>
  <si>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</si>
  <si>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</si>
  <si>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</si>
  <si>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</si>
  <si>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</si>
  <si>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</si>
  <si>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</si>
  <si>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</si>
  <si>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</si>
  <si>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</si>
  <si>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</si>
  <si>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</si>
  <si>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</si>
  <si>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</si>
  <si>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</si>
  <si>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</si>
  <si>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</si>
  <si>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</si>
  <si>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</si>
  <si>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</si>
  <si>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</si>
  <si>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</si>
  <si>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</si>
  <si>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</si>
  <si>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</si>
  <si>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</si>
  <si>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</si>
  <si>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</si>
  <si>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</si>
  <si>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</si>
  <si>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</si>
  <si>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</si>
  <si>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</si>
  <si>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</si>
  <si>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</si>
  <si>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</si>
  <si>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</si>
  <si>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</si>
  <si>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</si>
  <si>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</si>
  <si>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</si>
  <si>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</si>
  <si>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</si>
  <si>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</si>
  <si>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</si>
  <si>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</si>
  <si>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</si>
  <si>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</si>
  <si>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</si>
  <si>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</si>
  <si>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</si>
  <si>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</si>
  <si>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</si>
  <si>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</si>
  <si>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</si>
  <si>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</si>
  <si>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</si>
  <si>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</si>
  <si>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</si>
  <si>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</si>
  <si>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</si>
  <si>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</si>
  <si>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</si>
  <si>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</si>
  <si>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</si>
  <si>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</si>
  <si>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</si>
  <si>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</si>
  <si>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</si>
  <si>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</si>
  <si>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</si>
  <si>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</si>
  <si>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</si>
  <si>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</si>
  <si>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</si>
  <si>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</si>
  <si>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</si>
  <si>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</si>
  <si>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</si>
  <si>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</si>
  <si>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</si>
  <si>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</si>
  <si>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</si>
  <si>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</si>
  <si>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</si>
  <si>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</si>
  <si>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</si>
  <si>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</si>
  <si>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</si>
  <si>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</si>
  <si>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</si>
  <si>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</si>
  <si>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</si>
  <si>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</si>
  <si>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</si>
  <si>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</si>
  <si>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</si>
  <si>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</si>
  <si>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</si>
  <si>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</si>
  <si>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</si>
  <si>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</si>
  <si>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</si>
  <si>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</si>
  <si>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</si>
  <si>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</si>
  <si>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</si>
  <si>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</si>
  <si>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</si>
  <si>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</si>
  <si>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</si>
  <si>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</si>
  <si>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</si>
  <si>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</si>
  <si>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</si>
  <si>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</si>
  <si>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</si>
  <si>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</si>
  <si>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</si>
  <si>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</si>
  <si>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</si>
  <si>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</si>
  <si>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</si>
  <si>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</si>
  <si>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</si>
  <si>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</si>
  <si>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</si>
  <si>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</si>
  <si>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</si>
  <si>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</si>
  <si>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</si>
  <si>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</si>
  <si>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</si>
  <si>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</si>
  <si>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</si>
  <si>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</si>
  <si>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</si>
  <si>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</si>
  <si>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</si>
  <si>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</si>
  <si>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</si>
  <si>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</si>
  <si>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</si>
  <si>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</si>
  <si>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</si>
  <si>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</si>
  <si>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</si>
  <si>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</si>
  <si>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</si>
  <si>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</si>
  <si>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</si>
  <si>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</si>
  <si>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</si>
  <si>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</si>
  <si>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</si>
  <si>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</si>
  <si>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</si>
  <si>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</si>
  <si>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</si>
  <si>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</si>
  <si>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</si>
  <si>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</si>
  <si>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</si>
  <si>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</si>
  <si>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</si>
  <si>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</si>
  <si>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</si>
  <si>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</si>
  <si>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</si>
  <si>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</si>
  <si>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</si>
  <si>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</si>
  <si>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</si>
  <si>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</si>
  <si>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</si>
  <si>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</si>
  <si>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</si>
  <si>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</si>
  <si>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</si>
  <si>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</si>
  <si>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</si>
  <si>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</si>
  <si>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</si>
  <si>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</si>
  <si>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</si>
  <si>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</si>
  <si>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</si>
  <si>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</si>
  <si>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</si>
  <si>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</si>
  <si>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</si>
  <si>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</si>
  <si>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</si>
  <si>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</si>
  <si>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</si>
  <si>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</si>
  <si>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</si>
  <si>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</si>
  <si>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</si>
  <si>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</si>
  <si>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</si>
  <si>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</si>
  <si>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</si>
  <si>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</si>
  <si>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</si>
  <si>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</si>
  <si>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</si>
  <si>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</si>
  <si>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</si>
  <si>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</si>
  <si>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</si>
  <si>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</si>
  <si>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</si>
  <si>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</si>
  <si>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</si>
  <si>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</si>
  <si>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</si>
  <si>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</si>
  <si>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11652000</t>
  </si>
  <si>
    <t>Боброво-Лявленское</t>
  </si>
  <si>
    <t>11652406</t>
  </si>
  <si>
    <t>88</t>
  </si>
  <si>
    <t>Заостровское</t>
  </si>
  <si>
    <t>11652408</t>
  </si>
  <si>
    <t>89</t>
  </si>
  <si>
    <t>Катунинское</t>
  </si>
  <si>
    <t>11652420</t>
  </si>
  <si>
    <t>90</t>
  </si>
  <si>
    <t>Островное</t>
  </si>
  <si>
    <t>11652446</t>
  </si>
  <si>
    <t>92</t>
  </si>
  <si>
    <t>Пертоминское</t>
  </si>
  <si>
    <t>11652448</t>
  </si>
  <si>
    <t>93</t>
  </si>
  <si>
    <t>94</t>
  </si>
  <si>
    <t>Приморское</t>
  </si>
  <si>
    <t>11652452</t>
  </si>
  <si>
    <t>95</t>
  </si>
  <si>
    <t>Соловецкое</t>
  </si>
  <si>
    <t>11652458</t>
  </si>
  <si>
    <t>96</t>
  </si>
  <si>
    <t>Уемское</t>
  </si>
  <si>
    <t>11652466</t>
  </si>
  <si>
    <t>98</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</si>
  <si>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</si>
  <si>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</si>
  <si>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</si>
  <si>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</si>
  <si>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</si>
  <si>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</si>
  <si>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</si>
  <si>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</si>
  <si>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</si>
  <si>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</si>
  <si>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</si>
  <si>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</si>
  <si>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</si>
  <si>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</si>
  <si>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</si>
  <si>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</si>
  <si>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</si>
  <si>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</si>
  <si>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6904934723</t>
  </si>
  <si>
    <t>Инвестиционная программа Главного управления ОАО "ТГК-2" по Архангельской области в сфере теплоснабжения на 2014-2021 годы</t>
  </si>
  <si>
    <t>б/н</t>
  </si>
  <si>
    <t>TER_NAME</t>
  </si>
  <si>
    <t>Территория 1</t>
  </si>
  <si>
    <t>Территория 2</t>
  </si>
  <si>
    <t>ID_TARIFF_NAME</t>
  </si>
  <si>
    <t>TARIFF_NAME</t>
  </si>
  <si>
    <t>VED_NAME</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</si>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</sst>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6752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0" applyFont="1" applyNumberFormat="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02"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8" fillId="0" borderId="0" xfId="0" applyFont="1" applyNumberFormat="1">
      <alignment horizontal="center" vertical="center" wrapText="1"/>
    </xf>
    <xf numFmtId="201" fontId="48"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49" fontId="22" fillId="35" borderId="12" xfId="0" applyFont="1" applyFill="1" applyBorder="1" applyNumberFormat="1">
      <alignment horizontal="left"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53" fillId="36"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0" xfId="0" applyFont="1">
      <alignmen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53" fillId="36"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0" xfId="0" applyFont="1">
      <alignmen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0" xfId="0" applyFont="1">
      <alignmen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32" fillId="0" borderId="0" xfId="0" applyFont="1">
      <alignment vertical="center"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0" fillId="0" borderId="36" xfId="0" applyFont="1" applyBorder="1" applyNumberFormat="1">
      <alignment vertical="top"/>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0" xfId="0" applyFont="1">
      <alignmen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32" fillId="0" borderId="0" xfId="0" applyFont="1">
      <alignment vertical="center"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0" xfId="0" applyFont="1">
      <alignmen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0" fillId="0" borderId="0" xfId="0" applyFont="1" applyNumberFormat="1">
      <alignment vertical="top"/>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63"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0" fillId="0" borderId="0" xfId="0" applyFont="1" applyNumberFormat="1">
      <alignment vertical="top"/>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63"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0" fontId="32" fillId="0" borderId="0" xfId="0" applyFont="1">
      <alignment vertical="center"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0" fillId="0" borderId="0" xfId="0" applyFont="1" applyNumberFormat="1">
      <alignment vertical="top"/>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22" fillId="0" borderId="0" xfId="0" applyFont="1">
      <alignment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0" xfId="0" applyFont="1">
      <alignmen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0" fontId="22" fillId="0" borderId="0" xfId="0" applyFont="1"/>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0" fillId="39" borderId="12" xfId="0" applyFont="1" applyFill="1" applyBorder="1">
      <alignment horizontal="left" vertical="center" wrapText="1"/>
      <protection locked="0"/>
    </xf>
    <xf numFmtId="49" fontId="0" fillId="0" borderId="0" xfId="0" applyFont="1" applyNumberFormat="1">
      <alignment vertical="top"/>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0" fontId="22" fillId="0" borderId="0" xfId="0" applyFont="1"/>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0" fillId="39" borderId="12" xfId="0" applyFont="1" applyFill="1" applyBorder="1">
      <alignment horizontal="left" vertical="center" wrapText="1"/>
      <protection locked="0"/>
    </xf>
    <xf numFmtId="49" fontId="0" fillId="0" borderId="0" xfId="0" applyFont="1" applyNumberFormat="1">
      <alignment vertical="top"/>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0" xfId="0" applyFont="1" applyNumberFormat="1">
      <alignment vertical="top"/>
    </xf>
    <xf numFmtId="0" fontId="0" fillId="39" borderId="12" xfId="0" applyFont="1" applyFill="1" applyBorder="1">
      <alignment horizontal="left" vertical="center" wrapText="1"/>
      <protection locked="0"/>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0" fontId="22" fillId="0" borderId="0" xfId="0" applyFont="1"/>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47" fillId="0" borderId="0" xfId="0" applyFont="1">
      <alignment horizontal="center" vertical="center" wrapText="1"/>
    </xf>
    <xf numFmtId="0" fontId="47" fillId="0" borderId="0" xfId="0" applyFont="1">
      <alignment vertical="center" wrapText="1"/>
    </xf>
    <xf numFmtId="0" fontId="22" fillId="0" borderId="12" xfId="0" applyFont="1" applyBorder="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0" fontId="48" fillId="0" borderId="0" xfId="0" applyFont="1">
      <alignment vertical="center"/>
    </xf>
    <xf numFmtId="0" fontId="48" fillId="0" borderId="0" xfId="0" applyFont="1">
      <alignment vertical="center" wrapText="1"/>
    </xf>
    <xf numFmtId="49" fontId="48"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0" fontId="47" fillId="0" borderId="0" xfId="0" applyFont="1">
      <alignment horizontal="center" vertical="center" wrapText="1"/>
    </xf>
    <xf numFmtId="0" fontId="47"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42" fillId="0" borderId="0" xfId="0" applyFont="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0" fontId="0" fillId="0" borderId="0" xfId="0" applyFont="1">
      <alignment vertical="center"/>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40" borderId="12" xfId="0" applyFont="1" applyFill="1" applyBorder="1">
      <alignment horizontal="left" vertical="center" wrapText="1" indent="1"/>
      <protection locked="0"/>
    </xf>
    <xf numFmtId="14" fontId="81" fillId="0" borderId="36" xfId="0" applyFont="1" applyBorder="1" applyNumberFormat="1">
      <alignment horizontal="center" vertical="center" wrapText="1"/>
    </xf>
    <xf numFmtId="0" fontId="75" fillId="40" borderId="12" xfId="0" applyFont="1" applyFill="1" applyBorder="1">
      <alignment horizontal="left" vertical="top" indent="1"/>
      <protection locked="0"/>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0" fontId="22" fillId="0" borderId="0" xfId="0" applyFont="1">
      <alignment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22" fillId="0" borderId="0" xfId="0" applyFont="1">
      <alignment horizontal="left" vertical="center" wrapText="1" indent="3"/>
    </xf>
    <xf numFmtId="0" fontId="22" fillId="0" borderId="0" xfId="0" applyFont="1">
      <alignment horizontal="left" vertical="center" wrapText="1" indent="3"/>
    </xf>
    <xf numFmtId="0" fontId="97" fillId="35" borderId="0" xfId="0" applyFont="1" applyFill="1">
      <alignment horizontal="right" vertical="center"/>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4" fontId="22" fillId="39" borderId="12" xfId="0" applyFont="1" applyFill="1" applyBorder="1" applyNumberFormat="1">
      <alignment horizontal="right" vertical="center" wrapText="1"/>
      <protection locked="0"/>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49" fontId="72" fillId="0" borderId="12" xfId="0" applyFont="1" applyBorder="1" applyNumberFormat="1">
      <alignment horizontal="left"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 fontId="72" fillId="0" borderId="12" xfId="0" applyFont="1" applyBorder="1" applyNumberFormat="1">
      <alignment horizontal="right" vertical="center" wrapText="1"/>
    </xf>
    <xf numFmtId="49" fontId="91" fillId="0" borderId="0" xfId="0" applyFont="1" applyNumberFormat="1">
      <alignment horizontal="center" vertical="center" wrapText="1"/>
    </xf>
    <xf numFmtId="0" fontId="22" fillId="0" borderId="0" xfId="0" applyFont="1">
      <alignment horizontal="center" vertical="center" wrapText="1"/>
    </xf>
    <xf numFmtId="49" fontId="48" fillId="0" borderId="0" xfId="0" applyFont="1" applyNumberFormat="1">
      <alignment horizontal="center" vertical="center" wrapText="1"/>
    </xf>
    <xf numFmtId="0" fontId="36" fillId="0" borderId="0" xfId="0" applyFon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0" fontId="22" fillId="36" borderId="12" xfId="0" applyFont="1" applyFill="1" applyBorder="1">
      <alignment horizontal="left" vertical="center" wrapText="1"/>
      <protection locked="0"/>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49" fontId="48" fillId="0" borderId="12" xfId="0" applyFont="1" applyBorder="1" applyNumberFormat="1">
      <alignment vertical="center" wrapText="1"/>
    </xf>
    <xf numFmtId="0" fontId="48" fillId="0" borderId="17"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3"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200" fontId="22" fillId="34" borderId="13"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 fontId="22" fillId="39" borderId="29"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49" fontId="91" fillId="0" borderId="0" xfId="0" applyFont="1" applyNumberFormat="1">
      <alignment horizontal="center" vertical="center" wrapText="1"/>
    </xf>
    <xf numFmtId="0" fontId="47" fillId="0" borderId="0" xfId="0" applyFont="1">
      <alignment vertical="center" wrapText="1"/>
    </xf>
    <xf numFmtId="0" fontId="48" fillId="0" borderId="0" xfId="0" applyFont="1">
      <alignment vertical="center" wrapText="1"/>
    </xf>
    <xf numFmtId="0" fontId="36" fillId="0" borderId="0" xfId="0" applyFont="1">
      <alignment horizontal="center" vertical="center" wrapText="1"/>
    </xf>
    <xf numFmtId="0" fontId="22" fillId="0" borderId="28" xfId="0" applyFont="1" applyBorder="1">
      <alignment horizontal="center" vertical="center" wrapText="1"/>
    </xf>
    <xf numFmtId="49" fontId="22" fillId="39" borderId="12" xfId="0" applyFont="1" applyFill="1" applyBorder="1" applyNumberFormat="1">
      <alignment vertical="center" wrapText="1"/>
      <protection locked="0"/>
    </xf>
    <xf numFmtId="0" fontId="22" fillId="0" borderId="12"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12" xfId="0" applyFont="1" applyBorder="1">
      <alignment vertical="center" wrapText="1"/>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8" fillId="0" borderId="17" xfId="0" applyFont="1" applyBorder="1">
      <alignment horizontal="left" vertical="center" wrapText="1" inden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6" borderId="12"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22" fillId="0" borderId="0" xfId="0" applyFont="1">
      <alignment vertical="top" wrapText="1"/>
    </xf>
    <xf numFmtId="0" fontId="54" fillId="0" borderId="0" xfId="0" applyFont="1">
      <alignment vertical="center"/>
    </xf>
    <xf numFmtId="0" fontId="72" fillId="0" borderId="0" xfId="0" applyFont="1">
      <alignment vertical="center" wrapText="1"/>
    </xf>
    <xf numFmtId="0" fontId="63" fillId="0" borderId="0" xfId="0" applyFont="1">
      <alignment vertical="center" wrapText="1"/>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0" fontId="47" fillId="0" borderId="0" xfId="0" applyFont="1">
      <alignment horizontal="center" vertical="center" wrapText="1"/>
    </xf>
    <xf numFmtId="49" fontId="0" fillId="0" borderId="0" xfId="0" applyFont="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0" fillId="0" borderId="0" xfId="0" applyFont="1" applyNumberFormat="1">
      <alignment vertical="top"/>
    </xf>
    <xf numFmtId="49" fontId="22" fillId="0" borderId="36" xfId="0" applyFont="1" applyBorder="1" applyNumberFormat="1">
      <alignment horizontal="center" vertical="top" wrapText="1"/>
    </xf>
    <xf numFmtId="49" fontId="22" fillId="0" borderId="13" xfId="0" applyFont="1" applyBorder="1" applyNumberFormat="1">
      <alignment horizontal="center" vertical="center"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0" fillId="0" borderId="36" xfId="0" applyFont="1" applyBorder="1" applyNumberFormat="1">
      <alignment vertical="top"/>
    </xf>
    <xf numFmtId="0" fontId="0" fillId="39" borderId="12" xfId="0" applyFont="1" applyFill="1" applyBorder="1">
      <alignment horizontal="left" vertical="center" wrapText="1"/>
      <protection locked="0"/>
    </xf>
    <xf numFmtId="0" fontId="0" fillId="39" borderId="12" xfId="0" applyFont="1" applyFill="1" applyBorder="1">
      <alignment horizontal="left" vertical="center" wrapText="1"/>
      <protection locked="0"/>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0" xfId="0" applyFont="1" applyNumberFormat="1">
      <alignment vertical="top"/>
    </xf>
    <xf numFmtId="0" fontId="0" fillId="39" borderId="12" xfId="0" applyFont="1" applyFill="1" applyBorder="1">
      <alignment horizontal="left" vertical="center" wrapText="1"/>
      <protection locked="0"/>
    </xf>
    <xf numFmtId="49" fontId="0" fillId="0" borderId="0" xfId="0" applyFont="1" applyNumberFormat="1">
      <alignment vertical="top"/>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22" fillId="0" borderId="17" xfId="0" applyFont="1" applyBorder="1" applyNumberFormat="1">
      <alignment horizontal="center" vertical="center" wrapText="1"/>
    </xf>
    <xf numFmtId="49" fontId="0" fillId="0" borderId="0" xfId="0" applyFont="1" applyNumberFormat="1">
      <alignment vertical="top"/>
    </xf>
    <xf numFmtId="49" fontId="22" fillId="0" borderId="36" xfId="0" applyFont="1" applyBorder="1" applyNumberForma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0" fillId="39" borderId="12" xfId="0" applyFont="1" applyFill="1" applyBorder="1">
      <alignment horizontal="left" vertical="center" wrapText="1"/>
      <protection locked="0"/>
    </xf>
    <xf numFmtId="49" fontId="0" fillId="0" borderId="0" xfId="0" applyFont="1" applyNumberFormat="1">
      <alignment vertical="top"/>
    </xf>
    <xf numFmtId="0" fontId="40" fillId="0" borderId="12" xfId="0" applyFont="1" applyBorder="1">
      <alignment horizontal="left" vertical="center" inden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0" xfId="0" applyFont="1" applyNumberFormat="1">
      <alignment vertical="top"/>
    </xf>
    <xf numFmtId="49" fontId="22" fillId="0" borderId="23" xfId="0" applyFont="1" applyBorder="1" applyNumberFormat="1">
      <alignment horizontal="center"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0" xfId="0" applyFont="1" applyNumberFormat="1">
      <alignment vertical="top"/>
    </xf>
    <xf numFmtId="0" fontId="0" fillId="39" borderId="12" xfId="0" applyFont="1" applyFill="1" applyBorder="1">
      <alignment horizontal="left" vertical="center" wrapText="1"/>
      <protection locked="0"/>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0" fontId="22" fillId="0" borderId="19" xfId="0" applyFont="1" applyBorder="1">
      <alignment horizontal="left" vertical="center" wrapText="1" inden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4" fontId="22" fillId="39" borderId="37" xfId="0" applyFont="1" applyFill="1" applyBorder="1" applyNumberFormat="1">
      <alignment horizontal="right" vertical="center" wrapText="1"/>
      <protection locked="0"/>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49" fontId="53" fillId="36" borderId="12" xfId="0" applyFont="1" applyFill="1" applyBorder="1" applyNumberFormat="1">
      <alignment horizontal="left" vertical="center" wrapText="1"/>
      <protection locked="0"/>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4" fontId="22" fillId="39" borderId="17" xfId="0" applyFont="1" applyFill="1" applyBorder="1" applyNumberFormat="1">
      <alignment horizontal="right" vertical="center" wrapText="1"/>
      <protection locked="0"/>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0" fontId="47" fillId="37" borderId="13" xfId="0" applyFont="1" applyFill="1" applyBorder="1">
      <alignment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73" fillId="35" borderId="0" xfId="0" applyFont="1" applyFill="1">
      <alignment horizontal="right" vertical="center"/>
    </xf>
    <xf numFmtId="0" fontId="48" fillId="0" borderId="27" xfId="0" applyFont="1" applyBorder="1">
      <alignment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5" xfId="0" applyFont="1" applyBorder="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7"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45" fillId="0" borderId="0" xfId="0" applyFont="1">
      <alignment vertical="center" wrapText="1"/>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4" fontId="22" fillId="0" borderId="12" xfId="0" applyFont="1" applyBorder="1" applyNumberFormat="1">
      <alignment horizontal="center"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4" fontId="22" fillId="39" borderId="23" xfId="0" applyFont="1" applyFill="1" applyBorder="1" applyNumberFormat="1">
      <alignment horizontal="right" vertical="center" wrapText="1"/>
      <protection locked="0"/>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5" borderId="17" xfId="0" applyFont="1" applyFill="1" applyBorder="1" applyNumberFormat="1">
      <alignment horizontal="left" vertical="center" wrapText="1" indent="1"/>
    </xf>
    <xf numFmtId="0" fontId="22" fillId="0" borderId="0" xfId="0" applyFont="1">
      <alignment vertical="center" wrapText="1"/>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0" borderId="0" xfId="0" applyFont="1" applyNumberFormat="1">
      <alignment vertical="top"/>
    </xf>
    <xf numFmtId="49" fontId="22" fillId="34" borderId="12" xfId="0" applyFont="1" applyFill="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22" fillId="40" borderId="13"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36" fillId="0" borderId="0" xfId="0" applyFont="1">
      <alignment horizontal="center" vertical="center" wrapText="1"/>
    </xf>
    <xf numFmtId="0" fontId="45" fillId="0" borderId="13" xfId="0" applyFont="1" applyBorder="1">
      <alignment horizontal="center" vertical="center"/>
    </xf>
    <xf numFmtId="49" fontId="0" fillId="39" borderId="36"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0" fontId="22" fillId="0" borderId="0" xfId="0" applyFont="1">
      <alignment vertical="center" wrapText="1"/>
    </xf>
    <xf numFmtId="49" fontId="22" fillId="35" borderId="12" xfId="0" applyFont="1" applyFill="1" applyBorder="1" applyNumberFormat="1">
      <alignment horizontal="left" vertical="center" wrapText="1"/>
    </xf>
    <xf numFmtId="49" fontId="22" fillId="35" borderId="12" xfId="0" applyFont="1" applyFill="1" applyBorder="1" applyNumberFormat="1">
      <alignment horizontal="lef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35" borderId="19" xfId="0" applyFont="1" applyFill="1" applyBorder="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8" fillId="0" borderId="0" xfId="0" applyFont="1" applyNumberFormat="1">
      <alignment horizontal="center" vertical="center" wrapText="1"/>
    </xf>
    <xf numFmtId="49" fontId="99" fillId="0" borderId="0" xfId="0" applyFont="1" applyNumberFormat="1">
      <alignment vertical="center"/>
    </xf>
    <xf numFmtId="49" fontId="45" fillId="0" borderId="0" xfId="0" applyFont="1" applyNumberFormat="1">
      <alignment vertical="center"/>
    </xf>
    <xf numFmtId="49" fontId="45" fillId="35" borderId="0" xfId="0" applyFont="1" applyFill="1" applyNumberFormat="1">
      <alignment vertical="center"/>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0" borderId="12" xfId="0" applyFont="1" applyBorder="1">
      <alignment horizontal="right" vertical="center"/>
    </xf>
    <xf numFmtId="49" fontId="22" fillId="0" borderId="0" xfId="0" applyFont="1" applyNumberFormat="1">
      <alignmen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45" fillId="0" borderId="0" xfId="0" applyFont="1" applyNumberFormat="1">
      <alignment vertical="top"/>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4" fontId="22" fillId="0" borderId="0" xfId="0" applyFont="1" applyNumberFormat="1">
      <alignment horizontal="righ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0" fontId="22" fillId="0" borderId="0" xfId="0" applyFont="1"/>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39" borderId="17" xfId="0" applyFont="1" applyFill="1" applyBorder="1" applyNumberFormat="1">
      <alignment horizontal="left" vertical="center" wrapText="1" indent="1"/>
      <protection locked="0"/>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49" fontId="22" fillId="40" borderId="17" xfId="0" applyFont="1" applyFill="1" applyBorder="1" applyNumberFormat="1">
      <alignment vertical="center" wrapText="1"/>
    </xf>
    <xf numFmtId="0" fontId="45" fillId="0" borderId="12" xfId="0" applyFont="1" applyBorder="1">
      <alignment horizontal="center" vertical="center"/>
    </xf>
    <xf numFmtId="49" fontId="0" fillId="39" borderId="17" xfId="0" applyFont="1" applyFill="1" applyBorder="1" applyNumberFormat="1">
      <alignment vertical="top"/>
      <protection locked="0"/>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47" fillId="0" borderId="0" xfId="0" applyFont="1">
      <alignment horizontal="center"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 fontId="22" fillId="35" borderId="17" xfId="0" applyFont="1" applyFill="1" applyBorder="1" applyNumberFormat="1">
      <alignment horizontal="right" vertical="center" wrapText="1"/>
      <protection locked="0"/>
    </xf>
    <xf numFmtId="4" fontId="22" fillId="35" borderId="17" xfId="0" applyFont="1" applyFill="1" applyBorder="1" applyNumberFormat="1">
      <alignment horizontal="right" vertical="center" wrapText="1"/>
      <protection locked="0"/>
    </xf>
    <xf numFmtId="4" fontId="22" fillId="36" borderId="17" xfId="0" applyFont="1" applyFill="1" applyBorder="1" applyNumberFormat="1">
      <alignment horizontal="right" vertical="center" wrapText="1"/>
      <protection locked="0"/>
    </xf>
    <xf numFmtId="200" fontId="22" fillId="35" borderId="12" xfId="0" applyFont="1" applyFill="1" applyBorder="1" applyNumberFormat="1">
      <alignment horizontal="right" vertical="center" wrapText="1"/>
      <protection locked="0"/>
    </xf>
    <xf numFmtId="200" fontId="22" fillId="35" borderId="12" xfId="0" applyFont="1" applyFill="1" applyBorder="1" applyNumberFormat="1">
      <alignment horizontal="right" vertical="center" wrapText="1"/>
      <protection locked="0"/>
    </xf>
    <xf numFmtId="49" fontId="22" fillId="36"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49" fontId="27"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0" fillId="36" borderId="12" xfId="0" applyFont="1" applyFill="1" applyBorder="1">
      <alignment horizontal="left" vertical="center" wrapText="1" indent="2"/>
      <protection locked="0"/>
    </xf>
    <xf numFmtId="49" fontId="53" fillId="36" borderId="14"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5" xfId="0" applyFont="1" applyFill="1" applyBorder="1" applyNumberFormat="1">
      <alignment horizontal="center" vertical="top"/>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83e5f5aa-d1d8-4cb1-ba37-d3be34c0e834" TargetMode="External"/><Relationship Id="rId2" Type="http://schemas.openxmlformats.org/officeDocument/2006/relationships/hyperlink" Target="https://portal.eias.ru/Portal/DownloadPage.aspx?type=12&amp;guid=83e5f5aa-d1d8-4cb1-ba37-d3be34c0e834" TargetMode="External"/><Relationship Id="rId3" Type="http://schemas.openxmlformats.org/officeDocument/2006/relationships/hyperlink" Target="https://portal.eias.ru/Portal/DownloadPage.aspx?type=12&amp;guid=83e5f5aa-d1d8-4cb1-ba37-d3be34c0e834" TargetMode="External"/><Relationship Id="rId4" Type="http://schemas.openxmlformats.org/officeDocument/2006/relationships/hyperlink" Target="https://portal.eias.ru/Portal/DownloadPage.aspx?type=12&amp;guid=83e5f5aa-d1d8-4cb1-ba37-d3be34c0e834" TargetMode="External"/><Relationship Id="rId5" Type="http://schemas.openxmlformats.org/officeDocument/2006/relationships/hyperlink" Target="https://portal.eias.ru/Portal/DownloadPage.aspx?type=12&amp;guid=83e5f5aa-d1d8-4cb1-ba37-d3be34c0e834" TargetMode="External"/><Relationship Id="rId6" Type="http://schemas.openxmlformats.org/officeDocument/2006/relationships/hyperlink" Target="https://portal.eias.ru/Portal/DownloadPage.aspx?type=12&amp;guid=83e5f5aa-d1d8-4cb1-ba37-d3be34c0e834"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J$19" TargetMode="External"/><Relationship Id="rId2" Type="http://schemas.openxmlformats.org/officeDocument/2006/relationships/hyperlink" Target="&apos;&#1055;&#1086;&#1082;&#1072;&#1079;&#1072;&#1090;&#1077;&#1083;&#1080; &#1050;&#1053;&#1069;&apos;!$L$19" TargetMode="External"/><Relationship Id="rId3" Type="http://schemas.openxmlformats.org/officeDocument/2006/relationships/hyperlink" Target="&apos;&#1055;&#1086;&#1082;&#1072;&#1079;&#1072;&#1090;&#1077;&#1083;&#1080; &#1050;&#1053;&#1069;&apos;!$J$24" TargetMode="External"/><Relationship Id="rId4" Type="http://schemas.openxmlformats.org/officeDocument/2006/relationships/hyperlink" Target="&apos;&#1055;&#1086;&#1082;&#1072;&#1079;&#1072;&#1090;&#1077;&#1083;&#1080; &#1050;&#1053;&#1069;&apos;!$L$24"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7BA9F-2B7A-BECD-77DB-5B7F7D81797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67493" width="5.421875" customWidth="1"/>
    <col min="2" max="2" style="67493" width="9.140625" customWidth="1"/>
    <col min="3" max="3" style="67493" width="16.421875" customWidth="1"/>
    <col min="4" max="25" style="67493" width="6.28125" customWidth="1"/>
    <col min="26" max="28" style="67493" width="11.00390625"/>
  </cols>
  <sheetData>
    <row customHeight="1" ht="15.75">
      <c r="A1" s="2911"/>
      <c r="B1" s="2912"/>
      <c r="C1" s="2912"/>
      <c r="D1" s="2912"/>
      <c r="E1" s="2912"/>
      <c r="F1" s="2912"/>
      <c r="G1" s="2912"/>
      <c r="H1" s="2912"/>
      <c r="I1" s="2912"/>
      <c r="J1" s="2912"/>
      <c r="K1" s="2912"/>
      <c r="L1" s="2912"/>
      <c r="M1" s="2912"/>
      <c r="N1" s="2912"/>
      <c r="O1" s="2912"/>
      <c r="P1" s="2912"/>
      <c r="Q1" s="2912"/>
      <c r="R1" s="2912"/>
      <c r="S1" s="2912"/>
      <c r="T1" s="2912"/>
      <c r="U1" s="2912"/>
      <c r="V1" s="2912"/>
      <c r="W1" s="2912"/>
      <c r="X1" s="2912"/>
      <c r="Y1" s="2913"/>
      <c r="Z1" s="2912"/>
      <c r="AA1" s="2914" t="s">
        <v>0</v>
      </c>
      <c r="AB1" s="2912"/>
    </row>
    <row customHeight="1" ht="17.25">
      <c r="A2" s="2912"/>
      <c r="B2" s="3288" t="s">
        <v>1</v>
      </c>
      <c r="C2" s="3288"/>
      <c r="D2" s="3288"/>
      <c r="E2" s="3288"/>
      <c r="F2" s="3288"/>
      <c r="G2" s="3288"/>
      <c r="H2" s="3288"/>
      <c r="I2" s="3288"/>
      <c r="J2" s="3288"/>
      <c r="K2" s="3288"/>
      <c r="L2" s="3288"/>
      <c r="M2" s="3288"/>
      <c r="N2" s="3288"/>
      <c r="O2" s="3288"/>
      <c r="P2" s="3288"/>
      <c r="Q2" s="2916"/>
      <c r="R2" s="2916"/>
      <c r="S2" s="2916"/>
      <c r="T2" s="2916"/>
      <c r="U2" s="2916"/>
      <c r="V2" s="2917"/>
      <c r="W2" s="2916"/>
      <c r="X2" s="2916"/>
      <c r="Y2" s="2913"/>
      <c r="Z2" s="2912"/>
      <c r="AA2" s="2914"/>
      <c r="AB2" s="2912"/>
    </row>
    <row customHeight="1" ht="15.75">
      <c r="A3" s="2912"/>
      <c r="B3" s="3289" t="s">
        <v>2</v>
      </c>
      <c r="C3" s="3289"/>
      <c r="D3" s="3289"/>
      <c r="E3" s="3289"/>
      <c r="F3" s="3289"/>
      <c r="G3" s="3289"/>
      <c r="H3" s="3289"/>
      <c r="I3" s="3289"/>
      <c r="J3" s="3289"/>
      <c r="K3" s="3289"/>
      <c r="L3" s="3289"/>
      <c r="M3" s="3289"/>
      <c r="N3" s="3289"/>
      <c r="O3" s="3289"/>
      <c r="P3" s="3289"/>
      <c r="Q3" s="2917"/>
      <c r="R3" s="2917"/>
      <c r="S3" s="2916"/>
      <c r="T3" s="2916"/>
      <c r="U3" s="2916"/>
      <c r="V3" s="2917"/>
      <c r="W3" s="2917"/>
      <c r="X3" s="2917"/>
      <c r="Y3" s="2917"/>
      <c r="Z3" s="2912"/>
      <c r="AA3" s="2914"/>
      <c r="AB3" s="2912"/>
    </row>
    <row customHeight="1" ht="17.25">
      <c r="A4" s="2912"/>
      <c r="B4" s="2918"/>
      <c r="C4" s="2912"/>
      <c r="D4" s="2917"/>
      <c r="E4" s="2917"/>
      <c r="F4" s="2917"/>
      <c r="G4" s="2917"/>
      <c r="H4" s="2917"/>
      <c r="I4" s="2917"/>
      <c r="J4" s="2917"/>
      <c r="K4" s="2917"/>
      <c r="L4" s="2917"/>
      <c r="M4" s="2917"/>
      <c r="N4" s="2917"/>
      <c r="O4" s="2917"/>
      <c r="P4" s="2917"/>
      <c r="Q4" s="2917"/>
      <c r="R4" s="2917"/>
      <c r="S4" s="2917"/>
      <c r="T4" s="2917"/>
      <c r="U4" s="2917"/>
      <c r="V4" s="2917"/>
      <c r="W4" s="2917"/>
      <c r="X4" s="2917"/>
      <c r="Y4" s="2917"/>
      <c r="Z4" s="2912"/>
      <c r="AA4" s="2914"/>
      <c r="AB4" s="2912"/>
    </row>
    <row customHeight="1" ht="22.5">
      <c r="A5" s="2919"/>
      <c r="B5" s="3290"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3291"/>
      <c r="D5" s="3291"/>
      <c r="E5" s="3291"/>
      <c r="F5" s="3291"/>
      <c r="G5" s="3291"/>
      <c r="H5" s="3291"/>
      <c r="I5" s="3291"/>
      <c r="J5" s="3291"/>
      <c r="K5" s="3291"/>
      <c r="L5" s="3291"/>
      <c r="M5" s="3291"/>
      <c r="N5" s="3291"/>
      <c r="O5" s="3291"/>
      <c r="P5" s="3291"/>
      <c r="Q5" s="3291"/>
      <c r="R5" s="3291"/>
      <c r="S5" s="3291"/>
      <c r="T5" s="3291"/>
      <c r="U5" s="3291"/>
      <c r="V5" s="3291"/>
      <c r="W5" s="3291"/>
      <c r="X5" s="3291"/>
      <c r="Y5" s="3292"/>
      <c r="Z5" s="2919"/>
      <c r="AA5" s="2914"/>
      <c r="AB5" s="2919"/>
    </row>
    <row customHeight="1" ht="15">
      <c r="A6" s="2920"/>
      <c r="B6" s="3293" t="s">
        <v>3</v>
      </c>
      <c r="C6" s="3294"/>
      <c r="D6" s="2921"/>
      <c r="E6" s="2921"/>
      <c r="F6" s="2921"/>
      <c r="G6" s="2921"/>
      <c r="H6" s="2921"/>
      <c r="I6" s="2921"/>
      <c r="J6" s="2921"/>
      <c r="K6" s="2921"/>
      <c r="L6" s="2921"/>
      <c r="M6" s="2921"/>
      <c r="N6" s="2921"/>
      <c r="O6" s="2921"/>
      <c r="P6" s="2921"/>
      <c r="Q6" s="2921"/>
      <c r="R6" s="2921"/>
      <c r="S6" s="2921"/>
      <c r="T6" s="2921"/>
      <c r="U6" s="2921"/>
      <c r="V6" s="2921"/>
      <c r="W6" s="2921"/>
      <c r="X6" s="2921"/>
      <c r="Y6" s="2922"/>
      <c r="Z6" s="2923"/>
      <c r="AA6" s="2924"/>
      <c r="AB6" s="2924"/>
    </row>
    <row customHeight="1" ht="15">
      <c r="A7" s="2920"/>
      <c r="B7" s="3293"/>
      <c r="C7" s="3294"/>
      <c r="D7" s="2921"/>
      <c r="E7" s="2921"/>
      <c r="F7" s="2925"/>
      <c r="G7" s="2925"/>
      <c r="H7" s="2925"/>
      <c r="I7" s="2925"/>
      <c r="J7" s="2925"/>
      <c r="K7" s="2925"/>
      <c r="L7" s="2925"/>
      <c r="M7" s="2925"/>
      <c r="N7" s="2925"/>
      <c r="O7" s="2921"/>
      <c r="P7" s="2925"/>
      <c r="Q7" s="2925"/>
      <c r="R7" s="2925"/>
      <c r="S7" s="2925"/>
      <c r="T7" s="2925"/>
      <c r="U7" s="2925"/>
      <c r="V7" s="2925"/>
      <c r="W7" s="2925"/>
      <c r="X7" s="2925"/>
      <c r="Y7" s="2922"/>
      <c r="Z7" s="2923"/>
      <c r="AA7" s="2924"/>
      <c r="AB7" s="2924"/>
    </row>
    <row customHeight="1" ht="15">
      <c r="A8" s="2920"/>
      <c r="B8" s="3293"/>
      <c r="C8" s="3294"/>
      <c r="D8" s="2926"/>
      <c r="E8" s="2927" t="s">
        <v>4</v>
      </c>
      <c r="F8" s="3296" t="s">
        <v>5</v>
      </c>
      <c r="G8" s="3297"/>
      <c r="H8" s="3297"/>
      <c r="I8" s="3297"/>
      <c r="J8" s="3297"/>
      <c r="K8" s="3297"/>
      <c r="L8" s="3297"/>
      <c r="M8" s="3297"/>
      <c r="N8" s="2926"/>
      <c r="O8" s="2928" t="s">
        <v>4</v>
      </c>
      <c r="P8" s="3298" t="s">
        <v>6</v>
      </c>
      <c r="Q8" s="3299"/>
      <c r="R8" s="3299"/>
      <c r="S8" s="3299"/>
      <c r="T8" s="3299"/>
      <c r="U8" s="3299"/>
      <c r="V8" s="3299"/>
      <c r="W8" s="3299"/>
      <c r="X8" s="3299"/>
      <c r="Y8" s="2922"/>
      <c r="Z8" s="2923"/>
      <c r="AA8" s="2924"/>
      <c r="AB8" s="2924"/>
    </row>
    <row customHeight="1" ht="15">
      <c r="A9" s="2920"/>
      <c r="B9" s="3293"/>
      <c r="C9" s="3294"/>
      <c r="D9" s="2926"/>
      <c r="E9" s="2929" t="s">
        <v>4</v>
      </c>
      <c r="F9" s="3296" t="s">
        <v>7</v>
      </c>
      <c r="G9" s="3297"/>
      <c r="H9" s="3297"/>
      <c r="I9" s="3297"/>
      <c r="J9" s="3297"/>
      <c r="K9" s="3297"/>
      <c r="L9" s="3297"/>
      <c r="M9" s="3297"/>
      <c r="N9" s="2926"/>
      <c r="O9" s="2930" t="s">
        <v>4</v>
      </c>
      <c r="P9" s="3298" t="s">
        <v>8</v>
      </c>
      <c r="Q9" s="3299"/>
      <c r="R9" s="3299"/>
      <c r="S9" s="3299"/>
      <c r="T9" s="3299"/>
      <c r="U9" s="3299"/>
      <c r="V9" s="3299"/>
      <c r="W9" s="3299"/>
      <c r="X9" s="3299"/>
      <c r="Y9" s="2922"/>
      <c r="Z9" s="2923"/>
      <c r="AA9" s="2924"/>
      <c r="AB9" s="2924"/>
    </row>
    <row customHeight="1" ht="30">
      <c r="A10" s="2920"/>
      <c r="B10" s="3293"/>
      <c r="C10" s="3295"/>
      <c r="D10" s="2931"/>
      <c r="E10" s="2932"/>
      <c r="F10" s="2925"/>
      <c r="G10" s="2925"/>
      <c r="H10" s="2925"/>
      <c r="I10" s="2925"/>
      <c r="J10" s="2925"/>
      <c r="K10" s="2925"/>
      <c r="L10" s="2925"/>
      <c r="M10" s="2925"/>
      <c r="N10" s="2925"/>
      <c r="O10" s="2932"/>
      <c r="P10" s="2925"/>
      <c r="Q10" s="2925"/>
      <c r="R10" s="2925"/>
      <c r="S10" s="2925"/>
      <c r="T10" s="2925"/>
      <c r="U10" s="2925"/>
      <c r="V10" s="2925"/>
      <c r="W10" s="2925"/>
      <c r="X10" s="2925"/>
      <c r="Y10" s="2922"/>
      <c r="Z10" s="2923"/>
      <c r="AA10" s="2924"/>
      <c r="AB10" s="2924"/>
    </row>
    <row customHeight="1" ht="19.5">
      <c r="A11" s="2920"/>
      <c r="B11" s="3300" t="s">
        <v>9</v>
      </c>
      <c r="C11" s="3301"/>
      <c r="D11" s="2926"/>
      <c r="E11" s="2933"/>
      <c r="F11" s="2933"/>
      <c r="G11" s="2933"/>
      <c r="H11" s="2933"/>
      <c r="I11" s="2933"/>
      <c r="J11" s="2933"/>
      <c r="K11" s="2933"/>
      <c r="L11" s="2933"/>
      <c r="M11" s="2933"/>
      <c r="N11" s="2933"/>
      <c r="O11" s="2933"/>
      <c r="P11" s="2933"/>
      <c r="Q11" s="2933"/>
      <c r="R11" s="2933"/>
      <c r="S11" s="2933"/>
      <c r="T11" s="2933"/>
      <c r="U11" s="2933"/>
      <c r="V11" s="2933"/>
      <c r="W11" s="2933"/>
      <c r="X11" s="2933"/>
      <c r="Y11" s="2922"/>
      <c r="Z11" s="2923"/>
      <c r="AA11" s="2924"/>
      <c r="AB11" s="2924"/>
    </row>
    <row customHeight="1" ht="69">
      <c r="A12" s="2920"/>
      <c r="B12" s="3293"/>
      <c r="C12" s="3295"/>
      <c r="D12" s="2934"/>
      <c r="E12" s="3297" t="s">
        <v>10</v>
      </c>
      <c r="F12" s="3297"/>
      <c r="G12" s="3297"/>
      <c r="H12" s="3297"/>
      <c r="I12" s="3297"/>
      <c r="J12" s="3297"/>
      <c r="K12" s="3297"/>
      <c r="L12" s="3297"/>
      <c r="M12" s="3297"/>
      <c r="N12" s="3297"/>
      <c r="O12" s="3297"/>
      <c r="P12" s="3297"/>
      <c r="Q12" s="3297"/>
      <c r="R12" s="3297"/>
      <c r="S12" s="3297"/>
      <c r="T12" s="3297"/>
      <c r="U12" s="3297"/>
      <c r="V12" s="3297"/>
      <c r="W12" s="3297"/>
      <c r="X12" s="3297"/>
      <c r="Y12" s="2922"/>
      <c r="Z12" s="2923"/>
      <c r="AA12" s="2924"/>
      <c r="AB12" s="2924"/>
    </row>
    <row customHeight="1" ht="15">
      <c r="A13" s="2920"/>
      <c r="B13" s="3300" t="s">
        <v>11</v>
      </c>
      <c r="C13" s="3301"/>
      <c r="D13" s="2921"/>
      <c r="E13" s="2933"/>
      <c r="F13" s="2933"/>
      <c r="G13" s="2933"/>
      <c r="H13" s="2933"/>
      <c r="I13" s="2933"/>
      <c r="J13" s="2933"/>
      <c r="K13" s="2933"/>
      <c r="L13" s="2933"/>
      <c r="M13" s="2933"/>
      <c r="N13" s="2933"/>
      <c r="O13" s="2933"/>
      <c r="P13" s="2933"/>
      <c r="Q13" s="2933"/>
      <c r="R13" s="2933"/>
      <c r="S13" s="2933"/>
      <c r="T13" s="2933"/>
      <c r="U13" s="2933"/>
      <c r="V13" s="2933"/>
      <c r="W13" s="2933"/>
      <c r="X13" s="2933"/>
      <c r="Y13" s="2922"/>
      <c r="Z13" s="2923"/>
      <c r="AA13" s="2924"/>
      <c r="AB13" s="2924"/>
    </row>
    <row customHeight="1" ht="57">
      <c r="A14" s="2920"/>
      <c r="B14" s="3293"/>
      <c r="C14" s="3294"/>
      <c r="D14" s="2926"/>
      <c r="E14" s="3304" t="s">
        <v>12</v>
      </c>
      <c r="F14" s="3304"/>
      <c r="G14" s="3304"/>
      <c r="H14" s="3304"/>
      <c r="I14" s="3304"/>
      <c r="J14" s="3304"/>
      <c r="K14" s="3304"/>
      <c r="L14" s="3304"/>
      <c r="M14" s="3304"/>
      <c r="N14" s="3304"/>
      <c r="O14" s="3304"/>
      <c r="P14" s="3304"/>
      <c r="Q14" s="3304"/>
      <c r="R14" s="3304"/>
      <c r="S14" s="3304"/>
      <c r="T14" s="3304"/>
      <c r="U14" s="3304"/>
      <c r="V14" s="3304"/>
      <c r="W14" s="3304"/>
      <c r="X14" s="3304"/>
      <c r="Y14" s="2922"/>
      <c r="Z14" s="2923"/>
      <c r="AA14" s="2924"/>
      <c r="AB14" s="2924"/>
    </row>
    <row customHeight="1" ht="16.5">
      <c r="A15" s="2920"/>
      <c r="B15" s="3302"/>
      <c r="C15" s="3303"/>
      <c r="D15" s="2935"/>
      <c r="E15" s="2936"/>
      <c r="F15" s="2936"/>
      <c r="G15" s="2936"/>
      <c r="H15" s="2936"/>
      <c r="I15" s="2936"/>
      <c r="J15" s="2936"/>
      <c r="K15" s="2936"/>
      <c r="L15" s="2936"/>
      <c r="M15" s="2936"/>
      <c r="N15" s="2936"/>
      <c r="O15" s="2936"/>
      <c r="P15" s="2936"/>
      <c r="Q15" s="2936"/>
      <c r="R15" s="2936"/>
      <c r="S15" s="2936"/>
      <c r="T15" s="2936"/>
      <c r="U15" s="2936"/>
      <c r="V15" s="2936"/>
      <c r="W15" s="2936"/>
      <c r="X15" s="2936"/>
      <c r="Y15" s="2937"/>
      <c r="Z15" s="2923"/>
      <c r="AA15" s="2938"/>
      <c r="AB15" s="2924"/>
    </row>
    <row customHeight="1" ht="95.25">
      <c r="A16" s="2912"/>
      <c r="B16" s="3304"/>
      <c r="C16" s="3305"/>
      <c r="D16" s="3305"/>
      <c r="E16" s="3305"/>
      <c r="F16" s="3305"/>
      <c r="G16" s="3305"/>
      <c r="H16" s="3305"/>
      <c r="I16" s="3305"/>
      <c r="J16" s="3305"/>
      <c r="K16" s="3305"/>
      <c r="L16" s="3305"/>
      <c r="M16" s="3305"/>
      <c r="N16" s="3305"/>
      <c r="O16" s="3305"/>
      <c r="P16" s="3305"/>
      <c r="Q16" s="3305"/>
      <c r="R16" s="3305"/>
      <c r="S16" s="3305"/>
      <c r="T16" s="3305"/>
      <c r="U16" s="3305"/>
      <c r="V16" s="3305"/>
      <c r="W16" s="3305"/>
      <c r="X16" s="3305"/>
      <c r="Y16" s="3305"/>
      <c r="Z16" s="2912"/>
      <c r="AA16" s="2914"/>
      <c r="AB16" s="2912"/>
    </row>
    <row customHeight="1" ht="14.25">
      <c r="A17" s="2912"/>
      <c r="B17" s="2912"/>
      <c r="C17" s="2912"/>
      <c r="D17" s="2912"/>
      <c r="E17" s="2912"/>
      <c r="F17" s="2912"/>
      <c r="G17" s="2912"/>
      <c r="H17" s="2912"/>
      <c r="I17" s="2912"/>
      <c r="J17" s="2912"/>
      <c r="K17" s="2912"/>
      <c r="L17" s="2912"/>
      <c r="M17" s="2912"/>
      <c r="N17" s="2912"/>
      <c r="O17" s="2912"/>
      <c r="P17" s="2912"/>
      <c r="Q17" s="2912"/>
      <c r="R17" s="2912"/>
      <c r="S17" s="2912"/>
      <c r="T17" s="2912"/>
      <c r="U17" s="2912"/>
      <c r="V17" s="2912"/>
      <c r="W17" s="2912"/>
      <c r="X17" s="2912"/>
      <c r="Y17" s="2913"/>
      <c r="Z17" s="2912"/>
      <c r="AA17" s="2914"/>
      <c r="AB17" s="2912"/>
    </row>
    <row customHeight="1" ht="14.25">
      <c r="A18" s="2912"/>
      <c r="B18" s="2912"/>
      <c r="C18" s="2912"/>
      <c r="D18" s="2912"/>
      <c r="E18" s="2912"/>
      <c r="F18" s="2912"/>
      <c r="G18" s="2912"/>
      <c r="H18" s="2912"/>
      <c r="I18" s="2912"/>
      <c r="J18" s="2912"/>
      <c r="K18" s="2912"/>
      <c r="L18" s="2912"/>
      <c r="M18" s="2912"/>
      <c r="N18" s="2912"/>
      <c r="O18" s="2912"/>
      <c r="P18" s="2912"/>
      <c r="Q18" s="2912"/>
      <c r="R18" s="2912"/>
      <c r="S18" s="2912"/>
      <c r="T18" s="2912"/>
      <c r="U18" s="2912"/>
      <c r="V18" s="2912"/>
      <c r="W18" s="2912"/>
      <c r="X18" s="2912"/>
      <c r="Y18" s="2913"/>
      <c r="Z18" s="2912"/>
      <c r="AA18" s="2914"/>
      <c r="AB18" s="2912"/>
    </row>
    <row customHeight="1" ht="14.25">
      <c r="A19" s="2912"/>
      <c r="B19" s="2912"/>
      <c r="C19" s="2912"/>
      <c r="D19" s="2912"/>
      <c r="E19" s="2912"/>
      <c r="F19" s="2912"/>
      <c r="G19" s="2912"/>
      <c r="H19" s="2912"/>
      <c r="I19" s="2912"/>
      <c r="J19" s="2912"/>
      <c r="K19" s="2912"/>
      <c r="L19" s="2912"/>
      <c r="M19" s="2912"/>
      <c r="N19" s="2912"/>
      <c r="O19" s="2912"/>
      <c r="P19" s="2912"/>
      <c r="Q19" s="2912"/>
      <c r="R19" s="2912"/>
      <c r="S19" s="2912"/>
      <c r="T19" s="2912"/>
      <c r="U19" s="2912"/>
      <c r="V19" s="2912"/>
      <c r="W19" s="2912"/>
      <c r="X19" s="2912"/>
      <c r="Y19" s="2913"/>
      <c r="Z19" s="2912"/>
      <c r="AA19" s="2914"/>
      <c r="AB19" s="2912"/>
    </row>
    <row customHeight="1" ht="14.25">
      <c r="A20" s="2912"/>
      <c r="B20" s="2912"/>
      <c r="C20" s="2912"/>
      <c r="D20" s="2912"/>
      <c r="E20" s="2912"/>
      <c r="F20" s="2912"/>
      <c r="G20" s="2912"/>
      <c r="H20" s="2912"/>
      <c r="I20" s="2912"/>
      <c r="J20" s="2912"/>
      <c r="K20" s="2912"/>
      <c r="L20" s="2912"/>
      <c r="M20" s="2912"/>
      <c r="N20" s="2912"/>
      <c r="O20" s="2912"/>
      <c r="P20" s="2912"/>
      <c r="Q20" s="2912"/>
      <c r="R20" s="2912"/>
      <c r="S20" s="2912"/>
      <c r="T20" s="2912"/>
      <c r="U20" s="2912"/>
      <c r="V20" s="2912"/>
      <c r="W20" s="2912"/>
      <c r="X20" s="2912"/>
      <c r="Y20" s="2913"/>
      <c r="Z20" s="2912"/>
      <c r="AA20" s="2914"/>
      <c r="AB20" s="2912"/>
    </row>
    <row customHeight="1" ht="14.25">
      <c r="A21" s="2912"/>
      <c r="B21" s="2912"/>
      <c r="C21" s="2912"/>
      <c r="D21" s="2912"/>
      <c r="E21" s="2912"/>
      <c r="F21" s="2912"/>
      <c r="G21" s="2912"/>
      <c r="H21" s="2912"/>
      <c r="I21" s="2912"/>
      <c r="J21" s="2912"/>
      <c r="K21" s="2912"/>
      <c r="L21" s="2912"/>
      <c r="M21" s="2912"/>
      <c r="N21" s="2912"/>
      <c r="O21" s="2912"/>
      <c r="P21" s="2912"/>
      <c r="Q21" s="2912"/>
      <c r="R21" s="2912"/>
      <c r="S21" s="2912"/>
      <c r="T21" s="2912"/>
      <c r="U21" s="2912"/>
      <c r="V21" s="2912"/>
      <c r="W21" s="2912"/>
      <c r="X21" s="2912"/>
      <c r="Y21" s="2913"/>
      <c r="Z21" s="2912"/>
      <c r="AA21" s="2914"/>
      <c r="AB21" s="291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C4BA7-E087-3F48-960E-626A3101573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67156" width="9.140625" hidden="1" customWidth="1"/>
    <col min="2" max="3" style="66903" width="9.140625" hidden="1" customWidth="1"/>
    <col min="4" max="4" style="67282" width="3.00390625" customWidth="1"/>
    <col min="5" max="5" style="66903" width="6.00390625" customWidth="1"/>
    <col min="6" max="6" style="66903" width="1.7109375" hidden="1" customWidth="1"/>
    <col min="7" max="8" style="66903" width="30.00390625" customWidth="1"/>
    <col min="9" max="9" style="66903" width="8.00390625" customWidth="1"/>
    <col min="10" max="10" style="66903" width="12.140625" customWidth="1"/>
    <col min="11" max="11" style="66903" width="46.00390625" customWidth="1"/>
    <col min="12" max="12" style="66903" width="100.00390625" customWidth="1"/>
    <col min="13" max="13" style="65153" width="7.00390625" customWidth="1"/>
    <col min="14" max="22" style="66903" width="10.00390625" customWidth="1"/>
    <col min="23" max="23" style="66903" width="10.57421875" hidden="1"/>
  </cols>
  <sheetData>
    <row s="65923" customFormat="1" customHeight="1" ht="5.25" hidden="1">
      <c r="C1" s="1722"/>
      <c r="D1" s="1705"/>
      <c r="F1" s="1722"/>
      <c r="G1" s="1700" t="s">
        <v>83</v>
      </c>
      <c r="H1" s="1700" t="s">
        <v>84</v>
      </c>
      <c r="I1" s="1700" t="s">
        <v>85</v>
      </c>
      <c r="P1" s="1700" t="s">
        <v>83</v>
      </c>
      <c r="Q1" s="1700" t="s">
        <v>84</v>
      </c>
      <c r="R1" s="1700" t="s">
        <v>85</v>
      </c>
      <c r="W1" s="1700" t="s">
        <v>14</v>
      </c>
    </row>
    <row s="65923" customFormat="1" customHeight="1" ht="5.25" hidden="1">
      <c r="C2" s="1722"/>
      <c r="D2" s="1705"/>
      <c r="F2" s="1722"/>
      <c r="W2" s="1700">
        <v>0</v>
      </c>
    </row>
    <row s="65172" customFormat="1" customHeight="1" ht="5.25">
      <c r="A3" s="1690"/>
      <c r="D3" s="1697"/>
      <c r="E3" s="1692"/>
      <c r="F3" s="1692"/>
      <c r="G3" s="1692"/>
      <c r="H3" s="1692"/>
      <c r="I3" s="1693"/>
      <c r="J3" s="1694"/>
      <c r="K3" s="1694"/>
      <c r="L3" s="1694"/>
      <c r="W3" s="1691">
        <v>5</v>
      </c>
    </row>
    <row customHeight="1" ht="23.25">
      <c r="D4" s="1661"/>
      <c r="E4" s="3449" t="s">
        <v>406</v>
      </c>
      <c r="F4" s="3449"/>
      <c r="G4" s="3450"/>
      <c r="H4" s="3450"/>
      <c r="I4" s="3451"/>
      <c r="J4" s="1702"/>
      <c r="K4" s="1664"/>
      <c r="L4" s="1664"/>
      <c r="W4" s="1658">
        <v>22</v>
      </c>
    </row>
    <row s="66903" customFormat="1" customHeight="1" ht="18">
      <c r="A5" s="1970"/>
      <c r="D5" s="2033"/>
      <c r="E5" s="3425" t="str">
        <f>IF(org=0,"Не определено",org)</f>
        <v>ПАО "ТГК-2"</v>
      </c>
      <c r="F5" s="3425"/>
      <c r="G5" s="3426"/>
      <c r="H5" s="3426"/>
      <c r="I5" s="3427"/>
      <c r="J5" s="1702"/>
      <c r="K5" s="1664"/>
      <c r="L5" s="1664"/>
      <c r="M5" s="1718"/>
      <c r="W5" s="1969">
        <v>17</v>
      </c>
    </row>
    <row s="65172" customFormat="1" customHeight="1" ht="11.549999999999999">
      <c r="A6" s="1690"/>
      <c r="D6" s="1697"/>
      <c r="E6" s="1692"/>
      <c r="F6" s="1692"/>
      <c r="G6" s="1695"/>
      <c r="H6" s="1695"/>
      <c r="I6" s="1696"/>
      <c r="J6" s="1696"/>
      <c r="K6" s="1963"/>
      <c r="L6" s="1696"/>
      <c r="W6" s="1691">
        <v>11</v>
      </c>
    </row>
    <row customHeight="1" ht="14.699999999999998">
      <c r="D7" s="1661"/>
      <c r="E7" s="3419" t="s">
        <v>318</v>
      </c>
      <c r="F7" s="3419"/>
      <c r="G7" s="3420"/>
      <c r="H7" s="3420"/>
      <c r="I7" s="3420"/>
      <c r="J7" s="3420"/>
      <c r="K7" s="3420"/>
      <c r="L7" s="3434" t="s">
        <v>319</v>
      </c>
      <c r="W7" s="1658">
        <v>14</v>
      </c>
    </row>
    <row customHeight="1" ht="48.29999999999999">
      <c r="D8" s="1661"/>
      <c r="E8" s="1684" t="s">
        <v>88</v>
      </c>
      <c r="F8" s="2034"/>
      <c r="G8" s="1676" t="s">
        <v>86</v>
      </c>
      <c r="H8" s="1676" t="s">
        <v>87</v>
      </c>
      <c r="I8" s="1625" t="s">
        <v>85</v>
      </c>
      <c r="J8" s="1625" t="s">
        <v>407</v>
      </c>
      <c r="K8" s="1625" t="s">
        <v>408</v>
      </c>
      <c r="L8" s="3434"/>
      <c r="W8" s="1658">
        <v>46</v>
      </c>
    </row>
    <row customHeight="1" ht="12" hidden="1">
      <c r="D9" s="1698"/>
      <c r="E9" s="1704"/>
      <c r="F9" s="2041"/>
      <c r="G9" s="1704"/>
      <c r="H9" s="1704"/>
      <c r="I9" s="1704"/>
      <c r="J9" s="1704"/>
      <c r="K9" s="1704"/>
      <c r="L9" s="1704"/>
      <c r="M9" s="1658"/>
      <c r="W9" s="1658">
        <v>0</v>
      </c>
    </row>
    <row customHeight="1" ht="14.25" hidden="1">
      <c r="A10" s="1716"/>
      <c r="B10" s="1716"/>
      <c r="D10" s="1717"/>
      <c r="E10" s="1723">
        <v>0</v>
      </c>
      <c r="F10" s="2032"/>
      <c r="G10" s="1719"/>
      <c r="H10" s="1719"/>
      <c r="I10" s="1719"/>
      <c r="J10" s="1719"/>
      <c r="K10" s="1719"/>
      <c r="L10" s="3432" t="s">
        <v>409</v>
      </c>
      <c r="M10" s="1718"/>
      <c r="N10" s="1716"/>
      <c r="O10" s="1716"/>
      <c r="P10" s="1716"/>
      <c r="Q10" s="1716"/>
      <c r="R10" s="1716"/>
      <c r="S10" s="1716"/>
      <c r="T10" s="1716"/>
      <c r="U10" s="1716"/>
      <c r="V10" s="1716"/>
      <c r="W10" s="1658">
        <v>0</v>
      </c>
    </row>
    <row customHeight="1" ht="15" hidden="1">
      <c r="A11" s="3310"/>
      <c r="B11" s="1715"/>
      <c r="C11" s="1715"/>
      <c r="D11" s="2076"/>
      <c r="E11" s="1724"/>
      <c r="F11" s="1724"/>
      <c r="G11" s="1724"/>
      <c r="H11" s="1724"/>
      <c r="I11" s="1725"/>
      <c r="J11" s="1726"/>
      <c r="K11" s="1924"/>
      <c r="L11" s="3452"/>
      <c r="M11" s="1722"/>
      <c r="N11" s="1722"/>
      <c r="O11" s="1722"/>
      <c r="P11" s="1727"/>
      <c r="Q11" s="1727"/>
      <c r="R11" s="1728"/>
      <c r="S11" s="1722"/>
      <c r="T11" s="1722"/>
      <c r="U11" s="1722"/>
      <c r="V11" s="1722"/>
      <c r="W11" s="1658">
        <v>0</v>
      </c>
    </row>
    <row s="65172" customFormat="1" customHeight="1" ht="15">
      <c r="A12" s="3310"/>
      <c r="B12" s="1715"/>
      <c r="C12" s="1715"/>
      <c r="D12" s="2077"/>
      <c r="E12" s="2034">
        <v>1</v>
      </c>
      <c r="F12" s="2075">
        <v>23</v>
      </c>
      <c r="G12" s="2074"/>
      <c r="H12" s="2004"/>
      <c r="I12" s="2002"/>
      <c r="J12" s="1731" t="s">
        <v>62</v>
      </c>
      <c r="K12" s="2375" t="s">
        <v>22</v>
      </c>
      <c r="L12" s="3452"/>
      <c r="M12" s="1722"/>
      <c r="N12" s="1722"/>
      <c r="O12" s="1722"/>
      <c r="P12" s="1727" t="s">
        <v>410</v>
      </c>
      <c r="Q12" s="1727" t="s">
        <v>411</v>
      </c>
      <c r="R12" s="1728" t="s">
        <v>412</v>
      </c>
      <c r="S12" s="1722" t="s">
        <v>413</v>
      </c>
      <c r="T12" s="1722"/>
      <c r="U12" s="1722"/>
      <c r="V12" s="1722"/>
      <c r="W12" s="1691">
        <v>14</v>
      </c>
    </row>
    <row customHeight="1" ht="15.75">
      <c r="A13" s="3310"/>
      <c r="B13" s="1716"/>
      <c r="D13" s="1717"/>
      <c r="E13" s="1616"/>
      <c r="F13" s="1740"/>
      <c r="G13" s="1627" t="s">
        <v>111</v>
      </c>
      <c r="H13" s="1615"/>
      <c r="I13" s="1615"/>
      <c r="J13" s="1615"/>
      <c r="K13" s="1614"/>
      <c r="L13" s="3433"/>
      <c r="M13" s="1720"/>
      <c r="N13" s="1716"/>
      <c r="O13" s="1716"/>
      <c r="P13" s="1716"/>
      <c r="Q13" s="1716"/>
      <c r="R13" s="1716"/>
      <c r="S13" s="1716"/>
      <c r="T13" s="1716"/>
      <c r="U13" s="1716"/>
      <c r="V13" s="1716"/>
      <c r="W13" s="1658">
        <v>15</v>
      </c>
    </row>
    <row customHeight="1" ht="11.549999999999999">
      <c r="A14" s="1690"/>
      <c r="B14" s="1691"/>
      <c r="C14" s="1691"/>
      <c r="D14" s="1706"/>
      <c r="E14" s="1691"/>
      <c r="F14" s="1691"/>
      <c r="G14" s="1691"/>
      <c r="H14" s="1691"/>
      <c r="I14" s="1691"/>
      <c r="J14" s="1691"/>
      <c r="K14" s="1691"/>
      <c r="L14" s="1691"/>
      <c r="M14" s="1691"/>
      <c r="N14" s="1691"/>
      <c r="O14" s="1691"/>
      <c r="P14" s="1691"/>
      <c r="Q14" s="1691"/>
      <c r="R14" s="1691"/>
      <c r="S14" s="1691"/>
      <c r="T14" s="1691"/>
      <c r="U14" s="1691"/>
      <c r="V14" s="1691"/>
      <c r="W14" s="1658">
        <v>11</v>
      </c>
    </row>
    <row customHeight="1" ht="14.699999999999998">
      <c r="D15" s="1677"/>
      <c r="E15" s="1547"/>
      <c r="F15" s="1547"/>
      <c r="G15" s="187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1677"/>
      <c r="I15" s="1677"/>
      <c r="J15" s="1677"/>
      <c r="K15" s="1677"/>
      <c r="L15" s="1677"/>
      <c r="W15" s="1658">
        <v>14</v>
      </c>
    </row>
    <row customHeight="1" ht="14.699999999999998">
      <c r="W16" s="1658">
        <v>14</v>
      </c>
    </row>
    <row customHeight="1" ht="14.699999999999998">
      <c r="W17" s="1658">
        <v>14</v>
      </c>
    </row>
    <row customHeight="1" ht="14.699999999999998">
      <c r="G18" s="1716"/>
      <c r="W18" s="1658">
        <v>14</v>
      </c>
    </row>
    <row customHeight="1" ht="22.5" hidden="1">
      <c r="A19" s="1660" t="s">
        <v>82</v>
      </c>
      <c r="B19" s="1658">
        <v>0</v>
      </c>
      <c r="C19" s="1969">
        <v>0</v>
      </c>
      <c r="D19" s="1662">
        <v>3</v>
      </c>
      <c r="E19" s="1658">
        <v>6</v>
      </c>
      <c r="F19" s="1969">
        <v>0</v>
      </c>
      <c r="G19" s="1658">
        <v>30</v>
      </c>
      <c r="H19" s="1658">
        <v>30</v>
      </c>
      <c r="I19" s="1658">
        <v>8</v>
      </c>
      <c r="J19" s="1658">
        <v>12</v>
      </c>
      <c r="K19" s="1658">
        <v>46</v>
      </c>
      <c r="L19" s="1658">
        <v>100</v>
      </c>
      <c r="M19" s="1663">
        <v>7</v>
      </c>
      <c r="N19" s="1658">
        <v>10</v>
      </c>
      <c r="O19" s="1658">
        <v>10</v>
      </c>
      <c r="P19" s="1658">
        <v>10</v>
      </c>
      <c r="Q19" s="1658">
        <v>10</v>
      </c>
      <c r="R19" s="1658">
        <v>10</v>
      </c>
      <c r="S19" s="1658">
        <v>10</v>
      </c>
      <c r="T19" s="1658">
        <v>10</v>
      </c>
      <c r="U19" s="1658">
        <v>10</v>
      </c>
      <c r="V19" s="1658">
        <v>10</v>
      </c>
      <c r="W19" s="165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DE02F-EC43-BB1F-CB38-A7521EA2B66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2" style="66903" width="24.7109375" hidden="1" customWidth="1"/>
    <col min="23" max="23" style="66903" width="0.140625" hidden="1" customWidth="1"/>
    <col min="24" max="25" style="66903" width="24.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24.7109375" customWidth="1"/>
    <col min="31" max="31" style="66903" width="0.140625" customWidth="1"/>
    <col min="32" max="33" style="66903" width="24.0039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10.57421875" hidden="1"/>
  </cols>
  <sheetData>
    <row customHeight="1" ht="22.5" hidden="1">
      <c r="Y1" s="1538"/>
      <c r="Z1" s="1538"/>
      <c r="AG1" s="1538"/>
      <c r="AH1" s="1538"/>
      <c r="AS1" s="2366" t="s">
        <v>14</v>
      </c>
    </row>
    <row customHeight="1" ht="21" hidden="1">
      <c r="A2" s="2574"/>
      <c r="B2" s="2574"/>
      <c r="C2" s="2574"/>
      <c r="D2" s="2574"/>
      <c r="E2" s="3469">
        <v>1</v>
      </c>
      <c r="F2" s="2574"/>
      <c r="G2" s="2574"/>
      <c r="H2" s="2574"/>
      <c r="I2" s="2574"/>
      <c r="J2" s="2574"/>
      <c r="K2" s="2574"/>
      <c r="L2" s="2575"/>
      <c r="M2" s="2576"/>
      <c r="N2" s="2576"/>
      <c r="O2" s="2576"/>
      <c r="P2" s="1572"/>
      <c r="Q2" s="1571"/>
      <c r="R2" s="1566"/>
      <c r="S2" s="2520">
        <f>INDEX(PT_DIFFERENTIATION_NUM_NTAR,MATCH(A2,PT_DIFFERENTIATION_NTAR_ID,0))</f>
      </c>
      <c r="T2" s="1509"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1711"/>
      <c r="AP2" s="1711" t="str">
        <f>IF(T2="","",T2)</f>
        <v>Наименование тарифа</v>
      </c>
      <c r="AQ2" s="1711"/>
      <c r="AR2" s="1711"/>
      <c r="AS2" s="2366">
        <v>0</v>
      </c>
    </row>
    <row customHeight="1" ht="21" hidden="1">
      <c r="A3" s="2574"/>
      <c r="B3" s="2574"/>
      <c r="C3" s="2574"/>
      <c r="D3" s="2574"/>
      <c r="E3" s="3470"/>
      <c r="F3" s="3469">
        <v>1</v>
      </c>
      <c r="G3" s="2574"/>
      <c r="H3" s="2574"/>
      <c r="I3" s="2574"/>
      <c r="J3" s="2574"/>
      <c r="K3" s="2574"/>
      <c r="L3" s="2575"/>
      <c r="M3" s="2576"/>
      <c r="N3" s="2576"/>
      <c r="O3" s="2576"/>
      <c r="P3" s="2515"/>
      <c r="Q3" s="1563"/>
      <c r="R3" s="1564"/>
      <c r="S3" s="2520">
        <f>INDEX(PT_DIFFERENTIATION_NUM_TER,MATCH(B3,PT_DIFFERENTIATION_TER_ID,0))</f>
      </c>
      <c r="T3" s="1519"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1711"/>
      <c r="AP3" s="1711" t="str">
        <f>IF(T3="","",T3)</f>
        <v>Территория действия тарифа</v>
      </c>
      <c r="AQ3" s="1711"/>
      <c r="AR3" s="1711"/>
      <c r="AS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520">
        <f>INDEX(PT_DIFFERENTIATION_NUM_CS,MATCH(C4,PT_DIFFERENTIATION_CS_ID,0))</f>
      </c>
      <c r="T4" s="1520" t="s">
        <v>417</v>
      </c>
      <c r="U4" s="1511"/>
      <c r="V4" s="3453"/>
      <c r="W4" s="3454"/>
      <c r="X4" s="3454"/>
      <c r="Y4" s="3454"/>
      <c r="Z4" s="3454"/>
      <c r="AA4" s="3454"/>
      <c r="AB4" s="3454"/>
      <c r="AC4" s="3455"/>
      <c r="AD4" s="3453">
        <f>INDEX(PT_DIFFERENTIATION_CS,MATCH(C4,PT_DIFFERENTIATION_CS_ID,0))</f>
      </c>
      <c r="AE4" s="3454"/>
      <c r="AF4" s="3454"/>
      <c r="AG4" s="3454"/>
      <c r="AH4" s="3454"/>
      <c r="AI4" s="3454"/>
      <c r="AJ4" s="3454"/>
      <c r="AK4" s="3454"/>
      <c r="AL4" s="3455"/>
      <c r="AM4" s="2469" t="s">
        <v>418</v>
      </c>
      <c r="AO4" s="1711"/>
      <c r="AP4" s="1711" t="str">
        <f>IF(T4="","",T4)</f>
        <v>Наименование системы теплоснабжения </v>
      </c>
      <c r="AQ4" s="1711"/>
      <c r="AR4" s="1711"/>
      <c r="AS4" s="2366">
        <v>0</v>
      </c>
    </row>
    <row customHeight="1" ht="21" hidden="1">
      <c r="A5" s="2574"/>
      <c r="B5" s="2574"/>
      <c r="C5" s="2574"/>
      <c r="D5" s="2574"/>
      <c r="E5" s="3470"/>
      <c r="F5" s="3470"/>
      <c r="G5" s="3470"/>
      <c r="H5" s="3469">
        <v>1</v>
      </c>
      <c r="I5" s="2574"/>
      <c r="J5" s="2574"/>
      <c r="K5" s="2574"/>
      <c r="L5" s="2575"/>
      <c r="M5" s="2576"/>
      <c r="N5" s="2576"/>
      <c r="O5" s="2576"/>
      <c r="P5" s="1565"/>
      <c r="Q5" s="1563"/>
      <c r="R5" s="1564"/>
      <c r="S5" s="2520">
        <f>INDEX(PT_DIFFERENTIATION_NUM_IST_TE,MATCH(D5,PT_DIFFERENTIATION_IST_TE_ID,0))</f>
      </c>
      <c r="T5" s="1521" t="s">
        <v>419</v>
      </c>
      <c r="U5" s="1511"/>
      <c r="V5" s="3453"/>
      <c r="W5" s="3454"/>
      <c r="X5" s="3454"/>
      <c r="Y5" s="3454"/>
      <c r="Z5" s="3454"/>
      <c r="AA5" s="3454"/>
      <c r="AB5" s="3454"/>
      <c r="AC5" s="3455"/>
      <c r="AD5" s="3453">
        <f>INDEX(PT_DIFFERENTIATION_IST_TE,MATCH(D5,PT_DIFFERENTIATION_IST_TE_ID,0))</f>
      </c>
      <c r="AE5" s="3454"/>
      <c r="AF5" s="3454"/>
      <c r="AG5" s="3454"/>
      <c r="AH5" s="3454"/>
      <c r="AI5" s="3454"/>
      <c r="AJ5" s="3454"/>
      <c r="AK5" s="3454"/>
      <c r="AL5" s="3455"/>
      <c r="AM5" s="2469" t="s">
        <v>420</v>
      </c>
      <c r="AO5" s="1711"/>
      <c r="AP5" s="1711" t="str">
        <f>IF(T5="","",T5)</f>
        <v>Источник тепловой энергии  </v>
      </c>
      <c r="AQ5" s="1711"/>
      <c r="AR5" s="1711"/>
      <c r="AS5" s="2366">
        <v>0</v>
      </c>
    </row>
    <row customHeight="1" ht="47.25" hidden="1">
      <c r="A6" s="2574"/>
      <c r="B6" s="2574"/>
      <c r="C6" s="2574"/>
      <c r="D6" s="2574"/>
      <c r="E6" s="3470"/>
      <c r="F6" s="3470"/>
      <c r="G6" s="3470"/>
      <c r="H6" s="3470"/>
      <c r="I6" s="3467">
        <f>S5&amp;".1"</f>
      </c>
      <c r="J6" s="2574"/>
      <c r="K6" s="2574"/>
      <c r="L6" s="2575" t="s">
        <v>421</v>
      </c>
      <c r="M6" s="1748"/>
      <c r="P6" s="3468">
        <v>1</v>
      </c>
      <c r="Q6" s="2516"/>
      <c r="R6" s="1567"/>
      <c r="S6" s="2520">
        <f>$I6</f>
      </c>
      <c r="T6" s="1496" t="s">
        <v>422</v>
      </c>
      <c r="U6" s="1511"/>
      <c r="V6" s="3456"/>
      <c r="W6" s="3457"/>
      <c r="X6" s="3457"/>
      <c r="Y6" s="3457"/>
      <c r="Z6" s="3457"/>
      <c r="AA6" s="3457"/>
      <c r="AB6" s="3457"/>
      <c r="AC6" s="3458"/>
      <c r="AD6" s="3456"/>
      <c r="AE6" s="3457"/>
      <c r="AF6" s="3457"/>
      <c r="AG6" s="3457"/>
      <c r="AH6" s="3457"/>
      <c r="AI6" s="3457"/>
      <c r="AJ6" s="3457"/>
      <c r="AK6" s="3457"/>
      <c r="AL6" s="3458"/>
      <c r="AM6" s="2469" t="s">
        <v>423</v>
      </c>
      <c r="AO6" s="1711"/>
      <c r="AP6" s="1711" t="str">
        <f>IF(T6="","",T6)</f>
        <v>Схема подключения теплопотребляющей установки к коллектору источника тепловой энергии</v>
      </c>
      <c r="AQ6" s="1711"/>
      <c r="AR6" s="1711"/>
      <c r="AS6" s="2366">
        <v>0</v>
      </c>
    </row>
    <row customHeight="1" ht="21" hidden="1">
      <c r="A7" s="2574"/>
      <c r="B7" s="2574"/>
      <c r="C7" s="2574"/>
      <c r="D7" s="2574"/>
      <c r="E7" s="3470"/>
      <c r="F7" s="3470"/>
      <c r="G7" s="3470"/>
      <c r="H7" s="3470"/>
      <c r="I7" s="3497"/>
      <c r="J7" s="3467">
        <f>I6&amp;".1"</f>
      </c>
      <c r="K7" s="2574"/>
      <c r="L7" s="2575" t="s">
        <v>424</v>
      </c>
      <c r="M7" s="1748"/>
      <c r="N7" s="2577"/>
      <c r="P7" s="3468"/>
      <c r="Q7" s="3468">
        <v>1</v>
      </c>
      <c r="R7" s="1568"/>
      <c r="S7" s="2520">
        <f>$J7</f>
      </c>
      <c r="T7" s="1497" t="s">
        <v>425</v>
      </c>
      <c r="U7" s="1511"/>
      <c r="V7" s="3456"/>
      <c r="W7" s="3457"/>
      <c r="X7" s="3457"/>
      <c r="Y7" s="3457"/>
      <c r="Z7" s="3457"/>
      <c r="AA7" s="3457"/>
      <c r="AB7" s="3457"/>
      <c r="AC7" s="3458"/>
      <c r="AD7" s="3456"/>
      <c r="AE7" s="3457"/>
      <c r="AF7" s="3457"/>
      <c r="AG7" s="3457"/>
      <c r="AH7" s="3457"/>
      <c r="AI7" s="3457"/>
      <c r="AJ7" s="3457"/>
      <c r="AK7" s="3457"/>
      <c r="AL7" s="3458"/>
      <c r="AM7" s="2469" t="s">
        <v>426</v>
      </c>
      <c r="AO7" s="1711"/>
      <c r="AP7" s="1711" t="str">
        <f>IF(T7="","",T7)</f>
        <v>Группа потребителей</v>
      </c>
      <c r="AQ7" s="1711"/>
      <c r="AR7" s="1711"/>
      <c r="AS7" s="2366">
        <v>0</v>
      </c>
    </row>
    <row customHeight="1" ht="21" hidden="1">
      <c r="A8" s="2574"/>
      <c r="B8" s="2574"/>
      <c r="C8" s="2574"/>
      <c r="D8" s="2574"/>
      <c r="E8" s="3470"/>
      <c r="F8" s="3470"/>
      <c r="G8" s="3470"/>
      <c r="H8" s="3470"/>
      <c r="I8" s="3497"/>
      <c r="J8" s="3497"/>
      <c r="K8" s="3467">
        <f>J7&amp;".1"</f>
      </c>
      <c r="L8" s="2575" t="s">
        <v>427</v>
      </c>
      <c r="M8" s="1748"/>
      <c r="N8" s="2577"/>
      <c r="O8" s="2577"/>
      <c r="P8" s="3468"/>
      <c r="Q8" s="3468"/>
      <c r="R8" s="1568">
        <v>1</v>
      </c>
      <c r="S8" s="2520">
        <f>$K8</f>
      </c>
      <c r="T8" s="2558"/>
      <c r="U8" s="1511"/>
      <c r="V8" s="1962"/>
      <c r="W8" s="1536"/>
      <c r="X8" s="1962"/>
      <c r="Y8" s="2468"/>
      <c r="Z8" s="3476"/>
      <c r="AA8" s="3318" t="s">
        <v>62</v>
      </c>
      <c r="AB8" s="3476"/>
      <c r="AC8" s="3318" t="s">
        <v>62</v>
      </c>
      <c r="AD8" s="1962"/>
      <c r="AE8" s="1536"/>
      <c r="AF8" s="1962"/>
      <c r="AG8" s="2468"/>
      <c r="AH8" s="3476"/>
      <c r="AI8" s="3318" t="s">
        <v>62</v>
      </c>
      <c r="AJ8" s="3476"/>
      <c r="AK8" s="3318" t="s">
        <v>62</v>
      </c>
      <c r="AL8" s="1536"/>
      <c r="AM8" s="3464" t="s">
        <v>428</v>
      </c>
      <c r="AN8" s="1722">
        <f>STRCHECKDATE(V9:AL9)</f>
      </c>
      <c r="AO8" s="1711"/>
      <c r="AP8" s="1711" t="str">
        <f>IF(T8="","",T8)</f>
        <v/>
      </c>
      <c r="AQ8" s="1711"/>
      <c r="AR8" s="1711"/>
      <c r="AS8" s="2366">
        <v>0</v>
      </c>
    </row>
    <row customHeight="1" ht="0.75" hidden="1">
      <c r="A9" s="2574"/>
      <c r="B9" s="2574"/>
      <c r="C9" s="2574"/>
      <c r="D9" s="2574"/>
      <c r="E9" s="3470"/>
      <c r="F9" s="3470"/>
      <c r="G9" s="3470"/>
      <c r="H9" s="3470"/>
      <c r="I9" s="3497"/>
      <c r="J9" s="3497"/>
      <c r="K9" s="3467"/>
      <c r="L9" s="2575"/>
      <c r="M9" s="1748"/>
      <c r="N9" s="2577"/>
      <c r="O9" s="2577"/>
      <c r="P9" s="3468"/>
      <c r="Q9" s="3468"/>
      <c r="R9" s="1568"/>
      <c r="S9" s="2517"/>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1711"/>
      <c r="AP9" s="1711" t="str">
        <f>IF(T9="","",T9)</f>
        <v/>
      </c>
      <c r="AQ9" s="1711"/>
      <c r="AR9" s="1711"/>
      <c r="AS9" s="2366">
        <v>0</v>
      </c>
    </row>
    <row customHeight="1" ht="15" hidden="1">
      <c r="A10" s="2574"/>
      <c r="B10" s="2574"/>
      <c r="C10" s="2574"/>
      <c r="D10" s="2574"/>
      <c r="E10" s="3470"/>
      <c r="F10" s="3470"/>
      <c r="G10" s="3470"/>
      <c r="H10" s="3470"/>
      <c r="I10" s="3497"/>
      <c r="J10" s="3467"/>
      <c r="K10" s="2574"/>
      <c r="L10" s="2575"/>
      <c r="M10" s="1748"/>
      <c r="N10" s="2577"/>
      <c r="P10" s="3468"/>
      <c r="Q10" s="3468"/>
      <c r="R10" s="1567"/>
      <c r="S10" s="2489"/>
      <c r="T10" s="1499" t="s">
        <v>429</v>
      </c>
      <c r="U10" s="1578"/>
      <c r="V10" s="1578"/>
      <c r="W10" s="1578"/>
      <c r="X10" s="1578"/>
      <c r="Y10" s="1578"/>
      <c r="Z10" s="1578"/>
      <c r="AA10" s="1578"/>
      <c r="AB10" s="1578"/>
      <c r="AC10" s="1578"/>
      <c r="AD10" s="1578"/>
      <c r="AE10" s="1578"/>
      <c r="AF10" s="1578"/>
      <c r="AG10" s="1578"/>
      <c r="AH10" s="1578"/>
      <c r="AI10" s="1578"/>
      <c r="AJ10" s="1578"/>
      <c r="AK10" s="1578"/>
      <c r="AL10" s="1535"/>
      <c r="AM10" s="3466"/>
      <c r="AO10" s="1711"/>
      <c r="AP10" s="1711" t="str">
        <f>IF(T10="","",T10)</f>
        <v>Добавить вид теплоносителя (параметры теплоносителя)</v>
      </c>
      <c r="AQ10" s="1711"/>
      <c r="AR10" s="1711"/>
      <c r="AS10" s="2366">
        <v>0</v>
      </c>
    </row>
    <row customHeight="1" ht="15" hidden="1">
      <c r="A11" s="2574"/>
      <c r="B11" s="2574"/>
      <c r="C11" s="2574"/>
      <c r="D11" s="2574"/>
      <c r="E11" s="3470"/>
      <c r="F11" s="3470"/>
      <c r="G11" s="3470"/>
      <c r="H11" s="3470"/>
      <c r="I11" s="3467"/>
      <c r="J11" s="2574"/>
      <c r="K11" s="2574"/>
      <c r="L11" s="2575"/>
      <c r="M11" s="1748"/>
      <c r="P11" s="3468"/>
      <c r="Q11" s="2516"/>
      <c r="R11" s="1567"/>
      <c r="S11" s="2489"/>
      <c r="T11" s="1498" t="s">
        <v>430</v>
      </c>
      <c r="U11" s="1578"/>
      <c r="V11" s="1578"/>
      <c r="W11" s="1578"/>
      <c r="X11" s="1578"/>
      <c r="Y11" s="1578"/>
      <c r="Z11" s="1578"/>
      <c r="AA11" s="1578"/>
      <c r="AB11" s="1578"/>
      <c r="AC11" s="1577"/>
      <c r="AD11" s="1578"/>
      <c r="AE11" s="1578"/>
      <c r="AF11" s="1578"/>
      <c r="AG11" s="1578"/>
      <c r="AH11" s="1578"/>
      <c r="AI11" s="1578"/>
      <c r="AJ11" s="1578"/>
      <c r="AK11" s="1577"/>
      <c r="AL11" s="1578"/>
      <c r="AM11" s="1514"/>
      <c r="AO11" s="1711"/>
      <c r="AP11" s="1711" t="str">
        <f>IF(T11="","",T11)</f>
        <v>Добавить группу потребителей</v>
      </c>
      <c r="AQ11" s="1711"/>
      <c r="AR11" s="1711"/>
      <c r="AS11" s="2366">
        <v>0</v>
      </c>
    </row>
    <row customHeight="1" ht="14.25" hidden="1">
      <c r="A12" s="2574"/>
      <c r="B12" s="2574"/>
      <c r="C12" s="2574"/>
      <c r="D12" s="2574"/>
      <c r="E12" s="3470"/>
      <c r="F12" s="3470"/>
      <c r="G12" s="3470"/>
      <c r="H12" s="3469"/>
      <c r="I12" s="2574"/>
      <c r="J12" s="2574"/>
      <c r="K12" s="2574"/>
      <c r="L12" s="2575"/>
      <c r="M12" s="2576"/>
      <c r="N12" s="2576"/>
      <c r="O12" s="1748"/>
      <c r="P12" s="1571"/>
      <c r="Q12" s="1586"/>
      <c r="R12" s="1566"/>
      <c r="S12" s="2489"/>
      <c r="T12" s="1576" t="s">
        <v>431</v>
      </c>
      <c r="U12" s="1578"/>
      <c r="V12" s="1578"/>
      <c r="W12" s="1578"/>
      <c r="X12" s="1578"/>
      <c r="Y12" s="1578"/>
      <c r="Z12" s="1578"/>
      <c r="AA12" s="1578"/>
      <c r="AB12" s="1578"/>
      <c r="AC12" s="1577"/>
      <c r="AD12" s="1578"/>
      <c r="AE12" s="1578"/>
      <c r="AF12" s="1578"/>
      <c r="AG12" s="1578"/>
      <c r="AH12" s="1578"/>
      <c r="AI12" s="1578"/>
      <c r="AJ12" s="1578"/>
      <c r="AK12" s="1577"/>
      <c r="AL12" s="1578"/>
      <c r="AM12" s="1514"/>
      <c r="AO12" s="1711"/>
      <c r="AP12" s="1711" t="str">
        <f>IF(T12="","",T12)</f>
        <v>Добавить схему подключения</v>
      </c>
      <c r="AQ12" s="1711"/>
      <c r="AR12" s="1711"/>
      <c r="AS12" s="2366">
        <v>0</v>
      </c>
    </row>
    <row s="65923" customFormat="1" customHeight="1" ht="0.75" hidden="1">
      <c r="A13" s="2525"/>
      <c r="B13" s="2525"/>
      <c r="C13" s="2525"/>
      <c r="D13" s="2525"/>
      <c r="E13" s="3470"/>
      <c r="F13" s="3470"/>
      <c r="G13" s="3469"/>
      <c r="H13" s="2525"/>
      <c r="I13" s="2525"/>
      <c r="J13" s="2525"/>
      <c r="K13" s="2525"/>
      <c r="L13" s="2550"/>
      <c r="M13" s="2526"/>
      <c r="N13" s="2526"/>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000"/>
      <c r="AP13" s="2000" t="str">
        <f>IF(T13="","",T13)</f>
        <v>Добавить источник для дифференциации</v>
      </c>
      <c r="AQ13" s="2000"/>
      <c r="AR13" s="2000"/>
      <c r="AS13" s="1729">
        <v>0</v>
      </c>
    </row>
    <row s="65923" customFormat="1" customHeight="1" ht="0.75" hidden="1">
      <c r="A14" s="2525"/>
      <c r="B14" s="2525"/>
      <c r="C14" s="2525"/>
      <c r="D14" s="2525"/>
      <c r="E14" s="3470"/>
      <c r="F14" s="3469"/>
      <c r="G14" s="2525"/>
      <c r="H14" s="2525"/>
      <c r="I14" s="2525"/>
      <c r="J14" s="2525"/>
      <c r="K14" s="2525"/>
      <c r="L14" s="2550"/>
      <c r="M14" s="2532"/>
      <c r="N14" s="2532"/>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000"/>
      <c r="AP14" s="2000" t="str">
        <f>IF(T14="","",T14)</f>
        <v>Добавить централизованную систему для дифференциации</v>
      </c>
      <c r="AQ14" s="2000"/>
      <c r="AR14" s="2000"/>
      <c r="AS14" s="1729">
        <v>0</v>
      </c>
    </row>
    <row s="65923" customFormat="1" customHeight="1" ht="0.75" hidden="1">
      <c r="A15" s="2525"/>
      <c r="B15" s="2525"/>
      <c r="C15" s="2525"/>
      <c r="D15" s="2525"/>
      <c r="E15" s="3469"/>
      <c r="F15" s="2525"/>
      <c r="G15" s="2525"/>
      <c r="H15" s="2525"/>
      <c r="I15" s="2525"/>
      <c r="J15" s="2525"/>
      <c r="K15" s="2525"/>
      <c r="L15" s="2550"/>
      <c r="M15" s="2532"/>
      <c r="N15" s="2532"/>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000"/>
      <c r="AP15" s="2000" t="str">
        <f>IF(T15="","",T15)</f>
        <v>Добавить территорию для дифференциации</v>
      </c>
      <c r="AQ15" s="2000"/>
      <c r="AR15" s="2000"/>
      <c r="AS15" s="1729">
        <v>0</v>
      </c>
    </row>
    <row customHeight="1" ht="14.25" hidden="1">
      <c r="AC16" s="1538"/>
      <c r="AK16" s="1538"/>
      <c r="AS16" s="2366">
        <v>0</v>
      </c>
    </row>
    <row customHeight="1" ht="14.25" hidden="1">
      <c r="P17" s="2522"/>
      <c r="AD17" s="2571"/>
      <c r="AE17" s="2571"/>
      <c r="AF17" s="2571"/>
      <c r="AG17" s="2572"/>
      <c r="AH17" s="3478"/>
      <c r="AI17" s="3479" t="s">
        <v>62</v>
      </c>
      <c r="AJ17" s="3478"/>
      <c r="AK17" s="3479" t="s">
        <v>62</v>
      </c>
      <c r="AS17" s="2366">
        <v>0</v>
      </c>
    </row>
    <row customHeight="1" ht="14.25" hidden="1">
      <c r="P18" s="2522"/>
      <c r="AD18" s="2571"/>
      <c r="AE18" s="2571"/>
      <c r="AF18" s="2571"/>
      <c r="AG18" s="1539" t="str">
        <f>AH17&amp;"-"&amp;AJ17</f>
        <v>-</v>
      </c>
      <c r="AH18" s="3479"/>
      <c r="AI18" s="3479"/>
      <c r="AJ18" s="3479"/>
      <c r="AK18" s="3479"/>
      <c r="AS18" s="2366">
        <v>0</v>
      </c>
    </row>
    <row customHeight="1" ht="14.25" hidden="1">
      <c r="P19" s="2522"/>
      <c r="AK19" s="1538"/>
      <c r="AS19" s="2366">
        <v>0</v>
      </c>
    </row>
    <row s="66852" customFormat="1" customHeight="1" ht="22.5" hidden="1">
      <c r="L20" s="2540"/>
      <c r="M20" s="2573"/>
      <c r="N20" s="2573"/>
      <c r="O20" s="2578" t="s">
        <v>435</v>
      </c>
      <c r="P20" s="2573"/>
      <c r="Q20" s="2582"/>
      <c r="R20" s="2582"/>
      <c r="S20" s="1940"/>
      <c r="Z20" s="2578"/>
      <c r="AB20" s="2578"/>
      <c r="AC20" s="2577"/>
      <c r="AH20" s="2578"/>
      <c r="AJ20" s="2578"/>
      <c r="AK20" s="2577"/>
      <c r="AN20" s="1722"/>
      <c r="AO20" s="1722"/>
      <c r="AP20" s="1722"/>
      <c r="AQ20" s="1722"/>
      <c r="AR20" s="1722"/>
      <c r="AS20" s="2371">
        <v>0</v>
      </c>
    </row>
    <row s="66852" customFormat="1" customHeight="1" ht="14.25" hidden="1">
      <c r="L21" s="2540"/>
      <c r="M21" s="2573"/>
      <c r="N21" s="2573"/>
      <c r="O21" s="2573"/>
      <c r="P21" s="2573"/>
      <c r="Q21" s="2582"/>
      <c r="R21" s="2582"/>
      <c r="S21" s="1940"/>
      <c r="AC21" s="2577"/>
      <c r="AK21" s="2577"/>
      <c r="AN21" s="1722"/>
      <c r="AO21" s="1722"/>
      <c r="AP21" s="1722"/>
      <c r="AQ21" s="1722"/>
      <c r="AR21" s="1722"/>
      <c r="AS21" s="2371">
        <v>0</v>
      </c>
    </row>
    <row s="66852" customFormat="1" customHeight="1" ht="14.25" hidden="1">
      <c r="L22" s="2540"/>
      <c r="M22" s="2573"/>
      <c r="N22" s="2573"/>
      <c r="O22" s="2575" t="s">
        <v>436</v>
      </c>
      <c r="P22" s="2573"/>
      <c r="Q22" s="2582"/>
      <c r="R22" s="2582"/>
      <c r="S22" s="1940"/>
      <c r="T22" s="2371" t="s">
        <v>437</v>
      </c>
      <c r="AA22" s="1397" t="s">
        <v>438</v>
      </c>
      <c r="AC22" s="1397" t="s">
        <v>439</v>
      </c>
      <c r="AD22" s="2371" t="s">
        <v>437</v>
      </c>
      <c r="AI22" s="1397" t="s">
        <v>440</v>
      </c>
      <c r="AK22" s="1397" t="s">
        <v>439</v>
      </c>
      <c r="AN22" s="1722"/>
      <c r="AO22" s="1722"/>
      <c r="AP22" s="1722"/>
      <c r="AQ22" s="1722"/>
      <c r="AR22" s="1722"/>
      <c r="AS22" s="2371">
        <v>0</v>
      </c>
    </row>
    <row customHeight="1" ht="14.25" hidden="1">
      <c r="O23" s="2575"/>
      <c r="P23" s="2522"/>
      <c r="AS23" s="2366">
        <v>0</v>
      </c>
    </row>
    <row customHeight="1" ht="14.25" hidden="1">
      <c r="O24" s="2575"/>
      <c r="P24" s="2522"/>
      <c r="AS24" s="2366">
        <v>0</v>
      </c>
    </row>
    <row customHeight="1" ht="14.699999999999998">
      <c r="Q25" s="1587"/>
      <c r="R25" s="1587"/>
      <c r="S25" s="2486"/>
      <c r="T25" s="1574"/>
      <c r="U25" s="1574"/>
      <c r="V25" s="1720"/>
      <c r="W25" s="1720"/>
      <c r="X25" s="1720"/>
      <c r="Y25" s="1720"/>
      <c r="Z25" s="1720"/>
      <c r="AA25" s="1720"/>
      <c r="AB25" s="1720"/>
      <c r="AC25" s="1720"/>
      <c r="AD25" s="1720"/>
      <c r="AE25" s="1720"/>
      <c r="AF25" s="1720"/>
      <c r="AG25" s="1720"/>
      <c r="AH25" s="1720"/>
      <c r="AI25" s="1720"/>
      <c r="AJ25" s="1720"/>
      <c r="AK25" s="1720"/>
      <c r="AS25" s="2366">
        <v>14</v>
      </c>
    </row>
    <row customHeight="1" ht="14.699999999999998">
      <c r="Q26" s="1587"/>
      <c r="R26" s="1587"/>
      <c r="S26" s="34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3459"/>
      <c r="U26" s="3459"/>
      <c r="V26" s="3459"/>
      <c r="W26" s="3459"/>
      <c r="X26" s="3459"/>
      <c r="Y26" s="3459"/>
      <c r="Z26" s="3459"/>
      <c r="AA26" s="3459"/>
      <c r="AB26" s="3459"/>
      <c r="AC26" s="3459"/>
      <c r="AD26" s="3459"/>
      <c r="AE26" s="3459"/>
      <c r="AF26" s="3459"/>
      <c r="AG26" s="3459"/>
      <c r="AH26" s="3459"/>
      <c r="AI26" s="3459"/>
      <c r="AJ26" s="3459"/>
      <c r="AK26" s="2454"/>
      <c r="AS26" s="2366">
        <v>14</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366">
        <v>14</v>
      </c>
    </row>
    <row customHeight="1" ht="14.25" hidden="1">
      <c r="Q28" s="1587"/>
      <c r="R28" s="1587"/>
      <c r="S28" s="2486"/>
      <c r="T28" s="1574"/>
      <c r="U28" s="1574"/>
      <c r="V28" s="1533"/>
      <c r="W28" s="1533"/>
      <c r="X28" s="1533"/>
      <c r="Y28" s="1533"/>
      <c r="Z28" s="1533"/>
      <c r="AA28" s="1533"/>
      <c r="AB28" s="1533"/>
      <c r="AC28" s="1533"/>
      <c r="AD28" s="1533"/>
      <c r="AE28" s="1533"/>
      <c r="AF28" s="1533"/>
      <c r="AG28" s="1533"/>
      <c r="AH28" s="1533"/>
      <c r="AI28" s="1533"/>
      <c r="AJ28" s="1533"/>
      <c r="AK28" s="1533"/>
      <c r="AL28" s="1720"/>
      <c r="AS28" s="2366">
        <v>0</v>
      </c>
    </row>
    <row s="67333" customFormat="1" customHeight="1" ht="25.5" hidden="1">
      <c r="A29" s="2579"/>
      <c r="B29" s="2579"/>
      <c r="C29" s="2579"/>
      <c r="D29" s="2579"/>
      <c r="E29" s="2579"/>
      <c r="F29" s="2579"/>
      <c r="G29" s="2579"/>
      <c r="H29" s="2579"/>
      <c r="I29" s="2579"/>
      <c r="J29" s="2579"/>
      <c r="K29" s="2579"/>
      <c r="L29" s="2580"/>
      <c r="M29" s="2579"/>
      <c r="N29" s="2579"/>
      <c r="O29" s="2579"/>
      <c r="S29" s="3461" t="s">
        <v>41</v>
      </c>
      <c r="T29" s="3461"/>
      <c r="U29" s="2583"/>
      <c r="V29" s="3462" t="str">
        <f>IF(TITLE_NAME_OR_PR_CHANGE="",IF(TITLE_NAME_OR_PR="","",TITLE_NAME_OR_PR),TITLE_NAME_OR_PR_CHANGE)</f>
        <v/>
      </c>
      <c r="W29" s="3462"/>
      <c r="X29" s="3462"/>
      <c r="Y29" s="3462"/>
      <c r="Z29" s="3462"/>
      <c r="AA29" s="3462"/>
      <c r="AB29" s="3462"/>
      <c r="AC29" s="1537"/>
      <c r="AD29" s="3462" t="str">
        <f>IF(TITLE_NAME_OR_PR_CHANGE="",IF(TITLE_NAME_OR_PR="","",TITLE_NAME_OR_PR),TITLE_NAME_OR_PR_CHANGE)</f>
        <v/>
      </c>
      <c r="AE29" s="3462"/>
      <c r="AF29" s="3462"/>
      <c r="AG29" s="3462"/>
      <c r="AH29" s="3462"/>
      <c r="AI29" s="3462"/>
      <c r="AJ29" s="3462"/>
      <c r="AK29" s="1537"/>
      <c r="AL29" s="1537"/>
      <c r="AM29" s="1491"/>
      <c r="AN29" s="1579"/>
      <c r="AO29" s="1579"/>
      <c r="AP29" s="1579"/>
      <c r="AQ29" s="1579"/>
      <c r="AR29" s="1579"/>
      <c r="AS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441</v>
      </c>
      <c r="T30" s="3461"/>
      <c r="U30" s="2583"/>
      <c r="V30" s="3475" t="str">
        <f>IF(TITLE_DATE_PR_CHANGE="",IF(TITLE_DATE_PR="","",TITLE_DATE_PR),TITLE_DATE_PR_CHANGE)</f>
        <v/>
      </c>
      <c r="W30" s="3475"/>
      <c r="X30" s="3475"/>
      <c r="Y30" s="3475"/>
      <c r="Z30" s="3475"/>
      <c r="AA30" s="3475"/>
      <c r="AB30" s="3475"/>
      <c r="AC30" s="1537"/>
      <c r="AD30" s="3475" t="str">
        <f>IF(TITLE_DATE_PR_CHANGE="",IF(TITLE_DATE_PR="","",TITLE_DATE_PR),TITLE_DATE_PR_CHANGE)</f>
        <v/>
      </c>
      <c r="AE30" s="3475"/>
      <c r="AF30" s="3475"/>
      <c r="AG30" s="3475"/>
      <c r="AH30" s="3475"/>
      <c r="AI30" s="3475"/>
      <c r="AJ30" s="3475"/>
      <c r="AK30" s="1537"/>
      <c r="AL30" s="1537"/>
      <c r="AM30" s="1491"/>
      <c r="AN30" s="1579"/>
      <c r="AO30" s="1579"/>
      <c r="AP30" s="1579"/>
      <c r="AQ30" s="1579"/>
      <c r="AR30" s="1579"/>
      <c r="AS30" s="1629">
        <v>0</v>
      </c>
    </row>
    <row s="67333" customFormat="1" customHeight="1" ht="18.75" hidden="1">
      <c r="A31" s="2579"/>
      <c r="B31" s="2579"/>
      <c r="C31" s="2579"/>
      <c r="D31" s="2579"/>
      <c r="E31" s="2579"/>
      <c r="F31" s="2579"/>
      <c r="G31" s="2579"/>
      <c r="H31" s="2579"/>
      <c r="I31" s="2579"/>
      <c r="J31" s="2579"/>
      <c r="K31" s="2579"/>
      <c r="L31" s="2580"/>
      <c r="M31" s="2579"/>
      <c r="N31" s="2579"/>
      <c r="O31" s="2579"/>
      <c r="S31" s="3461" t="s">
        <v>442</v>
      </c>
      <c r="T31" s="3461"/>
      <c r="U31" s="2583"/>
      <c r="V31" s="3462" t="str">
        <f>IF(TITLE_NUMBER_PR_CHANGE="",IF(TITLE_NUMBER_PR="","",TITLE_NUMBER_PR),TITLE_NUMBER_PR_CHANGE)</f>
        <v/>
      </c>
      <c r="W31" s="3462"/>
      <c r="X31" s="3462"/>
      <c r="Y31" s="3462"/>
      <c r="Z31" s="3462"/>
      <c r="AA31" s="3462"/>
      <c r="AB31" s="3462"/>
      <c r="AC31" s="1537"/>
      <c r="AD31" s="3462" t="str">
        <f>IF(TITLE_NUMBER_PR_CHANGE="",IF(TITLE_NUMBER_PR="","",TITLE_NUMBER_PR),TITLE_NUMBER_PR_CHANGE)</f>
        <v/>
      </c>
      <c r="AE31" s="3462"/>
      <c r="AF31" s="3462"/>
      <c r="AG31" s="3462"/>
      <c r="AH31" s="3462"/>
      <c r="AI31" s="3462"/>
      <c r="AJ31" s="3462"/>
      <c r="AK31" s="1537"/>
      <c r="AL31" s="1537"/>
      <c r="AM31" s="1491"/>
      <c r="AN31" s="1579"/>
      <c r="AO31" s="1579"/>
      <c r="AP31" s="1579"/>
      <c r="AQ31" s="1579"/>
      <c r="AR31" s="1579"/>
      <c r="AS31" s="1629">
        <v>0</v>
      </c>
    </row>
    <row s="67333" customFormat="1" customHeight="1" ht="18.75" hidden="1">
      <c r="A32" s="2579"/>
      <c r="B32" s="2579"/>
      <c r="C32" s="2579"/>
      <c r="D32" s="2579"/>
      <c r="E32" s="2579"/>
      <c r="F32" s="2579"/>
      <c r="G32" s="2579"/>
      <c r="H32" s="2579"/>
      <c r="I32" s="2579"/>
      <c r="J32" s="2579"/>
      <c r="K32" s="2579"/>
      <c r="L32" s="2580"/>
      <c r="M32" s="2579"/>
      <c r="N32" s="2579"/>
      <c r="O32" s="2579"/>
      <c r="S32" s="3461" t="s">
        <v>42</v>
      </c>
      <c r="T32" s="3461"/>
      <c r="U32" s="2583"/>
      <c r="V32" s="3462" t="str">
        <f>IF(TITLE_IST_PUB_CHANGE="",IF(TITLE_IST_PUB="","",TITLE_IST_PUB),TITLE_IST_PUB_CHANGE)</f>
        <v/>
      </c>
      <c r="W32" s="3462"/>
      <c r="X32" s="3462"/>
      <c r="Y32" s="3462"/>
      <c r="Z32" s="3462"/>
      <c r="AA32" s="3462"/>
      <c r="AB32" s="3462"/>
      <c r="AC32" s="1537"/>
      <c r="AD32" s="3462" t="str">
        <f>IF(TITLE_IST_PUB_CHANGE="",IF(TITLE_IST_PUB="","",TITLE_IST_PUB),TITLE_IST_PUB_CHANGE)</f>
        <v/>
      </c>
      <c r="AE32" s="3462"/>
      <c r="AF32" s="3462"/>
      <c r="AG32" s="3462"/>
      <c r="AH32" s="3462"/>
      <c r="AI32" s="3462"/>
      <c r="AJ32" s="3462"/>
      <c r="AK32" s="1537"/>
      <c r="AL32" s="1537"/>
      <c r="AM32" s="1491"/>
      <c r="AN32" s="1579"/>
      <c r="AO32" s="1579"/>
      <c r="AP32" s="1579"/>
      <c r="AQ32" s="1579"/>
      <c r="AR32" s="1579"/>
      <c r="AS32" s="1629">
        <v>0</v>
      </c>
    </row>
    <row customHeight="1" ht="14.25" hidden="1">
      <c r="P33" s="2539"/>
      <c r="Q33" s="1587"/>
      <c r="R33" s="1587"/>
      <c r="S33" s="2486"/>
      <c r="T33" s="1574"/>
      <c r="U33" s="1574"/>
      <c r="V33" s="1533"/>
      <c r="W33" s="1533"/>
      <c r="X33" s="1533"/>
      <c r="Y33" s="1533"/>
      <c r="Z33" s="1533"/>
      <c r="AA33" s="1533"/>
      <c r="AB33" s="1533"/>
      <c r="AC33" s="1533"/>
      <c r="AD33" s="1533"/>
      <c r="AE33" s="1533"/>
      <c r="AF33" s="1533"/>
      <c r="AG33" s="1533"/>
      <c r="AH33" s="1533"/>
      <c r="AI33" s="1533"/>
      <c r="AJ33" s="1533"/>
      <c r="AK33" s="1533"/>
      <c r="AL33" s="1720"/>
      <c r="AS33" s="2366">
        <v>0</v>
      </c>
    </row>
    <row s="67333" customFormat="1" customHeight="1" ht="18.75" hidden="1">
      <c r="A34" s="2579"/>
      <c r="B34" s="2579"/>
      <c r="C34" s="2579"/>
      <c r="D34" s="2579"/>
      <c r="E34" s="2579"/>
      <c r="F34" s="2579"/>
      <c r="G34" s="2579"/>
      <c r="H34" s="2579"/>
      <c r="I34" s="2579"/>
      <c r="J34" s="2579"/>
      <c r="K34" s="2579"/>
      <c r="L34" s="2580"/>
      <c r="M34" s="2579"/>
      <c r="N34" s="2579"/>
      <c r="O34" s="2579"/>
      <c r="S34" s="3461" t="s">
        <v>443</v>
      </c>
      <c r="T34" s="3461"/>
      <c r="U34" s="2583"/>
      <c r="V34" s="3475" t="str">
        <f>IF(TITLE_DATE_PR_CHANGE="",IF(TITLE_DATE_PR="","",TITLE_DATE_PR),TITLE_DATE_PR_CHANGE)</f>
        <v/>
      </c>
      <c r="W34" s="3475"/>
      <c r="X34" s="3475"/>
      <c r="Y34" s="3475"/>
      <c r="Z34" s="3475"/>
      <c r="AA34" s="3475"/>
      <c r="AB34" s="3475"/>
      <c r="AC34" s="1537"/>
      <c r="AD34" s="3475" t="str">
        <f>IF(TITLE_DATE_PR_CHANGE="",IF(TITLE_DATE_PR="","",TITLE_DATE_PR),TITLE_DATE_PR_CHANGE)</f>
        <v/>
      </c>
      <c r="AE34" s="3475"/>
      <c r="AF34" s="3475"/>
      <c r="AG34" s="3475"/>
      <c r="AH34" s="3475"/>
      <c r="AI34" s="3475"/>
      <c r="AJ34" s="3475"/>
      <c r="AK34" s="1537"/>
      <c r="AL34" s="1537"/>
      <c r="AM34" s="1491"/>
      <c r="AN34" s="1579"/>
      <c r="AO34" s="1579"/>
      <c r="AP34" s="1579"/>
      <c r="AQ34" s="1579"/>
      <c r="AR34" s="1579"/>
      <c r="AS34" s="1629">
        <v>0</v>
      </c>
    </row>
    <row s="67333" customFormat="1" customHeight="1" ht="18.75" hidden="1">
      <c r="A35" s="2579"/>
      <c r="B35" s="2579"/>
      <c r="C35" s="2579"/>
      <c r="D35" s="2579"/>
      <c r="E35" s="2579"/>
      <c r="F35" s="2579"/>
      <c r="G35" s="2579"/>
      <c r="H35" s="2579"/>
      <c r="I35" s="2579"/>
      <c r="J35" s="2579"/>
      <c r="K35" s="2579"/>
      <c r="L35" s="2580"/>
      <c r="M35" s="2579"/>
      <c r="N35" s="2579"/>
      <c r="O35" s="2579"/>
      <c r="S35" s="3461" t="s">
        <v>444</v>
      </c>
      <c r="T35" s="3461"/>
      <c r="U35" s="2583"/>
      <c r="V35" s="3462" t="str">
        <f>IF(TITLE_NUMBER_PR_CHANGE="",IF(TITLE_NUMBER_PR="","",TITLE_NUMBER_PR),TITLE_NUMBER_PR_CHANGE)</f>
        <v/>
      </c>
      <c r="W35" s="3462"/>
      <c r="X35" s="3462"/>
      <c r="Y35" s="3462"/>
      <c r="Z35" s="3462"/>
      <c r="AA35" s="3462"/>
      <c r="AB35" s="3462"/>
      <c r="AC35" s="1537"/>
      <c r="AD35" s="3462" t="str">
        <f>IF(TITLE_NUMBER_PR_CHANGE="",IF(TITLE_NUMBER_PR="","",TITLE_NUMBER_PR),TITLE_NUMBER_PR_CHANGE)</f>
        <v/>
      </c>
      <c r="AE35" s="3462"/>
      <c r="AF35" s="3462"/>
      <c r="AG35" s="3462"/>
      <c r="AH35" s="3462"/>
      <c r="AI35" s="3462"/>
      <c r="AJ35" s="3462"/>
      <c r="AK35" s="1537"/>
      <c r="AL35" s="1537"/>
      <c r="AM35" s="1491"/>
      <c r="AN35" s="1579"/>
      <c r="AO35" s="1579"/>
      <c r="AP35" s="1579"/>
      <c r="AQ35" s="1579"/>
      <c r="AR35" s="1579"/>
      <c r="AS35" s="1629">
        <v>0</v>
      </c>
    </row>
    <row s="67333" customFormat="1" customHeight="1" ht="0">
      <c r="A36" s="2579"/>
      <c r="B36" s="2579"/>
      <c r="C36" s="2579"/>
      <c r="D36" s="2579"/>
      <c r="E36" s="2579"/>
      <c r="F36" s="2579"/>
      <c r="G36" s="2579"/>
      <c r="H36" s="2579"/>
      <c r="I36" s="2579"/>
      <c r="J36" s="2579"/>
      <c r="K36" s="2579"/>
      <c r="L36" s="2580"/>
      <c r="M36" s="2579"/>
      <c r="N36" s="2579"/>
      <c r="O36" s="2579"/>
      <c r="S36" s="1534"/>
      <c r="T36" s="1534"/>
      <c r="U36" s="2430"/>
      <c r="V36" s="1537"/>
      <c r="W36" s="1537"/>
      <c r="X36" s="1537"/>
      <c r="Y36" s="1537"/>
      <c r="Z36" s="1537"/>
      <c r="AA36" s="1537"/>
      <c r="AB36" s="1537"/>
      <c r="AC36" s="1489" t="s">
        <v>445</v>
      </c>
      <c r="AD36" s="1537"/>
      <c r="AE36" s="1537"/>
      <c r="AF36" s="1537"/>
      <c r="AG36" s="1537"/>
      <c r="AH36" s="1537"/>
      <c r="AI36" s="1537"/>
      <c r="AJ36" s="1537"/>
      <c r="AK36" s="1489" t="s">
        <v>445</v>
      </c>
      <c r="AN36" s="1579"/>
      <c r="AO36" s="1579"/>
      <c r="AP36" s="1579"/>
      <c r="AQ36" s="1579"/>
      <c r="AR36" s="1579"/>
      <c r="AS36" s="1629">
        <v>0</v>
      </c>
    </row>
    <row customHeight="1" ht="14.699999999999998">
      <c r="Q37" s="1587"/>
      <c r="R37" s="1587"/>
      <c r="S37" s="2486"/>
      <c r="T37" s="1574"/>
      <c r="U37" s="2455"/>
      <c r="V37" s="3463"/>
      <c r="W37" s="3463"/>
      <c r="X37" s="3463"/>
      <c r="Y37" s="3463"/>
      <c r="Z37" s="3463"/>
      <c r="AA37" s="3463"/>
      <c r="AB37" s="3463"/>
      <c r="AC37" s="3463"/>
      <c r="AD37" s="3463"/>
      <c r="AE37" s="3463"/>
      <c r="AF37" s="3463"/>
      <c r="AG37" s="3463"/>
      <c r="AH37" s="3463"/>
      <c r="AI37" s="3463"/>
      <c r="AJ37" s="3463"/>
      <c r="AK37" s="3463"/>
      <c r="AS37" s="2366">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366">
        <v>14</v>
      </c>
    </row>
    <row customHeight="1" ht="14.699999999999998">
      <c r="Q39" s="1587"/>
      <c r="R39" s="1587"/>
      <c r="S39" s="3484" t="s">
        <v>88</v>
      </c>
      <c r="T39" s="3420" t="s">
        <v>446</v>
      </c>
      <c r="U39" s="1512"/>
      <c r="V39" s="3485" t="s">
        <v>447</v>
      </c>
      <c r="W39" s="3486"/>
      <c r="X39" s="3486"/>
      <c r="Y39" s="3486"/>
      <c r="Z39" s="3486"/>
      <c r="AA39" s="3486"/>
      <c r="AB39" s="3487"/>
      <c r="AC39" s="3488" t="s">
        <v>448</v>
      </c>
      <c r="AD39" s="3485" t="s">
        <v>447</v>
      </c>
      <c r="AE39" s="3486"/>
      <c r="AF39" s="3486"/>
      <c r="AG39" s="3486"/>
      <c r="AH39" s="3486"/>
      <c r="AI39" s="3486"/>
      <c r="AJ39" s="3487"/>
      <c r="AK39" s="3488" t="s">
        <v>449</v>
      </c>
      <c r="AL39" s="3491" t="s">
        <v>450</v>
      </c>
      <c r="AM39" s="3338"/>
      <c r="AS39" s="2366">
        <v>14</v>
      </c>
    </row>
    <row customHeight="1" ht="35.699999999999996">
      <c r="Q40" s="1587"/>
      <c r="R40" s="1587"/>
      <c r="S40" s="3484"/>
      <c r="T40" s="3420"/>
      <c r="U40" s="2242"/>
      <c r="V40" s="3471" t="s">
        <v>451</v>
      </c>
      <c r="W40" s="3821" t="s">
        <v>452</v>
      </c>
      <c r="X40" s="3473" t="s">
        <v>453</v>
      </c>
      <c r="Y40" s="3474"/>
      <c r="Z40" s="3473" t="s">
        <v>454</v>
      </c>
      <c r="AA40" s="3480"/>
      <c r="AB40" s="3474"/>
      <c r="AC40" s="3489"/>
      <c r="AD40" s="3471" t="s">
        <v>451</v>
      </c>
      <c r="AE40" s="3494" t="s">
        <v>452</v>
      </c>
      <c r="AF40" s="3473" t="s">
        <v>453</v>
      </c>
      <c r="AG40" s="3474"/>
      <c r="AH40" s="3473" t="s">
        <v>454</v>
      </c>
      <c r="AI40" s="3480"/>
      <c r="AJ40" s="3474"/>
      <c r="AK40" s="3489"/>
      <c r="AL40" s="3492"/>
      <c r="AM40" s="3338"/>
      <c r="AS40" s="2366">
        <v>34</v>
      </c>
    </row>
    <row customHeight="1" ht="35.699999999999996">
      <c r="A41" s="2581"/>
      <c r="B41" s="2581" t="s">
        <v>155</v>
      </c>
      <c r="C41" s="2581" t="s">
        <v>156</v>
      </c>
      <c r="D41" s="2581" t="s">
        <v>157</v>
      </c>
      <c r="E41" s="2575" t="s">
        <v>455</v>
      </c>
      <c r="F41" s="2575" t="s">
        <v>456</v>
      </c>
      <c r="G41" s="2575" t="s">
        <v>457</v>
      </c>
      <c r="H41" s="2575" t="s">
        <v>458</v>
      </c>
      <c r="I41" s="2575" t="s">
        <v>459</v>
      </c>
      <c r="J41" s="2575" t="s">
        <v>460</v>
      </c>
      <c r="K41" s="2575" t="s">
        <v>461</v>
      </c>
      <c r="L41" s="2575" t="s">
        <v>436</v>
      </c>
      <c r="Q41" s="1587"/>
      <c r="R41" s="1587"/>
      <c r="S41" s="3484"/>
      <c r="T41" s="3420"/>
      <c r="U41" s="1513"/>
      <c r="V41" s="3472"/>
      <c r="W41" s="3495"/>
      <c r="X41" s="2433" t="s">
        <v>462</v>
      </c>
      <c r="Y41" s="2433" t="s">
        <v>463</v>
      </c>
      <c r="Z41" s="2432" t="s">
        <v>464</v>
      </c>
      <c r="AA41" s="3481" t="s">
        <v>465</v>
      </c>
      <c r="AB41" s="3482"/>
      <c r="AC41" s="3490"/>
      <c r="AD41" s="3472"/>
      <c r="AE41" s="3495"/>
      <c r="AF41" s="2433" t="s">
        <v>462</v>
      </c>
      <c r="AG41" s="2433" t="s">
        <v>463</v>
      </c>
      <c r="AH41" s="2524" t="s">
        <v>464</v>
      </c>
      <c r="AI41" s="3481" t="s">
        <v>465</v>
      </c>
      <c r="AJ41" s="3482"/>
      <c r="AK41" s="3490"/>
      <c r="AL41" s="3493"/>
      <c r="AM41" s="3338"/>
      <c r="AS41" s="2366">
        <v>34</v>
      </c>
    </row>
    <row s="65897" customFormat="1" customHeight="1" ht="11.25" hidden="1">
      <c r="A42" s="2581"/>
      <c r="B42" s="2581"/>
      <c r="C42" s="2581"/>
      <c r="D42" s="2581"/>
      <c r="E42" s="2581"/>
      <c r="F42" s="2581"/>
      <c r="G42" s="2581"/>
      <c r="H42" s="2581"/>
      <c r="I42" s="2581"/>
      <c r="J42" s="2581"/>
      <c r="K42" s="2581"/>
      <c r="L42" s="2575"/>
      <c r="M42" s="2573"/>
      <c r="N42" s="2573"/>
      <c r="O42" s="2573"/>
      <c r="P42" s="2457"/>
      <c r="Q42" s="2458"/>
      <c r="R42" s="2465">
        <v>1</v>
      </c>
      <c r="S42" s="2488" t="s">
        <v>99</v>
      </c>
      <c r="T42" s="2466" t="s">
        <v>102</v>
      </c>
      <c r="U42" s="2456" t="str">
        <f>OFFSET(U42,0,-1)</f>
        <v>2</v>
      </c>
      <c r="V42" s="2467">
        <f>OFFSET(V42,0,-1)+1</f>
        <v>3</v>
      </c>
      <c r="W42" s="2467"/>
      <c r="X42" s="2467">
        <f>OFFSET(X42,0,-1)+1</f>
        <v>1</v>
      </c>
      <c r="Y42" s="2467">
        <f>OFFSET(Y42,0,-1)+1</f>
        <v>2</v>
      </c>
      <c r="Z42" s="2467">
        <f>OFFSET(Z42,0,-1)+1</f>
        <v>3</v>
      </c>
      <c r="AA42" s="3483">
        <f>OFFSET(AA42,0,-1)+1</f>
        <v>4</v>
      </c>
      <c r="AB42" s="3483"/>
      <c r="AC42" s="2467">
        <f>OFFSET(AC42,0,-2)+1</f>
        <v>5</v>
      </c>
      <c r="AD42" s="2523">
        <f>OFFSET(AD42,0,-1)+1</f>
        <v>6</v>
      </c>
      <c r="AE42" s="2523"/>
      <c r="AF42" s="2523">
        <f>OFFSET(AF42,0,-1)+1</f>
        <v>1</v>
      </c>
      <c r="AG42" s="2523">
        <f>OFFSET(AG42,0,-1)+1</f>
        <v>2</v>
      </c>
      <c r="AH42" s="2523">
        <f>OFFSET(AH42,0,-1)+1</f>
        <v>3</v>
      </c>
      <c r="AI42" s="3483">
        <f>OFFSET(AI42,0,-1)+1</f>
        <v>4</v>
      </c>
      <c r="AJ42" s="3483"/>
      <c r="AK42" s="2523">
        <f>OFFSET(AK42,0,-2)+1</f>
        <v>5</v>
      </c>
      <c r="AL42" s="2456">
        <f>OFFSET(AL42,0,-1)</f>
        <v>5</v>
      </c>
      <c r="AM42" s="2467">
        <f>OFFSET(AM42,0,-1)+1</f>
        <v>6</v>
      </c>
      <c r="AN42" s="1722"/>
      <c r="AO42" s="1722"/>
      <c r="AP42" s="1722"/>
      <c r="AQ42" s="1722"/>
      <c r="AR42" s="1722"/>
      <c r="AS42" s="1707">
        <v>0</v>
      </c>
    </row>
    <row customHeight="1" ht="24">
      <c r="A43" s="2574" t="s">
        <v>176</v>
      </c>
      <c r="B43" s="2574"/>
      <c r="C43" s="2574"/>
      <c r="D43" s="2574"/>
      <c r="E43" s="3469">
        <v>1</v>
      </c>
      <c r="F43" s="2574"/>
      <c r="G43" s="2574"/>
      <c r="H43" s="2574"/>
      <c r="I43" s="2574"/>
      <c r="J43" s="2574"/>
      <c r="K43" s="2574"/>
      <c r="L43" s="2575"/>
      <c r="M43" s="2576"/>
      <c r="N43" s="2576"/>
      <c r="O43" s="2576"/>
      <c r="P43" s="1572"/>
      <c r="Q43" s="1571"/>
      <c r="R43" s="1566"/>
      <c r="S43" s="2435">
        <f>INDEX(PT_DIFFERENTIATION_NUM_NTAR,MATCH(A43,PT_DIFFERENTIATION_NTAR_ID,0))</f>
        <v>0</v>
      </c>
      <c r="T43" s="1509"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11"/>
      <c r="AP43" s="1711" t="str">
        <f>IF(T43="","",T43)</f>
        <v>Наименование тарифа</v>
      </c>
      <c r="AQ43" s="1711"/>
      <c r="AR43" s="1711"/>
      <c r="AS43" s="2366">
        <v>23</v>
      </c>
    </row>
    <row customHeight="1" ht="24">
      <c r="A44" s="2574" t="s">
        <v>176</v>
      </c>
      <c r="B44" s="2574" t="s">
        <v>177</v>
      </c>
      <c r="C44" s="2574"/>
      <c r="D44" s="2574"/>
      <c r="E44" s="3470"/>
      <c r="F44" s="3469">
        <v>1</v>
      </c>
      <c r="G44" s="2574"/>
      <c r="H44" s="2574"/>
      <c r="I44" s="2574"/>
      <c r="J44" s="2574"/>
      <c r="K44" s="2574"/>
      <c r="L44" s="2575"/>
      <c r="M44" s="2576"/>
      <c r="N44" s="2576"/>
      <c r="O44" s="2576"/>
      <c r="P44" s="1733"/>
      <c r="Q44" s="1563"/>
      <c r="R44" s="1564"/>
      <c r="S44" s="2435" t="str">
        <f>INDEX(PT_DIFFERENTIATION_NUM_TER,MATCH(B44,PT_DIFFERENTIATION_TER_ID,0))</f>
        <v>.</v>
      </c>
      <c r="T44" s="1519"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1711"/>
      <c r="AP44" s="1711" t="str">
        <f>IF(T44="","",T44)</f>
        <v>Территория действия тарифа</v>
      </c>
      <c r="AQ44" s="1711"/>
      <c r="AR44" s="1711"/>
      <c r="AS44" s="2366">
        <v>23</v>
      </c>
    </row>
    <row customHeight="1" ht="24">
      <c r="A45" s="2574" t="s">
        <v>176</v>
      </c>
      <c r="B45" s="2574" t="s">
        <v>177</v>
      </c>
      <c r="C45" s="2574" t="s">
        <v>178</v>
      </c>
      <c r="D45" s="2574"/>
      <c r="E45" s="3470"/>
      <c r="F45" s="3470"/>
      <c r="G45" s="3469">
        <v>1</v>
      </c>
      <c r="H45" s="2574"/>
      <c r="I45" s="2574"/>
      <c r="J45" s="2574"/>
      <c r="K45" s="2574"/>
      <c r="L45" s="2575"/>
      <c r="M45" s="2576"/>
      <c r="N45" s="2576"/>
      <c r="O45" s="2576"/>
      <c r="P45" s="1565"/>
      <c r="Q45" s="1563"/>
      <c r="R45" s="1564"/>
      <c r="S45" s="2435"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1711"/>
      <c r="AP45" s="1711" t="str">
        <f>IF(T45="","",T45)</f>
        <v>Наименование системы теплоснабжения </v>
      </c>
      <c r="AQ45" s="1711"/>
      <c r="AR45" s="1711"/>
      <c r="AS45" s="2366">
        <v>23</v>
      </c>
    </row>
    <row customHeight="1" ht="24">
      <c r="A46" s="2574" t="s">
        <v>176</v>
      </c>
      <c r="B46" s="2574" t="s">
        <v>177</v>
      </c>
      <c r="C46" s="2574" t="s">
        <v>178</v>
      </c>
      <c r="D46" s="2574" t="s">
        <v>179</v>
      </c>
      <c r="E46" s="3470"/>
      <c r="F46" s="3470"/>
      <c r="G46" s="3470"/>
      <c r="H46" s="3469">
        <v>1</v>
      </c>
      <c r="I46" s="2574"/>
      <c r="J46" s="2574"/>
      <c r="K46" s="2574"/>
      <c r="L46" s="2575"/>
      <c r="M46" s="2576"/>
      <c r="N46" s="2576"/>
      <c r="O46" s="2576"/>
      <c r="P46" s="1565"/>
      <c r="Q46" s="1563"/>
      <c r="R46" s="1564"/>
      <c r="S46" s="2435"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1711"/>
      <c r="AP46" s="1711" t="str">
        <f>IF(T46="","",T46)</f>
        <v>Источник тепловой энергии  </v>
      </c>
      <c r="AQ46" s="1711"/>
      <c r="AR46" s="1711"/>
      <c r="AS46" s="2366">
        <v>23</v>
      </c>
    </row>
    <row customHeight="1" ht="49.5">
      <c r="A47" s="2574" t="s">
        <v>176</v>
      </c>
      <c r="B47" s="2574" t="s">
        <v>177</v>
      </c>
      <c r="C47" s="2574" t="s">
        <v>178</v>
      </c>
      <c r="D47" s="2574" t="s">
        <v>179</v>
      </c>
      <c r="E47" s="3470"/>
      <c r="F47" s="3470"/>
      <c r="G47" s="3470"/>
      <c r="H47" s="3470"/>
      <c r="I47" s="3467" t="str">
        <f>S46&amp;".1"</f>
        <v>....1</v>
      </c>
      <c r="J47" s="2574"/>
      <c r="K47" s="2574"/>
      <c r="L47" s="2575" t="s">
        <v>421</v>
      </c>
      <c r="P47" s="3468">
        <v>1</v>
      </c>
      <c r="Q47" s="2431"/>
      <c r="R47" s="1567"/>
      <c r="S47" s="2435" t="str">
        <f>$I47</f>
        <v>....1</v>
      </c>
      <c r="T47" s="1496" t="s">
        <v>422</v>
      </c>
      <c r="U47" s="1511"/>
      <c r="V47" s="3456"/>
      <c r="W47" s="3457"/>
      <c r="X47" s="3457"/>
      <c r="Y47" s="3457"/>
      <c r="Z47" s="3457"/>
      <c r="AA47" s="3457"/>
      <c r="AB47" s="3457"/>
      <c r="AC47" s="3458"/>
      <c r="AD47" s="3456"/>
      <c r="AE47" s="3457"/>
      <c r="AF47" s="3457"/>
      <c r="AG47" s="3457"/>
      <c r="AH47" s="3457"/>
      <c r="AI47" s="3457"/>
      <c r="AJ47" s="3457"/>
      <c r="AK47" s="3457"/>
      <c r="AL47" s="3458"/>
      <c r="AM47" s="2469" t="s">
        <v>423</v>
      </c>
      <c r="AO47" s="1711"/>
      <c r="AP47" s="1711" t="str">
        <f>IF(T47="","",T47)</f>
        <v>Схема подключения теплопотребляющей установки к коллектору источника тепловой энергии</v>
      </c>
      <c r="AQ47" s="1711"/>
      <c r="AR47" s="1711"/>
      <c r="AS47" s="2366">
        <v>47</v>
      </c>
    </row>
    <row customHeight="1" ht="24">
      <c r="A48" s="2574" t="s">
        <v>176</v>
      </c>
      <c r="B48" s="2574" t="s">
        <v>177</v>
      </c>
      <c r="C48" s="2574" t="s">
        <v>178</v>
      </c>
      <c r="D48" s="2574" t="s">
        <v>179</v>
      </c>
      <c r="E48" s="3470"/>
      <c r="F48" s="3470"/>
      <c r="G48" s="3470"/>
      <c r="H48" s="3470"/>
      <c r="I48" s="3497"/>
      <c r="J48" s="3467" t="str">
        <f>I47&amp;".1"</f>
        <v>....1.1</v>
      </c>
      <c r="K48" s="2574"/>
      <c r="L48" s="2575" t="s">
        <v>424</v>
      </c>
      <c r="P48" s="3468"/>
      <c r="Q48" s="3468">
        <v>1</v>
      </c>
      <c r="R48" s="1568"/>
      <c r="S48" s="2435" t="str">
        <f>$J48</f>
        <v>....1.1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1711"/>
      <c r="AP48" s="1711" t="str">
        <f>IF(T48="","",T48)</f>
        <v>Группа потребителей</v>
      </c>
      <c r="AQ48" s="1711"/>
      <c r="AR48" s="1711"/>
      <c r="AS48" s="2366">
        <v>23</v>
      </c>
    </row>
    <row customHeight="1" ht="24">
      <c r="A49" s="2574" t="s">
        <v>176</v>
      </c>
      <c r="B49" s="2574" t="s">
        <v>177</v>
      </c>
      <c r="C49" s="2574" t="s">
        <v>178</v>
      </c>
      <c r="D49" s="2574" t="s">
        <v>179</v>
      </c>
      <c r="E49" s="3470"/>
      <c r="F49" s="3470"/>
      <c r="G49" s="3470"/>
      <c r="H49" s="3470"/>
      <c r="I49" s="3497"/>
      <c r="J49" s="3497"/>
      <c r="K49" s="3467" t="str">
        <f>J48&amp;".1"</f>
        <v>....1.1.1</v>
      </c>
      <c r="L49" s="2575" t="s">
        <v>427</v>
      </c>
      <c r="P49" s="3468"/>
      <c r="Q49" s="3468"/>
      <c r="R49" s="1568">
        <v>1</v>
      </c>
      <c r="S49" s="2435" t="str">
        <f>$K49</f>
        <v>....1.1.1</v>
      </c>
      <c r="T49" s="2558"/>
      <c r="U49" s="1511"/>
      <c r="V49" s="1962"/>
      <c r="W49" s="1536"/>
      <c r="X49" s="1962"/>
      <c r="Y49" s="2468"/>
      <c r="Z49" s="3476"/>
      <c r="AA49" s="3318" t="s">
        <v>62</v>
      </c>
      <c r="AB49" s="3476"/>
      <c r="AC49" s="3318" t="s">
        <v>62</v>
      </c>
      <c r="AD49" s="1962"/>
      <c r="AE49" s="1536"/>
      <c r="AF49" s="1962"/>
      <c r="AG49" s="2468"/>
      <c r="AH49" s="3476"/>
      <c r="AI49" s="3318" t="s">
        <v>62</v>
      </c>
      <c r="AJ49" s="3498"/>
      <c r="AK49" s="3318" t="s">
        <v>62</v>
      </c>
      <c r="AL49" s="2559"/>
      <c r="AM49" s="3464" t="s">
        <v>428</v>
      </c>
      <c r="AN49" s="1722">
        <f>STRCHECKDATE(V50:AL50)</f>
      </c>
      <c r="AO49" s="1711"/>
      <c r="AP49" s="1711" t="str">
        <f>IF(T49="","",T49)</f>
        <v/>
      </c>
      <c r="AQ49" s="1711"/>
      <c r="AR49" s="1711"/>
      <c r="AS49" s="2366">
        <v>23</v>
      </c>
    </row>
    <row customHeight="1" ht="1.05">
      <c r="A50" s="2574" t="s">
        <v>176</v>
      </c>
      <c r="B50" s="2574" t="s">
        <v>177</v>
      </c>
      <c r="C50" s="2574" t="s">
        <v>178</v>
      </c>
      <c r="D50" s="2574" t="s">
        <v>179</v>
      </c>
      <c r="E50" s="3470"/>
      <c r="F50" s="3470"/>
      <c r="G50" s="3470"/>
      <c r="H50" s="3470"/>
      <c r="I50" s="3497"/>
      <c r="J50" s="3497"/>
      <c r="K50" s="3467"/>
      <c r="L50" s="2575"/>
      <c r="P50" s="3468"/>
      <c r="Q50" s="3468"/>
      <c r="R50" s="1568"/>
      <c r="S50" s="2434"/>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1711"/>
      <c r="AP50" s="1711" t="str">
        <f>IF(T50="","",T50)</f>
        <v/>
      </c>
      <c r="AQ50" s="1711"/>
      <c r="AR50" s="1711"/>
      <c r="AS50" s="2366">
        <v>1</v>
      </c>
    </row>
    <row customHeight="1" ht="11.549999999999999">
      <c r="A51" s="2574" t="s">
        <v>176</v>
      </c>
      <c r="B51" s="2574" t="s">
        <v>177</v>
      </c>
      <c r="C51" s="2574" t="s">
        <v>178</v>
      </c>
      <c r="D51" s="2574" t="s">
        <v>179</v>
      </c>
      <c r="E51" s="3470"/>
      <c r="F51" s="3470"/>
      <c r="G51" s="3470"/>
      <c r="H51" s="3470"/>
      <c r="I51" s="3497"/>
      <c r="J51" s="3467"/>
      <c r="K51" s="2574"/>
      <c r="L51" s="2575"/>
      <c r="P51" s="3468"/>
      <c r="Q51" s="3468"/>
      <c r="R51" s="1567"/>
      <c r="S51" s="2489"/>
      <c r="T51" s="1499" t="s">
        <v>429</v>
      </c>
      <c r="U51" s="1578"/>
      <c r="V51" s="1578"/>
      <c r="W51" s="1578"/>
      <c r="X51" s="1578"/>
      <c r="Y51" s="1578"/>
      <c r="Z51" s="1578"/>
      <c r="AA51" s="1578"/>
      <c r="AB51" s="1578"/>
      <c r="AC51" s="1578"/>
      <c r="AD51" s="1578"/>
      <c r="AE51" s="1578"/>
      <c r="AF51" s="1578"/>
      <c r="AG51" s="1578"/>
      <c r="AH51" s="1578"/>
      <c r="AI51" s="1578"/>
      <c r="AJ51" s="1578"/>
      <c r="AK51" s="1578"/>
      <c r="AL51" s="1535"/>
      <c r="AM51" s="3466"/>
      <c r="AO51" s="1711"/>
      <c r="AP51" s="1711" t="str">
        <f>IF(T51="","",T51)</f>
        <v>Добавить вид теплоносителя (параметры теплоносителя)</v>
      </c>
      <c r="AQ51" s="1711"/>
      <c r="AR51" s="1711"/>
      <c r="AS51" s="2366">
        <v>11</v>
      </c>
    </row>
    <row customHeight="1" ht="11.549999999999999">
      <c r="A52" s="2574" t="s">
        <v>176</v>
      </c>
      <c r="B52" s="2574" t="s">
        <v>177</v>
      </c>
      <c r="C52" s="2574" t="s">
        <v>178</v>
      </c>
      <c r="D52" s="2574" t="s">
        <v>179</v>
      </c>
      <c r="E52" s="3470"/>
      <c r="F52" s="3470"/>
      <c r="G52" s="3470"/>
      <c r="H52" s="3470"/>
      <c r="I52" s="3467"/>
      <c r="J52" s="2574"/>
      <c r="K52" s="2574"/>
      <c r="L52" s="2575"/>
      <c r="P52" s="3468"/>
      <c r="Q52" s="2431"/>
      <c r="R52" s="1567"/>
      <c r="S52" s="2489"/>
      <c r="T52" s="1498" t="s">
        <v>430</v>
      </c>
      <c r="U52" s="1578"/>
      <c r="V52" s="1578"/>
      <c r="W52" s="1578"/>
      <c r="X52" s="1578"/>
      <c r="Y52" s="1578"/>
      <c r="Z52" s="1578"/>
      <c r="AA52" s="1578"/>
      <c r="AB52" s="1578"/>
      <c r="AC52" s="1577"/>
      <c r="AD52" s="1578"/>
      <c r="AE52" s="1578"/>
      <c r="AF52" s="1578"/>
      <c r="AG52" s="1578"/>
      <c r="AH52" s="1578"/>
      <c r="AI52" s="1578"/>
      <c r="AJ52" s="1578"/>
      <c r="AK52" s="1577"/>
      <c r="AL52" s="1578"/>
      <c r="AM52" s="1514"/>
      <c r="AO52" s="1711"/>
      <c r="AP52" s="1711" t="str">
        <f>IF(T52="","",T52)</f>
        <v>Добавить группу потребителей</v>
      </c>
      <c r="AQ52" s="1711"/>
      <c r="AR52" s="1711"/>
      <c r="AS52" s="2366">
        <v>11</v>
      </c>
    </row>
    <row customHeight="1" ht="14.699999999999998">
      <c r="A53" s="2574" t="s">
        <v>176</v>
      </c>
      <c r="B53" s="2574" t="s">
        <v>177</v>
      </c>
      <c r="C53" s="2574" t="s">
        <v>178</v>
      </c>
      <c r="D53" s="2574" t="s">
        <v>179</v>
      </c>
      <c r="E53" s="3470"/>
      <c r="F53" s="3470"/>
      <c r="G53" s="3470"/>
      <c r="H53" s="3469"/>
      <c r="I53" s="2574"/>
      <c r="J53" s="2574"/>
      <c r="K53" s="2574"/>
      <c r="L53" s="2575"/>
      <c r="M53" s="2576"/>
      <c r="N53" s="2576"/>
      <c r="O53" s="1748"/>
      <c r="P53" s="1571"/>
      <c r="Q53" s="1586"/>
      <c r="R53" s="1566"/>
      <c r="S53" s="2489"/>
      <c r="T53" s="1576" t="s">
        <v>431</v>
      </c>
      <c r="U53" s="1578"/>
      <c r="V53" s="1578"/>
      <c r="W53" s="1578"/>
      <c r="X53" s="1578"/>
      <c r="Y53" s="1578"/>
      <c r="Z53" s="1578"/>
      <c r="AA53" s="1578"/>
      <c r="AB53" s="1578"/>
      <c r="AC53" s="1577"/>
      <c r="AD53" s="1578"/>
      <c r="AE53" s="1578"/>
      <c r="AF53" s="1578"/>
      <c r="AG53" s="1578"/>
      <c r="AH53" s="1578"/>
      <c r="AI53" s="1578"/>
      <c r="AJ53" s="1578"/>
      <c r="AK53" s="1577"/>
      <c r="AL53" s="1578"/>
      <c r="AM53" s="1514"/>
      <c r="AO53" s="1711"/>
      <c r="AP53" s="1711" t="str">
        <f>IF(T53="","",T53)</f>
        <v>Добавить схему подключения</v>
      </c>
      <c r="AQ53" s="1711"/>
      <c r="AR53" s="1711"/>
      <c r="AS53" s="2366">
        <v>14</v>
      </c>
    </row>
    <row s="65923" customFormat="1" customHeight="1" ht="1.05">
      <c r="A54" s="2554" t="s">
        <v>176</v>
      </c>
      <c r="B54" s="2554" t="s">
        <v>177</v>
      </c>
      <c r="C54" s="2554" t="s">
        <v>178</v>
      </c>
      <c r="D54" s="2525"/>
      <c r="E54" s="3470"/>
      <c r="F54" s="3470"/>
      <c r="G54" s="3469"/>
      <c r="H54" s="2525"/>
      <c r="I54" s="2525"/>
      <c r="J54" s="2525"/>
      <c r="K54" s="2525"/>
      <c r="L54" s="2550"/>
      <c r="M54" s="2526"/>
      <c r="N54" s="2526"/>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000"/>
      <c r="AP54" s="2000" t="str">
        <f>IF(T54="","",T54)</f>
        <v>Добавить источник для дифференциации</v>
      </c>
      <c r="AQ54" s="2000"/>
      <c r="AR54" s="2000"/>
      <c r="AS54" s="1729">
        <v>1</v>
      </c>
    </row>
    <row s="65923" customFormat="1" customHeight="1" ht="1.05">
      <c r="A55" s="2554" t="s">
        <v>176</v>
      </c>
      <c r="B55" s="2554" t="s">
        <v>177</v>
      </c>
      <c r="C55" s="2525"/>
      <c r="D55" s="2525"/>
      <c r="E55" s="3470"/>
      <c r="F55" s="3469"/>
      <c r="G55" s="2525"/>
      <c r="H55" s="2525"/>
      <c r="I55" s="2525"/>
      <c r="J55" s="2525"/>
      <c r="K55" s="2525"/>
      <c r="L55" s="2550"/>
      <c r="M55" s="2532"/>
      <c r="N55" s="2532"/>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000"/>
      <c r="AP55" s="2000" t="str">
        <f>IF(T55="","",T55)</f>
        <v>Добавить централизованную систему для дифференциации</v>
      </c>
      <c r="AQ55" s="2000"/>
      <c r="AR55" s="2000"/>
      <c r="AS55" s="1729">
        <v>1</v>
      </c>
    </row>
    <row s="65923" customFormat="1" customHeight="1" ht="1.05">
      <c r="A56" s="2554" t="s">
        <v>176</v>
      </c>
      <c r="B56" s="2554"/>
      <c r="C56" s="2554"/>
      <c r="D56" s="2554"/>
      <c r="E56" s="3469"/>
      <c r="F56" s="2554"/>
      <c r="G56" s="2554"/>
      <c r="H56" s="2554"/>
      <c r="I56" s="2554"/>
      <c r="J56" s="2554"/>
      <c r="K56" s="2554"/>
      <c r="L56" s="2557"/>
      <c r="M56" s="2532"/>
      <c r="N56" s="2532"/>
      <c r="O56" s="1729"/>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1711"/>
      <c r="AP56" s="1711" t="str">
        <f>IF(T56="","",T56)</f>
        <v>Добавить территорию для дифференциации</v>
      </c>
      <c r="AQ56" s="1711"/>
      <c r="AR56" s="1711"/>
      <c r="AS56" s="1722">
        <v>1</v>
      </c>
    </row>
    <row s="65923" customFormat="1" customHeight="1" ht="1.05">
      <c r="A57" s="2525"/>
      <c r="B57" s="2525"/>
      <c r="C57" s="2525"/>
      <c r="D57" s="2525"/>
      <c r="E57" s="2554"/>
      <c r="F57" s="2525"/>
      <c r="G57" s="2525"/>
      <c r="H57" s="2525"/>
      <c r="I57" s="2525"/>
      <c r="J57" s="2525"/>
      <c r="K57" s="2525"/>
      <c r="L57" s="2550"/>
      <c r="M57" s="2532"/>
      <c r="N57" s="2532"/>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000"/>
      <c r="AP57" s="2000" t="str">
        <f>IF(T57="","",T57)</f>
        <v>Добавить наименование тарифа</v>
      </c>
      <c r="AQ57" s="2000"/>
      <c r="AR57" s="2000"/>
      <c r="AS57" s="1729">
        <v>1</v>
      </c>
    </row>
    <row customHeight="1" ht="11.549999999999999">
      <c r="M58" s="2371"/>
      <c r="N58" s="2371"/>
      <c r="O58" s="1748"/>
      <c r="P58" s="2366"/>
      <c r="Q58" s="2366"/>
      <c r="R58" s="2366"/>
      <c r="S58" s="2366"/>
      <c r="AN58" s="2366"/>
      <c r="AO58" s="2366"/>
      <c r="AP58" s="2366"/>
      <c r="AQ58" s="2366"/>
      <c r="AR58" s="2366"/>
      <c r="AS58" s="2366">
        <v>11</v>
      </c>
    </row>
    <row customHeight="1" ht="28.5">
      <c r="O59" s="1748"/>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366">
        <v>27</v>
      </c>
    </row>
    <row customHeight="1" ht="67.2">
      <c r="O60" s="1748"/>
      <c r="P60" s="2514"/>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366">
        <v>64</v>
      </c>
    </row>
    <row customHeight="1" ht="14.699999999999998">
      <c r="O61" s="1748"/>
      <c r="AS61" s="2366">
        <v>14</v>
      </c>
    </row>
    <row customHeight="1" ht="18.75">
      <c r="O62" s="1748"/>
      <c r="P62" s="2539"/>
      <c r="S62" s="2464"/>
      <c r="T62" s="3496"/>
      <c r="U62" s="3496"/>
      <c r="V62" s="3496"/>
      <c r="W62" s="3496"/>
      <c r="X62" s="3496"/>
      <c r="Y62" s="3496"/>
      <c r="Z62" s="3496"/>
      <c r="AA62" s="3496"/>
      <c r="AB62" s="3496"/>
      <c r="AC62" s="3496"/>
      <c r="AD62" s="3496"/>
      <c r="AE62" s="3496"/>
      <c r="AF62" s="3496"/>
      <c r="AG62" s="3496"/>
      <c r="AH62" s="3496"/>
      <c r="AI62" s="3496"/>
      <c r="AJ62" s="3496"/>
      <c r="AK62" s="3496"/>
      <c r="AL62" s="3496"/>
      <c r="AM62" s="3496"/>
      <c r="AS62" s="2366">
        <v>18</v>
      </c>
    </row>
    <row customHeight="1" ht="18.75">
      <c r="O63" s="1748"/>
      <c r="P63" s="2539"/>
      <c r="T63" s="3496"/>
      <c r="U63" s="3496"/>
      <c r="V63" s="3496"/>
      <c r="W63" s="3496"/>
      <c r="X63" s="3496"/>
      <c r="Y63" s="3496"/>
      <c r="Z63" s="3496"/>
      <c r="AA63" s="3496"/>
      <c r="AB63" s="3496"/>
      <c r="AC63" s="3496"/>
      <c r="AD63" s="3496"/>
      <c r="AE63" s="3496"/>
      <c r="AF63" s="3496"/>
      <c r="AG63" s="3496"/>
      <c r="AH63" s="3496"/>
      <c r="AI63" s="3496"/>
      <c r="AJ63" s="3496"/>
      <c r="AK63" s="3496"/>
      <c r="AL63" s="3496"/>
      <c r="AM63" s="3496"/>
      <c r="AS63" s="2366">
        <v>18</v>
      </c>
    </row>
    <row customHeight="1" ht="29.25">
      <c r="O64" s="1748"/>
      <c r="P64" s="2539"/>
      <c r="S64" s="2464"/>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366">
        <v>28</v>
      </c>
    </row>
    <row customHeight="1" ht="22.5" hidden="1">
      <c r="A65" s="2371" t="s">
        <v>82</v>
      </c>
      <c r="B65" s="2371">
        <v>0</v>
      </c>
      <c r="C65" s="2371">
        <v>0</v>
      </c>
      <c r="D65" s="2371">
        <v>0</v>
      </c>
      <c r="E65" s="2371">
        <v>0</v>
      </c>
      <c r="F65" s="2371">
        <v>0</v>
      </c>
      <c r="G65" s="2371">
        <v>0</v>
      </c>
      <c r="H65" s="2371">
        <v>0</v>
      </c>
      <c r="I65" s="2371">
        <v>0</v>
      </c>
      <c r="J65" s="2371">
        <v>0</v>
      </c>
      <c r="K65" s="2371">
        <v>0</v>
      </c>
      <c r="L65" s="2540">
        <v>0</v>
      </c>
      <c r="M65" s="2573">
        <v>0</v>
      </c>
      <c r="N65" s="2573">
        <v>0</v>
      </c>
      <c r="O65" s="2573">
        <v>0</v>
      </c>
      <c r="P65" s="2429">
        <v>3</v>
      </c>
      <c r="Q65" s="1555">
        <v>3</v>
      </c>
      <c r="R65" s="1555">
        <v>3</v>
      </c>
      <c r="S65" s="1792">
        <v>12</v>
      </c>
      <c r="T65" s="2366">
        <v>35</v>
      </c>
      <c r="U65" s="2366">
        <v>0</v>
      </c>
      <c r="V65" s="2366">
        <v>0</v>
      </c>
      <c r="W65" s="2366">
        <v>0</v>
      </c>
      <c r="X65" s="2366">
        <v>0</v>
      </c>
      <c r="Y65" s="2366">
        <v>0</v>
      </c>
      <c r="Z65" s="2366">
        <v>0</v>
      </c>
      <c r="AA65" s="2366">
        <v>0</v>
      </c>
      <c r="AB65" s="2366">
        <v>0</v>
      </c>
      <c r="AC65" s="2366">
        <v>0</v>
      </c>
      <c r="AD65" s="2366">
        <v>24</v>
      </c>
      <c r="AE65" s="2366">
        <v>0</v>
      </c>
      <c r="AF65" s="2366">
        <v>24</v>
      </c>
      <c r="AG65" s="2366">
        <v>24</v>
      </c>
      <c r="AH65" s="2366">
        <v>11</v>
      </c>
      <c r="AI65" s="2366">
        <v>3</v>
      </c>
      <c r="AJ65" s="2366">
        <v>11</v>
      </c>
      <c r="AK65" s="2366">
        <v>0</v>
      </c>
      <c r="AL65" s="2366">
        <v>4</v>
      </c>
      <c r="AM65" s="2366">
        <v>115</v>
      </c>
      <c r="AN65" s="1722">
        <v>10</v>
      </c>
      <c r="AO65" s="1722">
        <v>10</v>
      </c>
      <c r="AP65" s="1722">
        <v>10</v>
      </c>
      <c r="AQ65" s="1722">
        <v>10</v>
      </c>
      <c r="AR65" s="1722">
        <v>10</v>
      </c>
      <c r="AS65" s="236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10C77-EED8-999D-D3CE-AF2DBCE8FC3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1.00390625" customWidth="1"/>
    <col min="21" max="21" style="66903" width="0.140625" customWidth="1"/>
    <col min="22" max="22" style="66903" width="24.7109375" hidden="1" customWidth="1"/>
    <col min="23" max="23" style="66903" width="0.140625" hidden="1" customWidth="1"/>
    <col min="24" max="25" style="66903" width="24.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24.7109375" customWidth="1"/>
    <col min="31" max="31" style="66903" width="0.140625" customWidth="1"/>
    <col min="32" max="33" style="66903" width="24.0039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10.57421875" hidden="1"/>
  </cols>
  <sheetData>
    <row customHeight="1" ht="22.5" hidden="1">
      <c r="Y1" s="1538"/>
      <c r="Z1" s="1538"/>
      <c r="AG1" s="1538"/>
      <c r="AH1" s="1538"/>
      <c r="AS1" s="2366" t="s">
        <v>14</v>
      </c>
    </row>
    <row customHeight="1" ht="21" hidden="1">
      <c r="A2" s="2574"/>
      <c r="B2" s="2574"/>
      <c r="C2" s="2574"/>
      <c r="D2" s="2574"/>
      <c r="E2" s="3469">
        <v>1</v>
      </c>
      <c r="F2" s="2574"/>
      <c r="G2" s="2574"/>
      <c r="H2" s="2574"/>
      <c r="I2" s="2574"/>
      <c r="J2" s="2574"/>
      <c r="K2" s="2574"/>
      <c r="L2" s="2575"/>
      <c r="M2" s="2576"/>
      <c r="N2" s="2576"/>
      <c r="O2" s="2576"/>
      <c r="P2" s="1572"/>
      <c r="Q2" s="1571"/>
      <c r="R2" s="1566"/>
      <c r="S2" s="2547">
        <f>INDEX(PT_DIFFERENTIATION_NUM_NTAR,MATCH(A2,PT_DIFFERENTIATION_NTAR_ID,0))</f>
      </c>
      <c r="T2" s="1509"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1711"/>
      <c r="AP2" s="1711" t="str">
        <f>IF(T2="","",T2)</f>
        <v>Наименование тарифа</v>
      </c>
      <c r="AQ2" s="1711"/>
      <c r="AR2" s="1711"/>
      <c r="AS2" s="2366">
        <v>0</v>
      </c>
    </row>
    <row customHeight="1" ht="21" hidden="1">
      <c r="A3" s="2574"/>
      <c r="B3" s="2574"/>
      <c r="C3" s="2574"/>
      <c r="D3" s="2574"/>
      <c r="E3" s="3470"/>
      <c r="F3" s="3469">
        <v>1</v>
      </c>
      <c r="G3" s="2574"/>
      <c r="H3" s="2574"/>
      <c r="I3" s="2574"/>
      <c r="J3" s="2574"/>
      <c r="K3" s="2574"/>
      <c r="L3" s="2575"/>
      <c r="M3" s="2576"/>
      <c r="N3" s="2576"/>
      <c r="O3" s="2576"/>
      <c r="P3" s="2543"/>
      <c r="Q3" s="1563"/>
      <c r="R3" s="1564"/>
      <c r="S3" s="2547">
        <f>INDEX(PT_DIFFERENTIATION_NUM_TER,MATCH(B3,PT_DIFFERENTIATION_TER_ID,0))</f>
      </c>
      <c r="T3" s="1519"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1711"/>
      <c r="AP3" s="1711" t="str">
        <f>IF(T3="","",T3)</f>
        <v>Территория действия тарифа</v>
      </c>
      <c r="AQ3" s="1711"/>
      <c r="AR3" s="1711"/>
      <c r="AS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547">
        <f>INDEX(PT_DIFFERENTIATION_NUM_CS,MATCH(C4,PT_DIFFERENTIATION_CS_ID,0))</f>
      </c>
      <c r="T4" s="1520" t="s">
        <v>417</v>
      </c>
      <c r="U4" s="1511"/>
      <c r="V4" s="3453"/>
      <c r="W4" s="3454"/>
      <c r="X4" s="3454"/>
      <c r="Y4" s="3454"/>
      <c r="Z4" s="3454"/>
      <c r="AA4" s="3454"/>
      <c r="AB4" s="3454"/>
      <c r="AC4" s="3455"/>
      <c r="AD4" s="3453">
        <f>INDEX(PT_DIFFERENTIATION_CS,MATCH(C4,PT_DIFFERENTIATION_CS_ID,0))</f>
      </c>
      <c r="AE4" s="3454"/>
      <c r="AF4" s="3454"/>
      <c r="AG4" s="3454"/>
      <c r="AH4" s="3454"/>
      <c r="AI4" s="3454"/>
      <c r="AJ4" s="3454"/>
      <c r="AK4" s="3454"/>
      <c r="AL4" s="3455"/>
      <c r="AM4" s="2469" t="s">
        <v>418</v>
      </c>
      <c r="AO4" s="1711"/>
      <c r="AP4" s="1711" t="str">
        <f>IF(T4="","",T4)</f>
        <v>Наименование системы теплоснабжения </v>
      </c>
      <c r="AQ4" s="1711"/>
      <c r="AR4" s="1711"/>
      <c r="AS4" s="2366">
        <v>0</v>
      </c>
    </row>
    <row customHeight="1" ht="21" hidden="1">
      <c r="A5" s="2574"/>
      <c r="B5" s="2574"/>
      <c r="C5" s="2574"/>
      <c r="D5" s="2574"/>
      <c r="E5" s="3470"/>
      <c r="F5" s="3470"/>
      <c r="G5" s="3470"/>
      <c r="H5" s="3469">
        <v>1</v>
      </c>
      <c r="I5" s="2574"/>
      <c r="J5" s="2574"/>
      <c r="K5" s="2574"/>
      <c r="L5" s="2575"/>
      <c r="M5" s="2576"/>
      <c r="N5" s="2576"/>
      <c r="O5" s="2576"/>
      <c r="P5" s="1565"/>
      <c r="Q5" s="1563"/>
      <c r="R5" s="1564"/>
      <c r="S5" s="2547">
        <f>INDEX(PT_DIFFERENTIATION_NUM_IST_TE,MATCH(D5,PT_DIFFERENTIATION_IST_TE_ID,0))</f>
      </c>
      <c r="T5" s="1521" t="s">
        <v>419</v>
      </c>
      <c r="U5" s="1511"/>
      <c r="V5" s="3453"/>
      <c r="W5" s="3454"/>
      <c r="X5" s="3454"/>
      <c r="Y5" s="3454"/>
      <c r="Z5" s="3454"/>
      <c r="AA5" s="3454"/>
      <c r="AB5" s="3454"/>
      <c r="AC5" s="3455"/>
      <c r="AD5" s="3453">
        <f>INDEX(PT_DIFFERENTIATION_IST_TE,MATCH(D5,PT_DIFFERENTIATION_IST_TE_ID,0))</f>
      </c>
      <c r="AE5" s="3454"/>
      <c r="AF5" s="3454"/>
      <c r="AG5" s="3454"/>
      <c r="AH5" s="3454"/>
      <c r="AI5" s="3454"/>
      <c r="AJ5" s="3454"/>
      <c r="AK5" s="3454"/>
      <c r="AL5" s="3455"/>
      <c r="AM5" s="2469" t="s">
        <v>420</v>
      </c>
      <c r="AO5" s="1711"/>
      <c r="AP5" s="1711" t="str">
        <f>IF(T5="","",T5)</f>
        <v>Источник тепловой энергии  </v>
      </c>
      <c r="AQ5" s="1711"/>
      <c r="AR5" s="1711"/>
      <c r="AS5" s="2366">
        <v>0</v>
      </c>
    </row>
    <row customHeight="1" ht="47.25" hidden="1">
      <c r="A6" s="2574"/>
      <c r="B6" s="2574"/>
      <c r="C6" s="2574"/>
      <c r="D6" s="2574"/>
      <c r="E6" s="3470"/>
      <c r="F6" s="3470"/>
      <c r="G6" s="3470"/>
      <c r="H6" s="3470"/>
      <c r="I6" s="3467">
        <f>S5&amp;".1"</f>
      </c>
      <c r="J6" s="2574"/>
      <c r="K6" s="2574"/>
      <c r="L6" s="2575" t="s">
        <v>421</v>
      </c>
      <c r="M6" s="1748"/>
      <c r="P6" s="3468">
        <v>1</v>
      </c>
      <c r="Q6" s="2542"/>
      <c r="R6" s="1567"/>
      <c r="S6" s="2547">
        <f>$I6</f>
      </c>
      <c r="T6" s="1496" t="s">
        <v>422</v>
      </c>
      <c r="U6" s="1511"/>
      <c r="V6" s="3456"/>
      <c r="W6" s="3457"/>
      <c r="X6" s="3457"/>
      <c r="Y6" s="3457"/>
      <c r="Z6" s="3457"/>
      <c r="AA6" s="3457"/>
      <c r="AB6" s="3457"/>
      <c r="AC6" s="3458"/>
      <c r="AD6" s="3456"/>
      <c r="AE6" s="3457"/>
      <c r="AF6" s="3457"/>
      <c r="AG6" s="3457"/>
      <c r="AH6" s="3457"/>
      <c r="AI6" s="3457"/>
      <c r="AJ6" s="3457"/>
      <c r="AK6" s="3457"/>
      <c r="AL6" s="3458"/>
      <c r="AM6" s="2469" t="s">
        <v>423</v>
      </c>
      <c r="AO6" s="1711"/>
      <c r="AP6" s="1711" t="str">
        <f>IF(T6="","",T6)</f>
        <v>Схема подключения теплопотребляющей установки к коллектору источника тепловой энергии</v>
      </c>
      <c r="AQ6" s="1711"/>
      <c r="AR6" s="1711"/>
      <c r="AS6" s="2366">
        <v>0</v>
      </c>
    </row>
    <row customHeight="1" ht="21" hidden="1">
      <c r="A7" s="2574"/>
      <c r="B7" s="2574"/>
      <c r="C7" s="2574"/>
      <c r="D7" s="2574"/>
      <c r="E7" s="3470"/>
      <c r="F7" s="3470"/>
      <c r="G7" s="3470"/>
      <c r="H7" s="3470"/>
      <c r="I7" s="3497"/>
      <c r="J7" s="3467">
        <f>I6&amp;".1"</f>
      </c>
      <c r="K7" s="2574"/>
      <c r="L7" s="2575" t="s">
        <v>424</v>
      </c>
      <c r="M7" s="1748"/>
      <c r="N7" s="2577"/>
      <c r="P7" s="3468"/>
      <c r="Q7" s="3468">
        <v>1</v>
      </c>
      <c r="R7" s="1568"/>
      <c r="S7" s="2547">
        <f>$J7</f>
      </c>
      <c r="T7" s="1497" t="s">
        <v>425</v>
      </c>
      <c r="U7" s="1511"/>
      <c r="V7" s="3456"/>
      <c r="W7" s="3457"/>
      <c r="X7" s="3457"/>
      <c r="Y7" s="3457"/>
      <c r="Z7" s="3457"/>
      <c r="AA7" s="3457"/>
      <c r="AB7" s="3457"/>
      <c r="AC7" s="3458"/>
      <c r="AD7" s="3456"/>
      <c r="AE7" s="3457"/>
      <c r="AF7" s="3457"/>
      <c r="AG7" s="3457"/>
      <c r="AH7" s="3457"/>
      <c r="AI7" s="3457"/>
      <c r="AJ7" s="3457"/>
      <c r="AK7" s="3457"/>
      <c r="AL7" s="3458"/>
      <c r="AM7" s="2469" t="s">
        <v>426</v>
      </c>
      <c r="AO7" s="1711"/>
      <c r="AP7" s="1711" t="str">
        <f>IF(T7="","",T7)</f>
        <v>Группа потребителей</v>
      </c>
      <c r="AQ7" s="1711"/>
      <c r="AR7" s="1711"/>
      <c r="AS7" s="2366">
        <v>0</v>
      </c>
    </row>
    <row customHeight="1" ht="21" hidden="1">
      <c r="A8" s="2574"/>
      <c r="B8" s="2574"/>
      <c r="C8" s="2574"/>
      <c r="D8" s="2574"/>
      <c r="E8" s="3470"/>
      <c r="F8" s="3470"/>
      <c r="G8" s="3470"/>
      <c r="H8" s="3470"/>
      <c r="I8" s="3497"/>
      <c r="J8" s="3497"/>
      <c r="K8" s="3467">
        <f>J7&amp;".1"</f>
      </c>
      <c r="L8" s="2575" t="s">
        <v>427</v>
      </c>
      <c r="M8" s="1748"/>
      <c r="N8" s="2577"/>
      <c r="O8" s="2577"/>
      <c r="P8" s="3468"/>
      <c r="Q8" s="3468"/>
      <c r="R8" s="1568">
        <v>1</v>
      </c>
      <c r="S8" s="2547">
        <f>$K8</f>
      </c>
      <c r="T8" s="2558"/>
      <c r="U8" s="1511"/>
      <c r="V8" s="1962"/>
      <c r="W8" s="1536"/>
      <c r="X8" s="1962"/>
      <c r="Y8" s="2468"/>
      <c r="Z8" s="3476"/>
      <c r="AA8" s="3318" t="s">
        <v>62</v>
      </c>
      <c r="AB8" s="3476"/>
      <c r="AC8" s="3318" t="s">
        <v>62</v>
      </c>
      <c r="AD8" s="1962"/>
      <c r="AE8" s="1536"/>
      <c r="AF8" s="1962"/>
      <c r="AG8" s="2468"/>
      <c r="AH8" s="3476"/>
      <c r="AI8" s="3318" t="s">
        <v>62</v>
      </c>
      <c r="AJ8" s="3476"/>
      <c r="AK8" s="3318" t="s">
        <v>62</v>
      </c>
      <c r="AL8" s="1536"/>
      <c r="AM8" s="3464" t="s">
        <v>428</v>
      </c>
      <c r="AN8" s="1722">
        <f>STRCHECKDATE(V9:AL9)</f>
      </c>
      <c r="AO8" s="1711"/>
      <c r="AP8" s="1711" t="str">
        <f>IF(T8="","",T8)</f>
        <v/>
      </c>
      <c r="AQ8" s="1711"/>
      <c r="AR8" s="1711"/>
      <c r="AS8" s="2366">
        <v>0</v>
      </c>
    </row>
    <row customHeight="1" ht="0.75" hidden="1">
      <c r="A9" s="2574"/>
      <c r="B9" s="2574"/>
      <c r="C9" s="2574"/>
      <c r="D9" s="2574"/>
      <c r="E9" s="3470"/>
      <c r="F9" s="3470"/>
      <c r="G9" s="3470"/>
      <c r="H9" s="3470"/>
      <c r="I9" s="3497"/>
      <c r="J9" s="3497"/>
      <c r="K9" s="3467"/>
      <c r="L9" s="2575"/>
      <c r="M9" s="1748"/>
      <c r="N9" s="2577"/>
      <c r="O9" s="2577"/>
      <c r="P9" s="3468"/>
      <c r="Q9" s="3468"/>
      <c r="R9" s="1568"/>
      <c r="S9" s="2553"/>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1711"/>
      <c r="AP9" s="1711" t="str">
        <f>IF(T9="","",T9)</f>
        <v/>
      </c>
      <c r="AQ9" s="1711"/>
      <c r="AR9" s="1711"/>
      <c r="AS9" s="2366">
        <v>0</v>
      </c>
    </row>
    <row customHeight="1" ht="15" hidden="1">
      <c r="A10" s="2574"/>
      <c r="B10" s="2574"/>
      <c r="C10" s="2574"/>
      <c r="D10" s="2574"/>
      <c r="E10" s="3470"/>
      <c r="F10" s="3470"/>
      <c r="G10" s="3470"/>
      <c r="H10" s="3470"/>
      <c r="I10" s="3497"/>
      <c r="J10" s="3467"/>
      <c r="K10" s="2574"/>
      <c r="L10" s="2575"/>
      <c r="M10" s="1748"/>
      <c r="N10" s="2577"/>
      <c r="P10" s="3468"/>
      <c r="Q10" s="3468"/>
      <c r="R10" s="1567"/>
      <c r="S10" s="2489"/>
      <c r="T10" s="1499" t="s">
        <v>429</v>
      </c>
      <c r="U10" s="1578"/>
      <c r="V10" s="1578"/>
      <c r="W10" s="1578"/>
      <c r="X10" s="1578"/>
      <c r="Y10" s="1578"/>
      <c r="Z10" s="1578"/>
      <c r="AA10" s="1578"/>
      <c r="AB10" s="1578"/>
      <c r="AC10" s="1578"/>
      <c r="AD10" s="1578"/>
      <c r="AE10" s="1578"/>
      <c r="AF10" s="1578"/>
      <c r="AG10" s="1578"/>
      <c r="AH10" s="1578"/>
      <c r="AI10" s="1578"/>
      <c r="AJ10" s="1578"/>
      <c r="AK10" s="1578"/>
      <c r="AL10" s="1535"/>
      <c r="AM10" s="3466"/>
      <c r="AO10" s="1711"/>
      <c r="AP10" s="1711" t="str">
        <f>IF(T10="","",T10)</f>
        <v>Добавить вид теплоносителя (параметры теплоносителя)</v>
      </c>
      <c r="AQ10" s="1711"/>
      <c r="AR10" s="1711"/>
      <c r="AS10" s="2366">
        <v>0</v>
      </c>
    </row>
    <row customHeight="1" ht="15" hidden="1">
      <c r="A11" s="2574"/>
      <c r="B11" s="2574"/>
      <c r="C11" s="2574"/>
      <c r="D11" s="2574"/>
      <c r="E11" s="3470"/>
      <c r="F11" s="3470"/>
      <c r="G11" s="3470"/>
      <c r="H11" s="3470"/>
      <c r="I11" s="3467"/>
      <c r="J11" s="2574"/>
      <c r="K11" s="2574"/>
      <c r="L11" s="2575"/>
      <c r="M11" s="1748"/>
      <c r="P11" s="3468"/>
      <c r="Q11" s="2542"/>
      <c r="R11" s="1567"/>
      <c r="S11" s="2489"/>
      <c r="T11" s="1498" t="s">
        <v>430</v>
      </c>
      <c r="U11" s="1578"/>
      <c r="V11" s="1578"/>
      <c r="W11" s="1578"/>
      <c r="X11" s="1578"/>
      <c r="Y11" s="1578"/>
      <c r="Z11" s="1578"/>
      <c r="AA11" s="1578"/>
      <c r="AB11" s="1578"/>
      <c r="AC11" s="1577"/>
      <c r="AD11" s="1578"/>
      <c r="AE11" s="1578"/>
      <c r="AF11" s="1578"/>
      <c r="AG11" s="1578"/>
      <c r="AH11" s="1578"/>
      <c r="AI11" s="1578"/>
      <c r="AJ11" s="1578"/>
      <c r="AK11" s="1577"/>
      <c r="AL11" s="1578"/>
      <c r="AM11" s="1514"/>
      <c r="AO11" s="1711"/>
      <c r="AP11" s="1711" t="str">
        <f>IF(T11="","",T11)</f>
        <v>Добавить группу потребителей</v>
      </c>
      <c r="AQ11" s="1711"/>
      <c r="AR11" s="1711"/>
      <c r="AS11" s="2366">
        <v>0</v>
      </c>
    </row>
    <row customHeight="1" ht="14.25" hidden="1">
      <c r="A12" s="2574"/>
      <c r="B12" s="2574"/>
      <c r="C12" s="2574"/>
      <c r="D12" s="2574"/>
      <c r="E12" s="3470"/>
      <c r="F12" s="3470"/>
      <c r="G12" s="3470"/>
      <c r="H12" s="3469"/>
      <c r="I12" s="2574"/>
      <c r="J12" s="2574"/>
      <c r="K12" s="2574"/>
      <c r="L12" s="2575"/>
      <c r="M12" s="2576"/>
      <c r="N12" s="2576"/>
      <c r="O12" s="1748"/>
      <c r="P12" s="1571"/>
      <c r="Q12" s="1586"/>
      <c r="R12" s="1566"/>
      <c r="S12" s="2489"/>
      <c r="T12" s="1576" t="s">
        <v>431</v>
      </c>
      <c r="U12" s="1578"/>
      <c r="V12" s="1578"/>
      <c r="W12" s="1578"/>
      <c r="X12" s="1578"/>
      <c r="Y12" s="1578"/>
      <c r="Z12" s="1578"/>
      <c r="AA12" s="1578"/>
      <c r="AB12" s="1578"/>
      <c r="AC12" s="1577"/>
      <c r="AD12" s="1578"/>
      <c r="AE12" s="1578"/>
      <c r="AF12" s="1578"/>
      <c r="AG12" s="1578"/>
      <c r="AH12" s="1578"/>
      <c r="AI12" s="1578"/>
      <c r="AJ12" s="1578"/>
      <c r="AK12" s="1577"/>
      <c r="AL12" s="1578"/>
      <c r="AM12" s="1514"/>
      <c r="AO12" s="1711"/>
      <c r="AP12" s="1711" t="str">
        <f>IF(T12="","",T12)</f>
        <v>Добавить схему подключения</v>
      </c>
      <c r="AQ12" s="1711"/>
      <c r="AR12" s="1711"/>
      <c r="AS12" s="2366">
        <v>0</v>
      </c>
    </row>
    <row s="65923" customFormat="1" customHeight="1" ht="0.75" hidden="1">
      <c r="A13" s="2525"/>
      <c r="B13" s="2525"/>
      <c r="C13" s="2525"/>
      <c r="D13" s="2525"/>
      <c r="E13" s="3470"/>
      <c r="F13" s="3470"/>
      <c r="G13" s="3469"/>
      <c r="H13" s="2525"/>
      <c r="I13" s="2525"/>
      <c r="J13" s="2525"/>
      <c r="K13" s="2525"/>
      <c r="L13" s="2550"/>
      <c r="M13" s="2526"/>
      <c r="N13" s="2526"/>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000"/>
      <c r="AP13" s="2000" t="str">
        <f>IF(T13="","",T13)</f>
        <v>Добавить источник для дифференциации</v>
      </c>
      <c r="AQ13" s="2000"/>
      <c r="AR13" s="2000"/>
      <c r="AS13" s="1729">
        <v>0</v>
      </c>
    </row>
    <row s="65923" customFormat="1" customHeight="1" ht="0.75" hidden="1">
      <c r="A14" s="2525"/>
      <c r="B14" s="2525"/>
      <c r="C14" s="2525"/>
      <c r="D14" s="2525"/>
      <c r="E14" s="3470"/>
      <c r="F14" s="3469"/>
      <c r="G14" s="2525"/>
      <c r="H14" s="2525"/>
      <c r="I14" s="2525"/>
      <c r="J14" s="2525"/>
      <c r="K14" s="2525"/>
      <c r="L14" s="2550"/>
      <c r="M14" s="2532"/>
      <c r="N14" s="2532"/>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000"/>
      <c r="AP14" s="2000" t="str">
        <f>IF(T14="","",T14)</f>
        <v>Добавить централизованную систему для дифференциации</v>
      </c>
      <c r="AQ14" s="2000"/>
      <c r="AR14" s="2000"/>
      <c r="AS14" s="1729">
        <v>0</v>
      </c>
    </row>
    <row s="65923" customFormat="1" customHeight="1" ht="0.75" hidden="1">
      <c r="A15" s="2525"/>
      <c r="B15" s="2525"/>
      <c r="C15" s="2525"/>
      <c r="D15" s="2525"/>
      <c r="E15" s="3469"/>
      <c r="F15" s="2525"/>
      <c r="G15" s="2525"/>
      <c r="H15" s="2525"/>
      <c r="I15" s="2525"/>
      <c r="J15" s="2525"/>
      <c r="K15" s="2525"/>
      <c r="L15" s="2550"/>
      <c r="M15" s="2532"/>
      <c r="N15" s="2532"/>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000"/>
      <c r="AP15" s="2000" t="str">
        <f>IF(T15="","",T15)</f>
        <v>Добавить территорию для дифференциации</v>
      </c>
      <c r="AQ15" s="2000"/>
      <c r="AR15" s="2000"/>
      <c r="AS15" s="1729">
        <v>0</v>
      </c>
    </row>
    <row customHeight="1" ht="14.25" hidden="1">
      <c r="AC16" s="1538"/>
      <c r="AK16" s="1538"/>
      <c r="AS16" s="2366">
        <v>0</v>
      </c>
    </row>
    <row customHeight="1" ht="14.25" hidden="1">
      <c r="AD17" s="2571"/>
      <c r="AE17" s="2571"/>
      <c r="AF17" s="2571"/>
      <c r="AG17" s="2572"/>
      <c r="AH17" s="3478"/>
      <c r="AI17" s="3479" t="s">
        <v>62</v>
      </c>
      <c r="AJ17" s="3478"/>
      <c r="AK17" s="3479" t="s">
        <v>62</v>
      </c>
      <c r="AS17" s="2366">
        <v>0</v>
      </c>
    </row>
    <row customHeight="1" ht="14.25" hidden="1">
      <c r="AD18" s="2571"/>
      <c r="AE18" s="2571"/>
      <c r="AF18" s="2571"/>
      <c r="AG18" s="1539" t="str">
        <f>AH17&amp;"-"&amp;AJ17</f>
        <v>-</v>
      </c>
      <c r="AH18" s="3479"/>
      <c r="AI18" s="3479"/>
      <c r="AJ18" s="3479"/>
      <c r="AK18" s="3479"/>
      <c r="AS18" s="2366">
        <v>0</v>
      </c>
    </row>
    <row customHeight="1" ht="14.25" hidden="1">
      <c r="AK19" s="1538"/>
      <c r="AS19" s="2366">
        <v>0</v>
      </c>
    </row>
    <row s="66852" customFormat="1" customHeight="1" ht="22.5" hidden="1">
      <c r="L20" s="2540"/>
      <c r="M20" s="2573"/>
      <c r="N20" s="2573"/>
      <c r="O20" s="2578" t="s">
        <v>435</v>
      </c>
      <c r="P20" s="2573"/>
      <c r="Q20" s="2582"/>
      <c r="R20" s="2582"/>
      <c r="S20" s="1940"/>
      <c r="Z20" s="2578"/>
      <c r="AB20" s="2578"/>
      <c r="AC20" s="2577"/>
      <c r="AH20" s="2578"/>
      <c r="AJ20" s="2578"/>
      <c r="AK20" s="2577"/>
      <c r="AN20" s="1722"/>
      <c r="AO20" s="1722"/>
      <c r="AP20" s="1722"/>
      <c r="AQ20" s="1722"/>
      <c r="AR20" s="1722"/>
      <c r="AS20" s="2371">
        <v>0</v>
      </c>
    </row>
    <row s="66852" customFormat="1" customHeight="1" ht="14.25" hidden="1">
      <c r="L21" s="2540"/>
      <c r="M21" s="2573"/>
      <c r="N21" s="2573"/>
      <c r="O21" s="2573"/>
      <c r="P21" s="2573"/>
      <c r="Q21" s="2582"/>
      <c r="R21" s="2582"/>
      <c r="S21" s="1940"/>
      <c r="AC21" s="2577"/>
      <c r="AK21" s="2577"/>
      <c r="AN21" s="1722"/>
      <c r="AO21" s="1722"/>
      <c r="AP21" s="1722"/>
      <c r="AQ21" s="1722"/>
      <c r="AR21" s="1722"/>
      <c r="AS21" s="2371">
        <v>0</v>
      </c>
    </row>
    <row s="66852" customFormat="1" customHeight="1" ht="14.25" hidden="1">
      <c r="L22" s="2540"/>
      <c r="M22" s="2573"/>
      <c r="N22" s="2573"/>
      <c r="O22" s="2575" t="s">
        <v>436</v>
      </c>
      <c r="P22" s="2573"/>
      <c r="Q22" s="2582"/>
      <c r="R22" s="2582"/>
      <c r="S22" s="1940"/>
      <c r="T22" s="2371" t="s">
        <v>437</v>
      </c>
      <c r="AA22" s="1397" t="s">
        <v>438</v>
      </c>
      <c r="AC22" s="1397" t="s">
        <v>439</v>
      </c>
      <c r="AD22" s="2371" t="s">
        <v>437</v>
      </c>
      <c r="AI22" s="1397" t="s">
        <v>440</v>
      </c>
      <c r="AK22" s="1397" t="s">
        <v>439</v>
      </c>
      <c r="AN22" s="1722"/>
      <c r="AO22" s="1722"/>
      <c r="AP22" s="1722"/>
      <c r="AQ22" s="1722"/>
      <c r="AR22" s="1722"/>
      <c r="AS22" s="2371">
        <v>0</v>
      </c>
    </row>
    <row customHeight="1" ht="14.25" hidden="1">
      <c r="O23" s="2575"/>
      <c r="AS23" s="2366">
        <v>0</v>
      </c>
    </row>
    <row customHeight="1" ht="14.25" hidden="1">
      <c r="O24" s="2575"/>
      <c r="AS24" s="2366">
        <v>0</v>
      </c>
    </row>
    <row customHeight="1" ht="14.699999999999998">
      <c r="Q25" s="1587"/>
      <c r="R25" s="1587"/>
      <c r="S25" s="2486"/>
      <c r="T25" s="1574"/>
      <c r="U25" s="1574"/>
      <c r="V25" s="1720"/>
      <c r="W25" s="1720"/>
      <c r="X25" s="1720"/>
      <c r="Y25" s="1720"/>
      <c r="Z25" s="1720"/>
      <c r="AA25" s="1720"/>
      <c r="AB25" s="1720"/>
      <c r="AC25" s="1720"/>
      <c r="AD25" s="1720"/>
      <c r="AE25" s="1720"/>
      <c r="AF25" s="1720"/>
      <c r="AG25" s="1720"/>
      <c r="AH25" s="1720"/>
      <c r="AI25" s="1720"/>
      <c r="AJ25" s="1720"/>
      <c r="AK25" s="1720"/>
      <c r="AS25" s="2366">
        <v>14</v>
      </c>
    </row>
    <row customHeight="1" ht="14.699999999999998">
      <c r="Q26" s="1587"/>
      <c r="R26" s="1587"/>
      <c r="S26" s="34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3459"/>
      <c r="U26" s="3459"/>
      <c r="V26" s="3459"/>
      <c r="W26" s="3459"/>
      <c r="X26" s="3459"/>
      <c r="Y26" s="3459"/>
      <c r="Z26" s="3459"/>
      <c r="AA26" s="3459"/>
      <c r="AB26" s="3459"/>
      <c r="AC26" s="3459"/>
      <c r="AD26" s="3459"/>
      <c r="AE26" s="3459"/>
      <c r="AF26" s="3459"/>
      <c r="AG26" s="3459"/>
      <c r="AH26" s="3459"/>
      <c r="AI26" s="3459"/>
      <c r="AJ26" s="3459"/>
      <c r="AK26" s="2454"/>
      <c r="AS26" s="2366">
        <v>14</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366">
        <v>14</v>
      </c>
    </row>
    <row customHeight="1" ht="14.25" hidden="1">
      <c r="Q28" s="1587"/>
      <c r="R28" s="1587"/>
      <c r="S28" s="2486"/>
      <c r="T28" s="1574"/>
      <c r="U28" s="1574"/>
      <c r="V28" s="1533"/>
      <c r="W28" s="1533"/>
      <c r="X28" s="1533"/>
      <c r="Y28" s="1533"/>
      <c r="Z28" s="1533"/>
      <c r="AA28" s="1533"/>
      <c r="AB28" s="1533"/>
      <c r="AC28" s="1533"/>
      <c r="AD28" s="1533"/>
      <c r="AE28" s="1533"/>
      <c r="AF28" s="1533"/>
      <c r="AG28" s="1533"/>
      <c r="AH28" s="1533"/>
      <c r="AI28" s="1533"/>
      <c r="AJ28" s="1533"/>
      <c r="AK28" s="1533"/>
      <c r="AL28" s="1720"/>
      <c r="AS28" s="2366">
        <v>0</v>
      </c>
    </row>
    <row s="67333" customFormat="1" customHeight="1" ht="25.5" hidden="1">
      <c r="A29" s="2579"/>
      <c r="B29" s="2579"/>
      <c r="C29" s="2579"/>
      <c r="D29" s="2579"/>
      <c r="E29" s="2579"/>
      <c r="F29" s="2579"/>
      <c r="G29" s="2579"/>
      <c r="H29" s="2579"/>
      <c r="I29" s="2579"/>
      <c r="J29" s="2579"/>
      <c r="K29" s="2579"/>
      <c r="L29" s="2580"/>
      <c r="M29" s="2579"/>
      <c r="N29" s="2579"/>
      <c r="O29" s="2579"/>
      <c r="S29" s="3461" t="s">
        <v>41</v>
      </c>
      <c r="T29" s="3461"/>
      <c r="U29" s="2583"/>
      <c r="V29" s="3462" t="str">
        <f>IF(TITLE_NAME_OR_PR_CHANGE="",IF(TITLE_NAME_OR_PR="","",TITLE_NAME_OR_PR),TITLE_NAME_OR_PR_CHANGE)</f>
        <v/>
      </c>
      <c r="W29" s="3462"/>
      <c r="X29" s="3462"/>
      <c r="Y29" s="3462"/>
      <c r="Z29" s="3462"/>
      <c r="AA29" s="3462"/>
      <c r="AB29" s="3462"/>
      <c r="AC29" s="1537"/>
      <c r="AD29" s="3462" t="str">
        <f>IF(TITLE_NAME_OR_PR_CHANGE="",IF(TITLE_NAME_OR_PR="","",TITLE_NAME_OR_PR),TITLE_NAME_OR_PR_CHANGE)</f>
        <v/>
      </c>
      <c r="AE29" s="3462"/>
      <c r="AF29" s="3462"/>
      <c r="AG29" s="3462"/>
      <c r="AH29" s="3462"/>
      <c r="AI29" s="3462"/>
      <c r="AJ29" s="3462"/>
      <c r="AK29" s="1537"/>
      <c r="AL29" s="1537"/>
      <c r="AM29" s="1491"/>
      <c r="AN29" s="1579"/>
      <c r="AO29" s="1579"/>
      <c r="AP29" s="1579"/>
      <c r="AQ29" s="1579"/>
      <c r="AR29" s="1579"/>
      <c r="AS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441</v>
      </c>
      <c r="T30" s="3461"/>
      <c r="U30" s="2583"/>
      <c r="V30" s="3475" t="str">
        <f>IF(TITLE_DATE_PR_CHANGE="",IF(TITLE_DATE_PR="","",TITLE_DATE_PR),TITLE_DATE_PR_CHANGE)</f>
        <v/>
      </c>
      <c r="W30" s="3475"/>
      <c r="X30" s="3475"/>
      <c r="Y30" s="3475"/>
      <c r="Z30" s="3475"/>
      <c r="AA30" s="3475"/>
      <c r="AB30" s="3475"/>
      <c r="AC30" s="1537"/>
      <c r="AD30" s="3475" t="str">
        <f>IF(TITLE_DATE_PR_CHANGE="",IF(TITLE_DATE_PR="","",TITLE_DATE_PR),TITLE_DATE_PR_CHANGE)</f>
        <v/>
      </c>
      <c r="AE30" s="3475"/>
      <c r="AF30" s="3475"/>
      <c r="AG30" s="3475"/>
      <c r="AH30" s="3475"/>
      <c r="AI30" s="3475"/>
      <c r="AJ30" s="3475"/>
      <c r="AK30" s="1537"/>
      <c r="AL30" s="1537"/>
      <c r="AM30" s="1491"/>
      <c r="AN30" s="1579"/>
      <c r="AO30" s="1579"/>
      <c r="AP30" s="1579"/>
      <c r="AQ30" s="1579"/>
      <c r="AR30" s="1579"/>
      <c r="AS30" s="1629">
        <v>0</v>
      </c>
    </row>
    <row s="67333" customFormat="1" customHeight="1" ht="18.75" hidden="1">
      <c r="A31" s="2579"/>
      <c r="B31" s="2579"/>
      <c r="C31" s="2579"/>
      <c r="D31" s="2579"/>
      <c r="E31" s="2579"/>
      <c r="F31" s="2579"/>
      <c r="G31" s="2579"/>
      <c r="H31" s="2579"/>
      <c r="I31" s="2579"/>
      <c r="J31" s="2579"/>
      <c r="K31" s="2579"/>
      <c r="L31" s="2580"/>
      <c r="M31" s="2579"/>
      <c r="N31" s="2579"/>
      <c r="O31" s="2579"/>
      <c r="S31" s="3461" t="s">
        <v>442</v>
      </c>
      <c r="T31" s="3461"/>
      <c r="U31" s="2583"/>
      <c r="V31" s="3462" t="str">
        <f>IF(TITLE_NUMBER_PR_CHANGE="",IF(TITLE_NUMBER_PR="","",TITLE_NUMBER_PR),TITLE_NUMBER_PR_CHANGE)</f>
        <v/>
      </c>
      <c r="W31" s="3462"/>
      <c r="X31" s="3462"/>
      <c r="Y31" s="3462"/>
      <c r="Z31" s="3462"/>
      <c r="AA31" s="3462"/>
      <c r="AB31" s="3462"/>
      <c r="AC31" s="1537"/>
      <c r="AD31" s="3462" t="str">
        <f>IF(TITLE_NUMBER_PR_CHANGE="",IF(TITLE_NUMBER_PR="","",TITLE_NUMBER_PR),TITLE_NUMBER_PR_CHANGE)</f>
        <v/>
      </c>
      <c r="AE31" s="3462"/>
      <c r="AF31" s="3462"/>
      <c r="AG31" s="3462"/>
      <c r="AH31" s="3462"/>
      <c r="AI31" s="3462"/>
      <c r="AJ31" s="3462"/>
      <c r="AK31" s="1537"/>
      <c r="AL31" s="1537"/>
      <c r="AM31" s="1491"/>
      <c r="AN31" s="1579"/>
      <c r="AO31" s="1579"/>
      <c r="AP31" s="1579"/>
      <c r="AQ31" s="1579"/>
      <c r="AR31" s="1579"/>
      <c r="AS31" s="1629">
        <v>0</v>
      </c>
    </row>
    <row s="67333" customFormat="1" customHeight="1" ht="18.75" hidden="1">
      <c r="A32" s="2579"/>
      <c r="B32" s="2579"/>
      <c r="C32" s="2579"/>
      <c r="D32" s="2579"/>
      <c r="E32" s="2579"/>
      <c r="F32" s="2579"/>
      <c r="G32" s="2579"/>
      <c r="H32" s="2579"/>
      <c r="I32" s="2579"/>
      <c r="J32" s="2579"/>
      <c r="K32" s="2579"/>
      <c r="L32" s="2580"/>
      <c r="M32" s="2579"/>
      <c r="N32" s="2579"/>
      <c r="O32" s="2579"/>
      <c r="S32" s="3461" t="s">
        <v>42</v>
      </c>
      <c r="T32" s="3461"/>
      <c r="U32" s="2583"/>
      <c r="V32" s="3462" t="str">
        <f>IF(TITLE_IST_PUB_CHANGE="",IF(TITLE_IST_PUB="","",TITLE_IST_PUB),TITLE_IST_PUB_CHANGE)</f>
        <v/>
      </c>
      <c r="W32" s="3462"/>
      <c r="X32" s="3462"/>
      <c r="Y32" s="3462"/>
      <c r="Z32" s="3462"/>
      <c r="AA32" s="3462"/>
      <c r="AB32" s="3462"/>
      <c r="AC32" s="1537"/>
      <c r="AD32" s="3462" t="str">
        <f>IF(TITLE_IST_PUB_CHANGE="",IF(TITLE_IST_PUB="","",TITLE_IST_PUB),TITLE_IST_PUB_CHANGE)</f>
        <v/>
      </c>
      <c r="AE32" s="3462"/>
      <c r="AF32" s="3462"/>
      <c r="AG32" s="3462"/>
      <c r="AH32" s="3462"/>
      <c r="AI32" s="3462"/>
      <c r="AJ32" s="3462"/>
      <c r="AK32" s="1537"/>
      <c r="AL32" s="1537"/>
      <c r="AM32" s="1491"/>
      <c r="AN32" s="1579"/>
      <c r="AO32" s="1579"/>
      <c r="AP32" s="1579"/>
      <c r="AQ32" s="1579"/>
      <c r="AR32" s="1579"/>
      <c r="AS32" s="1629">
        <v>0</v>
      </c>
    </row>
    <row customHeight="1" ht="14.25" hidden="1">
      <c r="Q33" s="1587"/>
      <c r="R33" s="1587"/>
      <c r="S33" s="2486"/>
      <c r="T33" s="1574"/>
      <c r="U33" s="1574"/>
      <c r="V33" s="1533"/>
      <c r="W33" s="1533"/>
      <c r="X33" s="1533"/>
      <c r="Y33" s="1533"/>
      <c r="Z33" s="1533"/>
      <c r="AA33" s="1533"/>
      <c r="AB33" s="1533"/>
      <c r="AC33" s="1533"/>
      <c r="AD33" s="1533"/>
      <c r="AE33" s="1533"/>
      <c r="AF33" s="1533"/>
      <c r="AG33" s="1533"/>
      <c r="AH33" s="1533"/>
      <c r="AI33" s="1533"/>
      <c r="AJ33" s="1533"/>
      <c r="AK33" s="1533"/>
      <c r="AL33" s="1720"/>
      <c r="AS33" s="2366">
        <v>0</v>
      </c>
    </row>
    <row s="67333" customFormat="1" customHeight="1" ht="18.75" hidden="1">
      <c r="A34" s="2579"/>
      <c r="B34" s="2579"/>
      <c r="C34" s="2579"/>
      <c r="D34" s="2579"/>
      <c r="E34" s="2579"/>
      <c r="F34" s="2579"/>
      <c r="G34" s="2579"/>
      <c r="H34" s="2579"/>
      <c r="I34" s="2579"/>
      <c r="J34" s="2579"/>
      <c r="K34" s="2579"/>
      <c r="L34" s="2580"/>
      <c r="M34" s="2579"/>
      <c r="N34" s="2579"/>
      <c r="O34" s="2579"/>
      <c r="S34" s="3461" t="s">
        <v>443</v>
      </c>
      <c r="T34" s="3461"/>
      <c r="U34" s="2583"/>
      <c r="V34" s="3475" t="str">
        <f>IF(TITLE_DATE_PR_CHANGE="",IF(TITLE_DATE_PR="","",TITLE_DATE_PR),TITLE_DATE_PR_CHANGE)</f>
        <v/>
      </c>
      <c r="W34" s="3475"/>
      <c r="X34" s="3475"/>
      <c r="Y34" s="3475"/>
      <c r="Z34" s="3475"/>
      <c r="AA34" s="3475"/>
      <c r="AB34" s="3475"/>
      <c r="AC34" s="1537"/>
      <c r="AD34" s="3475" t="str">
        <f>IF(TITLE_DATE_PR_CHANGE="",IF(TITLE_DATE_PR="","",TITLE_DATE_PR),TITLE_DATE_PR_CHANGE)</f>
        <v/>
      </c>
      <c r="AE34" s="3475"/>
      <c r="AF34" s="3475"/>
      <c r="AG34" s="3475"/>
      <c r="AH34" s="3475"/>
      <c r="AI34" s="3475"/>
      <c r="AJ34" s="3475"/>
      <c r="AK34" s="1537"/>
      <c r="AL34" s="1537"/>
      <c r="AM34" s="1491"/>
      <c r="AN34" s="1579"/>
      <c r="AO34" s="1579"/>
      <c r="AP34" s="1579"/>
      <c r="AQ34" s="1579"/>
      <c r="AR34" s="1579"/>
      <c r="AS34" s="1629">
        <v>0</v>
      </c>
    </row>
    <row s="67333" customFormat="1" customHeight="1" ht="18.75" hidden="1">
      <c r="A35" s="2579"/>
      <c r="B35" s="2579"/>
      <c r="C35" s="2579"/>
      <c r="D35" s="2579"/>
      <c r="E35" s="2579"/>
      <c r="F35" s="2579"/>
      <c r="G35" s="2579"/>
      <c r="H35" s="2579"/>
      <c r="I35" s="2579"/>
      <c r="J35" s="2579"/>
      <c r="K35" s="2579"/>
      <c r="L35" s="2580"/>
      <c r="M35" s="2579"/>
      <c r="N35" s="2579"/>
      <c r="O35" s="2579"/>
      <c r="S35" s="3461" t="s">
        <v>444</v>
      </c>
      <c r="T35" s="3461"/>
      <c r="U35" s="2583"/>
      <c r="V35" s="3462" t="str">
        <f>IF(TITLE_NUMBER_PR_CHANGE="",IF(TITLE_NUMBER_PR="","",TITLE_NUMBER_PR),TITLE_NUMBER_PR_CHANGE)</f>
        <v/>
      </c>
      <c r="W35" s="3462"/>
      <c r="X35" s="3462"/>
      <c r="Y35" s="3462"/>
      <c r="Z35" s="3462"/>
      <c r="AA35" s="3462"/>
      <c r="AB35" s="3462"/>
      <c r="AC35" s="1537"/>
      <c r="AD35" s="3462" t="str">
        <f>IF(TITLE_NUMBER_PR_CHANGE="",IF(TITLE_NUMBER_PR="","",TITLE_NUMBER_PR),TITLE_NUMBER_PR_CHANGE)</f>
        <v/>
      </c>
      <c r="AE35" s="3462"/>
      <c r="AF35" s="3462"/>
      <c r="AG35" s="3462"/>
      <c r="AH35" s="3462"/>
      <c r="AI35" s="3462"/>
      <c r="AJ35" s="3462"/>
      <c r="AK35" s="1537"/>
      <c r="AL35" s="1537"/>
      <c r="AM35" s="1491"/>
      <c r="AN35" s="1579"/>
      <c r="AO35" s="1579"/>
      <c r="AP35" s="1579"/>
      <c r="AQ35" s="1579"/>
      <c r="AR35" s="1579"/>
      <c r="AS35" s="1629">
        <v>0</v>
      </c>
    </row>
    <row s="67333" customFormat="1" customHeight="1" ht="0">
      <c r="A36" s="2579"/>
      <c r="B36" s="2579"/>
      <c r="C36" s="2579"/>
      <c r="D36" s="2579"/>
      <c r="E36" s="2579"/>
      <c r="F36" s="2579"/>
      <c r="G36" s="2579"/>
      <c r="H36" s="2579"/>
      <c r="I36" s="2579"/>
      <c r="J36" s="2579"/>
      <c r="K36" s="2579"/>
      <c r="L36" s="2580"/>
      <c r="M36" s="2579"/>
      <c r="N36" s="2579"/>
      <c r="O36" s="2579"/>
      <c r="S36" s="1534"/>
      <c r="T36" s="1534"/>
      <c r="U36" s="2551"/>
      <c r="V36" s="1537"/>
      <c r="W36" s="1537"/>
      <c r="X36" s="1537"/>
      <c r="Y36" s="1537"/>
      <c r="Z36" s="1537"/>
      <c r="AA36" s="1537"/>
      <c r="AB36" s="1537"/>
      <c r="AC36" s="1489" t="s">
        <v>445</v>
      </c>
      <c r="AD36" s="1537"/>
      <c r="AE36" s="1537"/>
      <c r="AF36" s="1537"/>
      <c r="AG36" s="1537"/>
      <c r="AH36" s="1537"/>
      <c r="AI36" s="1537"/>
      <c r="AJ36" s="1537"/>
      <c r="AK36" s="1489" t="s">
        <v>445</v>
      </c>
      <c r="AN36" s="1579"/>
      <c r="AO36" s="1579"/>
      <c r="AP36" s="1579"/>
      <c r="AQ36" s="1579"/>
      <c r="AR36" s="1579"/>
      <c r="AS36" s="1629">
        <v>0</v>
      </c>
    </row>
    <row customHeight="1" ht="14.699999999999998">
      <c r="Q37" s="1587"/>
      <c r="R37" s="1587"/>
      <c r="S37" s="2486"/>
      <c r="T37" s="1574"/>
      <c r="U37" s="2455"/>
      <c r="V37" s="3463"/>
      <c r="W37" s="3463"/>
      <c r="X37" s="3463"/>
      <c r="Y37" s="3463"/>
      <c r="Z37" s="3463"/>
      <c r="AA37" s="3463"/>
      <c r="AB37" s="3463"/>
      <c r="AC37" s="3463"/>
      <c r="AD37" s="3463"/>
      <c r="AE37" s="3463"/>
      <c r="AF37" s="3463"/>
      <c r="AG37" s="3463"/>
      <c r="AH37" s="3463"/>
      <c r="AI37" s="3463"/>
      <c r="AJ37" s="3463"/>
      <c r="AK37" s="3463"/>
      <c r="AS37" s="2366">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366">
        <v>14</v>
      </c>
    </row>
    <row customHeight="1" ht="14.699999999999998">
      <c r="Q39" s="1587"/>
      <c r="R39" s="1587"/>
      <c r="S39" s="3484" t="s">
        <v>88</v>
      </c>
      <c r="T39" s="3420" t="s">
        <v>446</v>
      </c>
      <c r="U39" s="1512"/>
      <c r="V39" s="3485" t="s">
        <v>447</v>
      </c>
      <c r="W39" s="3486"/>
      <c r="X39" s="3486"/>
      <c r="Y39" s="3486"/>
      <c r="Z39" s="3486"/>
      <c r="AA39" s="3486"/>
      <c r="AB39" s="3487"/>
      <c r="AC39" s="3488" t="s">
        <v>448</v>
      </c>
      <c r="AD39" s="3485" t="s">
        <v>447</v>
      </c>
      <c r="AE39" s="3486"/>
      <c r="AF39" s="3486"/>
      <c r="AG39" s="3486"/>
      <c r="AH39" s="3486"/>
      <c r="AI39" s="3486"/>
      <c r="AJ39" s="3487"/>
      <c r="AK39" s="3488" t="s">
        <v>449</v>
      </c>
      <c r="AL39" s="3491" t="s">
        <v>450</v>
      </c>
      <c r="AM39" s="3338"/>
      <c r="AS39" s="2366">
        <v>14</v>
      </c>
    </row>
    <row customHeight="1" ht="35.699999999999996">
      <c r="Q40" s="1587"/>
      <c r="R40" s="1587"/>
      <c r="S40" s="3484"/>
      <c r="T40" s="3420"/>
      <c r="U40" s="2242"/>
      <c r="V40" s="3471" t="s">
        <v>451</v>
      </c>
      <c r="W40" s="3494" t="s">
        <v>452</v>
      </c>
      <c r="X40" s="3473" t="s">
        <v>453</v>
      </c>
      <c r="Y40" s="3474"/>
      <c r="Z40" s="3473" t="s">
        <v>467</v>
      </c>
      <c r="AA40" s="3480"/>
      <c r="AB40" s="3474"/>
      <c r="AC40" s="3489"/>
      <c r="AD40" s="3471" t="s">
        <v>451</v>
      </c>
      <c r="AE40" s="3494" t="s">
        <v>452</v>
      </c>
      <c r="AF40" s="3473" t="s">
        <v>453</v>
      </c>
      <c r="AG40" s="3474"/>
      <c r="AH40" s="3473" t="s">
        <v>454</v>
      </c>
      <c r="AI40" s="3480"/>
      <c r="AJ40" s="3474"/>
      <c r="AK40" s="3489"/>
      <c r="AL40" s="3492"/>
      <c r="AM40" s="3338"/>
      <c r="AS40" s="2366">
        <v>34</v>
      </c>
    </row>
    <row customHeight="1" ht="35.699999999999996">
      <c r="A41" s="2581"/>
      <c r="B41" s="2581" t="s">
        <v>155</v>
      </c>
      <c r="C41" s="2581" t="s">
        <v>156</v>
      </c>
      <c r="D41" s="2581" t="s">
        <v>157</v>
      </c>
      <c r="E41" s="2575" t="s">
        <v>455</v>
      </c>
      <c r="F41" s="2575" t="s">
        <v>456</v>
      </c>
      <c r="G41" s="2575" t="s">
        <v>457</v>
      </c>
      <c r="H41" s="2575" t="s">
        <v>458</v>
      </c>
      <c r="I41" s="2575" t="s">
        <v>459</v>
      </c>
      <c r="J41" s="2575" t="s">
        <v>460</v>
      </c>
      <c r="K41" s="2575" t="s">
        <v>461</v>
      </c>
      <c r="L41" s="2575" t="s">
        <v>436</v>
      </c>
      <c r="Q41" s="1587"/>
      <c r="R41" s="1587"/>
      <c r="S41" s="3484"/>
      <c r="T41" s="3420"/>
      <c r="U41" s="1513"/>
      <c r="V41" s="3472"/>
      <c r="W41" s="3495"/>
      <c r="X41" s="2433" t="s">
        <v>462</v>
      </c>
      <c r="Y41" s="2433" t="s">
        <v>463</v>
      </c>
      <c r="Z41" s="2549" t="s">
        <v>464</v>
      </c>
      <c r="AA41" s="3481" t="s">
        <v>465</v>
      </c>
      <c r="AB41" s="3482"/>
      <c r="AC41" s="3490"/>
      <c r="AD41" s="3472"/>
      <c r="AE41" s="3495"/>
      <c r="AF41" s="2433" t="s">
        <v>462</v>
      </c>
      <c r="AG41" s="2433" t="s">
        <v>463</v>
      </c>
      <c r="AH41" s="2549" t="s">
        <v>464</v>
      </c>
      <c r="AI41" s="3481" t="s">
        <v>465</v>
      </c>
      <c r="AJ41" s="3482"/>
      <c r="AK41" s="3490"/>
      <c r="AL41" s="3493"/>
      <c r="AM41" s="3338"/>
      <c r="AS41" s="2366">
        <v>34</v>
      </c>
    </row>
    <row s="65897" customFormat="1" customHeight="1" ht="11.25" hidden="1">
      <c r="A42" s="2581"/>
      <c r="B42" s="2581"/>
      <c r="C42" s="2581"/>
      <c r="D42" s="2581"/>
      <c r="E42" s="2581"/>
      <c r="F42" s="2581"/>
      <c r="G42" s="2581"/>
      <c r="H42" s="2581"/>
      <c r="I42" s="2581"/>
      <c r="J42" s="2581"/>
      <c r="K42" s="2581"/>
      <c r="L42" s="2575"/>
      <c r="M42" s="2573"/>
      <c r="N42" s="2573"/>
      <c r="O42" s="2573"/>
      <c r="P42" s="2457"/>
      <c r="Q42" s="2458"/>
      <c r="R42" s="2465">
        <v>1</v>
      </c>
      <c r="S42" s="2488" t="s">
        <v>99</v>
      </c>
      <c r="T42" s="2466" t="s">
        <v>102</v>
      </c>
      <c r="U42" s="2456" t="str">
        <f>OFFSET(U42,0,-1)</f>
        <v>2</v>
      </c>
      <c r="V42" s="2546">
        <f>OFFSET(V42,0,-1)+1</f>
        <v>3</v>
      </c>
      <c r="W42" s="2546"/>
      <c r="X42" s="2546">
        <f>OFFSET(X42,0,-1)+1</f>
        <v>1</v>
      </c>
      <c r="Y42" s="2546">
        <f>OFFSET(Y42,0,-1)+1</f>
        <v>2</v>
      </c>
      <c r="Z42" s="2546">
        <f>OFFSET(Z42,0,-1)+1</f>
        <v>3</v>
      </c>
      <c r="AA42" s="3483">
        <f>OFFSET(AA42,0,-1)+1</f>
        <v>4</v>
      </c>
      <c r="AB42" s="3483"/>
      <c r="AC42" s="2546">
        <f>OFFSET(AC42,0,-2)+1</f>
        <v>5</v>
      </c>
      <c r="AD42" s="2546">
        <f>OFFSET(AD42,0,-1)+1</f>
        <v>6</v>
      </c>
      <c r="AE42" s="2546"/>
      <c r="AF42" s="2546">
        <f>OFFSET(AF42,0,-1)+1</f>
        <v>1</v>
      </c>
      <c r="AG42" s="2546">
        <f>OFFSET(AG42,0,-1)+1</f>
        <v>2</v>
      </c>
      <c r="AH42" s="2546">
        <f>OFFSET(AH42,0,-1)+1</f>
        <v>3</v>
      </c>
      <c r="AI42" s="3483">
        <f>OFFSET(AI42,0,-1)+1</f>
        <v>4</v>
      </c>
      <c r="AJ42" s="3483"/>
      <c r="AK42" s="2546">
        <f>OFFSET(AK42,0,-2)+1</f>
        <v>5</v>
      </c>
      <c r="AL42" s="2456">
        <f>OFFSET(AL42,0,-1)</f>
        <v>5</v>
      </c>
      <c r="AM42" s="2546">
        <f>OFFSET(AM42,0,-1)+1</f>
        <v>6</v>
      </c>
      <c r="AN42" s="1722"/>
      <c r="AO42" s="1722"/>
      <c r="AP42" s="1722"/>
      <c r="AQ42" s="1722"/>
      <c r="AR42" s="1722"/>
      <c r="AS42" s="1707">
        <v>0</v>
      </c>
    </row>
    <row customHeight="1" ht="22.049999999999997">
      <c r="A43" s="2574" t="s">
        <v>181</v>
      </c>
      <c r="B43" s="2574"/>
      <c r="C43" s="2574"/>
      <c r="D43" s="2574"/>
      <c r="E43" s="3469">
        <v>1</v>
      </c>
      <c r="F43" s="2574"/>
      <c r="G43" s="2574"/>
      <c r="H43" s="2574"/>
      <c r="I43" s="2574"/>
      <c r="J43" s="2574"/>
      <c r="K43" s="2574"/>
      <c r="L43" s="2575"/>
      <c r="M43" s="2576"/>
      <c r="N43" s="2576"/>
      <c r="O43" s="2576"/>
      <c r="P43" s="1572"/>
      <c r="Q43" s="1571"/>
      <c r="R43" s="1566"/>
      <c r="S43" s="2547">
        <f>INDEX(PT_DIFFERENTIATION_NUM_NTAR,MATCH(A43,PT_DIFFERENTIATION_NTAR_ID,0))</f>
        <v>0</v>
      </c>
      <c r="T43" s="1509"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11"/>
      <c r="AP43" s="1711" t="str">
        <f>IF(T43="","",T43)</f>
        <v>Наименование тарифа</v>
      </c>
      <c r="AQ43" s="1711"/>
      <c r="AR43" s="1711"/>
      <c r="AS43" s="2366">
        <v>21</v>
      </c>
    </row>
    <row customHeight="1" ht="22.049999999999997">
      <c r="A44" s="2574" t="s">
        <v>181</v>
      </c>
      <c r="B44" s="2574" t="s">
        <v>182</v>
      </c>
      <c r="C44" s="2574"/>
      <c r="D44" s="2574"/>
      <c r="E44" s="3470"/>
      <c r="F44" s="3469">
        <v>1</v>
      </c>
      <c r="G44" s="2574"/>
      <c r="H44" s="2574"/>
      <c r="I44" s="2574"/>
      <c r="J44" s="2574"/>
      <c r="K44" s="2574"/>
      <c r="L44" s="2575"/>
      <c r="M44" s="2576"/>
      <c r="N44" s="2576"/>
      <c r="O44" s="2576"/>
      <c r="P44" s="2543"/>
      <c r="Q44" s="1563"/>
      <c r="R44" s="1564"/>
      <c r="S44" s="2547" t="str">
        <f>INDEX(PT_DIFFERENTIATION_NUM_TER,MATCH(B44,PT_DIFFERENTIATION_TER_ID,0))</f>
        <v>.</v>
      </c>
      <c r="T44" s="1519"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1711"/>
      <c r="AP44" s="1711" t="str">
        <f>IF(T44="","",T44)</f>
        <v>Территория действия тарифа</v>
      </c>
      <c r="AQ44" s="1711"/>
      <c r="AR44" s="1711"/>
      <c r="AS44" s="2366">
        <v>21</v>
      </c>
    </row>
    <row customHeight="1" ht="24">
      <c r="A45" s="2574" t="s">
        <v>181</v>
      </c>
      <c r="B45" s="2574" t="s">
        <v>182</v>
      </c>
      <c r="C45" s="2574" t="s">
        <v>183</v>
      </c>
      <c r="D45" s="2574"/>
      <c r="E45" s="3470"/>
      <c r="F45" s="3470"/>
      <c r="G45" s="3469">
        <v>1</v>
      </c>
      <c r="H45" s="2574"/>
      <c r="I45" s="2574"/>
      <c r="J45" s="2574"/>
      <c r="K45" s="2574"/>
      <c r="L45" s="2575"/>
      <c r="M45" s="2576"/>
      <c r="N45" s="2576"/>
      <c r="O45" s="2576"/>
      <c r="P45" s="1565"/>
      <c r="Q45" s="1563"/>
      <c r="R45" s="1564"/>
      <c r="S45" s="2547"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1711"/>
      <c r="AP45" s="1711" t="str">
        <f>IF(T45="","",T45)</f>
        <v>Наименование системы теплоснабжения </v>
      </c>
      <c r="AQ45" s="1711"/>
      <c r="AR45" s="1711"/>
      <c r="AS45" s="2366">
        <v>23</v>
      </c>
    </row>
    <row customHeight="1" ht="22.049999999999997">
      <c r="A46" s="2574" t="s">
        <v>181</v>
      </c>
      <c r="B46" s="2574" t="s">
        <v>182</v>
      </c>
      <c r="C46" s="2574" t="s">
        <v>183</v>
      </c>
      <c r="D46" s="2574" t="s">
        <v>184</v>
      </c>
      <c r="E46" s="3470"/>
      <c r="F46" s="3470"/>
      <c r="G46" s="3470"/>
      <c r="H46" s="3469">
        <v>1</v>
      </c>
      <c r="I46" s="2574"/>
      <c r="J46" s="2574"/>
      <c r="K46" s="2574"/>
      <c r="L46" s="2575"/>
      <c r="M46" s="2576"/>
      <c r="N46" s="2576"/>
      <c r="O46" s="2576"/>
      <c r="P46" s="1565"/>
      <c r="Q46" s="1563"/>
      <c r="R46" s="1564"/>
      <c r="S46" s="2547"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1711"/>
      <c r="AP46" s="1711" t="str">
        <f>IF(T46="","",T46)</f>
        <v>Источник тепловой энергии  </v>
      </c>
      <c r="AQ46" s="1711"/>
      <c r="AR46" s="1711"/>
      <c r="AS46" s="2366">
        <v>21</v>
      </c>
    </row>
    <row customHeight="1" ht="49.5">
      <c r="A47" s="2574" t="s">
        <v>181</v>
      </c>
      <c r="B47" s="2574" t="s">
        <v>182</v>
      </c>
      <c r="C47" s="2574" t="s">
        <v>183</v>
      </c>
      <c r="D47" s="2574" t="s">
        <v>184</v>
      </c>
      <c r="E47" s="3470"/>
      <c r="F47" s="3470"/>
      <c r="G47" s="3470"/>
      <c r="H47" s="3470"/>
      <c r="I47" s="3467" t="str">
        <f>S46&amp;".1"</f>
        <v>....1</v>
      </c>
      <c r="J47" s="2574"/>
      <c r="K47" s="2574"/>
      <c r="L47" s="2575" t="s">
        <v>421</v>
      </c>
      <c r="P47" s="3468">
        <v>1</v>
      </c>
      <c r="Q47" s="2542"/>
      <c r="R47" s="1567"/>
      <c r="S47" s="2547" t="str">
        <f>$I47</f>
        <v>....1</v>
      </c>
      <c r="T47" s="1496" t="s">
        <v>422</v>
      </c>
      <c r="U47" s="1511"/>
      <c r="V47" s="3456"/>
      <c r="W47" s="3457"/>
      <c r="X47" s="3457"/>
      <c r="Y47" s="3457"/>
      <c r="Z47" s="3457"/>
      <c r="AA47" s="3457"/>
      <c r="AB47" s="3457"/>
      <c r="AC47" s="3458"/>
      <c r="AD47" s="3456"/>
      <c r="AE47" s="3457"/>
      <c r="AF47" s="3457"/>
      <c r="AG47" s="3457"/>
      <c r="AH47" s="3457"/>
      <c r="AI47" s="3457"/>
      <c r="AJ47" s="3457"/>
      <c r="AK47" s="3457"/>
      <c r="AL47" s="3458"/>
      <c r="AM47" s="2469" t="s">
        <v>423</v>
      </c>
      <c r="AO47" s="1711"/>
      <c r="AP47" s="1711" t="str">
        <f>IF(T47="","",T47)</f>
        <v>Схема подключения теплопотребляющей установки к коллектору источника тепловой энергии</v>
      </c>
      <c r="AQ47" s="1711"/>
      <c r="AR47" s="1711"/>
      <c r="AS47" s="2366">
        <v>47</v>
      </c>
    </row>
    <row customHeight="1" ht="22.049999999999997">
      <c r="A48" s="2574" t="s">
        <v>181</v>
      </c>
      <c r="B48" s="2574" t="s">
        <v>182</v>
      </c>
      <c r="C48" s="2574" t="s">
        <v>183</v>
      </c>
      <c r="D48" s="2574" t="s">
        <v>184</v>
      </c>
      <c r="E48" s="3470"/>
      <c r="F48" s="3470"/>
      <c r="G48" s="3470"/>
      <c r="H48" s="3470"/>
      <c r="I48" s="3497"/>
      <c r="J48" s="3467" t="str">
        <f>I47&amp;".1"</f>
        <v>....1.1</v>
      </c>
      <c r="K48" s="2574"/>
      <c r="L48" s="2575" t="s">
        <v>424</v>
      </c>
      <c r="P48" s="3468"/>
      <c r="Q48" s="3468">
        <v>1</v>
      </c>
      <c r="R48" s="1568"/>
      <c r="S48" s="2547" t="str">
        <f>$J48</f>
        <v>....1.1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1711"/>
      <c r="AP48" s="1711" t="str">
        <f>IF(T48="","",T48)</f>
        <v>Группа потребителей</v>
      </c>
      <c r="AQ48" s="1711"/>
      <c r="AR48" s="1711"/>
      <c r="AS48" s="2366">
        <v>21</v>
      </c>
    </row>
    <row customHeight="1" ht="22.049999999999997">
      <c r="A49" s="2574" t="s">
        <v>181</v>
      </c>
      <c r="B49" s="2574" t="s">
        <v>182</v>
      </c>
      <c r="C49" s="2574" t="s">
        <v>183</v>
      </c>
      <c r="D49" s="2574" t="s">
        <v>184</v>
      </c>
      <c r="E49" s="3470"/>
      <c r="F49" s="3470"/>
      <c r="G49" s="3470"/>
      <c r="H49" s="3470"/>
      <c r="I49" s="3497"/>
      <c r="J49" s="3497"/>
      <c r="K49" s="3467" t="str">
        <f>J48&amp;".1"</f>
        <v>....1.1.1</v>
      </c>
      <c r="L49" s="2575" t="s">
        <v>427</v>
      </c>
      <c r="P49" s="3468"/>
      <c r="Q49" s="3468"/>
      <c r="R49" s="1568">
        <v>1</v>
      </c>
      <c r="S49" s="2547" t="str">
        <f>$K49</f>
        <v>....1.1.1</v>
      </c>
      <c r="T49" s="2558"/>
      <c r="U49" s="1511"/>
      <c r="V49" s="1962"/>
      <c r="W49" s="1536"/>
      <c r="X49" s="1962"/>
      <c r="Y49" s="2468"/>
      <c r="Z49" s="3476"/>
      <c r="AA49" s="3318" t="s">
        <v>62</v>
      </c>
      <c r="AB49" s="3476"/>
      <c r="AC49" s="3318" t="s">
        <v>62</v>
      </c>
      <c r="AD49" s="1962"/>
      <c r="AE49" s="1536"/>
      <c r="AF49" s="1962"/>
      <c r="AG49" s="2468"/>
      <c r="AH49" s="3476"/>
      <c r="AI49" s="3318" t="s">
        <v>62</v>
      </c>
      <c r="AJ49" s="3498"/>
      <c r="AK49" s="3318" t="s">
        <v>62</v>
      </c>
      <c r="AL49" s="2559"/>
      <c r="AM49" s="3464" t="s">
        <v>428</v>
      </c>
      <c r="AN49" s="1722">
        <f>STRCHECKDATE(V50:AL50)</f>
      </c>
      <c r="AO49" s="1711"/>
      <c r="AP49" s="1711" t="str">
        <f>IF(T49="","",T49)</f>
        <v/>
      </c>
      <c r="AQ49" s="1711"/>
      <c r="AR49" s="1711"/>
      <c r="AS49" s="2366">
        <v>21</v>
      </c>
    </row>
    <row customHeight="1" ht="1.05">
      <c r="A50" s="2574" t="s">
        <v>181</v>
      </c>
      <c r="B50" s="2574" t="s">
        <v>182</v>
      </c>
      <c r="C50" s="2574" t="s">
        <v>183</v>
      </c>
      <c r="D50" s="2574" t="s">
        <v>184</v>
      </c>
      <c r="E50" s="3470"/>
      <c r="F50" s="3470"/>
      <c r="G50" s="3470"/>
      <c r="H50" s="3470"/>
      <c r="I50" s="3497"/>
      <c r="J50" s="3497"/>
      <c r="K50" s="3467"/>
      <c r="L50" s="2575"/>
      <c r="P50" s="3468"/>
      <c r="Q50" s="3468"/>
      <c r="R50" s="1568"/>
      <c r="S50" s="2553"/>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1711"/>
      <c r="AP50" s="1711" t="str">
        <f>IF(T50="","",T50)</f>
        <v/>
      </c>
      <c r="AQ50" s="1711"/>
      <c r="AR50" s="1711"/>
      <c r="AS50" s="2366">
        <v>1</v>
      </c>
    </row>
    <row customHeight="1" ht="11.549999999999999">
      <c r="A51" s="2574" t="s">
        <v>181</v>
      </c>
      <c r="B51" s="2574" t="s">
        <v>182</v>
      </c>
      <c r="C51" s="2574" t="s">
        <v>183</v>
      </c>
      <c r="D51" s="2574" t="s">
        <v>184</v>
      </c>
      <c r="E51" s="3470"/>
      <c r="F51" s="3470"/>
      <c r="G51" s="3470"/>
      <c r="H51" s="3470"/>
      <c r="I51" s="3497"/>
      <c r="J51" s="3467"/>
      <c r="K51" s="2574"/>
      <c r="L51" s="2575"/>
      <c r="P51" s="3468"/>
      <c r="Q51" s="3468"/>
      <c r="R51" s="1567"/>
      <c r="S51" s="2489"/>
      <c r="T51" s="1499" t="s">
        <v>429</v>
      </c>
      <c r="U51" s="1578"/>
      <c r="V51" s="1578"/>
      <c r="W51" s="1578"/>
      <c r="X51" s="1578"/>
      <c r="Y51" s="1578"/>
      <c r="Z51" s="1578"/>
      <c r="AA51" s="1578"/>
      <c r="AB51" s="1578"/>
      <c r="AC51" s="1578"/>
      <c r="AD51" s="1578"/>
      <c r="AE51" s="1578"/>
      <c r="AF51" s="1578"/>
      <c r="AG51" s="1578"/>
      <c r="AH51" s="1578"/>
      <c r="AI51" s="1578"/>
      <c r="AJ51" s="1578"/>
      <c r="AK51" s="1578"/>
      <c r="AL51" s="1535"/>
      <c r="AM51" s="3466"/>
      <c r="AO51" s="1711"/>
      <c r="AP51" s="1711" t="str">
        <f>IF(T51="","",T51)</f>
        <v>Добавить вид теплоносителя (параметры теплоносителя)</v>
      </c>
      <c r="AQ51" s="1711"/>
      <c r="AR51" s="1711"/>
      <c r="AS51" s="2366">
        <v>11</v>
      </c>
    </row>
    <row customHeight="1" ht="11.549999999999999">
      <c r="A52" s="2574" t="s">
        <v>181</v>
      </c>
      <c r="B52" s="2574" t="s">
        <v>182</v>
      </c>
      <c r="C52" s="2574" t="s">
        <v>183</v>
      </c>
      <c r="D52" s="2574" t="s">
        <v>184</v>
      </c>
      <c r="E52" s="3470"/>
      <c r="F52" s="3470"/>
      <c r="G52" s="3470"/>
      <c r="H52" s="3470"/>
      <c r="I52" s="3467"/>
      <c r="J52" s="2574"/>
      <c r="K52" s="2574"/>
      <c r="L52" s="2575"/>
      <c r="P52" s="3468"/>
      <c r="Q52" s="2542"/>
      <c r="R52" s="1567"/>
      <c r="S52" s="2489"/>
      <c r="T52" s="1498" t="s">
        <v>430</v>
      </c>
      <c r="U52" s="1578"/>
      <c r="V52" s="1578"/>
      <c r="W52" s="1578"/>
      <c r="X52" s="1578"/>
      <c r="Y52" s="1578"/>
      <c r="Z52" s="1578"/>
      <c r="AA52" s="1578"/>
      <c r="AB52" s="1578"/>
      <c r="AC52" s="1577"/>
      <c r="AD52" s="1578"/>
      <c r="AE52" s="1578"/>
      <c r="AF52" s="1578"/>
      <c r="AG52" s="1578"/>
      <c r="AH52" s="1578"/>
      <c r="AI52" s="1578"/>
      <c r="AJ52" s="1578"/>
      <c r="AK52" s="1577"/>
      <c r="AL52" s="1578"/>
      <c r="AM52" s="1514"/>
      <c r="AO52" s="1711"/>
      <c r="AP52" s="1711" t="str">
        <f>IF(T52="","",T52)</f>
        <v>Добавить группу потребителей</v>
      </c>
      <c r="AQ52" s="1711"/>
      <c r="AR52" s="1711"/>
      <c r="AS52" s="2366">
        <v>11</v>
      </c>
    </row>
    <row customHeight="1" ht="14.699999999999998">
      <c r="A53" s="2574" t="s">
        <v>181</v>
      </c>
      <c r="B53" s="2574" t="s">
        <v>182</v>
      </c>
      <c r="C53" s="2574" t="s">
        <v>183</v>
      </c>
      <c r="D53" s="2574" t="s">
        <v>184</v>
      </c>
      <c r="E53" s="3470"/>
      <c r="F53" s="3470"/>
      <c r="G53" s="3470"/>
      <c r="H53" s="3469"/>
      <c r="I53" s="2574"/>
      <c r="J53" s="2574"/>
      <c r="K53" s="2574"/>
      <c r="L53" s="2575"/>
      <c r="M53" s="2576"/>
      <c r="N53" s="2576"/>
      <c r="O53" s="1748"/>
      <c r="P53" s="1571"/>
      <c r="Q53" s="1586"/>
      <c r="R53" s="1566"/>
      <c r="S53" s="2489"/>
      <c r="T53" s="1576" t="s">
        <v>431</v>
      </c>
      <c r="U53" s="1578"/>
      <c r="V53" s="1578"/>
      <c r="W53" s="1578"/>
      <c r="X53" s="1578"/>
      <c r="Y53" s="1578"/>
      <c r="Z53" s="1578"/>
      <c r="AA53" s="1578"/>
      <c r="AB53" s="1578"/>
      <c r="AC53" s="1577"/>
      <c r="AD53" s="1578"/>
      <c r="AE53" s="1578"/>
      <c r="AF53" s="1578"/>
      <c r="AG53" s="1578"/>
      <c r="AH53" s="1578"/>
      <c r="AI53" s="1578"/>
      <c r="AJ53" s="1578"/>
      <c r="AK53" s="1577"/>
      <c r="AL53" s="1578"/>
      <c r="AM53" s="1514"/>
      <c r="AO53" s="1711"/>
      <c r="AP53" s="1711" t="str">
        <f>IF(T53="","",T53)</f>
        <v>Добавить схему подключения</v>
      </c>
      <c r="AQ53" s="1711"/>
      <c r="AR53" s="1711"/>
      <c r="AS53" s="2366">
        <v>14</v>
      </c>
    </row>
    <row s="65923" customFormat="1" customHeight="1" ht="1.05">
      <c r="A54" s="2554" t="s">
        <v>181</v>
      </c>
      <c r="B54" s="2554" t="s">
        <v>182</v>
      </c>
      <c r="C54" s="2554" t="s">
        <v>183</v>
      </c>
      <c r="D54" s="2525"/>
      <c r="E54" s="3470"/>
      <c r="F54" s="3470"/>
      <c r="G54" s="3469"/>
      <c r="H54" s="2525"/>
      <c r="I54" s="2525"/>
      <c r="J54" s="2525"/>
      <c r="K54" s="2525"/>
      <c r="L54" s="2550"/>
      <c r="M54" s="2526"/>
      <c r="N54" s="2526"/>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000"/>
      <c r="AP54" s="2000" t="str">
        <f>IF(T54="","",T54)</f>
        <v>Добавить источник для дифференциации</v>
      </c>
      <c r="AQ54" s="2000"/>
      <c r="AR54" s="2000"/>
      <c r="AS54" s="1729">
        <v>1</v>
      </c>
    </row>
    <row s="65923" customFormat="1" customHeight="1" ht="1.05">
      <c r="A55" s="2554" t="s">
        <v>181</v>
      </c>
      <c r="B55" s="2554" t="s">
        <v>182</v>
      </c>
      <c r="C55" s="2525"/>
      <c r="D55" s="2525"/>
      <c r="E55" s="3470"/>
      <c r="F55" s="3469"/>
      <c r="G55" s="2525"/>
      <c r="H55" s="2525"/>
      <c r="I55" s="2525"/>
      <c r="J55" s="2525"/>
      <c r="K55" s="2525"/>
      <c r="L55" s="2550"/>
      <c r="M55" s="2532"/>
      <c r="N55" s="2532"/>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000"/>
      <c r="AP55" s="2000" t="str">
        <f>IF(T55="","",T55)</f>
        <v>Добавить централизованную систему для дифференциации</v>
      </c>
      <c r="AQ55" s="2000"/>
      <c r="AR55" s="2000"/>
      <c r="AS55" s="1729">
        <v>1</v>
      </c>
    </row>
    <row s="65923" customFormat="1" customHeight="1" ht="1.05">
      <c r="A56" s="2554" t="s">
        <v>181</v>
      </c>
      <c r="B56" s="2554"/>
      <c r="C56" s="2554"/>
      <c r="D56" s="2554"/>
      <c r="E56" s="3469"/>
      <c r="F56" s="2554"/>
      <c r="G56" s="2554"/>
      <c r="H56" s="2554"/>
      <c r="I56" s="2554"/>
      <c r="J56" s="2554"/>
      <c r="K56" s="2554"/>
      <c r="L56" s="2557"/>
      <c r="M56" s="2532"/>
      <c r="N56" s="2532"/>
      <c r="O56" s="1729"/>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1711"/>
      <c r="AP56" s="1711" t="str">
        <f>IF(T56="","",T56)</f>
        <v>Добавить территорию для дифференциации</v>
      </c>
      <c r="AQ56" s="1711"/>
      <c r="AR56" s="1711"/>
      <c r="AS56" s="1722">
        <v>1</v>
      </c>
    </row>
    <row s="65923" customFormat="1" customHeight="1" ht="1.05">
      <c r="A57" s="2525"/>
      <c r="B57" s="2525"/>
      <c r="C57" s="2525"/>
      <c r="D57" s="2525"/>
      <c r="E57" s="2554"/>
      <c r="F57" s="2525"/>
      <c r="G57" s="2525"/>
      <c r="H57" s="2525"/>
      <c r="I57" s="2525"/>
      <c r="J57" s="2525"/>
      <c r="K57" s="2525"/>
      <c r="L57" s="2550"/>
      <c r="M57" s="2532"/>
      <c r="N57" s="2532"/>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000"/>
      <c r="AP57" s="2000" t="str">
        <f>IF(T57="","",T57)</f>
        <v>Добавить наименование тарифа</v>
      </c>
      <c r="AQ57" s="2000"/>
      <c r="AR57" s="2000"/>
      <c r="AS57" s="1729">
        <v>1</v>
      </c>
    </row>
    <row customHeight="1" ht="11.549999999999999">
      <c r="M58" s="2371"/>
      <c r="N58" s="2371"/>
      <c r="O58" s="1748"/>
      <c r="P58" s="2366"/>
      <c r="Q58" s="2366"/>
      <c r="R58" s="2366"/>
      <c r="S58" s="2366"/>
      <c r="AN58" s="2366"/>
      <c r="AO58" s="2366"/>
      <c r="AP58" s="2366"/>
      <c r="AQ58" s="2366"/>
      <c r="AR58" s="2366"/>
      <c r="AS58" s="2366">
        <v>11</v>
      </c>
    </row>
    <row customHeight="1" ht="28.5">
      <c r="O59" s="1748"/>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366">
        <v>27</v>
      </c>
    </row>
    <row customHeight="1" ht="65.25">
      <c r="O60" s="1748"/>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366">
        <v>62</v>
      </c>
    </row>
    <row customHeight="1" ht="14.699999999999998">
      <c r="O61" s="1748"/>
      <c r="AS61" s="2366">
        <v>14</v>
      </c>
    </row>
    <row customHeight="1" ht="18.75">
      <c r="O62" s="1748"/>
      <c r="S62" s="2464"/>
      <c r="T62" s="3496"/>
      <c r="U62" s="3496"/>
      <c r="V62" s="3496"/>
      <c r="W62" s="3496"/>
      <c r="X62" s="3496"/>
      <c r="Y62" s="3496"/>
      <c r="Z62" s="3496"/>
      <c r="AA62" s="3496"/>
      <c r="AB62" s="3496"/>
      <c r="AC62" s="3496"/>
      <c r="AD62" s="3496"/>
      <c r="AE62" s="3496"/>
      <c r="AF62" s="3496"/>
      <c r="AG62" s="3496"/>
      <c r="AH62" s="3496"/>
      <c r="AI62" s="3496"/>
      <c r="AJ62" s="3496"/>
      <c r="AK62" s="3496"/>
      <c r="AL62" s="3496"/>
      <c r="AM62" s="3496"/>
      <c r="AS62" s="2366">
        <v>18</v>
      </c>
    </row>
    <row customHeight="1" ht="18.75">
      <c r="O63" s="1748"/>
      <c r="T63" s="3496"/>
      <c r="U63" s="3496"/>
      <c r="V63" s="3496"/>
      <c r="W63" s="3496"/>
      <c r="X63" s="3496"/>
      <c r="Y63" s="3496"/>
      <c r="Z63" s="3496"/>
      <c r="AA63" s="3496"/>
      <c r="AB63" s="3496"/>
      <c r="AC63" s="3496"/>
      <c r="AD63" s="3496"/>
      <c r="AE63" s="3496"/>
      <c r="AF63" s="3496"/>
      <c r="AG63" s="3496"/>
      <c r="AH63" s="3496"/>
      <c r="AI63" s="3496"/>
      <c r="AJ63" s="3496"/>
      <c r="AK63" s="3496"/>
      <c r="AL63" s="3496"/>
      <c r="AM63" s="3496"/>
      <c r="AS63" s="2366">
        <v>18</v>
      </c>
    </row>
    <row customHeight="1" ht="29.25">
      <c r="O64" s="1748"/>
      <c r="S64" s="2464"/>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366">
        <v>28</v>
      </c>
    </row>
    <row customHeight="1" ht="22.5" hidden="1">
      <c r="A65" s="2371" t="s">
        <v>82</v>
      </c>
      <c r="B65" s="2371">
        <v>0</v>
      </c>
      <c r="C65" s="2371">
        <v>0</v>
      </c>
      <c r="D65" s="2371">
        <v>0</v>
      </c>
      <c r="E65" s="2371">
        <v>0</v>
      </c>
      <c r="F65" s="2371">
        <v>0</v>
      </c>
      <c r="G65" s="2371">
        <v>0</v>
      </c>
      <c r="H65" s="2371">
        <v>0</v>
      </c>
      <c r="I65" s="2371">
        <v>0</v>
      </c>
      <c r="J65" s="2371">
        <v>0</v>
      </c>
      <c r="K65" s="2371">
        <v>0</v>
      </c>
      <c r="L65" s="2540">
        <v>0</v>
      </c>
      <c r="M65" s="2573">
        <v>0</v>
      </c>
      <c r="N65" s="2573">
        <v>0</v>
      </c>
      <c r="O65" s="2573">
        <v>0</v>
      </c>
      <c r="P65" s="2539">
        <v>3</v>
      </c>
      <c r="Q65" s="1555">
        <v>3</v>
      </c>
      <c r="R65" s="1555">
        <v>3</v>
      </c>
      <c r="S65" s="1792">
        <v>12</v>
      </c>
      <c r="T65" s="2366">
        <v>31</v>
      </c>
      <c r="U65" s="2366">
        <v>0</v>
      </c>
      <c r="V65" s="2366">
        <v>0</v>
      </c>
      <c r="W65" s="2366">
        <v>0</v>
      </c>
      <c r="X65" s="2366">
        <v>0</v>
      </c>
      <c r="Y65" s="2366">
        <v>0</v>
      </c>
      <c r="Z65" s="2366">
        <v>0</v>
      </c>
      <c r="AA65" s="2366">
        <v>0</v>
      </c>
      <c r="AB65" s="2366">
        <v>0</v>
      </c>
      <c r="AC65" s="2366">
        <v>0</v>
      </c>
      <c r="AD65" s="2366">
        <v>24</v>
      </c>
      <c r="AE65" s="2366">
        <v>0</v>
      </c>
      <c r="AF65" s="2366">
        <v>24</v>
      </c>
      <c r="AG65" s="2366">
        <v>24</v>
      </c>
      <c r="AH65" s="2366">
        <v>11</v>
      </c>
      <c r="AI65" s="2366">
        <v>3</v>
      </c>
      <c r="AJ65" s="2366">
        <v>11</v>
      </c>
      <c r="AK65" s="2366">
        <v>0</v>
      </c>
      <c r="AL65" s="2366">
        <v>4</v>
      </c>
      <c r="AM65" s="2366">
        <v>115</v>
      </c>
      <c r="AN65" s="1722">
        <v>10</v>
      </c>
      <c r="AO65" s="1722">
        <v>10</v>
      </c>
      <c r="AP65" s="1722">
        <v>10</v>
      </c>
      <c r="AQ65" s="1722">
        <v>10</v>
      </c>
      <c r="AR65" s="1722">
        <v>10</v>
      </c>
      <c r="AS65" s="236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3FF96-2AFB-FAB6-C6B3-7FD5D7D5C9A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903" width="10.57421875" hidden="1"/>
    <col min="2" max="2" style="66903" width="11.00390625" hidden="1" customWidth="1"/>
    <col min="3" max="3" style="66903" width="10.57421875" hidden="1"/>
    <col min="4" max="4" style="66903" width="11.8515625" hidden="1" customWidth="1"/>
    <col min="5" max="5" style="66903" width="10.00390625" hidden="1" customWidth="1"/>
    <col min="6" max="6" style="66903" width="8.7109375" hidden="1" customWidth="1"/>
    <col min="7" max="7" style="66903" width="7.57421875" hidden="1" customWidth="1"/>
    <col min="8" max="8" style="66903" width="11.421875" hidden="1" customWidth="1"/>
    <col min="9" max="9" style="66903" width="12.00390625" hidden="1" customWidth="1"/>
    <col min="10" max="10" style="66903" width="9.8515625" hidden="1" customWidth="1"/>
    <col min="11" max="11" style="66903" width="11.421875" hidden="1" customWidth="1"/>
    <col min="12" max="12" style="67441" width="19.140625" hidden="1" customWidth="1"/>
    <col min="13" max="14" style="67462" width="12.28125" hidden="1" customWidth="1"/>
    <col min="15" max="15" style="67462" width="23.421875" hidden="1" customWidth="1"/>
    <col min="16" max="16" style="67462" width="3.00390625" customWidth="1"/>
    <col min="17" max="18" style="66873" width="3.00390625" customWidth="1"/>
    <col min="19" max="19" style="67434" width="12.00390625" customWidth="1"/>
    <col min="20" max="20" style="66903" width="31.00390625" customWidth="1"/>
    <col min="21" max="21" style="66903" width="0.140625" customWidth="1"/>
    <col min="22" max="22" style="66903" width="24.7109375" hidden="1" customWidth="1"/>
    <col min="23" max="23" style="66903" width="0.140625" hidden="1" customWidth="1"/>
    <col min="24" max="25" style="66903" width="24.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24.7109375" customWidth="1"/>
    <col min="31" max="31" style="66903" width="0.140625" customWidth="1"/>
    <col min="32" max="33" style="66903" width="24.0039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10.57421875" hidden="1"/>
  </cols>
  <sheetData>
    <row customHeight="1" ht="22.5" hidden="1">
      <c r="AS1" s="2842" t="s">
        <v>14</v>
      </c>
    </row>
    <row customHeight="1" ht="21" hidden="1">
      <c r="A2" s="2478"/>
      <c r="B2" s="2478"/>
      <c r="C2" s="2478"/>
      <c r="D2" s="2478"/>
      <c r="E2" s="3500">
        <v>1</v>
      </c>
      <c r="F2" s="2478"/>
      <c r="G2" s="2478"/>
      <c r="H2" s="2478"/>
      <c r="I2" s="2478"/>
      <c r="J2" s="2478"/>
      <c r="K2" s="2478"/>
      <c r="L2" s="2521"/>
      <c r="M2" s="2821"/>
      <c r="N2" s="2821"/>
      <c r="O2" s="2821"/>
      <c r="P2" s="2801"/>
      <c r="Q2" s="1571"/>
      <c r="R2" s="1566"/>
      <c r="S2" s="3169">
        <f>INDEX(PT_DIFFERENTIATION_NUM_NTAR,MATCH(A2,PT_DIFFERENTIATION_NTAR_ID,0))</f>
      </c>
      <c r="T2" s="2736"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2835"/>
      <c r="AP2" s="2835" t="str">
        <f>IF(T2="","",T2)</f>
        <v>Наименование тарифа</v>
      </c>
      <c r="AQ2" s="2835"/>
      <c r="AR2" s="2835"/>
      <c r="AS2" s="2842">
        <v>0</v>
      </c>
    </row>
    <row customHeight="1" ht="21" hidden="1">
      <c r="A3" s="2478"/>
      <c r="B3" s="2478"/>
      <c r="C3" s="2478"/>
      <c r="D3" s="2478"/>
      <c r="E3" s="3501"/>
      <c r="F3" s="3500">
        <v>1</v>
      </c>
      <c r="G3" s="2478"/>
      <c r="H3" s="2478"/>
      <c r="I3" s="2478"/>
      <c r="J3" s="2478"/>
      <c r="K3" s="2478"/>
      <c r="L3" s="2521"/>
      <c r="M3" s="2821"/>
      <c r="N3" s="2821"/>
      <c r="O3" s="2821"/>
      <c r="P3" s="3151"/>
      <c r="Q3" s="1563"/>
      <c r="R3" s="1564"/>
      <c r="S3" s="3169">
        <f>INDEX(PT_DIFFERENTIATION_NUM_TER,MATCH(B3,PT_DIFFERENTIATION_TER_ID,0))</f>
      </c>
      <c r="T3" s="2733"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2835"/>
      <c r="AP3" s="2835" t="str">
        <f>IF(T3="","",T3)</f>
        <v>Территория действия тарифа</v>
      </c>
      <c r="AQ3" s="2835"/>
      <c r="AR3" s="2835"/>
      <c r="AS3" s="2842">
        <v>0</v>
      </c>
    </row>
    <row customHeight="1" ht="23.25" hidden="1">
      <c r="A4" s="2478"/>
      <c r="B4" s="2478"/>
      <c r="C4" s="2478"/>
      <c r="D4" s="2478"/>
      <c r="E4" s="3501"/>
      <c r="F4" s="3501"/>
      <c r="G4" s="3500">
        <v>1</v>
      </c>
      <c r="H4" s="2478"/>
      <c r="I4" s="2478"/>
      <c r="J4" s="2478"/>
      <c r="K4" s="2478"/>
      <c r="L4" s="2521"/>
      <c r="M4" s="2821"/>
      <c r="N4" s="2821"/>
      <c r="O4" s="2821"/>
      <c r="P4" s="1565"/>
      <c r="Q4" s="1563"/>
      <c r="R4" s="1564"/>
      <c r="S4" s="3169">
        <f>INDEX(PT_DIFFERENTIATION_NUM_CS,MATCH(C4,PT_DIFFERENTIATION_CS_ID,0))</f>
      </c>
      <c r="T4" s="1520" t="s">
        <v>417</v>
      </c>
      <c r="U4" s="1511"/>
      <c r="V4" s="3453"/>
      <c r="W4" s="3454"/>
      <c r="X4" s="3454"/>
      <c r="Y4" s="3454"/>
      <c r="Z4" s="3454"/>
      <c r="AA4" s="3454"/>
      <c r="AB4" s="3454"/>
      <c r="AC4" s="3455"/>
      <c r="AD4" s="3453">
        <f>INDEX(PT_DIFFERENTIATION_CS,MATCH(C4,PT_DIFFERENTIATION_CS_ID,0))</f>
      </c>
      <c r="AE4" s="3454"/>
      <c r="AF4" s="3454"/>
      <c r="AG4" s="3454"/>
      <c r="AH4" s="3454"/>
      <c r="AI4" s="3454"/>
      <c r="AJ4" s="3454"/>
      <c r="AK4" s="3454"/>
      <c r="AL4" s="3455"/>
      <c r="AM4" s="2469" t="s">
        <v>418</v>
      </c>
      <c r="AO4" s="2835"/>
      <c r="AP4" s="2835" t="str">
        <f>IF(T4="","",T4)</f>
        <v>Наименование системы теплоснабжения </v>
      </c>
      <c r="AQ4" s="2835"/>
      <c r="AR4" s="2835"/>
      <c r="AS4" s="2842">
        <v>0</v>
      </c>
    </row>
    <row customHeight="1" ht="21" hidden="1">
      <c r="A5" s="2478"/>
      <c r="B5" s="2478"/>
      <c r="C5" s="2478"/>
      <c r="D5" s="2478"/>
      <c r="E5" s="3501"/>
      <c r="F5" s="3501"/>
      <c r="G5" s="3501"/>
      <c r="H5" s="3500">
        <v>1</v>
      </c>
      <c r="I5" s="2478"/>
      <c r="J5" s="2478"/>
      <c r="K5" s="2478"/>
      <c r="L5" s="2521"/>
      <c r="M5" s="2821"/>
      <c r="N5" s="2821"/>
      <c r="O5" s="2821"/>
      <c r="P5" s="1565"/>
      <c r="Q5" s="1563"/>
      <c r="R5" s="1564"/>
      <c r="S5" s="3169">
        <f>INDEX(PT_DIFFERENTIATION_NUM_IST_TE,MATCH(D5,PT_DIFFERENTIATION_IST_TE_ID,0))</f>
      </c>
      <c r="T5" s="1521" t="s">
        <v>419</v>
      </c>
      <c r="U5" s="1511"/>
      <c r="V5" s="3453"/>
      <c r="W5" s="3454"/>
      <c r="X5" s="3454"/>
      <c r="Y5" s="3454"/>
      <c r="Z5" s="3454"/>
      <c r="AA5" s="3454"/>
      <c r="AB5" s="3454"/>
      <c r="AC5" s="3455"/>
      <c r="AD5" s="3453">
        <f>INDEX(PT_DIFFERENTIATION_IST_TE,MATCH(D5,PT_DIFFERENTIATION_IST_TE_ID,0))</f>
      </c>
      <c r="AE5" s="3454"/>
      <c r="AF5" s="3454"/>
      <c r="AG5" s="3454"/>
      <c r="AH5" s="3454"/>
      <c r="AI5" s="3454"/>
      <c r="AJ5" s="3454"/>
      <c r="AK5" s="3454"/>
      <c r="AL5" s="3455"/>
      <c r="AM5" s="2469" t="s">
        <v>420</v>
      </c>
      <c r="AO5" s="2835"/>
      <c r="AP5" s="2835" t="str">
        <f>IF(T5="","",T5)</f>
        <v>Источник тепловой энергии  </v>
      </c>
      <c r="AQ5" s="2835"/>
      <c r="AR5" s="2835"/>
      <c r="AS5" s="2842">
        <v>0</v>
      </c>
    </row>
    <row customHeight="1" ht="47.25" hidden="1">
      <c r="A6" s="2478"/>
      <c r="B6" s="2478"/>
      <c r="C6" s="2478"/>
      <c r="D6" s="2478"/>
      <c r="E6" s="3501"/>
      <c r="F6" s="3501"/>
      <c r="G6" s="3501"/>
      <c r="H6" s="3501"/>
      <c r="I6" s="3338">
        <f>S5&amp;".1"</f>
      </c>
      <c r="J6" s="2478"/>
      <c r="K6" s="2478"/>
      <c r="L6" s="2521" t="s">
        <v>421</v>
      </c>
      <c r="M6" s="2846"/>
      <c r="P6" s="3468">
        <v>1</v>
      </c>
      <c r="Q6" s="3165"/>
      <c r="R6" s="1567"/>
      <c r="S6" s="3169">
        <f>$I6</f>
      </c>
      <c r="T6" s="1496" t="s">
        <v>422</v>
      </c>
      <c r="U6" s="1511"/>
      <c r="V6" s="3456"/>
      <c r="W6" s="3457"/>
      <c r="X6" s="3457"/>
      <c r="Y6" s="3457"/>
      <c r="Z6" s="3457"/>
      <c r="AA6" s="3457"/>
      <c r="AB6" s="3457"/>
      <c r="AC6" s="3458"/>
      <c r="AD6" s="3456"/>
      <c r="AE6" s="3457"/>
      <c r="AF6" s="3457"/>
      <c r="AG6" s="3457"/>
      <c r="AH6" s="3457"/>
      <c r="AI6" s="3457"/>
      <c r="AJ6" s="3457"/>
      <c r="AK6" s="3457"/>
      <c r="AL6" s="3458"/>
      <c r="AM6" s="2469" t="s">
        <v>423</v>
      </c>
      <c r="AO6" s="2835"/>
      <c r="AP6" s="2835" t="str">
        <f>IF(T6="","",T6)</f>
        <v>Схема подключения теплопотребляющей установки к коллектору источника тепловой энергии</v>
      </c>
      <c r="AQ6" s="2835"/>
      <c r="AR6" s="2835"/>
      <c r="AS6" s="2842">
        <v>0</v>
      </c>
    </row>
    <row customHeight="1" ht="21" hidden="1">
      <c r="A7" s="2478"/>
      <c r="B7" s="2478"/>
      <c r="C7" s="2478"/>
      <c r="D7" s="2478"/>
      <c r="E7" s="3501"/>
      <c r="F7" s="3501"/>
      <c r="G7" s="3501"/>
      <c r="H7" s="3501"/>
      <c r="I7" s="3312"/>
      <c r="J7" s="3338">
        <f>I6&amp;".1"</f>
      </c>
      <c r="K7" s="2478"/>
      <c r="L7" s="2521" t="s">
        <v>424</v>
      </c>
      <c r="M7" s="2846"/>
      <c r="N7" s="2842"/>
      <c r="P7" s="3468"/>
      <c r="Q7" s="3468">
        <v>1</v>
      </c>
      <c r="R7" s="1568"/>
      <c r="S7" s="3169">
        <f>$J7</f>
      </c>
      <c r="T7" s="1497" t="s">
        <v>425</v>
      </c>
      <c r="U7" s="1511"/>
      <c r="V7" s="3456"/>
      <c r="W7" s="3457"/>
      <c r="X7" s="3457"/>
      <c r="Y7" s="3457"/>
      <c r="Z7" s="3457"/>
      <c r="AA7" s="3457"/>
      <c r="AB7" s="3457"/>
      <c r="AC7" s="3458"/>
      <c r="AD7" s="3456"/>
      <c r="AE7" s="3457"/>
      <c r="AF7" s="3457"/>
      <c r="AG7" s="3457"/>
      <c r="AH7" s="3457"/>
      <c r="AI7" s="3457"/>
      <c r="AJ7" s="3457"/>
      <c r="AK7" s="3457"/>
      <c r="AL7" s="3458"/>
      <c r="AM7" s="2469" t="s">
        <v>426</v>
      </c>
      <c r="AO7" s="2835"/>
      <c r="AP7" s="2835" t="str">
        <f>IF(T7="","",T7)</f>
        <v>Группа потребителей</v>
      </c>
      <c r="AQ7" s="2835"/>
      <c r="AR7" s="2835"/>
      <c r="AS7" s="2842">
        <v>0</v>
      </c>
    </row>
    <row customHeight="1" ht="21" hidden="1">
      <c r="A8" s="2478"/>
      <c r="B8" s="2478"/>
      <c r="C8" s="2478"/>
      <c r="D8" s="2478"/>
      <c r="E8" s="3501"/>
      <c r="F8" s="3501"/>
      <c r="G8" s="3501"/>
      <c r="H8" s="3501"/>
      <c r="I8" s="3312"/>
      <c r="J8" s="3312"/>
      <c r="K8" s="3338">
        <f>J7&amp;".1"</f>
      </c>
      <c r="L8" s="2521" t="s">
        <v>427</v>
      </c>
      <c r="M8" s="2846"/>
      <c r="N8" s="2842"/>
      <c r="O8" s="2842"/>
      <c r="P8" s="3468"/>
      <c r="Q8" s="3468"/>
      <c r="R8" s="1568">
        <v>1</v>
      </c>
      <c r="S8" s="3169">
        <f>$K8</f>
      </c>
      <c r="T8" s="2558"/>
      <c r="U8" s="1511"/>
      <c r="V8" s="1962"/>
      <c r="W8" s="1536"/>
      <c r="X8" s="1962"/>
      <c r="Y8" s="2468"/>
      <c r="Z8" s="3476"/>
      <c r="AA8" s="3318" t="s">
        <v>62</v>
      </c>
      <c r="AB8" s="3476"/>
      <c r="AC8" s="3318" t="s">
        <v>62</v>
      </c>
      <c r="AD8" s="1962"/>
      <c r="AE8" s="1536"/>
      <c r="AF8" s="1962"/>
      <c r="AG8" s="2468"/>
      <c r="AH8" s="3476"/>
      <c r="AI8" s="3318" t="s">
        <v>62</v>
      </c>
      <c r="AJ8" s="3476"/>
      <c r="AK8" s="3318" t="s">
        <v>62</v>
      </c>
      <c r="AL8" s="1536"/>
      <c r="AM8" s="3464" t="s">
        <v>428</v>
      </c>
      <c r="AN8" s="2847">
        <f>STRCHECKDATE(V9:AL9)</f>
      </c>
      <c r="AO8" s="2835"/>
      <c r="AP8" s="2835" t="str">
        <f>IF(T8="","",T8)</f>
        <v/>
      </c>
      <c r="AQ8" s="2835"/>
      <c r="AR8" s="2835"/>
      <c r="AS8" s="2842">
        <v>0</v>
      </c>
    </row>
    <row customHeight="1" ht="0.75" hidden="1">
      <c r="A9" s="2478"/>
      <c r="B9" s="2478"/>
      <c r="C9" s="2478"/>
      <c r="D9" s="2478"/>
      <c r="E9" s="3501"/>
      <c r="F9" s="3501"/>
      <c r="G9" s="3501"/>
      <c r="H9" s="3501"/>
      <c r="I9" s="3312"/>
      <c r="J9" s="3312"/>
      <c r="K9" s="3338"/>
      <c r="L9" s="2521"/>
      <c r="M9" s="2846"/>
      <c r="N9" s="2842"/>
      <c r="O9" s="2842"/>
      <c r="P9" s="3468"/>
      <c r="Q9" s="3468"/>
      <c r="R9" s="1568"/>
      <c r="S9" s="3178"/>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2835"/>
      <c r="AP9" s="2835" t="str">
        <f>IF(T9="","",T9)</f>
        <v/>
      </c>
      <c r="AQ9" s="2835"/>
      <c r="AR9" s="2835"/>
      <c r="AS9" s="2842">
        <v>0</v>
      </c>
    </row>
    <row customHeight="1" ht="15" hidden="1">
      <c r="A10" s="2478"/>
      <c r="B10" s="2478"/>
      <c r="C10" s="2478"/>
      <c r="D10" s="2478"/>
      <c r="E10" s="3501"/>
      <c r="F10" s="3501"/>
      <c r="G10" s="3501"/>
      <c r="H10" s="3501"/>
      <c r="I10" s="3312"/>
      <c r="J10" s="3338"/>
      <c r="K10" s="2478"/>
      <c r="L10" s="2521"/>
      <c r="M10" s="2846"/>
      <c r="N10" s="2842"/>
      <c r="P10" s="3468"/>
      <c r="Q10" s="3468"/>
      <c r="R10" s="1567"/>
      <c r="S10" s="2489"/>
      <c r="T10" s="1499" t="s">
        <v>429</v>
      </c>
      <c r="U10" s="1811"/>
      <c r="V10" s="1811"/>
      <c r="W10" s="1811"/>
      <c r="X10" s="1811"/>
      <c r="Y10" s="1811"/>
      <c r="Z10" s="1811"/>
      <c r="AA10" s="1811"/>
      <c r="AB10" s="1811"/>
      <c r="AC10" s="1811"/>
      <c r="AD10" s="1811"/>
      <c r="AE10" s="1811"/>
      <c r="AF10" s="1811"/>
      <c r="AG10" s="1811"/>
      <c r="AH10" s="1811"/>
      <c r="AI10" s="1811"/>
      <c r="AJ10" s="1811"/>
      <c r="AK10" s="1811"/>
      <c r="AL10" s="1535"/>
      <c r="AM10" s="3466"/>
      <c r="AO10" s="2835"/>
      <c r="AP10" s="2835" t="str">
        <f>IF(T10="","",T10)</f>
        <v>Добавить вид теплоносителя (параметры теплоносителя)</v>
      </c>
      <c r="AQ10" s="2835"/>
      <c r="AR10" s="2835"/>
      <c r="AS10" s="2842">
        <v>0</v>
      </c>
    </row>
    <row customHeight="1" ht="15" hidden="1">
      <c r="A11" s="2478"/>
      <c r="B11" s="2478"/>
      <c r="C11" s="2478"/>
      <c r="D11" s="2478"/>
      <c r="E11" s="3501"/>
      <c r="F11" s="3501"/>
      <c r="G11" s="3501"/>
      <c r="H11" s="3501"/>
      <c r="I11" s="3338"/>
      <c r="J11" s="2478"/>
      <c r="K11" s="2478"/>
      <c r="L11" s="2521"/>
      <c r="M11" s="2846"/>
      <c r="P11" s="3468"/>
      <c r="Q11" s="3165"/>
      <c r="R11" s="1567"/>
      <c r="S11" s="2489"/>
      <c r="T11" s="1498" t="s">
        <v>430</v>
      </c>
      <c r="U11" s="1811"/>
      <c r="V11" s="1811"/>
      <c r="W11" s="1811"/>
      <c r="X11" s="1811"/>
      <c r="Y11" s="1811"/>
      <c r="Z11" s="1811"/>
      <c r="AA11" s="1811"/>
      <c r="AB11" s="1811"/>
      <c r="AC11" s="1577"/>
      <c r="AD11" s="1811"/>
      <c r="AE11" s="1811"/>
      <c r="AF11" s="1811"/>
      <c r="AG11" s="1811"/>
      <c r="AH11" s="1811"/>
      <c r="AI11" s="1811"/>
      <c r="AJ11" s="1811"/>
      <c r="AK11" s="1577"/>
      <c r="AL11" s="1811"/>
      <c r="AM11" s="1514"/>
      <c r="AO11" s="2835"/>
      <c r="AP11" s="2835" t="str">
        <f>IF(T11="","",T11)</f>
        <v>Добавить группу потребителей</v>
      </c>
      <c r="AQ11" s="2835"/>
      <c r="AR11" s="2835"/>
      <c r="AS11" s="2842">
        <v>0</v>
      </c>
    </row>
    <row customHeight="1" ht="14.25" hidden="1">
      <c r="A12" s="2478"/>
      <c r="B12" s="2478"/>
      <c r="C12" s="2478"/>
      <c r="D12" s="2478"/>
      <c r="E12" s="3501"/>
      <c r="F12" s="3501"/>
      <c r="G12" s="3501"/>
      <c r="H12" s="3500"/>
      <c r="I12" s="2478"/>
      <c r="J12" s="2478"/>
      <c r="K12" s="2478"/>
      <c r="L12" s="2521"/>
      <c r="M12" s="2821"/>
      <c r="N12" s="2821"/>
      <c r="O12" s="2846"/>
      <c r="P12" s="1571"/>
      <c r="Q12" s="1586"/>
      <c r="R12" s="1566"/>
      <c r="S12" s="2489"/>
      <c r="T12" s="1576" t="s">
        <v>431</v>
      </c>
      <c r="U12" s="1811"/>
      <c r="V12" s="1811"/>
      <c r="W12" s="1811"/>
      <c r="X12" s="1811"/>
      <c r="Y12" s="1811"/>
      <c r="Z12" s="1811"/>
      <c r="AA12" s="1811"/>
      <c r="AB12" s="1811"/>
      <c r="AC12" s="1577"/>
      <c r="AD12" s="1811"/>
      <c r="AE12" s="1811"/>
      <c r="AF12" s="1811"/>
      <c r="AG12" s="1811"/>
      <c r="AH12" s="1811"/>
      <c r="AI12" s="1811"/>
      <c r="AJ12" s="1811"/>
      <c r="AK12" s="1577"/>
      <c r="AL12" s="1811"/>
      <c r="AM12" s="1514"/>
      <c r="AO12" s="2835"/>
      <c r="AP12" s="2835" t="str">
        <f>IF(T12="","",T12)</f>
        <v>Добавить схему подключения</v>
      </c>
      <c r="AQ12" s="2835"/>
      <c r="AR12" s="2835"/>
      <c r="AS12" s="2842">
        <v>0</v>
      </c>
    </row>
    <row s="65923" customFormat="1" customHeight="1" ht="0.75" hidden="1">
      <c r="A13" s="2585"/>
      <c r="B13" s="2585"/>
      <c r="C13" s="2585"/>
      <c r="D13" s="2585"/>
      <c r="E13" s="3501"/>
      <c r="F13" s="3501"/>
      <c r="G13" s="3500"/>
      <c r="H13" s="2585"/>
      <c r="I13" s="2585"/>
      <c r="J13" s="2585"/>
      <c r="K13" s="2585"/>
      <c r="L13" s="2588"/>
      <c r="M13" s="2589"/>
      <c r="N13" s="2589"/>
      <c r="O13" s="1562"/>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462"/>
      <c r="AP13" s="2462" t="str">
        <f>IF(T13="","",T13)</f>
        <v>Добавить источник для дифференциации</v>
      </c>
      <c r="AQ13" s="2462"/>
      <c r="AR13" s="2462"/>
      <c r="AS13" s="2853">
        <v>0</v>
      </c>
    </row>
    <row s="65923" customFormat="1" customHeight="1" ht="0.75" hidden="1">
      <c r="A14" s="2585"/>
      <c r="B14" s="2585"/>
      <c r="C14" s="2585"/>
      <c r="D14" s="2585"/>
      <c r="E14" s="3501"/>
      <c r="F14" s="3500"/>
      <c r="G14" s="2585"/>
      <c r="H14" s="2585"/>
      <c r="I14" s="2585"/>
      <c r="J14" s="2585"/>
      <c r="K14" s="2585"/>
      <c r="L14" s="2588"/>
      <c r="M14" s="2590"/>
      <c r="N14" s="2590"/>
      <c r="O14" s="1562"/>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462"/>
      <c r="AP14" s="2462" t="str">
        <f>IF(T14="","",T14)</f>
        <v>Добавить централизованную систему для дифференциации</v>
      </c>
      <c r="AQ14" s="2462"/>
      <c r="AR14" s="2462"/>
      <c r="AS14" s="2853">
        <v>0</v>
      </c>
    </row>
    <row s="65923" customFormat="1" customHeight="1" ht="0.75" hidden="1">
      <c r="A15" s="2585"/>
      <c r="B15" s="2585"/>
      <c r="C15" s="2585"/>
      <c r="D15" s="2585"/>
      <c r="E15" s="3500"/>
      <c r="F15" s="2585"/>
      <c r="G15" s="2585"/>
      <c r="H15" s="2585"/>
      <c r="I15" s="2585"/>
      <c r="J15" s="2585"/>
      <c r="K15" s="2585"/>
      <c r="L15" s="2588"/>
      <c r="M15" s="2590"/>
      <c r="N15" s="2590"/>
      <c r="O15" s="1562"/>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462"/>
      <c r="AP15" s="2462" t="str">
        <f>IF(T15="","",T15)</f>
        <v>Добавить территорию для дифференциации</v>
      </c>
      <c r="AQ15" s="2462"/>
      <c r="AR15" s="2462"/>
      <c r="AS15" s="2853">
        <v>0</v>
      </c>
    </row>
    <row customHeight="1" ht="14.25" hidden="1">
      <c r="AS16" s="2842">
        <v>0</v>
      </c>
    </row>
    <row customHeight="1" ht="14.25" hidden="1">
      <c r="AD17" s="2571"/>
      <c r="AE17" s="2571"/>
      <c r="AF17" s="2571"/>
      <c r="AG17" s="2572"/>
      <c r="AH17" s="3478"/>
      <c r="AI17" s="3479" t="s">
        <v>62</v>
      </c>
      <c r="AJ17" s="3478"/>
      <c r="AK17" s="3479" t="s">
        <v>62</v>
      </c>
      <c r="AS17" s="2842">
        <v>0</v>
      </c>
    </row>
    <row customHeight="1" ht="14.25" hidden="1">
      <c r="AD18" s="2571"/>
      <c r="AE18" s="2571"/>
      <c r="AF18" s="2571"/>
      <c r="AG18" s="1539" t="str">
        <f>AH17&amp;"-"&amp;AJ17</f>
        <v>-</v>
      </c>
      <c r="AH18" s="3479"/>
      <c r="AI18" s="3479"/>
      <c r="AJ18" s="3479"/>
      <c r="AK18" s="3479"/>
      <c r="AS18" s="2842">
        <v>0</v>
      </c>
    </row>
    <row customHeight="1" ht="14.25" hidden="1">
      <c r="AS19" s="2842">
        <v>0</v>
      </c>
    </row>
    <row s="66852" customFormat="1" customHeight="1" ht="22.5" hidden="1">
      <c r="A20" s="2842"/>
      <c r="B20" s="2842"/>
      <c r="C20" s="2842"/>
      <c r="D20" s="2842"/>
      <c r="E20" s="2842"/>
      <c r="F20" s="2842"/>
      <c r="G20" s="2842"/>
      <c r="H20" s="2842"/>
      <c r="I20" s="2842"/>
      <c r="J20" s="2842"/>
      <c r="K20" s="2842"/>
      <c r="L20" s="3150"/>
      <c r="M20" s="3176"/>
      <c r="N20" s="3176"/>
      <c r="O20" s="2556" t="s">
        <v>435</v>
      </c>
      <c r="P20" s="2573"/>
      <c r="Q20" s="2582"/>
      <c r="R20" s="2582"/>
      <c r="S20" s="1940"/>
      <c r="Z20" s="2578"/>
      <c r="AB20" s="2578"/>
      <c r="AH20" s="2578"/>
      <c r="AJ20" s="2578"/>
      <c r="AN20" s="2847"/>
      <c r="AO20" s="2847"/>
      <c r="AP20" s="2847"/>
      <c r="AQ20" s="2847"/>
      <c r="AR20" s="2847"/>
      <c r="AS20" s="2577">
        <v>0</v>
      </c>
    </row>
    <row s="66852" customFormat="1" customHeight="1" ht="14.25" hidden="1">
      <c r="A21" s="2842"/>
      <c r="B21" s="2842"/>
      <c r="C21" s="2842"/>
      <c r="D21" s="2842"/>
      <c r="E21" s="2842"/>
      <c r="F21" s="2842"/>
      <c r="G21" s="2842"/>
      <c r="H21" s="2842"/>
      <c r="I21" s="2842"/>
      <c r="J21" s="2842"/>
      <c r="K21" s="2842"/>
      <c r="L21" s="3150"/>
      <c r="M21" s="3176"/>
      <c r="N21" s="3176"/>
      <c r="O21" s="3176"/>
      <c r="P21" s="2573"/>
      <c r="Q21" s="2582"/>
      <c r="R21" s="2582"/>
      <c r="S21" s="1940"/>
      <c r="AN21" s="2847"/>
      <c r="AO21" s="2847"/>
      <c r="AP21" s="2847"/>
      <c r="AQ21" s="2847"/>
      <c r="AR21" s="2847"/>
      <c r="AS21" s="2577">
        <v>0</v>
      </c>
    </row>
    <row s="66852" customFormat="1" customHeight="1" ht="14.25" hidden="1">
      <c r="A22" s="2842"/>
      <c r="B22" s="2842"/>
      <c r="C22" s="2842"/>
      <c r="D22" s="2842"/>
      <c r="E22" s="2842"/>
      <c r="F22" s="2842"/>
      <c r="G22" s="2842"/>
      <c r="H22" s="2842"/>
      <c r="I22" s="2842"/>
      <c r="J22" s="2842"/>
      <c r="K22" s="2842"/>
      <c r="L22" s="3150"/>
      <c r="M22" s="3176"/>
      <c r="N22" s="3176"/>
      <c r="O22" s="2521" t="s">
        <v>436</v>
      </c>
      <c r="P22" s="2573"/>
      <c r="Q22" s="2582"/>
      <c r="R22" s="2582"/>
      <c r="S22" s="1940"/>
      <c r="T22" s="2577" t="s">
        <v>437</v>
      </c>
      <c r="AA22" s="1806" t="s">
        <v>438</v>
      </c>
      <c r="AC22" s="1806" t="s">
        <v>439</v>
      </c>
      <c r="AD22" s="2577" t="s">
        <v>437</v>
      </c>
      <c r="AI22" s="1806" t="s">
        <v>440</v>
      </c>
      <c r="AK22" s="1806" t="s">
        <v>439</v>
      </c>
      <c r="AN22" s="2847"/>
      <c r="AO22" s="2847"/>
      <c r="AP22" s="2847"/>
      <c r="AQ22" s="2847"/>
      <c r="AR22" s="2847"/>
      <c r="AS22" s="2577">
        <v>0</v>
      </c>
    </row>
    <row customHeight="1" ht="14.25" hidden="1">
      <c r="O23" s="2521"/>
      <c r="AS23" s="2842">
        <v>0</v>
      </c>
    </row>
    <row customHeight="1" ht="14.25" hidden="1">
      <c r="O24" s="2521"/>
      <c r="AS24" s="2842">
        <v>0</v>
      </c>
    </row>
    <row customHeight="1" ht="14.699999999999998">
      <c r="Q25" s="1587"/>
      <c r="R25" s="1587"/>
      <c r="S25" s="2486"/>
      <c r="T25" s="1668"/>
      <c r="U25" s="1668"/>
      <c r="V25" s="2846"/>
      <c r="W25" s="2846"/>
      <c r="X25" s="2846"/>
      <c r="Y25" s="2846"/>
      <c r="Z25" s="2846"/>
      <c r="AA25" s="2846"/>
      <c r="AB25" s="2846"/>
      <c r="AC25" s="2846"/>
      <c r="AD25" s="2846"/>
      <c r="AE25" s="2846"/>
      <c r="AF25" s="2846"/>
      <c r="AG25" s="2846"/>
      <c r="AH25" s="2846"/>
      <c r="AI25" s="2846"/>
      <c r="AJ25" s="2846"/>
      <c r="AK25" s="2846"/>
      <c r="AS25" s="2842">
        <v>14</v>
      </c>
    </row>
    <row customHeight="1" ht="14.699999999999998">
      <c r="Q26" s="1587"/>
      <c r="R26" s="1587"/>
      <c r="S26" s="34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3459"/>
      <c r="U26" s="3459"/>
      <c r="V26" s="3459"/>
      <c r="W26" s="3459"/>
      <c r="X26" s="3459"/>
      <c r="Y26" s="3459"/>
      <c r="Z26" s="3459"/>
      <c r="AA26" s="3459"/>
      <c r="AB26" s="3459"/>
      <c r="AC26" s="3459"/>
      <c r="AD26" s="3459"/>
      <c r="AE26" s="3459"/>
      <c r="AF26" s="3459"/>
      <c r="AG26" s="3459"/>
      <c r="AH26" s="3459"/>
      <c r="AI26" s="3459"/>
      <c r="AJ26" s="3459"/>
      <c r="AK26" s="2454"/>
      <c r="AS26" s="2842">
        <v>14</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842">
        <v>14</v>
      </c>
    </row>
    <row customHeight="1" ht="14.25" hidden="1">
      <c r="Q28" s="1587"/>
      <c r="R28" s="1587"/>
      <c r="S28" s="2486"/>
      <c r="T28" s="1668"/>
      <c r="U28" s="1668"/>
      <c r="V28" s="1533"/>
      <c r="W28" s="1533"/>
      <c r="X28" s="1533"/>
      <c r="Y28" s="1533"/>
      <c r="Z28" s="1533"/>
      <c r="AA28" s="1533"/>
      <c r="AB28" s="1533"/>
      <c r="AC28" s="1533"/>
      <c r="AD28" s="1533"/>
      <c r="AE28" s="1533"/>
      <c r="AF28" s="1533"/>
      <c r="AG28" s="1533"/>
      <c r="AH28" s="1533"/>
      <c r="AI28" s="1533"/>
      <c r="AJ28" s="1533"/>
      <c r="AK28" s="1533"/>
      <c r="AL28" s="2846"/>
      <c r="AS28" s="2842">
        <v>0</v>
      </c>
    </row>
    <row s="67333" customFormat="1" customHeight="1" ht="25.5" hidden="1">
      <c r="A29" s="2459"/>
      <c r="B29" s="2459"/>
      <c r="C29" s="2459"/>
      <c r="D29" s="2459"/>
      <c r="E29" s="2459"/>
      <c r="F29" s="2459"/>
      <c r="G29" s="2459"/>
      <c r="H29" s="2459"/>
      <c r="I29" s="2459"/>
      <c r="J29" s="2459"/>
      <c r="K29" s="2459"/>
      <c r="L29" s="2591"/>
      <c r="M29" s="2459"/>
      <c r="N29" s="2459"/>
      <c r="O29" s="2459"/>
      <c r="S29" s="3461" t="s">
        <v>41</v>
      </c>
      <c r="T29" s="3461"/>
      <c r="U29" s="2583"/>
      <c r="V29" s="3462" t="str">
        <f>IF(TITLE_NAME_OR_PR_CHANGE="",IF(TITLE_NAME_OR_PR="","",TITLE_NAME_OR_PR),TITLE_NAME_OR_PR_CHANGE)</f>
        <v/>
      </c>
      <c r="W29" s="3462"/>
      <c r="X29" s="3462"/>
      <c r="Y29" s="3462"/>
      <c r="Z29" s="3462"/>
      <c r="AA29" s="3462"/>
      <c r="AB29" s="3462"/>
      <c r="AC29" s="2846"/>
      <c r="AD29" s="3462" t="str">
        <f>IF(TITLE_NAME_OR_PR_CHANGE="",IF(TITLE_NAME_OR_PR="","",TITLE_NAME_OR_PR),TITLE_NAME_OR_PR_CHANGE)</f>
        <v/>
      </c>
      <c r="AE29" s="3462"/>
      <c r="AF29" s="3462"/>
      <c r="AG29" s="3462"/>
      <c r="AH29" s="3462"/>
      <c r="AI29" s="3462"/>
      <c r="AJ29" s="3462"/>
      <c r="AK29" s="2846"/>
      <c r="AL29" s="2846"/>
      <c r="AM29" s="1491"/>
      <c r="AN29" s="1579"/>
      <c r="AO29" s="1579"/>
      <c r="AP29" s="1579"/>
      <c r="AQ29" s="1579"/>
      <c r="AR29" s="1579"/>
      <c r="AS29" s="1629">
        <v>0</v>
      </c>
    </row>
    <row s="67333" customFormat="1" customHeight="1" ht="18.75" hidden="1">
      <c r="A30" s="2459"/>
      <c r="B30" s="2459"/>
      <c r="C30" s="2459"/>
      <c r="D30" s="2459"/>
      <c r="E30" s="2459"/>
      <c r="F30" s="2459"/>
      <c r="G30" s="2459"/>
      <c r="H30" s="2459"/>
      <c r="I30" s="2459"/>
      <c r="J30" s="2459"/>
      <c r="K30" s="2459"/>
      <c r="L30" s="2591"/>
      <c r="M30" s="2459"/>
      <c r="N30" s="2459"/>
      <c r="O30" s="2459"/>
      <c r="S30" s="3461" t="s">
        <v>441</v>
      </c>
      <c r="T30" s="3461"/>
      <c r="U30" s="2583"/>
      <c r="V30" s="3475" t="str">
        <f>IF(TITLE_DATE_PR_CHANGE="",IF(TITLE_DATE_PR="","",TITLE_DATE_PR),TITLE_DATE_PR_CHANGE)</f>
        <v/>
      </c>
      <c r="W30" s="3475"/>
      <c r="X30" s="3475"/>
      <c r="Y30" s="3475"/>
      <c r="Z30" s="3475"/>
      <c r="AA30" s="3475"/>
      <c r="AB30" s="3475"/>
      <c r="AC30" s="2846"/>
      <c r="AD30" s="3475" t="str">
        <f>IF(TITLE_DATE_PR_CHANGE="",IF(TITLE_DATE_PR="","",TITLE_DATE_PR),TITLE_DATE_PR_CHANGE)</f>
        <v/>
      </c>
      <c r="AE30" s="3475"/>
      <c r="AF30" s="3475"/>
      <c r="AG30" s="3475"/>
      <c r="AH30" s="3475"/>
      <c r="AI30" s="3475"/>
      <c r="AJ30" s="3475"/>
      <c r="AK30" s="2846"/>
      <c r="AL30" s="2846"/>
      <c r="AM30" s="1491"/>
      <c r="AN30" s="1579"/>
      <c r="AO30" s="1579"/>
      <c r="AP30" s="1579"/>
      <c r="AQ30" s="1579"/>
      <c r="AR30" s="1579"/>
      <c r="AS30" s="1629">
        <v>0</v>
      </c>
    </row>
    <row s="67333" customFormat="1" customHeight="1" ht="18.75" hidden="1">
      <c r="A31" s="2459"/>
      <c r="B31" s="2459"/>
      <c r="C31" s="2459"/>
      <c r="D31" s="2459"/>
      <c r="E31" s="2459"/>
      <c r="F31" s="2459"/>
      <c r="G31" s="2459"/>
      <c r="H31" s="2459"/>
      <c r="I31" s="2459"/>
      <c r="J31" s="2459"/>
      <c r="K31" s="2459"/>
      <c r="L31" s="2591"/>
      <c r="M31" s="2459"/>
      <c r="N31" s="2459"/>
      <c r="O31" s="2459"/>
      <c r="S31" s="3461" t="s">
        <v>442</v>
      </c>
      <c r="T31" s="3461"/>
      <c r="U31" s="2583"/>
      <c r="V31" s="3462" t="str">
        <f>IF(TITLE_NUMBER_PR_CHANGE="",IF(TITLE_NUMBER_PR="","",TITLE_NUMBER_PR),TITLE_NUMBER_PR_CHANGE)</f>
        <v/>
      </c>
      <c r="W31" s="3462"/>
      <c r="X31" s="3462"/>
      <c r="Y31" s="3462"/>
      <c r="Z31" s="3462"/>
      <c r="AA31" s="3462"/>
      <c r="AB31" s="3462"/>
      <c r="AC31" s="2846"/>
      <c r="AD31" s="3462" t="str">
        <f>IF(TITLE_NUMBER_PR_CHANGE="",IF(TITLE_NUMBER_PR="","",TITLE_NUMBER_PR),TITLE_NUMBER_PR_CHANGE)</f>
        <v/>
      </c>
      <c r="AE31" s="3462"/>
      <c r="AF31" s="3462"/>
      <c r="AG31" s="3462"/>
      <c r="AH31" s="3462"/>
      <c r="AI31" s="3462"/>
      <c r="AJ31" s="3462"/>
      <c r="AK31" s="2846"/>
      <c r="AL31" s="2846"/>
      <c r="AM31" s="1491"/>
      <c r="AN31" s="1579"/>
      <c r="AO31" s="1579"/>
      <c r="AP31" s="1579"/>
      <c r="AQ31" s="1579"/>
      <c r="AR31" s="1579"/>
      <c r="AS31" s="1629">
        <v>0</v>
      </c>
    </row>
    <row s="67333" customFormat="1" customHeight="1" ht="18.75" hidden="1">
      <c r="A32" s="2459"/>
      <c r="B32" s="2459"/>
      <c r="C32" s="2459"/>
      <c r="D32" s="2459"/>
      <c r="E32" s="2459"/>
      <c r="F32" s="2459"/>
      <c r="G32" s="2459"/>
      <c r="H32" s="2459"/>
      <c r="I32" s="2459"/>
      <c r="J32" s="2459"/>
      <c r="K32" s="2459"/>
      <c r="L32" s="2591"/>
      <c r="M32" s="2459"/>
      <c r="N32" s="2459"/>
      <c r="O32" s="2459"/>
      <c r="S32" s="3461" t="s">
        <v>42</v>
      </c>
      <c r="T32" s="3461"/>
      <c r="U32" s="2583"/>
      <c r="V32" s="3462" t="str">
        <f>IF(TITLE_IST_PUB_CHANGE="",IF(TITLE_IST_PUB="","",TITLE_IST_PUB),TITLE_IST_PUB_CHANGE)</f>
        <v/>
      </c>
      <c r="W32" s="3462"/>
      <c r="X32" s="3462"/>
      <c r="Y32" s="3462"/>
      <c r="Z32" s="3462"/>
      <c r="AA32" s="3462"/>
      <c r="AB32" s="3462"/>
      <c r="AC32" s="2846"/>
      <c r="AD32" s="3462" t="str">
        <f>IF(TITLE_IST_PUB_CHANGE="",IF(TITLE_IST_PUB="","",TITLE_IST_PUB),TITLE_IST_PUB_CHANGE)</f>
        <v/>
      </c>
      <c r="AE32" s="3462"/>
      <c r="AF32" s="3462"/>
      <c r="AG32" s="3462"/>
      <c r="AH32" s="3462"/>
      <c r="AI32" s="3462"/>
      <c r="AJ32" s="3462"/>
      <c r="AK32" s="2846"/>
      <c r="AL32" s="2846"/>
      <c r="AM32" s="1491"/>
      <c r="AN32" s="1579"/>
      <c r="AO32" s="1579"/>
      <c r="AP32" s="1579"/>
      <c r="AQ32" s="1579"/>
      <c r="AR32" s="1579"/>
      <c r="AS32" s="1629">
        <v>0</v>
      </c>
    </row>
    <row customHeight="1" ht="14.25" hidden="1">
      <c r="Q33" s="1587"/>
      <c r="R33" s="1587"/>
      <c r="S33" s="2486"/>
      <c r="T33" s="1668"/>
      <c r="U33" s="1668"/>
      <c r="V33" s="1533"/>
      <c r="W33" s="1533"/>
      <c r="X33" s="1533"/>
      <c r="Y33" s="1533"/>
      <c r="Z33" s="1533"/>
      <c r="AA33" s="1533"/>
      <c r="AB33" s="1533"/>
      <c r="AC33" s="1533"/>
      <c r="AD33" s="1533"/>
      <c r="AE33" s="1533"/>
      <c r="AF33" s="1533"/>
      <c r="AG33" s="1533"/>
      <c r="AH33" s="1533"/>
      <c r="AI33" s="1533"/>
      <c r="AJ33" s="1533"/>
      <c r="AK33" s="1533"/>
      <c r="AL33" s="2846"/>
      <c r="AS33" s="2842">
        <v>0</v>
      </c>
    </row>
    <row s="67333" customFormat="1" customHeight="1" ht="18.75" hidden="1">
      <c r="A34" s="2459"/>
      <c r="B34" s="2459"/>
      <c r="C34" s="2459"/>
      <c r="D34" s="2459"/>
      <c r="E34" s="2459"/>
      <c r="F34" s="2459"/>
      <c r="G34" s="2459"/>
      <c r="H34" s="2459"/>
      <c r="I34" s="2459"/>
      <c r="J34" s="2459"/>
      <c r="K34" s="2459"/>
      <c r="L34" s="2591"/>
      <c r="M34" s="2459"/>
      <c r="N34" s="2459"/>
      <c r="O34" s="2459"/>
      <c r="S34" s="3461" t="s">
        <v>443</v>
      </c>
      <c r="T34" s="3461"/>
      <c r="U34" s="2583"/>
      <c r="V34" s="3475" t="str">
        <f>IF(TITLE_DATE_PR_CHANGE="",IF(TITLE_DATE_PR="","",TITLE_DATE_PR),TITLE_DATE_PR_CHANGE)</f>
        <v/>
      </c>
      <c r="W34" s="3475"/>
      <c r="X34" s="3475"/>
      <c r="Y34" s="3475"/>
      <c r="Z34" s="3475"/>
      <c r="AA34" s="3475"/>
      <c r="AB34" s="3475"/>
      <c r="AC34" s="2846"/>
      <c r="AD34" s="3475" t="str">
        <f>IF(TITLE_DATE_PR_CHANGE="",IF(TITLE_DATE_PR="","",TITLE_DATE_PR),TITLE_DATE_PR_CHANGE)</f>
        <v/>
      </c>
      <c r="AE34" s="3475"/>
      <c r="AF34" s="3475"/>
      <c r="AG34" s="3475"/>
      <c r="AH34" s="3475"/>
      <c r="AI34" s="3475"/>
      <c r="AJ34" s="3475"/>
      <c r="AK34" s="2846"/>
      <c r="AL34" s="2846"/>
      <c r="AM34" s="1491"/>
      <c r="AN34" s="1579"/>
      <c r="AO34" s="1579"/>
      <c r="AP34" s="1579"/>
      <c r="AQ34" s="1579"/>
      <c r="AR34" s="1579"/>
      <c r="AS34" s="1629">
        <v>0</v>
      </c>
    </row>
    <row s="67333" customFormat="1" customHeight="1" ht="18.75" hidden="1">
      <c r="A35" s="2459"/>
      <c r="B35" s="2459"/>
      <c r="C35" s="2459"/>
      <c r="D35" s="2459"/>
      <c r="E35" s="2459"/>
      <c r="F35" s="2459"/>
      <c r="G35" s="2459"/>
      <c r="H35" s="2459"/>
      <c r="I35" s="2459"/>
      <c r="J35" s="2459"/>
      <c r="K35" s="2459"/>
      <c r="L35" s="2591"/>
      <c r="M35" s="2459"/>
      <c r="N35" s="2459"/>
      <c r="O35" s="2459"/>
      <c r="S35" s="3461" t="s">
        <v>444</v>
      </c>
      <c r="T35" s="3461"/>
      <c r="U35" s="2583"/>
      <c r="V35" s="3462" t="str">
        <f>IF(TITLE_NUMBER_PR_CHANGE="",IF(TITLE_NUMBER_PR="","",TITLE_NUMBER_PR),TITLE_NUMBER_PR_CHANGE)</f>
        <v/>
      </c>
      <c r="W35" s="3462"/>
      <c r="X35" s="3462"/>
      <c r="Y35" s="3462"/>
      <c r="Z35" s="3462"/>
      <c r="AA35" s="3462"/>
      <c r="AB35" s="3462"/>
      <c r="AC35" s="2846"/>
      <c r="AD35" s="3462" t="str">
        <f>IF(TITLE_NUMBER_PR_CHANGE="",IF(TITLE_NUMBER_PR="","",TITLE_NUMBER_PR),TITLE_NUMBER_PR_CHANGE)</f>
        <v/>
      </c>
      <c r="AE35" s="3462"/>
      <c r="AF35" s="3462"/>
      <c r="AG35" s="3462"/>
      <c r="AH35" s="3462"/>
      <c r="AI35" s="3462"/>
      <c r="AJ35" s="3462"/>
      <c r="AK35" s="2846"/>
      <c r="AL35" s="2846"/>
      <c r="AM35" s="1491"/>
      <c r="AN35" s="1579"/>
      <c r="AO35" s="1579"/>
      <c r="AP35" s="1579"/>
      <c r="AQ35" s="1579"/>
      <c r="AR35" s="1579"/>
      <c r="AS35" s="1629">
        <v>0</v>
      </c>
    </row>
    <row s="67333" customFormat="1" customHeight="1" ht="0">
      <c r="A36" s="2459"/>
      <c r="B36" s="2459"/>
      <c r="C36" s="2459"/>
      <c r="D36" s="2459"/>
      <c r="E36" s="2459"/>
      <c r="F36" s="2459"/>
      <c r="G36" s="2459"/>
      <c r="H36" s="2459"/>
      <c r="I36" s="2459"/>
      <c r="J36" s="2459"/>
      <c r="K36" s="2459"/>
      <c r="L36" s="2591"/>
      <c r="M36" s="2459"/>
      <c r="N36" s="2459"/>
      <c r="O36" s="2459"/>
      <c r="S36" s="2846"/>
      <c r="T36" s="2846"/>
      <c r="U36" s="3181"/>
      <c r="V36" s="2846"/>
      <c r="W36" s="2846"/>
      <c r="X36" s="2846"/>
      <c r="Y36" s="2846"/>
      <c r="Z36" s="2846"/>
      <c r="AA36" s="2846"/>
      <c r="AB36" s="2846"/>
      <c r="AC36" s="2853" t="s">
        <v>445</v>
      </c>
      <c r="AD36" s="2846"/>
      <c r="AE36" s="2846"/>
      <c r="AF36" s="2846"/>
      <c r="AG36" s="2846"/>
      <c r="AH36" s="2846"/>
      <c r="AI36" s="2846"/>
      <c r="AJ36" s="2846"/>
      <c r="AK36" s="2853" t="s">
        <v>445</v>
      </c>
      <c r="AN36" s="1579"/>
      <c r="AO36" s="1579"/>
      <c r="AP36" s="1579"/>
      <c r="AQ36" s="1579"/>
      <c r="AR36" s="1579"/>
      <c r="AS36" s="1629">
        <v>0</v>
      </c>
    </row>
    <row customHeight="1" ht="14.699999999999998">
      <c r="Q37" s="1587"/>
      <c r="R37" s="1587"/>
      <c r="S37" s="2486"/>
      <c r="T37" s="1668"/>
      <c r="U37" s="2455"/>
      <c r="V37" s="3463"/>
      <c r="W37" s="3463"/>
      <c r="X37" s="3463"/>
      <c r="Y37" s="3463"/>
      <c r="Z37" s="3463"/>
      <c r="AA37" s="3463"/>
      <c r="AB37" s="3463"/>
      <c r="AC37" s="3463"/>
      <c r="AD37" s="3463"/>
      <c r="AE37" s="3463"/>
      <c r="AF37" s="3463"/>
      <c r="AG37" s="3463"/>
      <c r="AH37" s="3463"/>
      <c r="AI37" s="3463"/>
      <c r="AJ37" s="3463"/>
      <c r="AK37" s="3463"/>
      <c r="AS37" s="2842">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842">
        <v>14</v>
      </c>
    </row>
    <row customHeight="1" ht="14.699999999999998">
      <c r="Q39" s="1587"/>
      <c r="R39" s="1587"/>
      <c r="S39" s="3484" t="s">
        <v>88</v>
      </c>
      <c r="T39" s="3420" t="s">
        <v>446</v>
      </c>
      <c r="U39" s="1548"/>
      <c r="V39" s="3485" t="s">
        <v>447</v>
      </c>
      <c r="W39" s="3486"/>
      <c r="X39" s="3486"/>
      <c r="Y39" s="3486"/>
      <c r="Z39" s="3486"/>
      <c r="AA39" s="3486"/>
      <c r="AB39" s="3487"/>
      <c r="AC39" s="3488" t="s">
        <v>448</v>
      </c>
      <c r="AD39" s="3485" t="s">
        <v>447</v>
      </c>
      <c r="AE39" s="3486"/>
      <c r="AF39" s="3486"/>
      <c r="AG39" s="3486"/>
      <c r="AH39" s="3486"/>
      <c r="AI39" s="3486"/>
      <c r="AJ39" s="3487"/>
      <c r="AK39" s="3488" t="s">
        <v>449</v>
      </c>
      <c r="AL39" s="3491" t="s">
        <v>450</v>
      </c>
      <c r="AM39" s="3338"/>
      <c r="AS39" s="2842">
        <v>14</v>
      </c>
    </row>
    <row customHeight="1" ht="35.699999999999996">
      <c r="Q40" s="1587"/>
      <c r="R40" s="1587"/>
      <c r="S40" s="3484"/>
      <c r="T40" s="3420"/>
      <c r="U40" s="2242"/>
      <c r="V40" s="3471" t="s">
        <v>451</v>
      </c>
      <c r="W40" s="3494" t="s">
        <v>452</v>
      </c>
      <c r="X40" s="3473" t="s">
        <v>453</v>
      </c>
      <c r="Y40" s="3474"/>
      <c r="Z40" s="3473" t="s">
        <v>467</v>
      </c>
      <c r="AA40" s="3480"/>
      <c r="AB40" s="3474"/>
      <c r="AC40" s="3489"/>
      <c r="AD40" s="3471" t="s">
        <v>451</v>
      </c>
      <c r="AE40" s="3494" t="s">
        <v>452</v>
      </c>
      <c r="AF40" s="3473" t="s">
        <v>453</v>
      </c>
      <c r="AG40" s="3474"/>
      <c r="AH40" s="3473" t="s">
        <v>454</v>
      </c>
      <c r="AI40" s="3480"/>
      <c r="AJ40" s="3474"/>
      <c r="AK40" s="3489"/>
      <c r="AL40" s="3492"/>
      <c r="AM40" s="3338"/>
      <c r="AS40" s="2842">
        <v>34</v>
      </c>
    </row>
    <row customHeight="1" ht="35.699999999999996">
      <c r="A41" s="2477"/>
      <c r="B41" s="2477" t="s">
        <v>155</v>
      </c>
      <c r="C41" s="2477" t="s">
        <v>156</v>
      </c>
      <c r="D41" s="2477" t="s">
        <v>157</v>
      </c>
      <c r="E41" s="2521" t="s">
        <v>455</v>
      </c>
      <c r="F41" s="2521" t="s">
        <v>456</v>
      </c>
      <c r="G41" s="2521" t="s">
        <v>457</v>
      </c>
      <c r="H41" s="2521" t="s">
        <v>458</v>
      </c>
      <c r="I41" s="2521" t="s">
        <v>459</v>
      </c>
      <c r="J41" s="2521" t="s">
        <v>460</v>
      </c>
      <c r="K41" s="2521" t="s">
        <v>461</v>
      </c>
      <c r="L41" s="2521" t="s">
        <v>436</v>
      </c>
      <c r="Q41" s="1587"/>
      <c r="R41" s="1587"/>
      <c r="S41" s="3484"/>
      <c r="T41" s="3420"/>
      <c r="U41" s="1513"/>
      <c r="V41" s="3472"/>
      <c r="W41" s="3495"/>
      <c r="X41" s="3149" t="s">
        <v>462</v>
      </c>
      <c r="Y41" s="3149" t="s">
        <v>463</v>
      </c>
      <c r="Z41" s="3149" t="s">
        <v>464</v>
      </c>
      <c r="AA41" s="3481" t="s">
        <v>465</v>
      </c>
      <c r="AB41" s="3482"/>
      <c r="AC41" s="3490"/>
      <c r="AD41" s="3472"/>
      <c r="AE41" s="3495"/>
      <c r="AF41" s="3149" t="s">
        <v>462</v>
      </c>
      <c r="AG41" s="3149" t="s">
        <v>463</v>
      </c>
      <c r="AH41" s="3149" t="s">
        <v>464</v>
      </c>
      <c r="AI41" s="3481" t="s">
        <v>465</v>
      </c>
      <c r="AJ41" s="3482"/>
      <c r="AK41" s="3490"/>
      <c r="AL41" s="3493"/>
      <c r="AM41" s="3338"/>
      <c r="AS41" s="2842">
        <v>34</v>
      </c>
    </row>
    <row s="65897" customFormat="1" customHeight="1" ht="11.25" hidden="1">
      <c r="A42" s="2477"/>
      <c r="B42" s="2477"/>
      <c r="C42" s="2477"/>
      <c r="D42" s="2477"/>
      <c r="E42" s="2477"/>
      <c r="F42" s="2477"/>
      <c r="G42" s="2477"/>
      <c r="H42" s="2477"/>
      <c r="I42" s="2477"/>
      <c r="J42" s="2477"/>
      <c r="K42" s="2477"/>
      <c r="L42" s="2521"/>
      <c r="M42" s="3176"/>
      <c r="N42" s="3176"/>
      <c r="O42" s="3176"/>
      <c r="P42" s="2457"/>
      <c r="Q42" s="2458"/>
      <c r="R42" s="2465">
        <v>1</v>
      </c>
      <c r="S42" s="2488" t="s">
        <v>99</v>
      </c>
      <c r="T42" s="2466" t="s">
        <v>102</v>
      </c>
      <c r="U42" s="2456" t="str">
        <f>OFFSET(U42,0,-1)</f>
        <v>2</v>
      </c>
      <c r="V42" s="3167">
        <f>OFFSET(V42,0,-1)+1</f>
        <v>3</v>
      </c>
      <c r="W42" s="3167"/>
      <c r="X42" s="3167">
        <f>OFFSET(X42,0,-1)+1</f>
        <v>1</v>
      </c>
      <c r="Y42" s="3167">
        <f>OFFSET(Y42,0,-1)+1</f>
        <v>2</v>
      </c>
      <c r="Z42" s="3167">
        <f>OFFSET(Z42,0,-1)+1</f>
        <v>3</v>
      </c>
      <c r="AA42" s="3483">
        <f>OFFSET(AA42,0,-1)+1</f>
        <v>4</v>
      </c>
      <c r="AB42" s="3483"/>
      <c r="AC42" s="3167">
        <f>OFFSET(AC42,0,-2)+1</f>
        <v>5</v>
      </c>
      <c r="AD42" s="3167">
        <f>OFFSET(AD42,0,-1)+1</f>
        <v>6</v>
      </c>
      <c r="AE42" s="3167"/>
      <c r="AF42" s="3167">
        <f>OFFSET(AF42,0,-1)+1</f>
        <v>1</v>
      </c>
      <c r="AG42" s="3167">
        <f>OFFSET(AG42,0,-1)+1</f>
        <v>2</v>
      </c>
      <c r="AH42" s="3167">
        <f>OFFSET(AH42,0,-1)+1</f>
        <v>3</v>
      </c>
      <c r="AI42" s="3483">
        <f>OFFSET(AI42,0,-1)+1</f>
        <v>4</v>
      </c>
      <c r="AJ42" s="3483"/>
      <c r="AK42" s="3167">
        <f>OFFSET(AK42,0,-2)+1</f>
        <v>5</v>
      </c>
      <c r="AL42" s="2456">
        <f>OFFSET(AL42,0,-1)</f>
        <v>5</v>
      </c>
      <c r="AM42" s="3167">
        <f>OFFSET(AM42,0,-1)+1</f>
        <v>6</v>
      </c>
      <c r="AN42" s="2847"/>
      <c r="AO42" s="2847"/>
      <c r="AP42" s="2847"/>
      <c r="AQ42" s="2847"/>
      <c r="AR42" s="2847"/>
      <c r="AS42" s="2852">
        <v>0</v>
      </c>
    </row>
    <row customHeight="1" ht="22.049999999999997">
      <c r="A43" s="2478" t="s">
        <v>230</v>
      </c>
      <c r="B43" s="2478"/>
      <c r="C43" s="2478"/>
      <c r="D43" s="2478"/>
      <c r="E43" s="3500">
        <v>1</v>
      </c>
      <c r="F43" s="2478"/>
      <c r="G43" s="2478"/>
      <c r="H43" s="2478"/>
      <c r="I43" s="2478"/>
      <c r="J43" s="2478"/>
      <c r="K43" s="2478"/>
      <c r="L43" s="2521"/>
      <c r="M43" s="2821"/>
      <c r="N43" s="2821"/>
      <c r="O43" s="2821"/>
      <c r="P43" s="2801"/>
      <c r="Q43" s="1571"/>
      <c r="R43" s="1566"/>
      <c r="S43" s="3169">
        <f>INDEX(PT_DIFFERENTIATION_NUM_NTAR,MATCH(A43,PT_DIFFERENTIATION_NTAR_ID,0))</f>
        <v>0</v>
      </c>
      <c r="T43" s="2736"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835"/>
      <c r="AP43" s="2835" t="str">
        <f>IF(T43="","",T43)</f>
        <v>Наименование тарифа</v>
      </c>
      <c r="AQ43" s="2835"/>
      <c r="AR43" s="2835"/>
      <c r="AS43" s="2842">
        <v>21</v>
      </c>
    </row>
    <row customHeight="1" ht="22.049999999999997">
      <c r="A44" s="2478" t="s">
        <v>230</v>
      </c>
      <c r="B44" s="2478" t="s">
        <v>231</v>
      </c>
      <c r="C44" s="2478"/>
      <c r="D44" s="2478"/>
      <c r="E44" s="3501"/>
      <c r="F44" s="3500">
        <v>1</v>
      </c>
      <c r="G44" s="2478"/>
      <c r="H44" s="2478"/>
      <c r="I44" s="2478"/>
      <c r="J44" s="2478"/>
      <c r="K44" s="2478"/>
      <c r="L44" s="2521"/>
      <c r="M44" s="2821"/>
      <c r="N44" s="2821"/>
      <c r="O44" s="2821"/>
      <c r="P44" s="3151"/>
      <c r="Q44" s="1563"/>
      <c r="R44" s="1564"/>
      <c r="S44" s="3169" t="str">
        <f>INDEX(PT_DIFFERENTIATION_NUM_TER,MATCH(B44,PT_DIFFERENTIATION_TER_ID,0))</f>
        <v>.</v>
      </c>
      <c r="T44" s="2733"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2835"/>
      <c r="AP44" s="2835" t="str">
        <f>IF(T44="","",T44)</f>
        <v>Территория действия тарифа</v>
      </c>
      <c r="AQ44" s="2835"/>
      <c r="AR44" s="2835"/>
      <c r="AS44" s="2842">
        <v>21</v>
      </c>
    </row>
    <row customHeight="1" ht="24">
      <c r="A45" s="2478" t="s">
        <v>230</v>
      </c>
      <c r="B45" s="2478" t="s">
        <v>231</v>
      </c>
      <c r="C45" s="2478" t="s">
        <v>232</v>
      </c>
      <c r="D45" s="2478"/>
      <c r="E45" s="3501"/>
      <c r="F45" s="3501"/>
      <c r="G45" s="3500">
        <v>1</v>
      </c>
      <c r="H45" s="2478"/>
      <c r="I45" s="2478"/>
      <c r="J45" s="2478"/>
      <c r="K45" s="2478"/>
      <c r="L45" s="2521"/>
      <c r="M45" s="2821"/>
      <c r="N45" s="2821"/>
      <c r="O45" s="2821"/>
      <c r="P45" s="1565"/>
      <c r="Q45" s="1563"/>
      <c r="R45" s="1564"/>
      <c r="S45" s="3169"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2835"/>
      <c r="AP45" s="2835" t="str">
        <f>IF(T45="","",T45)</f>
        <v>Наименование системы теплоснабжения </v>
      </c>
      <c r="AQ45" s="2835"/>
      <c r="AR45" s="2835"/>
      <c r="AS45" s="2842">
        <v>23</v>
      </c>
    </row>
    <row customHeight="1" ht="22.049999999999997">
      <c r="A46" s="2478" t="s">
        <v>230</v>
      </c>
      <c r="B46" s="2478" t="s">
        <v>231</v>
      </c>
      <c r="C46" s="2478" t="s">
        <v>232</v>
      </c>
      <c r="D46" s="2478" t="s">
        <v>233</v>
      </c>
      <c r="E46" s="3501"/>
      <c r="F46" s="3501"/>
      <c r="G46" s="3501"/>
      <c r="H46" s="3500">
        <v>1</v>
      </c>
      <c r="I46" s="2478"/>
      <c r="J46" s="2478"/>
      <c r="K46" s="2478"/>
      <c r="L46" s="2521"/>
      <c r="M46" s="2821"/>
      <c r="N46" s="2821"/>
      <c r="O46" s="2821"/>
      <c r="P46" s="1565"/>
      <c r="Q46" s="1563"/>
      <c r="R46" s="1564"/>
      <c r="S46" s="3169"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2835"/>
      <c r="AP46" s="2835" t="str">
        <f>IF(T46="","",T46)</f>
        <v>Источник тепловой энергии  </v>
      </c>
      <c r="AQ46" s="2835"/>
      <c r="AR46" s="2835"/>
      <c r="AS46" s="2842">
        <v>21</v>
      </c>
    </row>
    <row customHeight="1" ht="49.5">
      <c r="A47" s="2478" t="s">
        <v>230</v>
      </c>
      <c r="B47" s="2478" t="s">
        <v>231</v>
      </c>
      <c r="C47" s="2478" t="s">
        <v>232</v>
      </c>
      <c r="D47" s="2478" t="s">
        <v>233</v>
      </c>
      <c r="E47" s="3501"/>
      <c r="F47" s="3501"/>
      <c r="G47" s="3501"/>
      <c r="H47" s="3501"/>
      <c r="I47" s="3338" t="str">
        <f>S46&amp;".1"</f>
        <v>....1</v>
      </c>
      <c r="J47" s="2478"/>
      <c r="K47" s="2478"/>
      <c r="L47" s="2521" t="s">
        <v>421</v>
      </c>
      <c r="P47" s="3468">
        <v>1</v>
      </c>
      <c r="Q47" s="3165"/>
      <c r="R47" s="1567"/>
      <c r="S47" s="3169" t="str">
        <f>$I47</f>
        <v>....1</v>
      </c>
      <c r="T47" s="1496" t="s">
        <v>422</v>
      </c>
      <c r="U47" s="1511"/>
      <c r="V47" s="3456"/>
      <c r="W47" s="3457"/>
      <c r="X47" s="3457"/>
      <c r="Y47" s="3457"/>
      <c r="Z47" s="3457"/>
      <c r="AA47" s="3457"/>
      <c r="AB47" s="3457"/>
      <c r="AC47" s="3458"/>
      <c r="AD47" s="3456"/>
      <c r="AE47" s="3457"/>
      <c r="AF47" s="3457"/>
      <c r="AG47" s="3457"/>
      <c r="AH47" s="3457"/>
      <c r="AI47" s="3457"/>
      <c r="AJ47" s="3457"/>
      <c r="AK47" s="3457"/>
      <c r="AL47" s="3458"/>
      <c r="AM47" s="2469" t="s">
        <v>423</v>
      </c>
      <c r="AO47" s="2835"/>
      <c r="AP47" s="2835" t="str">
        <f>IF(T47="","",T47)</f>
        <v>Схема подключения теплопотребляющей установки к коллектору источника тепловой энергии</v>
      </c>
      <c r="AQ47" s="2835"/>
      <c r="AR47" s="2835"/>
      <c r="AS47" s="2842">
        <v>47</v>
      </c>
    </row>
    <row customHeight="1" ht="22.049999999999997">
      <c r="A48" s="2478" t="s">
        <v>230</v>
      </c>
      <c r="B48" s="2478" t="s">
        <v>231</v>
      </c>
      <c r="C48" s="2478" t="s">
        <v>232</v>
      </c>
      <c r="D48" s="2478" t="s">
        <v>233</v>
      </c>
      <c r="E48" s="3501"/>
      <c r="F48" s="3501"/>
      <c r="G48" s="3501"/>
      <c r="H48" s="3501"/>
      <c r="I48" s="3312"/>
      <c r="J48" s="3338" t="str">
        <f>I47&amp;".1"</f>
        <v>....1.1</v>
      </c>
      <c r="K48" s="2478"/>
      <c r="L48" s="2521" t="s">
        <v>424</v>
      </c>
      <c r="P48" s="3468"/>
      <c r="Q48" s="3468">
        <v>1</v>
      </c>
      <c r="R48" s="1568"/>
      <c r="S48" s="3169" t="str">
        <f>$J48</f>
        <v>....1.1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2835"/>
      <c r="AP48" s="2835" t="str">
        <f>IF(T48="","",T48)</f>
        <v>Группа потребителей</v>
      </c>
      <c r="AQ48" s="2835"/>
      <c r="AR48" s="2835"/>
      <c r="AS48" s="2842">
        <v>21</v>
      </c>
    </row>
    <row customHeight="1" ht="22.049999999999997">
      <c r="A49" s="2478" t="s">
        <v>230</v>
      </c>
      <c r="B49" s="2478" t="s">
        <v>231</v>
      </c>
      <c r="C49" s="2478" t="s">
        <v>232</v>
      </c>
      <c r="D49" s="2478" t="s">
        <v>233</v>
      </c>
      <c r="E49" s="3501"/>
      <c r="F49" s="3501"/>
      <c r="G49" s="3501"/>
      <c r="H49" s="3501"/>
      <c r="I49" s="3312"/>
      <c r="J49" s="3312"/>
      <c r="K49" s="3338" t="str">
        <f>J48&amp;".1"</f>
        <v>....1.1.1</v>
      </c>
      <c r="L49" s="2521" t="s">
        <v>427</v>
      </c>
      <c r="P49" s="3468"/>
      <c r="Q49" s="3468"/>
      <c r="R49" s="1568">
        <v>1</v>
      </c>
      <c r="S49" s="3169" t="str">
        <f>$K49</f>
        <v>....1.1.1</v>
      </c>
      <c r="T49" s="2558"/>
      <c r="U49" s="1511"/>
      <c r="V49" s="1962"/>
      <c r="W49" s="1536"/>
      <c r="X49" s="1962"/>
      <c r="Y49" s="2468"/>
      <c r="Z49" s="3476"/>
      <c r="AA49" s="3318" t="s">
        <v>62</v>
      </c>
      <c r="AB49" s="3476"/>
      <c r="AC49" s="3318" t="s">
        <v>62</v>
      </c>
      <c r="AD49" s="1962"/>
      <c r="AE49" s="1536"/>
      <c r="AF49" s="1962"/>
      <c r="AG49" s="2468"/>
      <c r="AH49" s="3476"/>
      <c r="AI49" s="3318" t="s">
        <v>62</v>
      </c>
      <c r="AJ49" s="3498"/>
      <c r="AK49" s="3318" t="s">
        <v>62</v>
      </c>
      <c r="AL49" s="2559"/>
      <c r="AM49" s="3464" t="s">
        <v>428</v>
      </c>
      <c r="AN49" s="2847">
        <f>STRCHECKDATE(V50:AL50)</f>
      </c>
      <c r="AO49" s="2835"/>
      <c r="AP49" s="2835" t="str">
        <f>IF(T49="","",T49)</f>
        <v/>
      </c>
      <c r="AQ49" s="2835"/>
      <c r="AR49" s="2835"/>
      <c r="AS49" s="2842">
        <v>21</v>
      </c>
    </row>
    <row customHeight="1" ht="1.05">
      <c r="A50" s="2478" t="s">
        <v>230</v>
      </c>
      <c r="B50" s="2478" t="s">
        <v>231</v>
      </c>
      <c r="C50" s="2478" t="s">
        <v>232</v>
      </c>
      <c r="D50" s="2478" t="s">
        <v>233</v>
      </c>
      <c r="E50" s="3501"/>
      <c r="F50" s="3501"/>
      <c r="G50" s="3501"/>
      <c r="H50" s="3501"/>
      <c r="I50" s="3312"/>
      <c r="J50" s="3312"/>
      <c r="K50" s="3338"/>
      <c r="L50" s="2521"/>
      <c r="P50" s="3468"/>
      <c r="Q50" s="3468"/>
      <c r="R50" s="1568"/>
      <c r="S50" s="3178"/>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2835"/>
      <c r="AP50" s="2835" t="str">
        <f>IF(T50="","",T50)</f>
        <v/>
      </c>
      <c r="AQ50" s="2835"/>
      <c r="AR50" s="2835"/>
      <c r="AS50" s="2842">
        <v>1</v>
      </c>
    </row>
    <row customHeight="1" ht="11.549999999999999">
      <c r="A51" s="2478" t="s">
        <v>230</v>
      </c>
      <c r="B51" s="2478" t="s">
        <v>231</v>
      </c>
      <c r="C51" s="2478" t="s">
        <v>232</v>
      </c>
      <c r="D51" s="2478" t="s">
        <v>233</v>
      </c>
      <c r="E51" s="3501"/>
      <c r="F51" s="3501"/>
      <c r="G51" s="3501"/>
      <c r="H51" s="3501"/>
      <c r="I51" s="3312"/>
      <c r="J51" s="3338"/>
      <c r="K51" s="2478"/>
      <c r="L51" s="2521"/>
      <c r="P51" s="3468"/>
      <c r="Q51" s="3468"/>
      <c r="R51" s="1567"/>
      <c r="S51" s="2489"/>
      <c r="T51" s="1499" t="s">
        <v>429</v>
      </c>
      <c r="U51" s="1811"/>
      <c r="V51" s="1811"/>
      <c r="W51" s="1811"/>
      <c r="X51" s="1811"/>
      <c r="Y51" s="1811"/>
      <c r="Z51" s="1811"/>
      <c r="AA51" s="1811"/>
      <c r="AB51" s="1811"/>
      <c r="AC51" s="1811"/>
      <c r="AD51" s="1811"/>
      <c r="AE51" s="1811"/>
      <c r="AF51" s="1811"/>
      <c r="AG51" s="1811"/>
      <c r="AH51" s="1811"/>
      <c r="AI51" s="1811"/>
      <c r="AJ51" s="1811"/>
      <c r="AK51" s="1811"/>
      <c r="AL51" s="1535"/>
      <c r="AM51" s="3466"/>
      <c r="AO51" s="2835"/>
      <c r="AP51" s="2835" t="str">
        <f>IF(T51="","",T51)</f>
        <v>Добавить вид теплоносителя (параметры теплоносителя)</v>
      </c>
      <c r="AQ51" s="2835"/>
      <c r="AR51" s="2835"/>
      <c r="AS51" s="2842">
        <v>11</v>
      </c>
    </row>
    <row customHeight="1" ht="11.549999999999999">
      <c r="A52" s="2478" t="s">
        <v>230</v>
      </c>
      <c r="B52" s="2478" t="s">
        <v>231</v>
      </c>
      <c r="C52" s="2478" t="s">
        <v>232</v>
      </c>
      <c r="D52" s="2478" t="s">
        <v>233</v>
      </c>
      <c r="E52" s="3501"/>
      <c r="F52" s="3501"/>
      <c r="G52" s="3501"/>
      <c r="H52" s="3501"/>
      <c r="I52" s="3338"/>
      <c r="J52" s="2478"/>
      <c r="K52" s="2478"/>
      <c r="L52" s="2521"/>
      <c r="P52" s="3468"/>
      <c r="Q52" s="3165"/>
      <c r="R52" s="1567"/>
      <c r="S52" s="2489"/>
      <c r="T52" s="1498" t="s">
        <v>430</v>
      </c>
      <c r="U52" s="1811"/>
      <c r="V52" s="1811"/>
      <c r="W52" s="1811"/>
      <c r="X52" s="1811"/>
      <c r="Y52" s="1811"/>
      <c r="Z52" s="1811"/>
      <c r="AA52" s="1811"/>
      <c r="AB52" s="1811"/>
      <c r="AC52" s="1577"/>
      <c r="AD52" s="1811"/>
      <c r="AE52" s="1811"/>
      <c r="AF52" s="1811"/>
      <c r="AG52" s="1811"/>
      <c r="AH52" s="1811"/>
      <c r="AI52" s="1811"/>
      <c r="AJ52" s="1811"/>
      <c r="AK52" s="1577"/>
      <c r="AL52" s="1811"/>
      <c r="AM52" s="1514"/>
      <c r="AO52" s="2835"/>
      <c r="AP52" s="2835" t="str">
        <f>IF(T52="","",T52)</f>
        <v>Добавить группу потребителей</v>
      </c>
      <c r="AQ52" s="2835"/>
      <c r="AR52" s="2835"/>
      <c r="AS52" s="2842">
        <v>11</v>
      </c>
    </row>
    <row customHeight="1" ht="14.699999999999998">
      <c r="A53" s="2478" t="s">
        <v>230</v>
      </c>
      <c r="B53" s="2478" t="s">
        <v>231</v>
      </c>
      <c r="C53" s="2478" t="s">
        <v>232</v>
      </c>
      <c r="D53" s="2478" t="s">
        <v>233</v>
      </c>
      <c r="E53" s="3501"/>
      <c r="F53" s="3501"/>
      <c r="G53" s="3501"/>
      <c r="H53" s="3500"/>
      <c r="I53" s="2478"/>
      <c r="J53" s="2478"/>
      <c r="K53" s="2478"/>
      <c r="L53" s="2521"/>
      <c r="M53" s="2821"/>
      <c r="N53" s="2821"/>
      <c r="O53" s="2846"/>
      <c r="P53" s="1571"/>
      <c r="Q53" s="1586"/>
      <c r="R53" s="1566"/>
      <c r="S53" s="2489"/>
      <c r="T53" s="1576" t="s">
        <v>431</v>
      </c>
      <c r="U53" s="1811"/>
      <c r="V53" s="1811"/>
      <c r="W53" s="1811"/>
      <c r="X53" s="1811"/>
      <c r="Y53" s="1811"/>
      <c r="Z53" s="1811"/>
      <c r="AA53" s="1811"/>
      <c r="AB53" s="1811"/>
      <c r="AC53" s="1577"/>
      <c r="AD53" s="1811"/>
      <c r="AE53" s="1811"/>
      <c r="AF53" s="1811"/>
      <c r="AG53" s="1811"/>
      <c r="AH53" s="1811"/>
      <c r="AI53" s="1811"/>
      <c r="AJ53" s="1811"/>
      <c r="AK53" s="1577"/>
      <c r="AL53" s="1811"/>
      <c r="AM53" s="1514"/>
      <c r="AO53" s="2835"/>
      <c r="AP53" s="2835" t="str">
        <f>IF(T53="","",T53)</f>
        <v>Добавить схему подключения</v>
      </c>
      <c r="AQ53" s="2835"/>
      <c r="AR53" s="2835"/>
      <c r="AS53" s="2842">
        <v>14</v>
      </c>
    </row>
    <row s="65923" customFormat="1" customHeight="1" ht="4.2">
      <c r="A54" s="2586" t="s">
        <v>230</v>
      </c>
      <c r="B54" s="2586" t="s">
        <v>231</v>
      </c>
      <c r="C54" s="2586" t="s">
        <v>232</v>
      </c>
      <c r="D54" s="2585"/>
      <c r="E54" s="3501"/>
      <c r="F54" s="3501"/>
      <c r="G54" s="3500"/>
      <c r="H54" s="2585"/>
      <c r="I54" s="2585"/>
      <c r="J54" s="2585"/>
      <c r="K54" s="2585"/>
      <c r="L54" s="2588"/>
      <c r="M54" s="2589"/>
      <c r="N54" s="2589"/>
      <c r="O54" s="1562"/>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462"/>
      <c r="AP54" s="2462" t="str">
        <f>IF(T54="","",T54)</f>
        <v>Добавить источник для дифференциации</v>
      </c>
      <c r="AQ54" s="2462"/>
      <c r="AR54" s="2462"/>
      <c r="AS54" s="2853">
        <v>4</v>
      </c>
    </row>
    <row s="65923" customFormat="1" customHeight="1" ht="4.2">
      <c r="A55" s="2586" t="s">
        <v>230</v>
      </c>
      <c r="B55" s="2586" t="s">
        <v>231</v>
      </c>
      <c r="C55" s="2585"/>
      <c r="D55" s="2585"/>
      <c r="E55" s="3501"/>
      <c r="F55" s="3500"/>
      <c r="G55" s="2585"/>
      <c r="H55" s="2585"/>
      <c r="I55" s="2585"/>
      <c r="J55" s="2585"/>
      <c r="K55" s="2585"/>
      <c r="L55" s="2588"/>
      <c r="M55" s="2590"/>
      <c r="N55" s="2590"/>
      <c r="O55" s="1562"/>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462"/>
      <c r="AP55" s="2462" t="str">
        <f>IF(T55="","",T55)</f>
        <v>Добавить централизованную систему для дифференциации</v>
      </c>
      <c r="AQ55" s="2462"/>
      <c r="AR55" s="2462"/>
      <c r="AS55" s="2853">
        <v>4</v>
      </c>
    </row>
    <row s="65923" customFormat="1" customHeight="1" ht="4.2">
      <c r="A56" s="2586" t="s">
        <v>230</v>
      </c>
      <c r="B56" s="2586"/>
      <c r="C56" s="2586"/>
      <c r="D56" s="2586"/>
      <c r="E56" s="3500"/>
      <c r="F56" s="2586"/>
      <c r="G56" s="2586"/>
      <c r="H56" s="2586"/>
      <c r="I56" s="2586"/>
      <c r="J56" s="2586"/>
      <c r="K56" s="2586"/>
      <c r="L56" s="2592"/>
      <c r="M56" s="2590"/>
      <c r="N56" s="2590"/>
      <c r="O56" s="1562"/>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2835"/>
      <c r="AP56" s="2835" t="str">
        <f>IF(T56="","",T56)</f>
        <v>Добавить территорию для дифференциации</v>
      </c>
      <c r="AQ56" s="2835"/>
      <c r="AR56" s="2835"/>
      <c r="AS56" s="2847">
        <v>4</v>
      </c>
    </row>
    <row s="65923" customFormat="1" customHeight="1" ht="4.2">
      <c r="A57" s="2585"/>
      <c r="B57" s="2585"/>
      <c r="C57" s="2585"/>
      <c r="D57" s="2585"/>
      <c r="E57" s="2586"/>
      <c r="F57" s="2585"/>
      <c r="G57" s="2585"/>
      <c r="H57" s="2585"/>
      <c r="I57" s="2585"/>
      <c r="J57" s="2585"/>
      <c r="K57" s="2585"/>
      <c r="L57" s="2588"/>
      <c r="M57" s="2590"/>
      <c r="N57" s="2590"/>
      <c r="O57" s="1562"/>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462"/>
      <c r="AP57" s="2462" t="str">
        <f>IF(T57="","",T57)</f>
        <v>Добавить наименование тарифа</v>
      </c>
      <c r="AQ57" s="2462"/>
      <c r="AR57" s="2462"/>
      <c r="AS57" s="2853">
        <v>4</v>
      </c>
    </row>
    <row customHeight="1" ht="11.549999999999999">
      <c r="M58" s="2842"/>
      <c r="N58" s="2842"/>
      <c r="O58" s="2846"/>
      <c r="P58" s="2842"/>
      <c r="Q58" s="2842"/>
      <c r="R58" s="2842"/>
      <c r="S58" s="2842"/>
      <c r="AN58" s="2842"/>
      <c r="AO58" s="2842"/>
      <c r="AP58" s="2842"/>
      <c r="AQ58" s="2842"/>
      <c r="AR58" s="2842"/>
      <c r="AS58" s="2842">
        <v>11</v>
      </c>
    </row>
    <row customHeight="1" ht="28.5">
      <c r="O59" s="2846"/>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842">
        <v>27</v>
      </c>
    </row>
    <row customHeight="1" ht="65.25">
      <c r="O60" s="2846"/>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842">
        <v>62</v>
      </c>
    </row>
    <row customHeight="1" ht="14.699999999999998">
      <c r="O61" s="2846"/>
      <c r="AS61" s="2842">
        <v>14</v>
      </c>
    </row>
    <row customHeight="1" ht="18.75">
      <c r="O62" s="2846"/>
      <c r="S62" s="2464"/>
      <c r="T62" s="3496"/>
      <c r="U62" s="3496"/>
      <c r="V62" s="3496"/>
      <c r="W62" s="3496"/>
      <c r="X62" s="3496"/>
      <c r="Y62" s="3496"/>
      <c r="Z62" s="3496"/>
      <c r="AA62" s="3496"/>
      <c r="AB62" s="3496"/>
      <c r="AC62" s="3496"/>
      <c r="AD62" s="3496"/>
      <c r="AE62" s="3496"/>
      <c r="AF62" s="3496"/>
      <c r="AG62" s="3496"/>
      <c r="AH62" s="3496"/>
      <c r="AI62" s="3496"/>
      <c r="AJ62" s="3496"/>
      <c r="AK62" s="3496"/>
      <c r="AL62" s="3496"/>
      <c r="AM62" s="3496"/>
      <c r="AS62" s="2842">
        <v>18</v>
      </c>
    </row>
    <row customHeight="1" ht="18.75">
      <c r="O63" s="2846"/>
      <c r="T63" s="3496"/>
      <c r="U63" s="3496"/>
      <c r="V63" s="3496"/>
      <c r="W63" s="3496"/>
      <c r="X63" s="3496"/>
      <c r="Y63" s="3496"/>
      <c r="Z63" s="3496"/>
      <c r="AA63" s="3496"/>
      <c r="AB63" s="3496"/>
      <c r="AC63" s="3496"/>
      <c r="AD63" s="3496"/>
      <c r="AE63" s="3496"/>
      <c r="AF63" s="3496"/>
      <c r="AG63" s="3496"/>
      <c r="AH63" s="3496"/>
      <c r="AI63" s="3496"/>
      <c r="AJ63" s="3496"/>
      <c r="AK63" s="3496"/>
      <c r="AL63" s="3496"/>
      <c r="AM63" s="3496"/>
      <c r="AS63" s="2842">
        <v>18</v>
      </c>
    </row>
    <row customHeight="1" ht="29.25">
      <c r="O64" s="2846"/>
      <c r="S64" s="2464"/>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842">
        <v>28</v>
      </c>
    </row>
    <row customHeight="1" ht="22.5" hidden="1">
      <c r="A65" s="2842" t="s">
        <v>82</v>
      </c>
      <c r="B65" s="2842">
        <v>0</v>
      </c>
      <c r="C65" s="2842">
        <v>0</v>
      </c>
      <c r="D65" s="2842">
        <v>0</v>
      </c>
      <c r="E65" s="2842">
        <v>0</v>
      </c>
      <c r="F65" s="2842">
        <v>0</v>
      </c>
      <c r="G65" s="2842">
        <v>0</v>
      </c>
      <c r="H65" s="2842">
        <v>0</v>
      </c>
      <c r="I65" s="2842">
        <v>0</v>
      </c>
      <c r="J65" s="2842">
        <v>0</v>
      </c>
      <c r="K65" s="2842">
        <v>0</v>
      </c>
      <c r="L65" s="3150">
        <v>0</v>
      </c>
      <c r="M65" s="3176">
        <v>0</v>
      </c>
      <c r="N65" s="3176">
        <v>0</v>
      </c>
      <c r="O65" s="3176">
        <v>0</v>
      </c>
      <c r="P65" s="3176">
        <v>3</v>
      </c>
      <c r="Q65" s="1555">
        <v>3</v>
      </c>
      <c r="R65" s="1555">
        <v>3</v>
      </c>
      <c r="S65" s="1792">
        <v>12</v>
      </c>
      <c r="T65" s="2842">
        <v>31</v>
      </c>
      <c r="U65" s="2842">
        <v>0</v>
      </c>
      <c r="V65" s="2842">
        <v>0</v>
      </c>
      <c r="W65" s="2842">
        <v>0</v>
      </c>
      <c r="X65" s="2842">
        <v>0</v>
      </c>
      <c r="Y65" s="2842">
        <v>0</v>
      </c>
      <c r="Z65" s="2842">
        <v>0</v>
      </c>
      <c r="AA65" s="2842">
        <v>0</v>
      </c>
      <c r="AB65" s="2842">
        <v>0</v>
      </c>
      <c r="AC65" s="2842">
        <v>0</v>
      </c>
      <c r="AD65" s="2842">
        <v>24</v>
      </c>
      <c r="AE65" s="2842">
        <v>0</v>
      </c>
      <c r="AF65" s="2842">
        <v>24</v>
      </c>
      <c r="AG65" s="2842">
        <v>24</v>
      </c>
      <c r="AH65" s="2842">
        <v>11</v>
      </c>
      <c r="AI65" s="2842">
        <v>3</v>
      </c>
      <c r="AJ65" s="2842">
        <v>11</v>
      </c>
      <c r="AK65" s="2842">
        <v>0</v>
      </c>
      <c r="AL65" s="2842">
        <v>4</v>
      </c>
      <c r="AM65" s="2842">
        <v>115</v>
      </c>
      <c r="AN65" s="2847">
        <v>10</v>
      </c>
      <c r="AO65" s="2847">
        <v>10</v>
      </c>
      <c r="AP65" s="2847">
        <v>10</v>
      </c>
      <c r="AQ65" s="2847">
        <v>10</v>
      </c>
      <c r="AR65" s="2847">
        <v>10</v>
      </c>
      <c r="AS65" s="284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11CD7-17C7-CBF1-B285-1826D018185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903" width="10.57421875" hidden="1"/>
    <col min="2" max="2" style="66903" width="11.00390625" hidden="1" customWidth="1"/>
    <col min="3" max="3" style="66903" width="10.57421875" hidden="1"/>
    <col min="4" max="4" style="66903" width="11.8515625" hidden="1" customWidth="1"/>
    <col min="5" max="5" style="66903" width="10.00390625" hidden="1" customWidth="1"/>
    <col min="6" max="6" style="66903" width="8.7109375" hidden="1" customWidth="1"/>
    <col min="7" max="7" style="66903" width="7.57421875" hidden="1" customWidth="1"/>
    <col min="8" max="8" style="66903" width="11.421875" hidden="1" customWidth="1"/>
    <col min="9" max="9" style="66903" width="12.00390625" hidden="1" customWidth="1"/>
    <col min="10" max="10" style="66903" width="9.8515625" hidden="1" customWidth="1"/>
    <col min="11" max="11" style="66903" width="11.421875" hidden="1" customWidth="1"/>
    <col min="12" max="12" style="67441" width="19.140625" hidden="1" customWidth="1"/>
    <col min="13" max="14" style="67462" width="12.28125" hidden="1" customWidth="1"/>
    <col min="15" max="15" style="67462" width="23.421875" hidden="1" customWidth="1"/>
    <col min="16" max="16" style="67462" width="3.00390625" customWidth="1"/>
    <col min="17" max="18" style="66873" width="3.00390625" customWidth="1"/>
    <col min="19" max="19" style="67434" width="12.00390625" customWidth="1"/>
    <col min="20" max="20" style="66903" width="31.00390625" customWidth="1"/>
    <col min="21" max="21" style="66903" width="0.140625" customWidth="1"/>
    <col min="22" max="22" style="66903" width="24.7109375" hidden="1" customWidth="1"/>
    <col min="23" max="23" style="66903" width="0.140625" hidden="1" customWidth="1"/>
    <col min="24" max="25" style="66903" width="24.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24.7109375" customWidth="1"/>
    <col min="31" max="31" style="66903" width="0.140625" customWidth="1"/>
    <col min="32" max="33" style="66903" width="24.0039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10.57421875" hidden="1"/>
  </cols>
  <sheetData>
    <row customHeight="1" ht="22.5" hidden="1">
      <c r="AS1" s="2842" t="s">
        <v>14</v>
      </c>
    </row>
    <row customHeight="1" ht="21" hidden="1">
      <c r="A2" s="2478"/>
      <c r="B2" s="2478"/>
      <c r="C2" s="2478"/>
      <c r="D2" s="2478"/>
      <c r="E2" s="3500">
        <v>1</v>
      </c>
      <c r="F2" s="2478"/>
      <c r="G2" s="2478"/>
      <c r="H2" s="2478"/>
      <c r="I2" s="2478"/>
      <c r="J2" s="2478"/>
      <c r="K2" s="2478"/>
      <c r="L2" s="2521"/>
      <c r="M2" s="2821"/>
      <c r="N2" s="2821"/>
      <c r="O2" s="2821"/>
      <c r="P2" s="2801"/>
      <c r="Q2" s="1571"/>
      <c r="R2" s="1566"/>
      <c r="S2" s="3169">
        <f>INDEX(PT_DIFFERENTIATION_NUM_NTAR,MATCH(A2,PT_DIFFERENTIATION_NTAR_ID,0))</f>
      </c>
      <c r="T2" s="2736"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2835"/>
      <c r="AP2" s="2835" t="str">
        <f>IF(T2="","",T2)</f>
        <v>Наименование тарифа</v>
      </c>
      <c r="AQ2" s="2835"/>
      <c r="AR2" s="2835"/>
      <c r="AS2" s="2842">
        <v>0</v>
      </c>
    </row>
    <row customHeight="1" ht="21" hidden="1">
      <c r="A3" s="2478"/>
      <c r="B3" s="2478"/>
      <c r="C3" s="2478"/>
      <c r="D3" s="2478"/>
      <c r="E3" s="3501"/>
      <c r="F3" s="3500">
        <v>1</v>
      </c>
      <c r="G3" s="2478"/>
      <c r="H3" s="2478"/>
      <c r="I3" s="2478"/>
      <c r="J3" s="2478"/>
      <c r="K3" s="2478"/>
      <c r="L3" s="2521"/>
      <c r="M3" s="2821"/>
      <c r="N3" s="2821"/>
      <c r="O3" s="2821"/>
      <c r="P3" s="3151"/>
      <c r="Q3" s="1563"/>
      <c r="R3" s="1564"/>
      <c r="S3" s="3169">
        <f>INDEX(PT_DIFFERENTIATION_NUM_TER,MATCH(B3,PT_DIFFERENTIATION_TER_ID,0))</f>
      </c>
      <c r="T3" s="2733"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2835"/>
      <c r="AP3" s="2835" t="str">
        <f>IF(T3="","",T3)</f>
        <v>Территория действия тарифа</v>
      </c>
      <c r="AQ3" s="2835"/>
      <c r="AR3" s="2835"/>
      <c r="AS3" s="2842">
        <v>0</v>
      </c>
    </row>
    <row customHeight="1" ht="23.25" hidden="1">
      <c r="A4" s="2478"/>
      <c r="B4" s="2478"/>
      <c r="C4" s="2478"/>
      <c r="D4" s="2478"/>
      <c r="E4" s="3501"/>
      <c r="F4" s="3501"/>
      <c r="G4" s="3500">
        <v>1</v>
      </c>
      <c r="H4" s="2478"/>
      <c r="I4" s="2478"/>
      <c r="J4" s="2478"/>
      <c r="K4" s="2478"/>
      <c r="L4" s="2521"/>
      <c r="M4" s="2821"/>
      <c r="N4" s="2821"/>
      <c r="O4" s="2821"/>
      <c r="P4" s="1565"/>
      <c r="Q4" s="1563"/>
      <c r="R4" s="1564"/>
      <c r="S4" s="3169">
        <f>INDEX(PT_DIFFERENTIATION_NUM_CS,MATCH(C4,PT_DIFFERENTIATION_CS_ID,0))</f>
      </c>
      <c r="T4" s="1520" t="s">
        <v>417</v>
      </c>
      <c r="U4" s="1511"/>
      <c r="V4" s="3453"/>
      <c r="W4" s="3454"/>
      <c r="X4" s="3454"/>
      <c r="Y4" s="3454"/>
      <c r="Z4" s="3454"/>
      <c r="AA4" s="3454"/>
      <c r="AB4" s="3454"/>
      <c r="AC4" s="3455"/>
      <c r="AD4" s="3453">
        <f>INDEX(PT_DIFFERENTIATION_CS,MATCH(C4,PT_DIFFERENTIATION_CS_ID,0))</f>
      </c>
      <c r="AE4" s="3454"/>
      <c r="AF4" s="3454"/>
      <c r="AG4" s="3454"/>
      <c r="AH4" s="3454"/>
      <c r="AI4" s="3454"/>
      <c r="AJ4" s="3454"/>
      <c r="AK4" s="3454"/>
      <c r="AL4" s="3455"/>
      <c r="AM4" s="2469" t="s">
        <v>418</v>
      </c>
      <c r="AO4" s="2835"/>
      <c r="AP4" s="2835" t="str">
        <f>IF(T4="","",T4)</f>
        <v>Наименование системы теплоснабжения </v>
      </c>
      <c r="AQ4" s="2835"/>
      <c r="AR4" s="2835"/>
      <c r="AS4" s="2842">
        <v>0</v>
      </c>
    </row>
    <row customHeight="1" ht="21" hidden="1">
      <c r="A5" s="2478"/>
      <c r="B5" s="2478"/>
      <c r="C5" s="2478"/>
      <c r="D5" s="2478"/>
      <c r="E5" s="3501"/>
      <c r="F5" s="3501"/>
      <c r="G5" s="3501"/>
      <c r="H5" s="3500">
        <v>1</v>
      </c>
      <c r="I5" s="2478"/>
      <c r="J5" s="2478"/>
      <c r="K5" s="2478"/>
      <c r="L5" s="2521"/>
      <c r="M5" s="2821"/>
      <c r="N5" s="2821"/>
      <c r="O5" s="2821"/>
      <c r="P5" s="1565"/>
      <c r="Q5" s="1563"/>
      <c r="R5" s="1564"/>
      <c r="S5" s="3169">
        <f>INDEX(PT_DIFFERENTIATION_NUM_IST_TE,MATCH(D5,PT_DIFFERENTIATION_IST_TE_ID,0))</f>
      </c>
      <c r="T5" s="1521" t="s">
        <v>419</v>
      </c>
      <c r="U5" s="1511"/>
      <c r="V5" s="3453"/>
      <c r="W5" s="3454"/>
      <c r="X5" s="3454"/>
      <c r="Y5" s="3454"/>
      <c r="Z5" s="3454"/>
      <c r="AA5" s="3454"/>
      <c r="AB5" s="3454"/>
      <c r="AC5" s="3455"/>
      <c r="AD5" s="3453">
        <f>INDEX(PT_DIFFERENTIATION_IST_TE,MATCH(D5,PT_DIFFERENTIATION_IST_TE_ID,0))</f>
      </c>
      <c r="AE5" s="3454"/>
      <c r="AF5" s="3454"/>
      <c r="AG5" s="3454"/>
      <c r="AH5" s="3454"/>
      <c r="AI5" s="3454"/>
      <c r="AJ5" s="3454"/>
      <c r="AK5" s="3454"/>
      <c r="AL5" s="3455"/>
      <c r="AM5" s="2469" t="s">
        <v>420</v>
      </c>
      <c r="AO5" s="2835"/>
      <c r="AP5" s="2835" t="str">
        <f>IF(T5="","",T5)</f>
        <v>Источник тепловой энергии  </v>
      </c>
      <c r="AQ5" s="2835"/>
      <c r="AR5" s="2835"/>
      <c r="AS5" s="2842">
        <v>0</v>
      </c>
    </row>
    <row customHeight="1" ht="47.25" hidden="1">
      <c r="A6" s="2478"/>
      <c r="B6" s="2478"/>
      <c r="C6" s="2478"/>
      <c r="D6" s="2478"/>
      <c r="E6" s="3501"/>
      <c r="F6" s="3501"/>
      <c r="G6" s="3501"/>
      <c r="H6" s="3501"/>
      <c r="I6" s="3338">
        <f>S5&amp;".1"</f>
      </c>
      <c r="J6" s="2478"/>
      <c r="K6" s="2478"/>
      <c r="L6" s="2521" t="s">
        <v>421</v>
      </c>
      <c r="M6" s="2846"/>
      <c r="P6" s="3468">
        <v>1</v>
      </c>
      <c r="Q6" s="3165"/>
      <c r="R6" s="1567"/>
      <c r="S6" s="3169">
        <f>$I6</f>
      </c>
      <c r="T6" s="1496" t="s">
        <v>422</v>
      </c>
      <c r="U6" s="1511"/>
      <c r="V6" s="3456"/>
      <c r="W6" s="3457"/>
      <c r="X6" s="3457"/>
      <c r="Y6" s="3457"/>
      <c r="Z6" s="3457"/>
      <c r="AA6" s="3457"/>
      <c r="AB6" s="3457"/>
      <c r="AC6" s="3458"/>
      <c r="AD6" s="3456"/>
      <c r="AE6" s="3457"/>
      <c r="AF6" s="3457"/>
      <c r="AG6" s="3457"/>
      <c r="AH6" s="3457"/>
      <c r="AI6" s="3457"/>
      <c r="AJ6" s="3457"/>
      <c r="AK6" s="3457"/>
      <c r="AL6" s="3458"/>
      <c r="AM6" s="2469" t="s">
        <v>423</v>
      </c>
      <c r="AO6" s="2835"/>
      <c r="AP6" s="2835" t="str">
        <f>IF(T6="","",T6)</f>
        <v>Схема подключения теплопотребляющей установки к коллектору источника тепловой энергии</v>
      </c>
      <c r="AQ6" s="2835"/>
      <c r="AR6" s="2835"/>
      <c r="AS6" s="2842">
        <v>0</v>
      </c>
    </row>
    <row customHeight="1" ht="21" hidden="1">
      <c r="A7" s="2478"/>
      <c r="B7" s="2478"/>
      <c r="C7" s="2478"/>
      <c r="D7" s="2478"/>
      <c r="E7" s="3501"/>
      <c r="F7" s="3501"/>
      <c r="G7" s="3501"/>
      <c r="H7" s="3501"/>
      <c r="I7" s="3312"/>
      <c r="J7" s="3338">
        <f>I6&amp;".1"</f>
      </c>
      <c r="K7" s="2478"/>
      <c r="L7" s="2521" t="s">
        <v>424</v>
      </c>
      <c r="M7" s="2846"/>
      <c r="N7" s="2842"/>
      <c r="P7" s="3468"/>
      <c r="Q7" s="3468">
        <v>1</v>
      </c>
      <c r="R7" s="1568"/>
      <c r="S7" s="3169">
        <f>$J7</f>
      </c>
      <c r="T7" s="1497" t="s">
        <v>425</v>
      </c>
      <c r="U7" s="1511"/>
      <c r="V7" s="3456"/>
      <c r="W7" s="3457"/>
      <c r="X7" s="3457"/>
      <c r="Y7" s="3457"/>
      <c r="Z7" s="3457"/>
      <c r="AA7" s="3457"/>
      <c r="AB7" s="3457"/>
      <c r="AC7" s="3458"/>
      <c r="AD7" s="3456"/>
      <c r="AE7" s="3457"/>
      <c r="AF7" s="3457"/>
      <c r="AG7" s="3457"/>
      <c r="AH7" s="3457"/>
      <c r="AI7" s="3457"/>
      <c r="AJ7" s="3457"/>
      <c r="AK7" s="3457"/>
      <c r="AL7" s="3458"/>
      <c r="AM7" s="2469" t="s">
        <v>426</v>
      </c>
      <c r="AO7" s="2835"/>
      <c r="AP7" s="2835" t="str">
        <f>IF(T7="","",T7)</f>
        <v>Группа потребителей</v>
      </c>
      <c r="AQ7" s="2835"/>
      <c r="AR7" s="2835"/>
      <c r="AS7" s="2842">
        <v>0</v>
      </c>
    </row>
    <row customHeight="1" ht="21" hidden="1">
      <c r="A8" s="2478"/>
      <c r="B8" s="2478"/>
      <c r="C8" s="2478"/>
      <c r="D8" s="2478"/>
      <c r="E8" s="3501"/>
      <c r="F8" s="3501"/>
      <c r="G8" s="3501"/>
      <c r="H8" s="3501"/>
      <c r="I8" s="3312"/>
      <c r="J8" s="3312"/>
      <c r="K8" s="3338">
        <f>J7&amp;".1"</f>
      </c>
      <c r="L8" s="2521" t="s">
        <v>427</v>
      </c>
      <c r="M8" s="2846"/>
      <c r="N8" s="2842"/>
      <c r="O8" s="2842"/>
      <c r="P8" s="3468"/>
      <c r="Q8" s="3468"/>
      <c r="R8" s="1568">
        <v>1</v>
      </c>
      <c r="S8" s="3169">
        <f>$K8</f>
      </c>
      <c r="T8" s="2558"/>
      <c r="U8" s="1511"/>
      <c r="V8" s="1962"/>
      <c r="W8" s="1536"/>
      <c r="X8" s="1962"/>
      <c r="Y8" s="2468"/>
      <c r="Z8" s="3476"/>
      <c r="AA8" s="3318" t="s">
        <v>62</v>
      </c>
      <c r="AB8" s="3476"/>
      <c r="AC8" s="3318" t="s">
        <v>62</v>
      </c>
      <c r="AD8" s="1962"/>
      <c r="AE8" s="1536"/>
      <c r="AF8" s="1962"/>
      <c r="AG8" s="2468"/>
      <c r="AH8" s="3476"/>
      <c r="AI8" s="3318" t="s">
        <v>62</v>
      </c>
      <c r="AJ8" s="3476"/>
      <c r="AK8" s="3318" t="s">
        <v>62</v>
      </c>
      <c r="AL8" s="1536"/>
      <c r="AM8" s="3464" t="s">
        <v>428</v>
      </c>
      <c r="AN8" s="2847">
        <f>STRCHECKDATE(V9:AL9)</f>
      </c>
      <c r="AO8" s="2835"/>
      <c r="AP8" s="2835" t="str">
        <f>IF(T8="","",T8)</f>
        <v/>
      </c>
      <c r="AQ8" s="2835"/>
      <c r="AR8" s="2835"/>
      <c r="AS8" s="2842">
        <v>0</v>
      </c>
    </row>
    <row customHeight="1" ht="0.75" hidden="1">
      <c r="A9" s="2478"/>
      <c r="B9" s="2478"/>
      <c r="C9" s="2478"/>
      <c r="D9" s="2478"/>
      <c r="E9" s="3501"/>
      <c r="F9" s="3501"/>
      <c r="G9" s="3501"/>
      <c r="H9" s="3501"/>
      <c r="I9" s="3312"/>
      <c r="J9" s="3312"/>
      <c r="K9" s="3338"/>
      <c r="L9" s="2521"/>
      <c r="M9" s="2846"/>
      <c r="N9" s="2842"/>
      <c r="O9" s="2842"/>
      <c r="P9" s="3468"/>
      <c r="Q9" s="3468"/>
      <c r="R9" s="1568"/>
      <c r="S9" s="3178"/>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2835"/>
      <c r="AP9" s="2835" t="str">
        <f>IF(T9="","",T9)</f>
        <v/>
      </c>
      <c r="AQ9" s="2835"/>
      <c r="AR9" s="2835"/>
      <c r="AS9" s="2842">
        <v>0</v>
      </c>
    </row>
    <row customHeight="1" ht="15" hidden="1">
      <c r="A10" s="2478"/>
      <c r="B10" s="2478"/>
      <c r="C10" s="2478"/>
      <c r="D10" s="2478"/>
      <c r="E10" s="3501"/>
      <c r="F10" s="3501"/>
      <c r="G10" s="3501"/>
      <c r="H10" s="3501"/>
      <c r="I10" s="3312"/>
      <c r="J10" s="3338"/>
      <c r="K10" s="2478"/>
      <c r="L10" s="2521"/>
      <c r="M10" s="2846"/>
      <c r="N10" s="2842"/>
      <c r="P10" s="3468"/>
      <c r="Q10" s="3468"/>
      <c r="R10" s="1567"/>
      <c r="S10" s="2489"/>
      <c r="T10" s="1499" t="s">
        <v>429</v>
      </c>
      <c r="U10" s="1811"/>
      <c r="V10" s="1811"/>
      <c r="W10" s="1811"/>
      <c r="X10" s="1811"/>
      <c r="Y10" s="1811"/>
      <c r="Z10" s="1811"/>
      <c r="AA10" s="1811"/>
      <c r="AB10" s="1811"/>
      <c r="AC10" s="1811"/>
      <c r="AD10" s="1811"/>
      <c r="AE10" s="1811"/>
      <c r="AF10" s="1811"/>
      <c r="AG10" s="1811"/>
      <c r="AH10" s="1811"/>
      <c r="AI10" s="1811"/>
      <c r="AJ10" s="1811"/>
      <c r="AK10" s="1811"/>
      <c r="AL10" s="1535"/>
      <c r="AM10" s="3466"/>
      <c r="AO10" s="2835"/>
      <c r="AP10" s="2835" t="str">
        <f>IF(T10="","",T10)</f>
        <v>Добавить вид теплоносителя (параметры теплоносителя)</v>
      </c>
      <c r="AQ10" s="2835"/>
      <c r="AR10" s="2835"/>
      <c r="AS10" s="2842">
        <v>0</v>
      </c>
    </row>
    <row customHeight="1" ht="15" hidden="1">
      <c r="A11" s="2478"/>
      <c r="B11" s="2478"/>
      <c r="C11" s="2478"/>
      <c r="D11" s="2478"/>
      <c r="E11" s="3501"/>
      <c r="F11" s="3501"/>
      <c r="G11" s="3501"/>
      <c r="H11" s="3501"/>
      <c r="I11" s="3338"/>
      <c r="J11" s="2478"/>
      <c r="K11" s="2478"/>
      <c r="L11" s="2521"/>
      <c r="M11" s="2846"/>
      <c r="P11" s="3468"/>
      <c r="Q11" s="3165"/>
      <c r="R11" s="1567"/>
      <c r="S11" s="2489"/>
      <c r="T11" s="1498" t="s">
        <v>430</v>
      </c>
      <c r="U11" s="1811"/>
      <c r="V11" s="1811"/>
      <c r="W11" s="1811"/>
      <c r="X11" s="1811"/>
      <c r="Y11" s="1811"/>
      <c r="Z11" s="1811"/>
      <c r="AA11" s="1811"/>
      <c r="AB11" s="1811"/>
      <c r="AC11" s="1577"/>
      <c r="AD11" s="1811"/>
      <c r="AE11" s="1811"/>
      <c r="AF11" s="1811"/>
      <c r="AG11" s="1811"/>
      <c r="AH11" s="1811"/>
      <c r="AI11" s="1811"/>
      <c r="AJ11" s="1811"/>
      <c r="AK11" s="1577"/>
      <c r="AL11" s="1811"/>
      <c r="AM11" s="1514"/>
      <c r="AO11" s="2835"/>
      <c r="AP11" s="2835" t="str">
        <f>IF(T11="","",T11)</f>
        <v>Добавить группу потребителей</v>
      </c>
      <c r="AQ11" s="2835"/>
      <c r="AR11" s="2835"/>
      <c r="AS11" s="2842">
        <v>0</v>
      </c>
    </row>
    <row customHeight="1" ht="14.25" hidden="1">
      <c r="A12" s="2478"/>
      <c r="B12" s="2478"/>
      <c r="C12" s="2478"/>
      <c r="D12" s="2478"/>
      <c r="E12" s="3501"/>
      <c r="F12" s="3501"/>
      <c r="G12" s="3501"/>
      <c r="H12" s="3500"/>
      <c r="I12" s="2478"/>
      <c r="J12" s="2478"/>
      <c r="K12" s="2478"/>
      <c r="L12" s="2521"/>
      <c r="M12" s="2821"/>
      <c r="N12" s="2821"/>
      <c r="O12" s="2846"/>
      <c r="P12" s="1571"/>
      <c r="Q12" s="1586"/>
      <c r="R12" s="1566"/>
      <c r="S12" s="2489"/>
      <c r="T12" s="1576" t="s">
        <v>431</v>
      </c>
      <c r="U12" s="1811"/>
      <c r="V12" s="1811"/>
      <c r="W12" s="1811"/>
      <c r="X12" s="1811"/>
      <c r="Y12" s="1811"/>
      <c r="Z12" s="1811"/>
      <c r="AA12" s="1811"/>
      <c r="AB12" s="1811"/>
      <c r="AC12" s="1577"/>
      <c r="AD12" s="1811"/>
      <c r="AE12" s="1811"/>
      <c r="AF12" s="1811"/>
      <c r="AG12" s="1811"/>
      <c r="AH12" s="1811"/>
      <c r="AI12" s="1811"/>
      <c r="AJ12" s="1811"/>
      <c r="AK12" s="1577"/>
      <c r="AL12" s="1811"/>
      <c r="AM12" s="1514"/>
      <c r="AO12" s="2835"/>
      <c r="AP12" s="2835" t="str">
        <f>IF(T12="","",T12)</f>
        <v>Добавить схему подключения</v>
      </c>
      <c r="AQ12" s="2835"/>
      <c r="AR12" s="2835"/>
      <c r="AS12" s="2842">
        <v>0</v>
      </c>
    </row>
    <row s="65923" customFormat="1" customHeight="1" ht="0.75" hidden="1">
      <c r="A13" s="3185"/>
      <c r="B13" s="3185"/>
      <c r="C13" s="3185"/>
      <c r="D13" s="3185"/>
      <c r="E13" s="3501"/>
      <c r="F13" s="3501"/>
      <c r="G13" s="3500"/>
      <c r="H13" s="3185"/>
      <c r="I13" s="3185"/>
      <c r="J13" s="3185"/>
      <c r="K13" s="3185"/>
      <c r="L13" s="2591"/>
      <c r="M13" s="2821"/>
      <c r="N13" s="2821"/>
      <c r="O13" s="2846"/>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462"/>
      <c r="AP13" s="2462" t="str">
        <f>IF(T13="","",T13)</f>
        <v>Добавить источник для дифференциации</v>
      </c>
      <c r="AQ13" s="2462"/>
      <c r="AR13" s="2462"/>
      <c r="AS13" s="2853">
        <v>0</v>
      </c>
    </row>
    <row s="65923" customFormat="1" customHeight="1" ht="0.75" hidden="1">
      <c r="A14" s="3185"/>
      <c r="B14" s="3185"/>
      <c r="C14" s="3185"/>
      <c r="D14" s="3185"/>
      <c r="E14" s="3501"/>
      <c r="F14" s="3500"/>
      <c r="G14" s="3185"/>
      <c r="H14" s="3185"/>
      <c r="I14" s="3185"/>
      <c r="J14" s="3185"/>
      <c r="K14" s="3185"/>
      <c r="L14" s="2591"/>
      <c r="M14" s="3186"/>
      <c r="N14" s="3186"/>
      <c r="O14" s="2846"/>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462"/>
      <c r="AP14" s="2462" t="str">
        <f>IF(T14="","",T14)</f>
        <v>Добавить централизованную систему для дифференциации</v>
      </c>
      <c r="AQ14" s="2462"/>
      <c r="AR14" s="2462"/>
      <c r="AS14" s="2853">
        <v>0</v>
      </c>
    </row>
    <row s="65923" customFormat="1" customHeight="1" ht="0.75" hidden="1">
      <c r="A15" s="3185"/>
      <c r="B15" s="3185"/>
      <c r="C15" s="3185"/>
      <c r="D15" s="3185"/>
      <c r="E15" s="3500"/>
      <c r="F15" s="3185"/>
      <c r="G15" s="3185"/>
      <c r="H15" s="3185"/>
      <c r="I15" s="3185"/>
      <c r="J15" s="3185"/>
      <c r="K15" s="3185"/>
      <c r="L15" s="2591"/>
      <c r="M15" s="3186"/>
      <c r="N15" s="3186"/>
      <c r="O15" s="2846"/>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462"/>
      <c r="AP15" s="2462" t="str">
        <f>IF(T15="","",T15)</f>
        <v>Добавить территорию для дифференциации</v>
      </c>
      <c r="AQ15" s="2462"/>
      <c r="AR15" s="2462"/>
      <c r="AS15" s="2853">
        <v>0</v>
      </c>
    </row>
    <row customHeight="1" ht="14.25" hidden="1">
      <c r="AS16" s="2842">
        <v>0</v>
      </c>
    </row>
    <row customHeight="1" ht="14.25" hidden="1">
      <c r="AD17" s="2571"/>
      <c r="AE17" s="2571"/>
      <c r="AF17" s="2571"/>
      <c r="AG17" s="2572"/>
      <c r="AH17" s="3478"/>
      <c r="AI17" s="3479" t="s">
        <v>62</v>
      </c>
      <c r="AJ17" s="3478"/>
      <c r="AK17" s="3479" t="s">
        <v>62</v>
      </c>
      <c r="AS17" s="2842">
        <v>0</v>
      </c>
    </row>
    <row customHeight="1" ht="14.25" hidden="1">
      <c r="AD18" s="2571"/>
      <c r="AE18" s="2571"/>
      <c r="AF18" s="2571"/>
      <c r="AG18" s="1539" t="str">
        <f>AH17&amp;"-"&amp;AJ17</f>
        <v>-</v>
      </c>
      <c r="AH18" s="3479"/>
      <c r="AI18" s="3479"/>
      <c r="AJ18" s="3479"/>
      <c r="AK18" s="3479"/>
      <c r="AS18" s="2842">
        <v>0</v>
      </c>
    </row>
    <row customHeight="1" ht="14.25" hidden="1">
      <c r="AS19" s="2842">
        <v>0</v>
      </c>
    </row>
    <row s="66852" customFormat="1" customHeight="1" ht="22.5" hidden="1">
      <c r="A20" s="2842"/>
      <c r="B20" s="2842"/>
      <c r="C20" s="2842"/>
      <c r="D20" s="2842"/>
      <c r="E20" s="2842"/>
      <c r="F20" s="2842"/>
      <c r="G20" s="2842"/>
      <c r="H20" s="2842"/>
      <c r="I20" s="2842"/>
      <c r="J20" s="2842"/>
      <c r="K20" s="2842"/>
      <c r="L20" s="3150"/>
      <c r="M20" s="3176"/>
      <c r="N20" s="3176"/>
      <c r="O20" s="2556" t="s">
        <v>435</v>
      </c>
      <c r="P20" s="2573"/>
      <c r="Q20" s="2582"/>
      <c r="R20" s="2582"/>
      <c r="S20" s="1940"/>
      <c r="Z20" s="2578"/>
      <c r="AB20" s="2578"/>
      <c r="AH20" s="2578"/>
      <c r="AJ20" s="2578"/>
      <c r="AN20" s="2847"/>
      <c r="AO20" s="2847"/>
      <c r="AP20" s="2847"/>
      <c r="AQ20" s="2847"/>
      <c r="AR20" s="2847"/>
      <c r="AS20" s="2577">
        <v>0</v>
      </c>
    </row>
    <row s="66852" customFormat="1" customHeight="1" ht="14.25" hidden="1">
      <c r="A21" s="2842"/>
      <c r="B21" s="2842"/>
      <c r="C21" s="2842"/>
      <c r="D21" s="2842"/>
      <c r="E21" s="2842"/>
      <c r="F21" s="2842"/>
      <c r="G21" s="2842"/>
      <c r="H21" s="2842"/>
      <c r="I21" s="2842"/>
      <c r="J21" s="2842"/>
      <c r="K21" s="2842"/>
      <c r="L21" s="3150"/>
      <c r="M21" s="3176"/>
      <c r="N21" s="3176"/>
      <c r="O21" s="3176"/>
      <c r="P21" s="2573"/>
      <c r="Q21" s="2582"/>
      <c r="R21" s="2582"/>
      <c r="S21" s="1940"/>
      <c r="AN21" s="2847"/>
      <c r="AO21" s="2847"/>
      <c r="AP21" s="2847"/>
      <c r="AQ21" s="2847"/>
      <c r="AR21" s="2847"/>
      <c r="AS21" s="2577">
        <v>0</v>
      </c>
    </row>
    <row s="66852" customFormat="1" customHeight="1" ht="14.25" hidden="1">
      <c r="A22" s="2842"/>
      <c r="B22" s="2842"/>
      <c r="C22" s="2842"/>
      <c r="D22" s="2842"/>
      <c r="E22" s="2842"/>
      <c r="F22" s="2842"/>
      <c r="G22" s="2842"/>
      <c r="H22" s="2842"/>
      <c r="I22" s="2842"/>
      <c r="J22" s="2842"/>
      <c r="K22" s="2842"/>
      <c r="L22" s="3150"/>
      <c r="M22" s="3176"/>
      <c r="N22" s="3176"/>
      <c r="O22" s="2521" t="s">
        <v>436</v>
      </c>
      <c r="P22" s="2573"/>
      <c r="Q22" s="2582"/>
      <c r="R22" s="2582"/>
      <c r="S22" s="1940"/>
      <c r="T22" s="2577" t="s">
        <v>437</v>
      </c>
      <c r="AA22" s="1806" t="s">
        <v>438</v>
      </c>
      <c r="AC22" s="1806" t="s">
        <v>439</v>
      </c>
      <c r="AD22" s="2577" t="s">
        <v>437</v>
      </c>
      <c r="AI22" s="1806" t="s">
        <v>440</v>
      </c>
      <c r="AK22" s="1806" t="s">
        <v>439</v>
      </c>
      <c r="AN22" s="2847"/>
      <c r="AO22" s="2847"/>
      <c r="AP22" s="2847"/>
      <c r="AQ22" s="2847"/>
      <c r="AR22" s="2847"/>
      <c r="AS22" s="2577">
        <v>0</v>
      </c>
    </row>
    <row customHeight="1" ht="14.25" hidden="1">
      <c r="O23" s="2521"/>
      <c r="AS23" s="2842">
        <v>0</v>
      </c>
    </row>
    <row customHeight="1" ht="14.25" hidden="1">
      <c r="O24" s="2521"/>
      <c r="AS24" s="2842">
        <v>0</v>
      </c>
    </row>
    <row customHeight="1" ht="14.699999999999998">
      <c r="Q25" s="1587"/>
      <c r="R25" s="1587"/>
      <c r="S25" s="2486"/>
      <c r="T25" s="1668"/>
      <c r="U25" s="1668"/>
      <c r="V25" s="2846"/>
      <c r="W25" s="2846"/>
      <c r="X25" s="2846"/>
      <c r="Y25" s="2846"/>
      <c r="Z25" s="2846"/>
      <c r="AA25" s="2846"/>
      <c r="AB25" s="2846"/>
      <c r="AC25" s="2846"/>
      <c r="AD25" s="2846"/>
      <c r="AE25" s="2846"/>
      <c r="AF25" s="2846"/>
      <c r="AG25" s="2846"/>
      <c r="AH25" s="2846"/>
      <c r="AI25" s="2846"/>
      <c r="AJ25" s="2846"/>
      <c r="AK25" s="2846"/>
      <c r="AS25" s="2842">
        <v>14</v>
      </c>
    </row>
    <row customHeight="1" ht="14.699999999999998">
      <c r="Q26" s="1587"/>
      <c r="R26" s="1587"/>
      <c r="S26" s="34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3459"/>
      <c r="U26" s="3459"/>
      <c r="V26" s="3459"/>
      <c r="W26" s="3459"/>
      <c r="X26" s="3459"/>
      <c r="Y26" s="3459"/>
      <c r="Z26" s="3459"/>
      <c r="AA26" s="3459"/>
      <c r="AB26" s="3459"/>
      <c r="AC26" s="3459"/>
      <c r="AD26" s="3459"/>
      <c r="AE26" s="3459"/>
      <c r="AF26" s="3459"/>
      <c r="AG26" s="3459"/>
      <c r="AH26" s="3459"/>
      <c r="AI26" s="3459"/>
      <c r="AJ26" s="3459"/>
      <c r="AK26" s="2454"/>
      <c r="AS26" s="2842">
        <v>14</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842">
        <v>14</v>
      </c>
    </row>
    <row customHeight="1" ht="14.25" hidden="1">
      <c r="Q28" s="1587"/>
      <c r="R28" s="1587"/>
      <c r="S28" s="2486"/>
      <c r="T28" s="1668"/>
      <c r="U28" s="1668"/>
      <c r="V28" s="1533"/>
      <c r="W28" s="1533"/>
      <c r="X28" s="1533"/>
      <c r="Y28" s="1533"/>
      <c r="Z28" s="1533"/>
      <c r="AA28" s="1533"/>
      <c r="AB28" s="1533"/>
      <c r="AC28" s="1533"/>
      <c r="AD28" s="1533"/>
      <c r="AE28" s="1533"/>
      <c r="AF28" s="1533"/>
      <c r="AG28" s="1533"/>
      <c r="AH28" s="1533"/>
      <c r="AI28" s="1533"/>
      <c r="AJ28" s="1533"/>
      <c r="AK28" s="1533"/>
      <c r="AL28" s="2846"/>
      <c r="AS28" s="2842">
        <v>0</v>
      </c>
    </row>
    <row s="67333" customFormat="1" customHeight="1" ht="25.5" hidden="1">
      <c r="A29" s="2459"/>
      <c r="B29" s="2459"/>
      <c r="C29" s="2459"/>
      <c r="D29" s="2459"/>
      <c r="E29" s="2459"/>
      <c r="F29" s="2459"/>
      <c r="G29" s="2459"/>
      <c r="H29" s="2459"/>
      <c r="I29" s="2459"/>
      <c r="J29" s="2459"/>
      <c r="K29" s="2459"/>
      <c r="L29" s="2591"/>
      <c r="M29" s="2459"/>
      <c r="N29" s="2459"/>
      <c r="O29" s="2459"/>
      <c r="S29" s="3461" t="s">
        <v>41</v>
      </c>
      <c r="T29" s="3461"/>
      <c r="U29" s="2583"/>
      <c r="V29" s="3462" t="str">
        <f>IF(TITLE_NAME_OR_PR_CHANGE="",IF(TITLE_NAME_OR_PR="","",TITLE_NAME_OR_PR),TITLE_NAME_OR_PR_CHANGE)</f>
        <v/>
      </c>
      <c r="W29" s="3462"/>
      <c r="X29" s="3462"/>
      <c r="Y29" s="3462"/>
      <c r="Z29" s="3462"/>
      <c r="AA29" s="3462"/>
      <c r="AB29" s="3462"/>
      <c r="AC29" s="2846"/>
      <c r="AD29" s="3462" t="str">
        <f>IF(TITLE_NAME_OR_PR_CHANGE="",IF(TITLE_NAME_OR_PR="","",TITLE_NAME_OR_PR),TITLE_NAME_OR_PR_CHANGE)</f>
        <v/>
      </c>
      <c r="AE29" s="3462"/>
      <c r="AF29" s="3462"/>
      <c r="AG29" s="3462"/>
      <c r="AH29" s="3462"/>
      <c r="AI29" s="3462"/>
      <c r="AJ29" s="3462"/>
      <c r="AK29" s="2846"/>
      <c r="AL29" s="2846"/>
      <c r="AM29" s="1491"/>
      <c r="AN29" s="1579"/>
      <c r="AO29" s="1579"/>
      <c r="AP29" s="1579"/>
      <c r="AQ29" s="1579"/>
      <c r="AR29" s="1579"/>
      <c r="AS29" s="1629">
        <v>0</v>
      </c>
    </row>
    <row s="67333" customFormat="1" customHeight="1" ht="18.75" hidden="1">
      <c r="A30" s="2459"/>
      <c r="B30" s="2459"/>
      <c r="C30" s="2459"/>
      <c r="D30" s="2459"/>
      <c r="E30" s="2459"/>
      <c r="F30" s="2459"/>
      <c r="G30" s="2459"/>
      <c r="H30" s="2459"/>
      <c r="I30" s="2459"/>
      <c r="J30" s="2459"/>
      <c r="K30" s="2459"/>
      <c r="L30" s="2591"/>
      <c r="M30" s="2459"/>
      <c r="N30" s="2459"/>
      <c r="O30" s="2459"/>
      <c r="S30" s="3461" t="s">
        <v>441</v>
      </c>
      <c r="T30" s="3461"/>
      <c r="U30" s="2583"/>
      <c r="V30" s="3475" t="str">
        <f>IF(TITLE_DATE_PR_CHANGE="",IF(TITLE_DATE_PR="","",TITLE_DATE_PR),TITLE_DATE_PR_CHANGE)</f>
        <v/>
      </c>
      <c r="W30" s="3475"/>
      <c r="X30" s="3475"/>
      <c r="Y30" s="3475"/>
      <c r="Z30" s="3475"/>
      <c r="AA30" s="3475"/>
      <c r="AB30" s="3475"/>
      <c r="AC30" s="2846"/>
      <c r="AD30" s="3475" t="str">
        <f>IF(TITLE_DATE_PR_CHANGE="",IF(TITLE_DATE_PR="","",TITLE_DATE_PR),TITLE_DATE_PR_CHANGE)</f>
        <v/>
      </c>
      <c r="AE30" s="3475"/>
      <c r="AF30" s="3475"/>
      <c r="AG30" s="3475"/>
      <c r="AH30" s="3475"/>
      <c r="AI30" s="3475"/>
      <c r="AJ30" s="3475"/>
      <c r="AK30" s="2846"/>
      <c r="AL30" s="2846"/>
      <c r="AM30" s="1491"/>
      <c r="AN30" s="1579"/>
      <c r="AO30" s="1579"/>
      <c r="AP30" s="1579"/>
      <c r="AQ30" s="1579"/>
      <c r="AR30" s="1579"/>
      <c r="AS30" s="1629">
        <v>0</v>
      </c>
    </row>
    <row s="67333" customFormat="1" customHeight="1" ht="18.75" hidden="1">
      <c r="A31" s="2459"/>
      <c r="B31" s="2459"/>
      <c r="C31" s="2459"/>
      <c r="D31" s="2459"/>
      <c r="E31" s="2459"/>
      <c r="F31" s="2459"/>
      <c r="G31" s="2459"/>
      <c r="H31" s="2459"/>
      <c r="I31" s="2459"/>
      <c r="J31" s="2459"/>
      <c r="K31" s="2459"/>
      <c r="L31" s="2591"/>
      <c r="M31" s="2459"/>
      <c r="N31" s="2459"/>
      <c r="O31" s="2459"/>
      <c r="S31" s="3461" t="s">
        <v>442</v>
      </c>
      <c r="T31" s="3461"/>
      <c r="U31" s="2583"/>
      <c r="V31" s="3462" t="str">
        <f>IF(TITLE_NUMBER_PR_CHANGE="",IF(TITLE_NUMBER_PR="","",TITLE_NUMBER_PR),TITLE_NUMBER_PR_CHANGE)</f>
        <v/>
      </c>
      <c r="W31" s="3462"/>
      <c r="X31" s="3462"/>
      <c r="Y31" s="3462"/>
      <c r="Z31" s="3462"/>
      <c r="AA31" s="3462"/>
      <c r="AB31" s="3462"/>
      <c r="AC31" s="2846"/>
      <c r="AD31" s="3462" t="str">
        <f>IF(TITLE_NUMBER_PR_CHANGE="",IF(TITLE_NUMBER_PR="","",TITLE_NUMBER_PR),TITLE_NUMBER_PR_CHANGE)</f>
        <v/>
      </c>
      <c r="AE31" s="3462"/>
      <c r="AF31" s="3462"/>
      <c r="AG31" s="3462"/>
      <c r="AH31" s="3462"/>
      <c r="AI31" s="3462"/>
      <c r="AJ31" s="3462"/>
      <c r="AK31" s="2846"/>
      <c r="AL31" s="2846"/>
      <c r="AM31" s="1491"/>
      <c r="AN31" s="1579"/>
      <c r="AO31" s="1579"/>
      <c r="AP31" s="1579"/>
      <c r="AQ31" s="1579"/>
      <c r="AR31" s="1579"/>
      <c r="AS31" s="1629">
        <v>0</v>
      </c>
    </row>
    <row s="67333" customFormat="1" customHeight="1" ht="18.75" hidden="1">
      <c r="A32" s="2459"/>
      <c r="B32" s="2459"/>
      <c r="C32" s="2459"/>
      <c r="D32" s="2459"/>
      <c r="E32" s="2459"/>
      <c r="F32" s="2459"/>
      <c r="G32" s="2459"/>
      <c r="H32" s="2459"/>
      <c r="I32" s="2459"/>
      <c r="J32" s="2459"/>
      <c r="K32" s="2459"/>
      <c r="L32" s="2591"/>
      <c r="M32" s="2459"/>
      <c r="N32" s="2459"/>
      <c r="O32" s="2459"/>
      <c r="S32" s="3461" t="s">
        <v>42</v>
      </c>
      <c r="T32" s="3461"/>
      <c r="U32" s="2583"/>
      <c r="V32" s="3462" t="str">
        <f>IF(TITLE_IST_PUB_CHANGE="",IF(TITLE_IST_PUB="","",TITLE_IST_PUB),TITLE_IST_PUB_CHANGE)</f>
        <v/>
      </c>
      <c r="W32" s="3462"/>
      <c r="X32" s="3462"/>
      <c r="Y32" s="3462"/>
      <c r="Z32" s="3462"/>
      <c r="AA32" s="3462"/>
      <c r="AB32" s="3462"/>
      <c r="AC32" s="2846"/>
      <c r="AD32" s="3462" t="str">
        <f>IF(TITLE_IST_PUB_CHANGE="",IF(TITLE_IST_PUB="","",TITLE_IST_PUB),TITLE_IST_PUB_CHANGE)</f>
        <v/>
      </c>
      <c r="AE32" s="3462"/>
      <c r="AF32" s="3462"/>
      <c r="AG32" s="3462"/>
      <c r="AH32" s="3462"/>
      <c r="AI32" s="3462"/>
      <c r="AJ32" s="3462"/>
      <c r="AK32" s="2846"/>
      <c r="AL32" s="2846"/>
      <c r="AM32" s="1491"/>
      <c r="AN32" s="1579"/>
      <c r="AO32" s="1579"/>
      <c r="AP32" s="1579"/>
      <c r="AQ32" s="1579"/>
      <c r="AR32" s="1579"/>
      <c r="AS32" s="1629">
        <v>0</v>
      </c>
    </row>
    <row customHeight="1" ht="14.25" hidden="1">
      <c r="Q33" s="1587"/>
      <c r="R33" s="1587"/>
      <c r="S33" s="2486"/>
      <c r="T33" s="1668"/>
      <c r="U33" s="1668"/>
      <c r="V33" s="1533"/>
      <c r="W33" s="1533"/>
      <c r="X33" s="1533"/>
      <c r="Y33" s="1533"/>
      <c r="Z33" s="1533"/>
      <c r="AA33" s="1533"/>
      <c r="AB33" s="1533"/>
      <c r="AC33" s="1533"/>
      <c r="AD33" s="1533"/>
      <c r="AE33" s="1533"/>
      <c r="AF33" s="1533"/>
      <c r="AG33" s="1533"/>
      <c r="AH33" s="1533"/>
      <c r="AI33" s="1533"/>
      <c r="AJ33" s="1533"/>
      <c r="AK33" s="1533"/>
      <c r="AL33" s="2846"/>
      <c r="AS33" s="2842">
        <v>0</v>
      </c>
    </row>
    <row s="67333" customFormat="1" customHeight="1" ht="18.75" hidden="1">
      <c r="A34" s="2459"/>
      <c r="B34" s="2459"/>
      <c r="C34" s="2459"/>
      <c r="D34" s="2459"/>
      <c r="E34" s="2459"/>
      <c r="F34" s="2459"/>
      <c r="G34" s="2459"/>
      <c r="H34" s="2459"/>
      <c r="I34" s="2459"/>
      <c r="J34" s="2459"/>
      <c r="K34" s="2459"/>
      <c r="L34" s="2591"/>
      <c r="M34" s="2459"/>
      <c r="N34" s="2459"/>
      <c r="O34" s="2459"/>
      <c r="S34" s="3461" t="s">
        <v>443</v>
      </c>
      <c r="T34" s="3461"/>
      <c r="U34" s="2583"/>
      <c r="V34" s="3475" t="str">
        <f>IF(TITLE_DATE_PR_CHANGE="",IF(TITLE_DATE_PR="","",TITLE_DATE_PR),TITLE_DATE_PR_CHANGE)</f>
        <v/>
      </c>
      <c r="W34" s="3475"/>
      <c r="X34" s="3475"/>
      <c r="Y34" s="3475"/>
      <c r="Z34" s="3475"/>
      <c r="AA34" s="3475"/>
      <c r="AB34" s="3475"/>
      <c r="AC34" s="2846"/>
      <c r="AD34" s="3475" t="str">
        <f>IF(TITLE_DATE_PR_CHANGE="",IF(TITLE_DATE_PR="","",TITLE_DATE_PR),TITLE_DATE_PR_CHANGE)</f>
        <v/>
      </c>
      <c r="AE34" s="3475"/>
      <c r="AF34" s="3475"/>
      <c r="AG34" s="3475"/>
      <c r="AH34" s="3475"/>
      <c r="AI34" s="3475"/>
      <c r="AJ34" s="3475"/>
      <c r="AK34" s="2846"/>
      <c r="AL34" s="2846"/>
      <c r="AM34" s="1491"/>
      <c r="AN34" s="1579"/>
      <c r="AO34" s="1579"/>
      <c r="AP34" s="1579"/>
      <c r="AQ34" s="1579"/>
      <c r="AR34" s="1579"/>
      <c r="AS34" s="1629">
        <v>0</v>
      </c>
    </row>
    <row s="67333" customFormat="1" customHeight="1" ht="18.75" hidden="1">
      <c r="A35" s="2459"/>
      <c r="B35" s="2459"/>
      <c r="C35" s="2459"/>
      <c r="D35" s="2459"/>
      <c r="E35" s="2459"/>
      <c r="F35" s="2459"/>
      <c r="G35" s="2459"/>
      <c r="H35" s="2459"/>
      <c r="I35" s="2459"/>
      <c r="J35" s="2459"/>
      <c r="K35" s="2459"/>
      <c r="L35" s="2591"/>
      <c r="M35" s="2459"/>
      <c r="N35" s="2459"/>
      <c r="O35" s="2459"/>
      <c r="S35" s="3461" t="s">
        <v>444</v>
      </c>
      <c r="T35" s="3461"/>
      <c r="U35" s="2583"/>
      <c r="V35" s="3462" t="str">
        <f>IF(TITLE_NUMBER_PR_CHANGE="",IF(TITLE_NUMBER_PR="","",TITLE_NUMBER_PR),TITLE_NUMBER_PR_CHANGE)</f>
        <v/>
      </c>
      <c r="W35" s="3462"/>
      <c r="X35" s="3462"/>
      <c r="Y35" s="3462"/>
      <c r="Z35" s="3462"/>
      <c r="AA35" s="3462"/>
      <c r="AB35" s="3462"/>
      <c r="AC35" s="2846"/>
      <c r="AD35" s="3462" t="str">
        <f>IF(TITLE_NUMBER_PR_CHANGE="",IF(TITLE_NUMBER_PR="","",TITLE_NUMBER_PR),TITLE_NUMBER_PR_CHANGE)</f>
        <v/>
      </c>
      <c r="AE35" s="3462"/>
      <c r="AF35" s="3462"/>
      <c r="AG35" s="3462"/>
      <c r="AH35" s="3462"/>
      <c r="AI35" s="3462"/>
      <c r="AJ35" s="3462"/>
      <c r="AK35" s="2846"/>
      <c r="AL35" s="2846"/>
      <c r="AM35" s="1491"/>
      <c r="AN35" s="1579"/>
      <c r="AO35" s="1579"/>
      <c r="AP35" s="1579"/>
      <c r="AQ35" s="1579"/>
      <c r="AR35" s="1579"/>
      <c r="AS35" s="1629">
        <v>0</v>
      </c>
    </row>
    <row s="67333" customFormat="1" customHeight="1" ht="0">
      <c r="A36" s="2459"/>
      <c r="B36" s="2459"/>
      <c r="C36" s="2459"/>
      <c r="D36" s="2459"/>
      <c r="E36" s="2459"/>
      <c r="F36" s="2459"/>
      <c r="G36" s="2459"/>
      <c r="H36" s="2459"/>
      <c r="I36" s="2459"/>
      <c r="J36" s="2459"/>
      <c r="K36" s="2459"/>
      <c r="L36" s="2591"/>
      <c r="M36" s="2459"/>
      <c r="N36" s="2459"/>
      <c r="O36" s="2459"/>
      <c r="S36" s="2846"/>
      <c r="T36" s="2846"/>
      <c r="U36" s="3181"/>
      <c r="V36" s="2846"/>
      <c r="W36" s="2846"/>
      <c r="X36" s="2846"/>
      <c r="Y36" s="2846"/>
      <c r="Z36" s="2846"/>
      <c r="AA36" s="2846"/>
      <c r="AB36" s="2846"/>
      <c r="AC36" s="2853" t="s">
        <v>445</v>
      </c>
      <c r="AD36" s="2846"/>
      <c r="AE36" s="2846"/>
      <c r="AF36" s="2846"/>
      <c r="AG36" s="2846"/>
      <c r="AH36" s="2846"/>
      <c r="AI36" s="2846"/>
      <c r="AJ36" s="2846"/>
      <c r="AK36" s="2853" t="s">
        <v>445</v>
      </c>
      <c r="AN36" s="1579"/>
      <c r="AO36" s="1579"/>
      <c r="AP36" s="1579"/>
      <c r="AQ36" s="1579"/>
      <c r="AR36" s="1579"/>
      <c r="AS36" s="1629">
        <v>0</v>
      </c>
    </row>
    <row customHeight="1" ht="14.699999999999998">
      <c r="Q37" s="1587"/>
      <c r="R37" s="1587"/>
      <c r="S37" s="2486"/>
      <c r="T37" s="1668"/>
      <c r="U37" s="2455"/>
      <c r="V37" s="3463"/>
      <c r="W37" s="3463"/>
      <c r="X37" s="3463"/>
      <c r="Y37" s="3463"/>
      <c r="Z37" s="3463"/>
      <c r="AA37" s="3463"/>
      <c r="AB37" s="3463"/>
      <c r="AC37" s="3463"/>
      <c r="AD37" s="3463"/>
      <c r="AE37" s="3463"/>
      <c r="AF37" s="3463"/>
      <c r="AG37" s="3463"/>
      <c r="AH37" s="3463"/>
      <c r="AI37" s="3463"/>
      <c r="AJ37" s="3463"/>
      <c r="AK37" s="3463"/>
      <c r="AS37" s="2842">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842">
        <v>14</v>
      </c>
    </row>
    <row customHeight="1" ht="14.699999999999998">
      <c r="Q39" s="1587"/>
      <c r="R39" s="1587"/>
      <c r="S39" s="3484" t="s">
        <v>88</v>
      </c>
      <c r="T39" s="3420" t="s">
        <v>446</v>
      </c>
      <c r="U39" s="1548"/>
      <c r="V39" s="3485" t="s">
        <v>447</v>
      </c>
      <c r="W39" s="3486"/>
      <c r="X39" s="3486"/>
      <c r="Y39" s="3486"/>
      <c r="Z39" s="3486"/>
      <c r="AA39" s="3486"/>
      <c r="AB39" s="3487"/>
      <c r="AC39" s="3488" t="s">
        <v>448</v>
      </c>
      <c r="AD39" s="3485" t="s">
        <v>447</v>
      </c>
      <c r="AE39" s="3486"/>
      <c r="AF39" s="3486"/>
      <c r="AG39" s="3486"/>
      <c r="AH39" s="3486"/>
      <c r="AI39" s="3486"/>
      <c r="AJ39" s="3487"/>
      <c r="AK39" s="3488" t="s">
        <v>449</v>
      </c>
      <c r="AL39" s="3491" t="s">
        <v>450</v>
      </c>
      <c r="AM39" s="3338"/>
      <c r="AS39" s="2842">
        <v>14</v>
      </c>
    </row>
    <row customHeight="1" ht="35.699999999999996">
      <c r="Q40" s="1587"/>
      <c r="R40" s="1587"/>
      <c r="S40" s="3484"/>
      <c r="T40" s="3420"/>
      <c r="U40" s="2242"/>
      <c r="V40" s="3471" t="s">
        <v>451</v>
      </c>
      <c r="W40" s="3494" t="s">
        <v>452</v>
      </c>
      <c r="X40" s="3473" t="s">
        <v>453</v>
      </c>
      <c r="Y40" s="3474"/>
      <c r="Z40" s="3473" t="s">
        <v>467</v>
      </c>
      <c r="AA40" s="3480"/>
      <c r="AB40" s="3474"/>
      <c r="AC40" s="3489"/>
      <c r="AD40" s="3471" t="s">
        <v>451</v>
      </c>
      <c r="AE40" s="3494" t="s">
        <v>452</v>
      </c>
      <c r="AF40" s="3473" t="s">
        <v>453</v>
      </c>
      <c r="AG40" s="3474"/>
      <c r="AH40" s="3473" t="s">
        <v>454</v>
      </c>
      <c r="AI40" s="3480"/>
      <c r="AJ40" s="3474"/>
      <c r="AK40" s="3489"/>
      <c r="AL40" s="3492"/>
      <c r="AM40" s="3338"/>
      <c r="AS40" s="2842">
        <v>34</v>
      </c>
    </row>
    <row customHeight="1" ht="35.699999999999996">
      <c r="A41" s="2477"/>
      <c r="B41" s="2477" t="s">
        <v>155</v>
      </c>
      <c r="C41" s="2477" t="s">
        <v>156</v>
      </c>
      <c r="D41" s="2477" t="s">
        <v>157</v>
      </c>
      <c r="E41" s="2521" t="s">
        <v>455</v>
      </c>
      <c r="F41" s="2521" t="s">
        <v>456</v>
      </c>
      <c r="G41" s="2521" t="s">
        <v>457</v>
      </c>
      <c r="H41" s="2521" t="s">
        <v>458</v>
      </c>
      <c r="I41" s="2521" t="s">
        <v>459</v>
      </c>
      <c r="J41" s="2521" t="s">
        <v>460</v>
      </c>
      <c r="K41" s="2521" t="s">
        <v>461</v>
      </c>
      <c r="L41" s="2521" t="s">
        <v>436</v>
      </c>
      <c r="Q41" s="1587"/>
      <c r="R41" s="1587"/>
      <c r="S41" s="3484"/>
      <c r="T41" s="3420"/>
      <c r="U41" s="1513"/>
      <c r="V41" s="3472"/>
      <c r="W41" s="3495"/>
      <c r="X41" s="3149" t="s">
        <v>462</v>
      </c>
      <c r="Y41" s="3149" t="s">
        <v>463</v>
      </c>
      <c r="Z41" s="3149" t="s">
        <v>464</v>
      </c>
      <c r="AA41" s="3481" t="s">
        <v>465</v>
      </c>
      <c r="AB41" s="3482"/>
      <c r="AC41" s="3490"/>
      <c r="AD41" s="3472"/>
      <c r="AE41" s="3495"/>
      <c r="AF41" s="3149" t="s">
        <v>462</v>
      </c>
      <c r="AG41" s="3149" t="s">
        <v>463</v>
      </c>
      <c r="AH41" s="3149" t="s">
        <v>464</v>
      </c>
      <c r="AI41" s="3481" t="s">
        <v>465</v>
      </c>
      <c r="AJ41" s="3482"/>
      <c r="AK41" s="3490"/>
      <c r="AL41" s="3493"/>
      <c r="AM41" s="3338"/>
      <c r="AS41" s="2842">
        <v>34</v>
      </c>
    </row>
    <row s="65897" customFormat="1" customHeight="1" ht="11.25" hidden="1">
      <c r="A42" s="2477"/>
      <c r="B42" s="2477"/>
      <c r="C42" s="2477"/>
      <c r="D42" s="2477"/>
      <c r="E42" s="2477"/>
      <c r="F42" s="2477"/>
      <c r="G42" s="2477"/>
      <c r="H42" s="2477"/>
      <c r="I42" s="2477"/>
      <c r="J42" s="2477"/>
      <c r="K42" s="2477"/>
      <c r="L42" s="2521"/>
      <c r="M42" s="3176"/>
      <c r="N42" s="3176"/>
      <c r="O42" s="3176"/>
      <c r="P42" s="2457"/>
      <c r="Q42" s="2458"/>
      <c r="R42" s="2465">
        <v>1</v>
      </c>
      <c r="S42" s="2488" t="s">
        <v>99</v>
      </c>
      <c r="T42" s="2466" t="s">
        <v>102</v>
      </c>
      <c r="U42" s="2456" t="str">
        <f>OFFSET(U42,0,-1)</f>
        <v>2</v>
      </c>
      <c r="V42" s="3167">
        <f>OFFSET(V42,0,-1)+1</f>
        <v>3</v>
      </c>
      <c r="W42" s="3167"/>
      <c r="X42" s="3167">
        <f>OFFSET(X42,0,-1)+1</f>
        <v>1</v>
      </c>
      <c r="Y42" s="3167">
        <f>OFFSET(Y42,0,-1)+1</f>
        <v>2</v>
      </c>
      <c r="Z42" s="3167">
        <f>OFFSET(Z42,0,-1)+1</f>
        <v>3</v>
      </c>
      <c r="AA42" s="3483">
        <f>OFFSET(AA42,0,-1)+1</f>
        <v>4</v>
      </c>
      <c r="AB42" s="3483"/>
      <c r="AC42" s="3167">
        <f>OFFSET(AC42,0,-2)+1</f>
        <v>5</v>
      </c>
      <c r="AD42" s="3167">
        <f>OFFSET(AD42,0,-1)+1</f>
        <v>6</v>
      </c>
      <c r="AE42" s="3167"/>
      <c r="AF42" s="3167">
        <f>OFFSET(AF42,0,-1)+1</f>
        <v>1</v>
      </c>
      <c r="AG42" s="3167">
        <f>OFFSET(AG42,0,-1)+1</f>
        <v>2</v>
      </c>
      <c r="AH42" s="3167">
        <f>OFFSET(AH42,0,-1)+1</f>
        <v>3</v>
      </c>
      <c r="AI42" s="3483">
        <f>OFFSET(AI42,0,-1)+1</f>
        <v>4</v>
      </c>
      <c r="AJ42" s="3483"/>
      <c r="AK42" s="3167">
        <f>OFFSET(AK42,0,-2)+1</f>
        <v>5</v>
      </c>
      <c r="AL42" s="2456">
        <f>OFFSET(AL42,0,-1)</f>
        <v>5</v>
      </c>
      <c r="AM42" s="3167">
        <f>OFFSET(AM42,0,-1)+1</f>
        <v>6</v>
      </c>
      <c r="AN42" s="2847"/>
      <c r="AO42" s="2847"/>
      <c r="AP42" s="2847"/>
      <c r="AQ42" s="2847"/>
      <c r="AR42" s="2847"/>
      <c r="AS42" s="2852">
        <v>0</v>
      </c>
    </row>
    <row customHeight="1" ht="22.049999999999997">
      <c r="A43" s="2478" t="s">
        <v>230</v>
      </c>
      <c r="B43" s="2478"/>
      <c r="C43" s="2478"/>
      <c r="D43" s="2478"/>
      <c r="E43" s="3500">
        <v>1</v>
      </c>
      <c r="F43" s="2478"/>
      <c r="G43" s="2478"/>
      <c r="H43" s="2478"/>
      <c r="I43" s="2478"/>
      <c r="J43" s="2478"/>
      <c r="K43" s="2478"/>
      <c r="L43" s="2521"/>
      <c r="M43" s="2821"/>
      <c r="N43" s="2821"/>
      <c r="O43" s="2821"/>
      <c r="P43" s="2801"/>
      <c r="Q43" s="1571"/>
      <c r="R43" s="1566"/>
      <c r="S43" s="3169">
        <f>INDEX(PT_DIFFERENTIATION_NUM_NTAR,MATCH(A43,PT_DIFFERENTIATION_NTAR_ID,0))</f>
        <v>0</v>
      </c>
      <c r="T43" s="2736"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835"/>
      <c r="AP43" s="2835" t="str">
        <f>IF(T43="","",T43)</f>
        <v>Наименование тарифа</v>
      </c>
      <c r="AQ43" s="2835"/>
      <c r="AR43" s="2835"/>
      <c r="AS43" s="2842">
        <v>21</v>
      </c>
    </row>
    <row customHeight="1" ht="22.049999999999997">
      <c r="A44" s="2478" t="s">
        <v>230</v>
      </c>
      <c r="B44" s="2478" t="s">
        <v>231</v>
      </c>
      <c r="C44" s="2478"/>
      <c r="D44" s="2478"/>
      <c r="E44" s="3501"/>
      <c r="F44" s="3500">
        <v>1</v>
      </c>
      <c r="G44" s="2478"/>
      <c r="H44" s="2478"/>
      <c r="I44" s="2478"/>
      <c r="J44" s="2478"/>
      <c r="K44" s="2478"/>
      <c r="L44" s="2521"/>
      <c r="M44" s="2821"/>
      <c r="N44" s="2821"/>
      <c r="O44" s="2821"/>
      <c r="P44" s="3151"/>
      <c r="Q44" s="1563"/>
      <c r="R44" s="1564"/>
      <c r="S44" s="3169" t="str">
        <f>INDEX(PT_DIFFERENTIATION_NUM_TER,MATCH(B44,PT_DIFFERENTIATION_TER_ID,0))</f>
        <v>.</v>
      </c>
      <c r="T44" s="2733"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2835"/>
      <c r="AP44" s="2835" t="str">
        <f>IF(T44="","",T44)</f>
        <v>Территория действия тарифа</v>
      </c>
      <c r="AQ44" s="2835"/>
      <c r="AR44" s="2835"/>
      <c r="AS44" s="2842">
        <v>21</v>
      </c>
    </row>
    <row customHeight="1" ht="24">
      <c r="A45" s="2478" t="s">
        <v>230</v>
      </c>
      <c r="B45" s="2478" t="s">
        <v>231</v>
      </c>
      <c r="C45" s="2478" t="s">
        <v>232</v>
      </c>
      <c r="D45" s="2478"/>
      <c r="E45" s="3501"/>
      <c r="F45" s="3501"/>
      <c r="G45" s="3500">
        <v>1</v>
      </c>
      <c r="H45" s="2478"/>
      <c r="I45" s="2478"/>
      <c r="J45" s="2478"/>
      <c r="K45" s="2478"/>
      <c r="L45" s="2521"/>
      <c r="M45" s="2821"/>
      <c r="N45" s="2821"/>
      <c r="O45" s="2821"/>
      <c r="P45" s="1565"/>
      <c r="Q45" s="1563"/>
      <c r="R45" s="1564"/>
      <c r="S45" s="3169"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2835"/>
      <c r="AP45" s="2835" t="str">
        <f>IF(T45="","",T45)</f>
        <v>Наименование системы теплоснабжения </v>
      </c>
      <c r="AQ45" s="2835"/>
      <c r="AR45" s="2835"/>
      <c r="AS45" s="2842">
        <v>23</v>
      </c>
    </row>
    <row customHeight="1" ht="22.049999999999997">
      <c r="A46" s="2478" t="s">
        <v>230</v>
      </c>
      <c r="B46" s="2478" t="s">
        <v>231</v>
      </c>
      <c r="C46" s="2478" t="s">
        <v>232</v>
      </c>
      <c r="D46" s="2478" t="s">
        <v>233</v>
      </c>
      <c r="E46" s="3501"/>
      <c r="F46" s="3501"/>
      <c r="G46" s="3501"/>
      <c r="H46" s="3500">
        <v>1</v>
      </c>
      <c r="I46" s="2478"/>
      <c r="J46" s="2478"/>
      <c r="K46" s="2478"/>
      <c r="L46" s="2521"/>
      <c r="M46" s="2821"/>
      <c r="N46" s="2821"/>
      <c r="O46" s="2821"/>
      <c r="P46" s="1565"/>
      <c r="Q46" s="1563"/>
      <c r="R46" s="1564"/>
      <c r="S46" s="3169"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2835"/>
      <c r="AP46" s="2835" t="str">
        <f>IF(T46="","",T46)</f>
        <v>Источник тепловой энергии  </v>
      </c>
      <c r="AQ46" s="2835"/>
      <c r="AR46" s="2835"/>
      <c r="AS46" s="2842">
        <v>21</v>
      </c>
    </row>
    <row customHeight="1" ht="49.5">
      <c r="A47" s="2478" t="s">
        <v>230</v>
      </c>
      <c r="B47" s="2478" t="s">
        <v>231</v>
      </c>
      <c r="C47" s="2478" t="s">
        <v>232</v>
      </c>
      <c r="D47" s="2478" t="s">
        <v>233</v>
      </c>
      <c r="E47" s="3501"/>
      <c r="F47" s="3501"/>
      <c r="G47" s="3501"/>
      <c r="H47" s="3501"/>
      <c r="I47" s="3338" t="str">
        <f>S46&amp;".1"</f>
        <v>....1</v>
      </c>
      <c r="J47" s="2478"/>
      <c r="K47" s="2478"/>
      <c r="L47" s="2521" t="s">
        <v>421</v>
      </c>
      <c r="P47" s="3468">
        <v>1</v>
      </c>
      <c r="Q47" s="3165"/>
      <c r="R47" s="1567"/>
      <c r="S47" s="3169" t="str">
        <f>$I47</f>
        <v>....1</v>
      </c>
      <c r="T47" s="1496" t="s">
        <v>422</v>
      </c>
      <c r="U47" s="1511"/>
      <c r="V47" s="3456"/>
      <c r="W47" s="3457"/>
      <c r="X47" s="3457"/>
      <c r="Y47" s="3457"/>
      <c r="Z47" s="3457"/>
      <c r="AA47" s="3457"/>
      <c r="AB47" s="3457"/>
      <c r="AC47" s="3458"/>
      <c r="AD47" s="3456"/>
      <c r="AE47" s="3457"/>
      <c r="AF47" s="3457"/>
      <c r="AG47" s="3457"/>
      <c r="AH47" s="3457"/>
      <c r="AI47" s="3457"/>
      <c r="AJ47" s="3457"/>
      <c r="AK47" s="3457"/>
      <c r="AL47" s="3458"/>
      <c r="AM47" s="2469" t="s">
        <v>423</v>
      </c>
      <c r="AO47" s="2835"/>
      <c r="AP47" s="2835" t="str">
        <f>IF(T47="","",T47)</f>
        <v>Схема подключения теплопотребляющей установки к коллектору источника тепловой энергии</v>
      </c>
      <c r="AQ47" s="2835"/>
      <c r="AR47" s="2835"/>
      <c r="AS47" s="2842">
        <v>47</v>
      </c>
    </row>
    <row customHeight="1" ht="22.049999999999997">
      <c r="A48" s="2478" t="s">
        <v>230</v>
      </c>
      <c r="B48" s="2478" t="s">
        <v>231</v>
      </c>
      <c r="C48" s="2478" t="s">
        <v>232</v>
      </c>
      <c r="D48" s="2478" t="s">
        <v>233</v>
      </c>
      <c r="E48" s="3501"/>
      <c r="F48" s="3501"/>
      <c r="G48" s="3501"/>
      <c r="H48" s="3501"/>
      <c r="I48" s="3312"/>
      <c r="J48" s="3338" t="str">
        <f>I47&amp;".1"</f>
        <v>....1.1</v>
      </c>
      <c r="K48" s="2478"/>
      <c r="L48" s="2521" t="s">
        <v>424</v>
      </c>
      <c r="P48" s="3468"/>
      <c r="Q48" s="3468">
        <v>1</v>
      </c>
      <c r="R48" s="1568"/>
      <c r="S48" s="3169" t="str">
        <f>$J48</f>
        <v>....1.1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2835"/>
      <c r="AP48" s="2835" t="str">
        <f>IF(T48="","",T48)</f>
        <v>Группа потребителей</v>
      </c>
      <c r="AQ48" s="2835"/>
      <c r="AR48" s="2835"/>
      <c r="AS48" s="2842">
        <v>21</v>
      </c>
    </row>
    <row customHeight="1" ht="22.049999999999997">
      <c r="A49" s="2478" t="s">
        <v>230</v>
      </c>
      <c r="B49" s="2478" t="s">
        <v>231</v>
      </c>
      <c r="C49" s="2478" t="s">
        <v>232</v>
      </c>
      <c r="D49" s="2478" t="s">
        <v>233</v>
      </c>
      <c r="E49" s="3501"/>
      <c r="F49" s="3501"/>
      <c r="G49" s="3501"/>
      <c r="H49" s="3501"/>
      <c r="I49" s="3312"/>
      <c r="J49" s="3312"/>
      <c r="K49" s="3338" t="str">
        <f>J48&amp;".1"</f>
        <v>....1.1.1</v>
      </c>
      <c r="L49" s="2521" t="s">
        <v>427</v>
      </c>
      <c r="P49" s="3468"/>
      <c r="Q49" s="3468"/>
      <c r="R49" s="1568">
        <v>1</v>
      </c>
      <c r="S49" s="3169" t="str">
        <f>$K49</f>
        <v>....1.1.1</v>
      </c>
      <c r="T49" s="2558"/>
      <c r="U49" s="1511"/>
      <c r="V49" s="1962"/>
      <c r="W49" s="1536"/>
      <c r="X49" s="1962"/>
      <c r="Y49" s="2468"/>
      <c r="Z49" s="3476"/>
      <c r="AA49" s="3318" t="s">
        <v>62</v>
      </c>
      <c r="AB49" s="3476"/>
      <c r="AC49" s="3318" t="s">
        <v>62</v>
      </c>
      <c r="AD49" s="1962"/>
      <c r="AE49" s="1536"/>
      <c r="AF49" s="1962"/>
      <c r="AG49" s="2468"/>
      <c r="AH49" s="3476"/>
      <c r="AI49" s="3318" t="s">
        <v>62</v>
      </c>
      <c r="AJ49" s="3498"/>
      <c r="AK49" s="3318" t="s">
        <v>62</v>
      </c>
      <c r="AL49" s="2559"/>
      <c r="AM49" s="3464" t="s">
        <v>428</v>
      </c>
      <c r="AN49" s="2847">
        <f>STRCHECKDATE(V50:AL50)</f>
      </c>
      <c r="AO49" s="2835"/>
      <c r="AP49" s="2835" t="str">
        <f>IF(T49="","",T49)</f>
        <v/>
      </c>
      <c r="AQ49" s="2835"/>
      <c r="AR49" s="2835"/>
      <c r="AS49" s="2842">
        <v>21</v>
      </c>
    </row>
    <row customHeight="1" ht="1.05">
      <c r="A50" s="2478" t="s">
        <v>230</v>
      </c>
      <c r="B50" s="2478" t="s">
        <v>231</v>
      </c>
      <c r="C50" s="2478" t="s">
        <v>232</v>
      </c>
      <c r="D50" s="2478" t="s">
        <v>233</v>
      </c>
      <c r="E50" s="3501"/>
      <c r="F50" s="3501"/>
      <c r="G50" s="3501"/>
      <c r="H50" s="3501"/>
      <c r="I50" s="3312"/>
      <c r="J50" s="3312"/>
      <c r="K50" s="3338"/>
      <c r="L50" s="2521"/>
      <c r="P50" s="3468"/>
      <c r="Q50" s="3468"/>
      <c r="R50" s="1568"/>
      <c r="S50" s="3178"/>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2835"/>
      <c r="AP50" s="2835" t="str">
        <f>IF(T50="","",T50)</f>
        <v/>
      </c>
      <c r="AQ50" s="2835"/>
      <c r="AR50" s="2835"/>
      <c r="AS50" s="2842">
        <v>1</v>
      </c>
    </row>
    <row customHeight="1" ht="11.549999999999999">
      <c r="A51" s="2478" t="s">
        <v>230</v>
      </c>
      <c r="B51" s="2478" t="s">
        <v>231</v>
      </c>
      <c r="C51" s="2478" t="s">
        <v>232</v>
      </c>
      <c r="D51" s="2478" t="s">
        <v>233</v>
      </c>
      <c r="E51" s="3501"/>
      <c r="F51" s="3501"/>
      <c r="G51" s="3501"/>
      <c r="H51" s="3501"/>
      <c r="I51" s="3312"/>
      <c r="J51" s="3338"/>
      <c r="K51" s="2478"/>
      <c r="L51" s="2521"/>
      <c r="P51" s="3468"/>
      <c r="Q51" s="3468"/>
      <c r="R51" s="1567"/>
      <c r="S51" s="2489"/>
      <c r="T51" s="1499" t="s">
        <v>429</v>
      </c>
      <c r="U51" s="1811"/>
      <c r="V51" s="1811"/>
      <c r="W51" s="1811"/>
      <c r="X51" s="1811"/>
      <c r="Y51" s="1811"/>
      <c r="Z51" s="1811"/>
      <c r="AA51" s="1811"/>
      <c r="AB51" s="1811"/>
      <c r="AC51" s="1811"/>
      <c r="AD51" s="1811"/>
      <c r="AE51" s="1811"/>
      <c r="AF51" s="1811"/>
      <c r="AG51" s="1811"/>
      <c r="AH51" s="1811"/>
      <c r="AI51" s="1811"/>
      <c r="AJ51" s="1811"/>
      <c r="AK51" s="1811"/>
      <c r="AL51" s="1535"/>
      <c r="AM51" s="3466"/>
      <c r="AO51" s="2835"/>
      <c r="AP51" s="2835" t="str">
        <f>IF(T51="","",T51)</f>
        <v>Добавить вид теплоносителя (параметры теплоносителя)</v>
      </c>
      <c r="AQ51" s="2835"/>
      <c r="AR51" s="2835"/>
      <c r="AS51" s="2842">
        <v>11</v>
      </c>
    </row>
    <row customHeight="1" ht="11.549999999999999">
      <c r="A52" s="2478" t="s">
        <v>230</v>
      </c>
      <c r="B52" s="2478" t="s">
        <v>231</v>
      </c>
      <c r="C52" s="2478" t="s">
        <v>232</v>
      </c>
      <c r="D52" s="2478" t="s">
        <v>233</v>
      </c>
      <c r="E52" s="3501"/>
      <c r="F52" s="3501"/>
      <c r="G52" s="3501"/>
      <c r="H52" s="3501"/>
      <c r="I52" s="3338"/>
      <c r="J52" s="2478"/>
      <c r="K52" s="2478"/>
      <c r="L52" s="2521"/>
      <c r="P52" s="3468"/>
      <c r="Q52" s="3165"/>
      <c r="R52" s="1567"/>
      <c r="S52" s="2489"/>
      <c r="T52" s="1498" t="s">
        <v>430</v>
      </c>
      <c r="U52" s="1811"/>
      <c r="V52" s="1811"/>
      <c r="W52" s="1811"/>
      <c r="X52" s="1811"/>
      <c r="Y52" s="1811"/>
      <c r="Z52" s="1811"/>
      <c r="AA52" s="1811"/>
      <c r="AB52" s="1811"/>
      <c r="AC52" s="1577"/>
      <c r="AD52" s="1811"/>
      <c r="AE52" s="1811"/>
      <c r="AF52" s="1811"/>
      <c r="AG52" s="1811"/>
      <c r="AH52" s="1811"/>
      <c r="AI52" s="1811"/>
      <c r="AJ52" s="1811"/>
      <c r="AK52" s="1577"/>
      <c r="AL52" s="1811"/>
      <c r="AM52" s="1514"/>
      <c r="AO52" s="2835"/>
      <c r="AP52" s="2835" t="str">
        <f>IF(T52="","",T52)</f>
        <v>Добавить группу потребителей</v>
      </c>
      <c r="AQ52" s="2835"/>
      <c r="AR52" s="2835"/>
      <c r="AS52" s="2842">
        <v>11</v>
      </c>
    </row>
    <row customHeight="1" ht="14.699999999999998">
      <c r="A53" s="2478" t="s">
        <v>230</v>
      </c>
      <c r="B53" s="2478" t="s">
        <v>231</v>
      </c>
      <c r="C53" s="2478" t="s">
        <v>232</v>
      </c>
      <c r="D53" s="2478" t="s">
        <v>233</v>
      </c>
      <c r="E53" s="3501"/>
      <c r="F53" s="3501"/>
      <c r="G53" s="3501"/>
      <c r="H53" s="3500"/>
      <c r="I53" s="2478"/>
      <c r="J53" s="2478"/>
      <c r="K53" s="2478"/>
      <c r="L53" s="2521"/>
      <c r="M53" s="2821"/>
      <c r="N53" s="2821"/>
      <c r="O53" s="2846"/>
      <c r="P53" s="1571"/>
      <c r="Q53" s="1586"/>
      <c r="R53" s="1566"/>
      <c r="S53" s="2489"/>
      <c r="T53" s="1576" t="s">
        <v>431</v>
      </c>
      <c r="U53" s="1811"/>
      <c r="V53" s="1811"/>
      <c r="W53" s="1811"/>
      <c r="X53" s="1811"/>
      <c r="Y53" s="1811"/>
      <c r="Z53" s="1811"/>
      <c r="AA53" s="1811"/>
      <c r="AB53" s="1811"/>
      <c r="AC53" s="1577"/>
      <c r="AD53" s="1811"/>
      <c r="AE53" s="1811"/>
      <c r="AF53" s="1811"/>
      <c r="AG53" s="1811"/>
      <c r="AH53" s="1811"/>
      <c r="AI53" s="1811"/>
      <c r="AJ53" s="1811"/>
      <c r="AK53" s="1577"/>
      <c r="AL53" s="1811"/>
      <c r="AM53" s="1514"/>
      <c r="AO53" s="2835"/>
      <c r="AP53" s="2835" t="str">
        <f>IF(T53="","",T53)</f>
        <v>Добавить схему подключения</v>
      </c>
      <c r="AQ53" s="2835"/>
      <c r="AR53" s="2835"/>
      <c r="AS53" s="2842">
        <v>14</v>
      </c>
    </row>
    <row s="65923" customFormat="1" customHeight="1" ht="1.05">
      <c r="A54" s="2478" t="s">
        <v>230</v>
      </c>
      <c r="B54" s="2478" t="s">
        <v>231</v>
      </c>
      <c r="C54" s="2478" t="s">
        <v>232</v>
      </c>
      <c r="D54" s="3185"/>
      <c r="E54" s="3501"/>
      <c r="F54" s="3501"/>
      <c r="G54" s="3500"/>
      <c r="H54" s="3185"/>
      <c r="I54" s="3185"/>
      <c r="J54" s="3185"/>
      <c r="K54" s="3185"/>
      <c r="L54" s="2591"/>
      <c r="M54" s="2821"/>
      <c r="N54" s="2821"/>
      <c r="O54" s="2846"/>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462"/>
      <c r="AP54" s="2462" t="str">
        <f>IF(T54="","",T54)</f>
        <v>Добавить источник для дифференциации</v>
      </c>
      <c r="AQ54" s="2462"/>
      <c r="AR54" s="2462"/>
      <c r="AS54" s="2853">
        <v>1</v>
      </c>
    </row>
    <row s="65923" customFormat="1" customHeight="1" ht="1.05">
      <c r="A55" s="2478" t="s">
        <v>230</v>
      </c>
      <c r="B55" s="2478" t="s">
        <v>231</v>
      </c>
      <c r="C55" s="3185"/>
      <c r="D55" s="3185"/>
      <c r="E55" s="3501"/>
      <c r="F55" s="3500"/>
      <c r="G55" s="3185"/>
      <c r="H55" s="3185"/>
      <c r="I55" s="3185"/>
      <c r="J55" s="3185"/>
      <c r="K55" s="3185"/>
      <c r="L55" s="2591"/>
      <c r="M55" s="3186"/>
      <c r="N55" s="3186"/>
      <c r="O55" s="2846"/>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462"/>
      <c r="AP55" s="2462" t="str">
        <f>IF(T55="","",T55)</f>
        <v>Добавить централизованную систему для дифференциации</v>
      </c>
      <c r="AQ55" s="2462"/>
      <c r="AR55" s="2462"/>
      <c r="AS55" s="2853">
        <v>1</v>
      </c>
    </row>
    <row s="65923" customFormat="1" customHeight="1" ht="1.05">
      <c r="A56" s="2478" t="s">
        <v>230</v>
      </c>
      <c r="B56" s="2478"/>
      <c r="C56" s="2478"/>
      <c r="D56" s="2478"/>
      <c r="E56" s="3500"/>
      <c r="F56" s="2478"/>
      <c r="G56" s="2478"/>
      <c r="H56" s="2478"/>
      <c r="I56" s="2478"/>
      <c r="J56" s="2478"/>
      <c r="K56" s="2478"/>
      <c r="L56" s="2521"/>
      <c r="M56" s="3186"/>
      <c r="N56" s="3186"/>
      <c r="O56" s="2846"/>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2835"/>
      <c r="AP56" s="2835" t="str">
        <f>IF(T56="","",T56)</f>
        <v>Добавить территорию для дифференциации</v>
      </c>
      <c r="AQ56" s="2835"/>
      <c r="AR56" s="2835"/>
      <c r="AS56" s="2847">
        <v>1</v>
      </c>
    </row>
    <row s="65923" customFormat="1" customHeight="1" ht="1.05">
      <c r="A57" s="3185"/>
      <c r="B57" s="3185"/>
      <c r="C57" s="3185"/>
      <c r="D57" s="3185"/>
      <c r="E57" s="2478"/>
      <c r="F57" s="3185"/>
      <c r="G57" s="3185"/>
      <c r="H57" s="3185"/>
      <c r="I57" s="3185"/>
      <c r="J57" s="3185"/>
      <c r="K57" s="3185"/>
      <c r="L57" s="2591"/>
      <c r="M57" s="3186"/>
      <c r="N57" s="3186"/>
      <c r="O57" s="2846"/>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462"/>
      <c r="AP57" s="2462" t="str">
        <f>IF(T57="","",T57)</f>
        <v>Добавить наименование тарифа</v>
      </c>
      <c r="AQ57" s="2462"/>
      <c r="AR57" s="2462"/>
      <c r="AS57" s="2853">
        <v>1</v>
      </c>
    </row>
    <row customHeight="1" ht="11.549999999999999">
      <c r="M58" s="2842"/>
      <c r="N58" s="2842"/>
      <c r="O58" s="2846"/>
      <c r="P58" s="2842"/>
      <c r="Q58" s="2842"/>
      <c r="R58" s="2842"/>
      <c r="S58" s="2842"/>
      <c r="AN58" s="2842"/>
      <c r="AO58" s="2842"/>
      <c r="AP58" s="2842"/>
      <c r="AQ58" s="2842"/>
      <c r="AR58" s="2842"/>
      <c r="AS58" s="2842">
        <v>11</v>
      </c>
    </row>
    <row customHeight="1" ht="28.5">
      <c r="O59" s="2846"/>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842">
        <v>27</v>
      </c>
    </row>
    <row customHeight="1" ht="65.25">
      <c r="O60" s="2846"/>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842">
        <v>62</v>
      </c>
    </row>
    <row customHeight="1" ht="14.699999999999998">
      <c r="O61" s="2846"/>
      <c r="AS61" s="2842">
        <v>14</v>
      </c>
    </row>
    <row customHeight="1" ht="18.75">
      <c r="O62" s="2846"/>
      <c r="S62" s="2464"/>
      <c r="T62" s="3496"/>
      <c r="U62" s="3496"/>
      <c r="V62" s="3496"/>
      <c r="W62" s="3496"/>
      <c r="X62" s="3496"/>
      <c r="Y62" s="3496"/>
      <c r="Z62" s="3496"/>
      <c r="AA62" s="3496"/>
      <c r="AB62" s="3496"/>
      <c r="AC62" s="3496"/>
      <c r="AD62" s="3496"/>
      <c r="AE62" s="3496"/>
      <c r="AF62" s="3496"/>
      <c r="AG62" s="3496"/>
      <c r="AH62" s="3496"/>
      <c r="AI62" s="3496"/>
      <c r="AJ62" s="3496"/>
      <c r="AK62" s="3496"/>
      <c r="AL62" s="3496"/>
      <c r="AM62" s="3496"/>
      <c r="AS62" s="2842">
        <v>18</v>
      </c>
    </row>
    <row customHeight="1" ht="18.75">
      <c r="O63" s="2846"/>
      <c r="T63" s="3496"/>
      <c r="U63" s="3496"/>
      <c r="V63" s="3496"/>
      <c r="W63" s="3496"/>
      <c r="X63" s="3496"/>
      <c r="Y63" s="3496"/>
      <c r="Z63" s="3496"/>
      <c r="AA63" s="3496"/>
      <c r="AB63" s="3496"/>
      <c r="AC63" s="3496"/>
      <c r="AD63" s="3496"/>
      <c r="AE63" s="3496"/>
      <c r="AF63" s="3496"/>
      <c r="AG63" s="3496"/>
      <c r="AH63" s="3496"/>
      <c r="AI63" s="3496"/>
      <c r="AJ63" s="3496"/>
      <c r="AK63" s="3496"/>
      <c r="AL63" s="3496"/>
      <c r="AM63" s="3496"/>
      <c r="AS63" s="2842">
        <v>18</v>
      </c>
    </row>
    <row customHeight="1" ht="29.25">
      <c r="O64" s="2846"/>
      <c r="S64" s="2464"/>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842">
        <v>28</v>
      </c>
    </row>
    <row customHeight="1" ht="22.5" hidden="1">
      <c r="A65" s="2842" t="s">
        <v>82</v>
      </c>
      <c r="B65" s="2842">
        <v>0</v>
      </c>
      <c r="C65" s="2842">
        <v>0</v>
      </c>
      <c r="D65" s="2842">
        <v>0</v>
      </c>
      <c r="E65" s="2842">
        <v>0</v>
      </c>
      <c r="F65" s="2842">
        <v>0</v>
      </c>
      <c r="G65" s="2842">
        <v>0</v>
      </c>
      <c r="H65" s="2842">
        <v>0</v>
      </c>
      <c r="I65" s="2842">
        <v>0</v>
      </c>
      <c r="J65" s="2842">
        <v>0</v>
      </c>
      <c r="K65" s="2842">
        <v>0</v>
      </c>
      <c r="L65" s="3150">
        <v>0</v>
      </c>
      <c r="M65" s="3176">
        <v>0</v>
      </c>
      <c r="N65" s="3176">
        <v>0</v>
      </c>
      <c r="O65" s="3176">
        <v>0</v>
      </c>
      <c r="P65" s="3176">
        <v>3</v>
      </c>
      <c r="Q65" s="1555">
        <v>3</v>
      </c>
      <c r="R65" s="1555">
        <v>3</v>
      </c>
      <c r="S65" s="1792">
        <v>12</v>
      </c>
      <c r="T65" s="2842">
        <v>31</v>
      </c>
      <c r="U65" s="2842">
        <v>0</v>
      </c>
      <c r="V65" s="2842">
        <v>0</v>
      </c>
      <c r="W65" s="2842">
        <v>0</v>
      </c>
      <c r="X65" s="2842">
        <v>0</v>
      </c>
      <c r="Y65" s="2842">
        <v>0</v>
      </c>
      <c r="Z65" s="2842">
        <v>0</v>
      </c>
      <c r="AA65" s="2842">
        <v>0</v>
      </c>
      <c r="AB65" s="2842">
        <v>0</v>
      </c>
      <c r="AC65" s="2842">
        <v>0</v>
      </c>
      <c r="AD65" s="2842">
        <v>24</v>
      </c>
      <c r="AE65" s="2842">
        <v>0</v>
      </c>
      <c r="AF65" s="2842">
        <v>24</v>
      </c>
      <c r="AG65" s="2842">
        <v>24</v>
      </c>
      <c r="AH65" s="2842">
        <v>11</v>
      </c>
      <c r="AI65" s="2842">
        <v>3</v>
      </c>
      <c r="AJ65" s="2842">
        <v>11</v>
      </c>
      <c r="AK65" s="2842">
        <v>0</v>
      </c>
      <c r="AL65" s="2842">
        <v>4</v>
      </c>
      <c r="AM65" s="2842">
        <v>115</v>
      </c>
      <c r="AN65" s="2847">
        <v>10</v>
      </c>
      <c r="AO65" s="2847">
        <v>10</v>
      </c>
      <c r="AP65" s="2847">
        <v>10</v>
      </c>
      <c r="AQ65" s="2847">
        <v>10</v>
      </c>
      <c r="AR65" s="2847">
        <v>10</v>
      </c>
      <c r="AS65" s="284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B4994-CC8A-4FD5-044B-ACE01052619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1.00390625" customWidth="1"/>
    <col min="21" max="21" style="66903" width="0.7109375" hidden="1" customWidth="1"/>
    <col min="22" max="22" style="66903" width="1.7109375" hidden="1" customWidth="1"/>
    <col min="23" max="23" style="66903" width="24.7109375" hidden="1" customWidth="1"/>
    <col min="24" max="25" style="66903" width="0.14062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0.140625" customWidth="1"/>
    <col min="31" max="31" style="66903" width="24.00390625" customWidth="1"/>
    <col min="32" max="33" style="66903" width="0.14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10.57421875" hidden="1"/>
  </cols>
  <sheetData>
    <row customHeight="1" ht="22.5" hidden="1">
      <c r="Y1" s="1538"/>
      <c r="Z1" s="1538"/>
      <c r="AG1" s="1538"/>
      <c r="AH1" s="1538"/>
      <c r="AS1" s="2366" t="s">
        <v>14</v>
      </c>
    </row>
    <row customHeight="1" ht="21" hidden="1">
      <c r="A2" s="2574"/>
      <c r="B2" s="2574"/>
      <c r="C2" s="2574"/>
      <c r="D2" s="2574"/>
      <c r="E2" s="3469">
        <v>1</v>
      </c>
      <c r="F2" s="2574"/>
      <c r="G2" s="2574"/>
      <c r="H2" s="2574"/>
      <c r="I2" s="2574"/>
      <c r="J2" s="2574"/>
      <c r="K2" s="2574"/>
      <c r="L2" s="2575"/>
      <c r="M2" s="2576"/>
      <c r="N2" s="2576"/>
      <c r="O2" s="2576"/>
      <c r="P2" s="1572"/>
      <c r="Q2" s="1571"/>
      <c r="R2" s="1566"/>
      <c r="S2" s="2547">
        <f>INDEX(PT_DIFFERENTIATION_NUM_NTAR,MATCH(A2,PT_DIFFERENTIATION_NTAR_ID,0))</f>
      </c>
      <c r="T2" s="1509"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1711"/>
      <c r="AP2" s="1711" t="str">
        <f>IF(T2="","",T2)</f>
        <v>Наименование тарифа</v>
      </c>
      <c r="AQ2" s="1711"/>
      <c r="AR2" s="1711"/>
      <c r="AS2" s="2366">
        <v>0</v>
      </c>
    </row>
    <row customHeight="1" ht="21" hidden="1">
      <c r="A3" s="2574"/>
      <c r="B3" s="2574"/>
      <c r="C3" s="2574"/>
      <c r="D3" s="2574"/>
      <c r="E3" s="3470"/>
      <c r="F3" s="3469">
        <v>1</v>
      </c>
      <c r="G3" s="2574"/>
      <c r="H3" s="2574"/>
      <c r="I3" s="2574"/>
      <c r="J3" s="2574"/>
      <c r="K3" s="2574"/>
      <c r="L3" s="2575"/>
      <c r="M3" s="2576"/>
      <c r="N3" s="2576"/>
      <c r="O3" s="2576"/>
      <c r="P3" s="2543"/>
      <c r="Q3" s="1563"/>
      <c r="R3" s="1564"/>
      <c r="S3" s="2547">
        <f>INDEX(PT_DIFFERENTIATION_NUM_TER,MATCH(B3,PT_DIFFERENTIATION_TER_ID,0))</f>
      </c>
      <c r="T3" s="1519"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1711"/>
      <c r="AP3" s="1711" t="str">
        <f>IF(T3="","",T3)</f>
        <v>Территория действия тарифа</v>
      </c>
      <c r="AQ3" s="1711"/>
      <c r="AR3" s="1711"/>
      <c r="AS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547">
        <f>INDEX(PT_DIFFERENTIATION_NUM_CS,MATCH(C4,PT_DIFFERENTIATION_CS_ID,0))</f>
      </c>
      <c r="T4" s="1520" t="s">
        <v>417</v>
      </c>
      <c r="U4" s="1511"/>
      <c r="V4" s="3453"/>
      <c r="W4" s="3454"/>
      <c r="X4" s="3454"/>
      <c r="Y4" s="3454"/>
      <c r="Z4" s="3454"/>
      <c r="AA4" s="3454"/>
      <c r="AB4" s="3454"/>
      <c r="AC4" s="3455"/>
      <c r="AD4" s="3453">
        <f>INDEX(PT_DIFFERENTIATION_CS,MATCH(C4,PT_DIFFERENTIATION_CS_ID,0))</f>
      </c>
      <c r="AE4" s="3454"/>
      <c r="AF4" s="3454"/>
      <c r="AG4" s="3454"/>
      <c r="AH4" s="3454"/>
      <c r="AI4" s="3454"/>
      <c r="AJ4" s="3454"/>
      <c r="AK4" s="3454"/>
      <c r="AL4" s="3455"/>
      <c r="AM4" s="2469" t="s">
        <v>418</v>
      </c>
      <c r="AO4" s="1711"/>
      <c r="AP4" s="1711" t="str">
        <f>IF(T4="","",T4)</f>
        <v>Наименование системы теплоснабжения </v>
      </c>
      <c r="AQ4" s="1711"/>
      <c r="AR4" s="1711"/>
      <c r="AS4" s="2366">
        <v>0</v>
      </c>
    </row>
    <row customHeight="1" ht="21" hidden="1">
      <c r="A5" s="2574"/>
      <c r="B5" s="2574"/>
      <c r="C5" s="2574"/>
      <c r="D5" s="2574"/>
      <c r="E5" s="3470"/>
      <c r="F5" s="3470"/>
      <c r="G5" s="3470"/>
      <c r="H5" s="3469">
        <v>1</v>
      </c>
      <c r="I5" s="2574"/>
      <c r="J5" s="2574"/>
      <c r="K5" s="2574"/>
      <c r="L5" s="2575"/>
      <c r="M5" s="2576"/>
      <c r="N5" s="2576"/>
      <c r="O5" s="2576"/>
      <c r="P5" s="1565"/>
      <c r="Q5" s="1563"/>
      <c r="R5" s="1564"/>
      <c r="S5" s="2547">
        <f>INDEX(PT_DIFFERENTIATION_NUM_IST_TE,MATCH(D5,PT_DIFFERENTIATION_IST_TE_ID,0))</f>
      </c>
      <c r="T5" s="1521" t="s">
        <v>419</v>
      </c>
      <c r="U5" s="1511"/>
      <c r="V5" s="3453"/>
      <c r="W5" s="3454"/>
      <c r="X5" s="3454"/>
      <c r="Y5" s="3454"/>
      <c r="Z5" s="3454"/>
      <c r="AA5" s="3454"/>
      <c r="AB5" s="3454"/>
      <c r="AC5" s="3455"/>
      <c r="AD5" s="3453">
        <f>INDEX(PT_DIFFERENTIATION_IST_TE,MATCH(D5,PT_DIFFERENTIATION_IST_TE_ID,0))</f>
      </c>
      <c r="AE5" s="3454"/>
      <c r="AF5" s="3454"/>
      <c r="AG5" s="3454"/>
      <c r="AH5" s="3454"/>
      <c r="AI5" s="3454"/>
      <c r="AJ5" s="3454"/>
      <c r="AK5" s="3454"/>
      <c r="AL5" s="3455"/>
      <c r="AM5" s="2469" t="s">
        <v>420</v>
      </c>
      <c r="AO5" s="1711"/>
      <c r="AP5" s="1711" t="str">
        <f>IF(T5="","",T5)</f>
        <v>Источник тепловой энергии  </v>
      </c>
      <c r="AQ5" s="1711"/>
      <c r="AR5" s="1711"/>
      <c r="AS5" s="2366">
        <v>0</v>
      </c>
    </row>
    <row customHeight="1" ht="47.25" hidden="1">
      <c r="A6" s="2574"/>
      <c r="B6" s="2574"/>
      <c r="C6" s="2574"/>
      <c r="D6" s="2574"/>
      <c r="E6" s="3470"/>
      <c r="F6" s="3470"/>
      <c r="G6" s="3470"/>
      <c r="H6" s="3470"/>
      <c r="I6" s="3467">
        <f>S5&amp;".1"</f>
      </c>
      <c r="J6" s="2574"/>
      <c r="K6" s="2574"/>
      <c r="L6" s="2575" t="s">
        <v>421</v>
      </c>
      <c r="M6" s="1748"/>
      <c r="P6" s="3468">
        <v>1</v>
      </c>
      <c r="Q6" s="2542"/>
      <c r="R6" s="1567"/>
      <c r="S6" s="2547">
        <f>$I6</f>
      </c>
      <c r="T6" s="1496" t="s">
        <v>422</v>
      </c>
      <c r="U6" s="1511"/>
      <c r="V6" s="3456"/>
      <c r="W6" s="3457"/>
      <c r="X6" s="3457"/>
      <c r="Y6" s="3457"/>
      <c r="Z6" s="3457"/>
      <c r="AA6" s="3457"/>
      <c r="AB6" s="3457"/>
      <c r="AC6" s="3458"/>
      <c r="AD6" s="3456"/>
      <c r="AE6" s="3457"/>
      <c r="AF6" s="3457"/>
      <c r="AG6" s="3457"/>
      <c r="AH6" s="3457"/>
      <c r="AI6" s="3457"/>
      <c r="AJ6" s="3457"/>
      <c r="AK6" s="3457"/>
      <c r="AL6" s="3458"/>
      <c r="AM6" s="2469" t="s">
        <v>423</v>
      </c>
      <c r="AO6" s="1711"/>
      <c r="AP6" s="1711" t="str">
        <f>IF(T6="","",T6)</f>
        <v>Схема подключения теплопотребляющей установки к коллектору источника тепловой энергии</v>
      </c>
      <c r="AQ6" s="1711"/>
      <c r="AR6" s="1711"/>
      <c r="AS6" s="2366">
        <v>0</v>
      </c>
    </row>
    <row customHeight="1" ht="21" hidden="1">
      <c r="A7" s="2574"/>
      <c r="B7" s="2574"/>
      <c r="C7" s="2574"/>
      <c r="D7" s="2574"/>
      <c r="E7" s="3470"/>
      <c r="F7" s="3470"/>
      <c r="G7" s="3470"/>
      <c r="H7" s="3470"/>
      <c r="I7" s="3497"/>
      <c r="J7" s="3467">
        <f>I6&amp;".1"</f>
      </c>
      <c r="K7" s="2574"/>
      <c r="L7" s="2575" t="s">
        <v>424</v>
      </c>
      <c r="M7" s="1748"/>
      <c r="N7" s="2577"/>
      <c r="P7" s="3468"/>
      <c r="Q7" s="3468">
        <v>1</v>
      </c>
      <c r="R7" s="1568"/>
      <c r="S7" s="2547">
        <f>$J7</f>
      </c>
      <c r="T7" s="1497" t="s">
        <v>425</v>
      </c>
      <c r="U7" s="1511"/>
      <c r="V7" s="3456"/>
      <c r="W7" s="3457"/>
      <c r="X7" s="3457"/>
      <c r="Y7" s="3457"/>
      <c r="Z7" s="3457"/>
      <c r="AA7" s="3457"/>
      <c r="AB7" s="3457"/>
      <c r="AC7" s="3458"/>
      <c r="AD7" s="3456"/>
      <c r="AE7" s="3457"/>
      <c r="AF7" s="3457"/>
      <c r="AG7" s="3457"/>
      <c r="AH7" s="3457"/>
      <c r="AI7" s="3457"/>
      <c r="AJ7" s="3457"/>
      <c r="AK7" s="3457"/>
      <c r="AL7" s="3458"/>
      <c r="AM7" s="2469" t="s">
        <v>426</v>
      </c>
      <c r="AO7" s="1711"/>
      <c r="AP7" s="1711" t="str">
        <f>IF(T7="","",T7)</f>
        <v>Группа потребителей</v>
      </c>
      <c r="AQ7" s="1711"/>
      <c r="AR7" s="1711"/>
      <c r="AS7" s="2366">
        <v>0</v>
      </c>
    </row>
    <row customHeight="1" ht="21" hidden="1">
      <c r="A8" s="2574"/>
      <c r="B8" s="2574"/>
      <c r="C8" s="2574"/>
      <c r="D8" s="2574"/>
      <c r="E8" s="3470"/>
      <c r="F8" s="3470"/>
      <c r="G8" s="3470"/>
      <c r="H8" s="3470"/>
      <c r="I8" s="3497"/>
      <c r="J8" s="3497"/>
      <c r="K8" s="3467">
        <f>J7&amp;".1"</f>
      </c>
      <c r="L8" s="2575" t="s">
        <v>427</v>
      </c>
      <c r="M8" s="1748"/>
      <c r="N8" s="2577"/>
      <c r="O8" s="2577"/>
      <c r="P8" s="3468"/>
      <c r="Q8" s="3468"/>
      <c r="R8" s="1568">
        <v>1</v>
      </c>
      <c r="S8" s="2547">
        <f>$K8</f>
      </c>
      <c r="T8" s="2558"/>
      <c r="U8" s="1511"/>
      <c r="V8" s="1536"/>
      <c r="W8" s="1962"/>
      <c r="X8" s="1536"/>
      <c r="Y8" s="1595"/>
      <c r="Z8" s="3476"/>
      <c r="AA8" s="3318" t="s">
        <v>62</v>
      </c>
      <c r="AB8" s="3476"/>
      <c r="AC8" s="3318" t="s">
        <v>62</v>
      </c>
      <c r="AD8" s="1536"/>
      <c r="AE8" s="1962"/>
      <c r="AF8" s="1536"/>
      <c r="AG8" s="1595"/>
      <c r="AH8" s="3476"/>
      <c r="AI8" s="3318" t="s">
        <v>62</v>
      </c>
      <c r="AJ8" s="3476"/>
      <c r="AK8" s="3318" t="s">
        <v>62</v>
      </c>
      <c r="AL8" s="1536"/>
      <c r="AM8" s="3464" t="s">
        <v>428</v>
      </c>
      <c r="AN8" s="1722">
        <f>STRCHECKDATE(V9:AL9)</f>
      </c>
      <c r="AO8" s="1711"/>
      <c r="AP8" s="1711" t="str">
        <f>IF(T8="","",T8)</f>
        <v/>
      </c>
      <c r="AQ8" s="1711"/>
      <c r="AR8" s="1711"/>
      <c r="AS8" s="2366">
        <v>0</v>
      </c>
    </row>
    <row customHeight="1" ht="0.75" hidden="1">
      <c r="A9" s="2574"/>
      <c r="B9" s="2574"/>
      <c r="C9" s="2574"/>
      <c r="D9" s="2574"/>
      <c r="E9" s="3470"/>
      <c r="F9" s="3470"/>
      <c r="G9" s="3470"/>
      <c r="H9" s="3470"/>
      <c r="I9" s="3497"/>
      <c r="J9" s="3497"/>
      <c r="K9" s="3467"/>
      <c r="L9" s="2575"/>
      <c r="M9" s="1748"/>
      <c r="N9" s="2577"/>
      <c r="O9" s="2577"/>
      <c r="P9" s="3468"/>
      <c r="Q9" s="3468"/>
      <c r="R9" s="1568"/>
      <c r="S9" s="2553"/>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1711"/>
      <c r="AP9" s="1711" t="str">
        <f>IF(T9="","",T9)</f>
        <v/>
      </c>
      <c r="AQ9" s="1711"/>
      <c r="AR9" s="1711"/>
      <c r="AS9" s="2366">
        <v>0</v>
      </c>
    </row>
    <row customHeight="1" ht="15" hidden="1">
      <c r="A10" s="2574"/>
      <c r="B10" s="2574"/>
      <c r="C10" s="2574"/>
      <c r="D10" s="2574"/>
      <c r="E10" s="3470"/>
      <c r="F10" s="3470"/>
      <c r="G10" s="3470"/>
      <c r="H10" s="3470"/>
      <c r="I10" s="3497"/>
      <c r="J10" s="3467"/>
      <c r="K10" s="2574"/>
      <c r="L10" s="2575"/>
      <c r="M10" s="1748"/>
      <c r="N10" s="2577"/>
      <c r="P10" s="3468"/>
      <c r="Q10" s="3468"/>
      <c r="R10" s="1567"/>
      <c r="S10" s="2489"/>
      <c r="T10" s="1499" t="s">
        <v>429</v>
      </c>
      <c r="U10" s="1578"/>
      <c r="V10" s="1578"/>
      <c r="W10" s="1578"/>
      <c r="X10" s="1578"/>
      <c r="Y10" s="1578"/>
      <c r="Z10" s="1578"/>
      <c r="AA10" s="1578"/>
      <c r="AB10" s="1578"/>
      <c r="AC10" s="1578"/>
      <c r="AD10" s="1578"/>
      <c r="AE10" s="1578"/>
      <c r="AF10" s="1578"/>
      <c r="AG10" s="1578"/>
      <c r="AH10" s="1578"/>
      <c r="AI10" s="1578"/>
      <c r="AJ10" s="1578"/>
      <c r="AK10" s="1578"/>
      <c r="AL10" s="1535"/>
      <c r="AM10" s="3466"/>
      <c r="AO10" s="1711"/>
      <c r="AP10" s="1711" t="str">
        <f>IF(T10="","",T10)</f>
        <v>Добавить вид теплоносителя (параметры теплоносителя)</v>
      </c>
      <c r="AQ10" s="1711"/>
      <c r="AR10" s="1711"/>
      <c r="AS10" s="2366">
        <v>0</v>
      </c>
    </row>
    <row customHeight="1" ht="15" hidden="1">
      <c r="A11" s="2574"/>
      <c r="B11" s="2574"/>
      <c r="C11" s="2574"/>
      <c r="D11" s="2574"/>
      <c r="E11" s="3470"/>
      <c r="F11" s="3470"/>
      <c r="G11" s="3470"/>
      <c r="H11" s="3470"/>
      <c r="I11" s="3467"/>
      <c r="J11" s="2574"/>
      <c r="K11" s="2574"/>
      <c r="L11" s="2575"/>
      <c r="M11" s="1748"/>
      <c r="P11" s="3468"/>
      <c r="Q11" s="2542"/>
      <c r="R11" s="1567"/>
      <c r="S11" s="2489"/>
      <c r="T11" s="1498" t="s">
        <v>430</v>
      </c>
      <c r="U11" s="1578"/>
      <c r="V11" s="1578"/>
      <c r="W11" s="1578"/>
      <c r="X11" s="1578"/>
      <c r="Y11" s="1578"/>
      <c r="Z11" s="1578"/>
      <c r="AA11" s="1578"/>
      <c r="AB11" s="1578"/>
      <c r="AC11" s="1577"/>
      <c r="AD11" s="1578"/>
      <c r="AE11" s="1578"/>
      <c r="AF11" s="1578"/>
      <c r="AG11" s="1578"/>
      <c r="AH11" s="1578"/>
      <c r="AI11" s="1578"/>
      <c r="AJ11" s="1578"/>
      <c r="AK11" s="1577"/>
      <c r="AL11" s="1578"/>
      <c r="AM11" s="1514"/>
      <c r="AO11" s="1711"/>
      <c r="AP11" s="1711" t="str">
        <f>IF(T11="","",T11)</f>
        <v>Добавить группу потребителей</v>
      </c>
      <c r="AQ11" s="1711"/>
      <c r="AR11" s="1711"/>
      <c r="AS11" s="2366">
        <v>0</v>
      </c>
    </row>
    <row customHeight="1" ht="14.25" hidden="1">
      <c r="A12" s="2574"/>
      <c r="B12" s="2574"/>
      <c r="C12" s="2574"/>
      <c r="D12" s="2574"/>
      <c r="E12" s="3470"/>
      <c r="F12" s="3470"/>
      <c r="G12" s="3470"/>
      <c r="H12" s="3469"/>
      <c r="I12" s="2574"/>
      <c r="J12" s="2574"/>
      <c r="K12" s="2574"/>
      <c r="L12" s="2575"/>
      <c r="M12" s="2576"/>
      <c r="N12" s="2576"/>
      <c r="O12" s="1748"/>
      <c r="P12" s="1571"/>
      <c r="Q12" s="1586"/>
      <c r="R12" s="1566"/>
      <c r="S12" s="2489"/>
      <c r="T12" s="1576" t="s">
        <v>431</v>
      </c>
      <c r="U12" s="1578"/>
      <c r="V12" s="1578"/>
      <c r="W12" s="1578"/>
      <c r="X12" s="1578"/>
      <c r="Y12" s="1578"/>
      <c r="Z12" s="1578"/>
      <c r="AA12" s="1578"/>
      <c r="AB12" s="1578"/>
      <c r="AC12" s="1577"/>
      <c r="AD12" s="1578"/>
      <c r="AE12" s="1578"/>
      <c r="AF12" s="1578"/>
      <c r="AG12" s="1578"/>
      <c r="AH12" s="1578"/>
      <c r="AI12" s="1578"/>
      <c r="AJ12" s="1578"/>
      <c r="AK12" s="1577"/>
      <c r="AL12" s="1578"/>
      <c r="AM12" s="1514"/>
      <c r="AO12" s="1711"/>
      <c r="AP12" s="1711" t="str">
        <f>IF(T12="","",T12)</f>
        <v>Добавить схему подключения</v>
      </c>
      <c r="AQ12" s="1711"/>
      <c r="AR12" s="1711"/>
      <c r="AS12" s="2366">
        <v>0</v>
      </c>
    </row>
    <row s="65923" customFormat="1" customHeight="1" ht="0.75" hidden="1">
      <c r="A13" s="2525"/>
      <c r="B13" s="2525"/>
      <c r="C13" s="2525"/>
      <c r="D13" s="2525"/>
      <c r="E13" s="3470"/>
      <c r="F13" s="3470"/>
      <c r="G13" s="3469"/>
      <c r="H13" s="2525"/>
      <c r="I13" s="2525"/>
      <c r="J13" s="2525"/>
      <c r="K13" s="2525"/>
      <c r="L13" s="2550"/>
      <c r="M13" s="2526"/>
      <c r="N13" s="2526"/>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000"/>
      <c r="AP13" s="2000" t="str">
        <f>IF(T13="","",T13)</f>
        <v>Добавить источник для дифференциации</v>
      </c>
      <c r="AQ13" s="2000"/>
      <c r="AR13" s="2000"/>
      <c r="AS13" s="1729">
        <v>0</v>
      </c>
    </row>
    <row s="65923" customFormat="1" customHeight="1" ht="0.75" hidden="1">
      <c r="A14" s="2525"/>
      <c r="B14" s="2525"/>
      <c r="C14" s="2525"/>
      <c r="D14" s="2525"/>
      <c r="E14" s="3470"/>
      <c r="F14" s="3469"/>
      <c r="G14" s="2525"/>
      <c r="H14" s="2525"/>
      <c r="I14" s="2525"/>
      <c r="J14" s="2525"/>
      <c r="K14" s="2525"/>
      <c r="L14" s="2550"/>
      <c r="M14" s="2532"/>
      <c r="N14" s="2532"/>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000"/>
      <c r="AP14" s="2000" t="str">
        <f>IF(T14="","",T14)</f>
        <v>Добавить централизованную систему для дифференциации</v>
      </c>
      <c r="AQ14" s="2000"/>
      <c r="AR14" s="2000"/>
      <c r="AS14" s="1729">
        <v>0</v>
      </c>
    </row>
    <row s="65923" customFormat="1" customHeight="1" ht="0.75" hidden="1">
      <c r="A15" s="2525"/>
      <c r="B15" s="2525"/>
      <c r="C15" s="2525"/>
      <c r="D15" s="2525"/>
      <c r="E15" s="3469"/>
      <c r="F15" s="2525"/>
      <c r="G15" s="2525"/>
      <c r="H15" s="2525"/>
      <c r="I15" s="2525"/>
      <c r="J15" s="2525"/>
      <c r="K15" s="2525"/>
      <c r="L15" s="2550"/>
      <c r="M15" s="2532"/>
      <c r="N15" s="2532"/>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000"/>
      <c r="AP15" s="2000" t="str">
        <f>IF(T15="","",T15)</f>
        <v>Добавить территорию для дифференциации</v>
      </c>
      <c r="AQ15" s="2000"/>
      <c r="AR15" s="2000"/>
      <c r="AS15" s="1729">
        <v>0</v>
      </c>
    </row>
    <row customHeight="1" ht="14.25" hidden="1">
      <c r="AC16" s="1538"/>
      <c r="AK16" s="1538"/>
      <c r="AS16" s="2366">
        <v>0</v>
      </c>
    </row>
    <row customHeight="1" ht="14.25" hidden="1">
      <c r="AD17" s="2571"/>
      <c r="AE17" s="2571"/>
      <c r="AF17" s="2571"/>
      <c r="AG17" s="2572"/>
      <c r="AH17" s="3478"/>
      <c r="AI17" s="3479" t="s">
        <v>62</v>
      </c>
      <c r="AJ17" s="3478"/>
      <c r="AK17" s="3479" t="s">
        <v>62</v>
      </c>
      <c r="AS17" s="2366">
        <v>0</v>
      </c>
    </row>
    <row customHeight="1" ht="14.25" hidden="1">
      <c r="AD18" s="2571"/>
      <c r="AE18" s="2571"/>
      <c r="AF18" s="2571"/>
      <c r="AG18" s="1539" t="str">
        <f>AH17&amp;"-"&amp;AJ17</f>
        <v>-</v>
      </c>
      <c r="AH18" s="3479"/>
      <c r="AI18" s="3479"/>
      <c r="AJ18" s="3479"/>
      <c r="AK18" s="3479"/>
      <c r="AS18" s="2366">
        <v>0</v>
      </c>
    </row>
    <row customHeight="1" ht="14.25" hidden="1">
      <c r="AK19" s="1538"/>
      <c r="AS19" s="2366">
        <v>0</v>
      </c>
    </row>
    <row s="66852" customFormat="1" customHeight="1" ht="22.5" hidden="1">
      <c r="L20" s="2540"/>
      <c r="M20" s="2573"/>
      <c r="N20" s="2573"/>
      <c r="O20" s="2578" t="s">
        <v>435</v>
      </c>
      <c r="P20" s="2573"/>
      <c r="Q20" s="2582"/>
      <c r="R20" s="2582"/>
      <c r="S20" s="1940"/>
      <c r="Z20" s="2578"/>
      <c r="AB20" s="2578"/>
      <c r="AC20" s="2577"/>
      <c r="AH20" s="2578"/>
      <c r="AJ20" s="2578"/>
      <c r="AK20" s="2577"/>
      <c r="AN20" s="1722"/>
      <c r="AO20" s="1722"/>
      <c r="AP20" s="1722"/>
      <c r="AQ20" s="1722"/>
      <c r="AR20" s="1722"/>
      <c r="AS20" s="2371">
        <v>0</v>
      </c>
    </row>
    <row s="66852" customFormat="1" customHeight="1" ht="14.25" hidden="1">
      <c r="L21" s="2540"/>
      <c r="M21" s="2573"/>
      <c r="N21" s="2573"/>
      <c r="O21" s="2573"/>
      <c r="P21" s="2573"/>
      <c r="Q21" s="2582"/>
      <c r="R21" s="2582"/>
      <c r="S21" s="1940"/>
      <c r="AC21" s="2577"/>
      <c r="AK21" s="2577"/>
      <c r="AN21" s="1722"/>
      <c r="AO21" s="1722"/>
      <c r="AP21" s="1722"/>
      <c r="AQ21" s="1722"/>
      <c r="AR21" s="1722"/>
      <c r="AS21" s="2371">
        <v>0</v>
      </c>
    </row>
    <row s="66852" customFormat="1" customHeight="1" ht="33.75" hidden="1">
      <c r="L22" s="2540"/>
      <c r="M22" s="2573"/>
      <c r="N22" s="2573"/>
      <c r="O22" s="2575" t="s">
        <v>436</v>
      </c>
      <c r="P22" s="2573"/>
      <c r="Q22" s="2582"/>
      <c r="R22" s="2582"/>
      <c r="S22" s="1940"/>
      <c r="T22" s="2371" t="s">
        <v>437</v>
      </c>
      <c r="AA22" s="1397" t="s">
        <v>438</v>
      </c>
      <c r="AC22" s="1397" t="s">
        <v>439</v>
      </c>
      <c r="AD22" s="2371" t="s">
        <v>437</v>
      </c>
      <c r="AI22" s="1397" t="s">
        <v>440</v>
      </c>
      <c r="AK22" s="1397" t="s">
        <v>439</v>
      </c>
      <c r="AN22" s="1722"/>
      <c r="AO22" s="1722"/>
      <c r="AP22" s="1722"/>
      <c r="AQ22" s="1722"/>
      <c r="AR22" s="1722"/>
      <c r="AS22" s="2371">
        <v>0</v>
      </c>
    </row>
    <row customHeight="1" ht="14.25" hidden="1">
      <c r="O23" s="2575"/>
      <c r="AS23" s="2366">
        <v>0</v>
      </c>
    </row>
    <row customHeight="1" ht="14.25" hidden="1">
      <c r="O24" s="2575"/>
      <c r="AS24" s="2366">
        <v>0</v>
      </c>
    </row>
    <row customHeight="1" ht="14.699999999999998">
      <c r="Q25" s="1587"/>
      <c r="R25" s="1587"/>
      <c r="S25" s="2486"/>
      <c r="T25" s="1574"/>
      <c r="U25" s="1574"/>
      <c r="V25" s="1720"/>
      <c r="W25" s="1720"/>
      <c r="X25" s="1720"/>
      <c r="Y25" s="1720"/>
      <c r="Z25" s="1720"/>
      <c r="AA25" s="1720"/>
      <c r="AB25" s="1720"/>
      <c r="AC25" s="1720"/>
      <c r="AD25" s="1720"/>
      <c r="AE25" s="1720"/>
      <c r="AF25" s="1720"/>
      <c r="AG25" s="1720"/>
      <c r="AH25" s="1720"/>
      <c r="AI25" s="1720"/>
      <c r="AJ25" s="1720"/>
      <c r="AK25" s="1720"/>
      <c r="AS25" s="2366">
        <v>14</v>
      </c>
    </row>
    <row customHeight="1" ht="29.25">
      <c r="Q26" s="1587"/>
      <c r="R26" s="1587"/>
      <c r="S26" s="345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3459"/>
      <c r="U26" s="3459"/>
      <c r="V26" s="3459"/>
      <c r="W26" s="3459"/>
      <c r="X26" s="3459"/>
      <c r="Y26" s="3459"/>
      <c r="Z26" s="3459"/>
      <c r="AA26" s="3459"/>
      <c r="AB26" s="3459"/>
      <c r="AC26" s="3459"/>
      <c r="AD26" s="3459"/>
      <c r="AE26" s="3459"/>
      <c r="AF26" s="3459"/>
      <c r="AG26" s="3459"/>
      <c r="AH26" s="3459"/>
      <c r="AI26" s="3459"/>
      <c r="AJ26" s="3459"/>
      <c r="AK26" s="2454"/>
      <c r="AS26" s="2366">
        <v>28</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366">
        <v>14</v>
      </c>
    </row>
    <row customHeight="1" ht="14.25" hidden="1">
      <c r="Q28" s="1587"/>
      <c r="R28" s="1587"/>
      <c r="S28" s="2486"/>
      <c r="T28" s="1574"/>
      <c r="U28" s="1574"/>
      <c r="V28" s="1533"/>
      <c r="W28" s="1533"/>
      <c r="X28" s="1533"/>
      <c r="Y28" s="1533"/>
      <c r="Z28" s="1533"/>
      <c r="AA28" s="1533"/>
      <c r="AB28" s="1533"/>
      <c r="AC28" s="1533"/>
      <c r="AD28" s="1533"/>
      <c r="AE28" s="1533"/>
      <c r="AF28" s="1533"/>
      <c r="AG28" s="1533"/>
      <c r="AH28" s="1533"/>
      <c r="AI28" s="1533"/>
      <c r="AJ28" s="1533"/>
      <c r="AK28" s="1533"/>
      <c r="AL28" s="1720"/>
      <c r="AS28" s="2366">
        <v>0</v>
      </c>
    </row>
    <row s="67333" customFormat="1" customHeight="1" ht="25.5" hidden="1">
      <c r="A29" s="2579"/>
      <c r="B29" s="2579"/>
      <c r="C29" s="2579"/>
      <c r="D29" s="2579"/>
      <c r="E29" s="2579"/>
      <c r="F29" s="2579"/>
      <c r="G29" s="2579"/>
      <c r="H29" s="2579"/>
      <c r="I29" s="2579"/>
      <c r="J29" s="2579"/>
      <c r="K29" s="2579"/>
      <c r="L29" s="2580"/>
      <c r="M29" s="2579"/>
      <c r="N29" s="2579"/>
      <c r="O29" s="2579"/>
      <c r="S29" s="3461" t="s">
        <v>41</v>
      </c>
      <c r="T29" s="3461"/>
      <c r="U29" s="2583"/>
      <c r="V29" s="3462" t="str">
        <f>IF(TITLE_NAME_OR_PR_CHANGE="",IF(TITLE_NAME_OR_PR="","",TITLE_NAME_OR_PR),TITLE_NAME_OR_PR_CHANGE)</f>
        <v/>
      </c>
      <c r="W29" s="3462"/>
      <c r="X29" s="3462"/>
      <c r="Y29" s="3462"/>
      <c r="Z29" s="3462"/>
      <c r="AA29" s="3462"/>
      <c r="AB29" s="3462"/>
      <c r="AC29" s="1537"/>
      <c r="AD29" s="3462" t="str">
        <f>IF(TITLE_NAME_OR_PR_CHANGE="",IF(TITLE_NAME_OR_PR="","",TITLE_NAME_OR_PR),TITLE_NAME_OR_PR_CHANGE)</f>
        <v/>
      </c>
      <c r="AE29" s="3462"/>
      <c r="AF29" s="3462"/>
      <c r="AG29" s="3462"/>
      <c r="AH29" s="3462"/>
      <c r="AI29" s="3462"/>
      <c r="AJ29" s="3462"/>
      <c r="AK29" s="1537"/>
      <c r="AL29" s="1537"/>
      <c r="AM29" s="1491"/>
      <c r="AN29" s="1579"/>
      <c r="AO29" s="1579"/>
      <c r="AP29" s="1579"/>
      <c r="AQ29" s="1579"/>
      <c r="AR29" s="1579"/>
      <c r="AS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441</v>
      </c>
      <c r="T30" s="3461"/>
      <c r="U30" s="2583"/>
      <c r="V30" s="3475" t="str">
        <f>IF(TITLE_DATE_PR_CHANGE="",IF(TITLE_DATE_PR="","",TITLE_DATE_PR),TITLE_DATE_PR_CHANGE)</f>
        <v/>
      </c>
      <c r="W30" s="3475"/>
      <c r="X30" s="3475"/>
      <c r="Y30" s="3475"/>
      <c r="Z30" s="3475"/>
      <c r="AA30" s="3475"/>
      <c r="AB30" s="3475"/>
      <c r="AC30" s="1537"/>
      <c r="AD30" s="3475" t="str">
        <f>IF(TITLE_DATE_PR_CHANGE="",IF(TITLE_DATE_PR="","",TITLE_DATE_PR),TITLE_DATE_PR_CHANGE)</f>
        <v/>
      </c>
      <c r="AE30" s="3475"/>
      <c r="AF30" s="3475"/>
      <c r="AG30" s="3475"/>
      <c r="AH30" s="3475"/>
      <c r="AI30" s="3475"/>
      <c r="AJ30" s="3475"/>
      <c r="AK30" s="1537"/>
      <c r="AL30" s="1537"/>
      <c r="AM30" s="1491"/>
      <c r="AN30" s="1579"/>
      <c r="AO30" s="1579"/>
      <c r="AP30" s="1579"/>
      <c r="AQ30" s="1579"/>
      <c r="AR30" s="1579"/>
      <c r="AS30" s="1629">
        <v>0</v>
      </c>
    </row>
    <row s="67333" customFormat="1" customHeight="1" ht="18.75" hidden="1">
      <c r="A31" s="2579"/>
      <c r="B31" s="2579"/>
      <c r="C31" s="2579"/>
      <c r="D31" s="2579"/>
      <c r="E31" s="2579"/>
      <c r="F31" s="2579"/>
      <c r="G31" s="2579"/>
      <c r="H31" s="2579"/>
      <c r="I31" s="2579"/>
      <c r="J31" s="2579"/>
      <c r="K31" s="2579"/>
      <c r="L31" s="2580"/>
      <c r="M31" s="2579"/>
      <c r="N31" s="2579"/>
      <c r="O31" s="2579"/>
      <c r="S31" s="3461" t="s">
        <v>442</v>
      </c>
      <c r="T31" s="3461"/>
      <c r="U31" s="2583"/>
      <c r="V31" s="3462" t="str">
        <f>IF(TITLE_NUMBER_PR_CHANGE="",IF(TITLE_NUMBER_PR="","",TITLE_NUMBER_PR),TITLE_NUMBER_PR_CHANGE)</f>
        <v/>
      </c>
      <c r="W31" s="3462"/>
      <c r="X31" s="3462"/>
      <c r="Y31" s="3462"/>
      <c r="Z31" s="3462"/>
      <c r="AA31" s="3462"/>
      <c r="AB31" s="3462"/>
      <c r="AC31" s="1537"/>
      <c r="AD31" s="3462" t="str">
        <f>IF(TITLE_NUMBER_PR_CHANGE="",IF(TITLE_NUMBER_PR="","",TITLE_NUMBER_PR),TITLE_NUMBER_PR_CHANGE)</f>
        <v/>
      </c>
      <c r="AE31" s="3462"/>
      <c r="AF31" s="3462"/>
      <c r="AG31" s="3462"/>
      <c r="AH31" s="3462"/>
      <c r="AI31" s="3462"/>
      <c r="AJ31" s="3462"/>
      <c r="AK31" s="1537"/>
      <c r="AL31" s="1537"/>
      <c r="AM31" s="1491"/>
      <c r="AN31" s="1579"/>
      <c r="AO31" s="1579"/>
      <c r="AP31" s="1579"/>
      <c r="AQ31" s="1579"/>
      <c r="AR31" s="1579"/>
      <c r="AS31" s="1629">
        <v>0</v>
      </c>
    </row>
    <row s="67333" customFormat="1" customHeight="1" ht="18.75" hidden="1">
      <c r="A32" s="2579"/>
      <c r="B32" s="2579"/>
      <c r="C32" s="2579"/>
      <c r="D32" s="2579"/>
      <c r="E32" s="2579"/>
      <c r="F32" s="2579"/>
      <c r="G32" s="2579"/>
      <c r="H32" s="2579"/>
      <c r="I32" s="2579"/>
      <c r="J32" s="2579"/>
      <c r="K32" s="2579"/>
      <c r="L32" s="2580"/>
      <c r="M32" s="2579"/>
      <c r="N32" s="2579"/>
      <c r="O32" s="2579"/>
      <c r="S32" s="3461" t="s">
        <v>42</v>
      </c>
      <c r="T32" s="3461"/>
      <c r="U32" s="2583"/>
      <c r="V32" s="3462" t="str">
        <f>IF(TITLE_IST_PUB_CHANGE="",IF(TITLE_IST_PUB="","",TITLE_IST_PUB),TITLE_IST_PUB_CHANGE)</f>
        <v/>
      </c>
      <c r="W32" s="3462"/>
      <c r="X32" s="3462"/>
      <c r="Y32" s="3462"/>
      <c r="Z32" s="3462"/>
      <c r="AA32" s="3462"/>
      <c r="AB32" s="3462"/>
      <c r="AC32" s="1537"/>
      <c r="AD32" s="3462" t="str">
        <f>IF(TITLE_IST_PUB_CHANGE="",IF(TITLE_IST_PUB="","",TITLE_IST_PUB),TITLE_IST_PUB_CHANGE)</f>
        <v/>
      </c>
      <c r="AE32" s="3462"/>
      <c r="AF32" s="3462"/>
      <c r="AG32" s="3462"/>
      <c r="AH32" s="3462"/>
      <c r="AI32" s="3462"/>
      <c r="AJ32" s="3462"/>
      <c r="AK32" s="1537"/>
      <c r="AL32" s="1537"/>
      <c r="AM32" s="1491"/>
      <c r="AN32" s="1579"/>
      <c r="AO32" s="1579"/>
      <c r="AP32" s="1579"/>
      <c r="AQ32" s="1579"/>
      <c r="AR32" s="1579"/>
      <c r="AS32" s="1629">
        <v>0</v>
      </c>
    </row>
    <row customHeight="1" ht="14.25" hidden="1">
      <c r="Q33" s="1587"/>
      <c r="R33" s="1587"/>
      <c r="S33" s="2486"/>
      <c r="T33" s="1574"/>
      <c r="U33" s="1574"/>
      <c r="V33" s="1533"/>
      <c r="W33" s="1533"/>
      <c r="X33" s="1533"/>
      <c r="Y33" s="1533"/>
      <c r="Z33" s="1533"/>
      <c r="AA33" s="1533"/>
      <c r="AB33" s="1533"/>
      <c r="AC33" s="1533"/>
      <c r="AD33" s="1533"/>
      <c r="AE33" s="1533"/>
      <c r="AF33" s="1533"/>
      <c r="AG33" s="1533"/>
      <c r="AH33" s="1533"/>
      <c r="AI33" s="1533"/>
      <c r="AJ33" s="1533"/>
      <c r="AK33" s="1533"/>
      <c r="AL33" s="1720"/>
      <c r="AS33" s="2366">
        <v>0</v>
      </c>
    </row>
    <row s="67333" customFormat="1" customHeight="1" ht="18.75" hidden="1">
      <c r="A34" s="2579"/>
      <c r="B34" s="2579"/>
      <c r="C34" s="2579"/>
      <c r="D34" s="2579"/>
      <c r="E34" s="2579"/>
      <c r="F34" s="2579"/>
      <c r="G34" s="2579"/>
      <c r="H34" s="2579"/>
      <c r="I34" s="2579"/>
      <c r="J34" s="2579"/>
      <c r="K34" s="2579"/>
      <c r="L34" s="2580"/>
      <c r="M34" s="2579"/>
      <c r="N34" s="2579"/>
      <c r="O34" s="2579"/>
      <c r="S34" s="3461" t="s">
        <v>443</v>
      </c>
      <c r="T34" s="3461"/>
      <c r="U34" s="2583"/>
      <c r="V34" s="3475" t="str">
        <f>IF(TITLE_DATE_PR_CHANGE="",IF(TITLE_DATE_PR="","",TITLE_DATE_PR),TITLE_DATE_PR_CHANGE)</f>
        <v/>
      </c>
      <c r="W34" s="3475"/>
      <c r="X34" s="3475"/>
      <c r="Y34" s="3475"/>
      <c r="Z34" s="3475"/>
      <c r="AA34" s="3475"/>
      <c r="AB34" s="3475"/>
      <c r="AC34" s="1537"/>
      <c r="AD34" s="3475" t="str">
        <f>IF(TITLE_DATE_PR_CHANGE="",IF(TITLE_DATE_PR="","",TITLE_DATE_PR),TITLE_DATE_PR_CHANGE)</f>
        <v/>
      </c>
      <c r="AE34" s="3475"/>
      <c r="AF34" s="3475"/>
      <c r="AG34" s="3475"/>
      <c r="AH34" s="3475"/>
      <c r="AI34" s="3475"/>
      <c r="AJ34" s="3475"/>
      <c r="AK34" s="1537"/>
      <c r="AL34" s="1537"/>
      <c r="AM34" s="1491"/>
      <c r="AN34" s="1579"/>
      <c r="AO34" s="1579"/>
      <c r="AP34" s="1579"/>
      <c r="AQ34" s="1579"/>
      <c r="AR34" s="1579"/>
      <c r="AS34" s="1629">
        <v>0</v>
      </c>
    </row>
    <row s="67333" customFormat="1" customHeight="1" ht="18.75" hidden="1">
      <c r="A35" s="2579"/>
      <c r="B35" s="2579"/>
      <c r="C35" s="2579"/>
      <c r="D35" s="2579"/>
      <c r="E35" s="2579"/>
      <c r="F35" s="2579"/>
      <c r="G35" s="2579"/>
      <c r="H35" s="2579"/>
      <c r="I35" s="2579"/>
      <c r="J35" s="2579"/>
      <c r="K35" s="2579"/>
      <c r="L35" s="2580"/>
      <c r="M35" s="2579"/>
      <c r="N35" s="2579"/>
      <c r="O35" s="2579"/>
      <c r="S35" s="3461" t="s">
        <v>444</v>
      </c>
      <c r="T35" s="3461"/>
      <c r="U35" s="2583"/>
      <c r="V35" s="3462" t="str">
        <f>IF(TITLE_NUMBER_PR_CHANGE="",IF(TITLE_NUMBER_PR="","",TITLE_NUMBER_PR),TITLE_NUMBER_PR_CHANGE)</f>
        <v/>
      </c>
      <c r="W35" s="3462"/>
      <c r="X35" s="3462"/>
      <c r="Y35" s="3462"/>
      <c r="Z35" s="3462"/>
      <c r="AA35" s="3462"/>
      <c r="AB35" s="3462"/>
      <c r="AC35" s="1537"/>
      <c r="AD35" s="3462" t="str">
        <f>IF(TITLE_NUMBER_PR_CHANGE="",IF(TITLE_NUMBER_PR="","",TITLE_NUMBER_PR),TITLE_NUMBER_PR_CHANGE)</f>
        <v/>
      </c>
      <c r="AE35" s="3462"/>
      <c r="AF35" s="3462"/>
      <c r="AG35" s="3462"/>
      <c r="AH35" s="3462"/>
      <c r="AI35" s="3462"/>
      <c r="AJ35" s="3462"/>
      <c r="AK35" s="1537"/>
      <c r="AL35" s="1537"/>
      <c r="AM35" s="1491"/>
      <c r="AN35" s="1579"/>
      <c r="AO35" s="1579"/>
      <c r="AP35" s="1579"/>
      <c r="AQ35" s="1579"/>
      <c r="AR35" s="1579"/>
      <c r="AS35" s="1629">
        <v>0</v>
      </c>
    </row>
    <row s="67333" customFormat="1" customHeight="1" ht="0">
      <c r="A36" s="2579"/>
      <c r="B36" s="2579"/>
      <c r="C36" s="2579"/>
      <c r="D36" s="2579"/>
      <c r="E36" s="2579"/>
      <c r="F36" s="2579"/>
      <c r="G36" s="2579"/>
      <c r="H36" s="2579"/>
      <c r="I36" s="2579"/>
      <c r="J36" s="2579"/>
      <c r="K36" s="2579"/>
      <c r="L36" s="2580"/>
      <c r="M36" s="2579"/>
      <c r="N36" s="2579"/>
      <c r="O36" s="2579"/>
      <c r="S36" s="1534"/>
      <c r="T36" s="1534"/>
      <c r="U36" s="2551"/>
      <c r="V36" s="1537"/>
      <c r="W36" s="1537"/>
      <c r="X36" s="1537"/>
      <c r="Y36" s="1537"/>
      <c r="Z36" s="1537"/>
      <c r="AA36" s="1537"/>
      <c r="AB36" s="1537"/>
      <c r="AC36" s="1489" t="s">
        <v>445</v>
      </c>
      <c r="AD36" s="1537"/>
      <c r="AE36" s="1537"/>
      <c r="AF36" s="1537"/>
      <c r="AG36" s="1537"/>
      <c r="AH36" s="1537"/>
      <c r="AI36" s="1537"/>
      <c r="AJ36" s="1537"/>
      <c r="AK36" s="1489" t="s">
        <v>445</v>
      </c>
      <c r="AN36" s="1579"/>
      <c r="AO36" s="1579"/>
      <c r="AP36" s="1579"/>
      <c r="AQ36" s="1579"/>
      <c r="AR36" s="1579"/>
      <c r="AS36" s="1629">
        <v>0</v>
      </c>
    </row>
    <row customHeight="1" ht="14.699999999999998">
      <c r="Q37" s="1587"/>
      <c r="R37" s="1587"/>
      <c r="S37" s="2486"/>
      <c r="T37" s="1574"/>
      <c r="U37" s="2455"/>
      <c r="V37" s="3463"/>
      <c r="W37" s="3463"/>
      <c r="X37" s="3463"/>
      <c r="Y37" s="3463"/>
      <c r="Z37" s="3463"/>
      <c r="AA37" s="3463"/>
      <c r="AB37" s="3463"/>
      <c r="AC37" s="3463"/>
      <c r="AD37" s="3463"/>
      <c r="AE37" s="3463"/>
      <c r="AF37" s="3463"/>
      <c r="AG37" s="3463"/>
      <c r="AH37" s="3463"/>
      <c r="AI37" s="3463"/>
      <c r="AJ37" s="3463"/>
      <c r="AK37" s="3463"/>
      <c r="AS37" s="2366">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366">
        <v>14</v>
      </c>
    </row>
    <row customHeight="1" ht="14.699999999999998">
      <c r="Q39" s="1587"/>
      <c r="R39" s="1587"/>
      <c r="S39" s="3484" t="s">
        <v>88</v>
      </c>
      <c r="T39" s="3420" t="s">
        <v>446</v>
      </c>
      <c r="U39" s="1512"/>
      <c r="V39" s="3485" t="s">
        <v>447</v>
      </c>
      <c r="W39" s="3486"/>
      <c r="X39" s="3502"/>
      <c r="Y39" s="3502"/>
      <c r="Z39" s="3486"/>
      <c r="AA39" s="3486"/>
      <c r="AB39" s="3487"/>
      <c r="AC39" s="3488" t="s">
        <v>448</v>
      </c>
      <c r="AD39" s="3485" t="s">
        <v>447</v>
      </c>
      <c r="AE39" s="3486"/>
      <c r="AF39" s="3502"/>
      <c r="AG39" s="3502"/>
      <c r="AH39" s="3486"/>
      <c r="AI39" s="3486"/>
      <c r="AJ39" s="3487"/>
      <c r="AK39" s="3488" t="s">
        <v>449</v>
      </c>
      <c r="AL39" s="3491" t="s">
        <v>450</v>
      </c>
      <c r="AM39" s="3338"/>
      <c r="AS39" s="2366">
        <v>14</v>
      </c>
    </row>
    <row customHeight="1" ht="24">
      <c r="Q40" s="1587"/>
      <c r="R40" s="1587"/>
      <c r="S40" s="3484"/>
      <c r="T40" s="3420"/>
      <c r="U40" s="2242"/>
      <c r="V40" s="3503" t="s">
        <v>451</v>
      </c>
      <c r="W40" s="3505" t="s">
        <v>452</v>
      </c>
      <c r="X40" s="2587" t="s">
        <v>453</v>
      </c>
      <c r="Y40" s="2587"/>
      <c r="Z40" s="3480" t="s">
        <v>454</v>
      </c>
      <c r="AA40" s="3480"/>
      <c r="AB40" s="3474"/>
      <c r="AC40" s="3489"/>
      <c r="AD40" s="3503" t="s">
        <v>451</v>
      </c>
      <c r="AE40" s="3505" t="s">
        <v>452</v>
      </c>
      <c r="AF40" s="2587" t="s">
        <v>453</v>
      </c>
      <c r="AG40" s="2587"/>
      <c r="AH40" s="3480" t="s">
        <v>454</v>
      </c>
      <c r="AI40" s="3480"/>
      <c r="AJ40" s="3474"/>
      <c r="AK40" s="3489"/>
      <c r="AL40" s="3492"/>
      <c r="AM40" s="3338"/>
      <c r="AS40" s="2366">
        <v>23</v>
      </c>
    </row>
    <row s="66986" customFormat="1" customHeight="1" ht="24">
      <c r="A41" s="2581"/>
      <c r="B41" s="2581" t="s">
        <v>155</v>
      </c>
      <c r="C41" s="2581" t="s">
        <v>156</v>
      </c>
      <c r="D41" s="2581" t="s">
        <v>157</v>
      </c>
      <c r="E41" s="2575" t="s">
        <v>455</v>
      </c>
      <c r="F41" s="2575" t="s">
        <v>456</v>
      </c>
      <c r="G41" s="2575" t="s">
        <v>457</v>
      </c>
      <c r="H41" s="2575" t="s">
        <v>458</v>
      </c>
      <c r="I41" s="2575" t="s">
        <v>459</v>
      </c>
      <c r="J41" s="2575" t="s">
        <v>460</v>
      </c>
      <c r="K41" s="2575" t="s">
        <v>461</v>
      </c>
      <c r="L41" s="2575" t="s">
        <v>436</v>
      </c>
      <c r="M41" s="2573"/>
      <c r="N41" s="2573"/>
      <c r="O41" s="2573"/>
      <c r="P41" s="2539"/>
      <c r="Q41" s="1587"/>
      <c r="R41" s="1587"/>
      <c r="S41" s="3484"/>
      <c r="T41" s="3420"/>
      <c r="U41" s="1513"/>
      <c r="V41" s="3504"/>
      <c r="W41" s="3506"/>
      <c r="X41" s="2584" t="s">
        <v>462</v>
      </c>
      <c r="Y41" s="2584" t="s">
        <v>463</v>
      </c>
      <c r="Z41" s="2545" t="s">
        <v>464</v>
      </c>
      <c r="AA41" s="3481" t="s">
        <v>465</v>
      </c>
      <c r="AB41" s="3482"/>
      <c r="AC41" s="3490"/>
      <c r="AD41" s="3504"/>
      <c r="AE41" s="3506"/>
      <c r="AF41" s="2584" t="s">
        <v>462</v>
      </c>
      <c r="AG41" s="2584" t="s">
        <v>463</v>
      </c>
      <c r="AH41" s="2545" t="s">
        <v>464</v>
      </c>
      <c r="AI41" s="3481" t="s">
        <v>465</v>
      </c>
      <c r="AJ41" s="3482"/>
      <c r="AK41" s="3490"/>
      <c r="AL41" s="3493"/>
      <c r="AM41" s="3338"/>
      <c r="AN41" s="1722"/>
      <c r="AO41" s="1711"/>
      <c r="AP41" s="1711"/>
      <c r="AQ41" s="1711"/>
      <c r="AR41" s="1711"/>
      <c r="AS41" s="1793">
        <v>23</v>
      </c>
    </row>
    <row s="65897" customFormat="1" customHeight="1" ht="11.25" hidden="1">
      <c r="A42" s="2581"/>
      <c r="B42" s="2581"/>
      <c r="C42" s="2581"/>
      <c r="D42" s="2581"/>
      <c r="E42" s="2581"/>
      <c r="F42" s="2581"/>
      <c r="G42" s="2581"/>
      <c r="H42" s="2581"/>
      <c r="I42" s="2581"/>
      <c r="J42" s="2581"/>
      <c r="K42" s="2581"/>
      <c r="L42" s="2575"/>
      <c r="M42" s="2573"/>
      <c r="N42" s="2573"/>
      <c r="O42" s="2573"/>
      <c r="P42" s="2457"/>
      <c r="Q42" s="2458"/>
      <c r="R42" s="2465">
        <v>1</v>
      </c>
      <c r="S42" s="2488" t="s">
        <v>99</v>
      </c>
      <c r="T42" s="2466" t="s">
        <v>102</v>
      </c>
      <c r="U42" s="2456" t="str">
        <f>OFFSET(U42,0,-1)</f>
        <v>2</v>
      </c>
      <c r="V42" s="2546">
        <f>OFFSET(V42,0,-1)+1</f>
        <v>3</v>
      </c>
      <c r="W42" s="2546"/>
      <c r="X42" s="2552">
        <f>OFFSET(X42,0,-1)+1</f>
        <v>1</v>
      </c>
      <c r="Y42" s="2552">
        <f>OFFSET(Y42,0,-1)+1</f>
        <v>2</v>
      </c>
      <c r="Z42" s="2546">
        <f>OFFSET(Z42,0,-1)+1</f>
        <v>3</v>
      </c>
      <c r="AA42" s="3483">
        <f>OFFSET(AA42,0,-1)+1</f>
        <v>4</v>
      </c>
      <c r="AB42" s="3483"/>
      <c r="AC42" s="2546">
        <f>OFFSET(AC42,0,-2)+1</f>
        <v>5</v>
      </c>
      <c r="AD42" s="2546">
        <f>OFFSET(AD42,0,-1)+1</f>
        <v>6</v>
      </c>
      <c r="AE42" s="2546"/>
      <c r="AF42" s="2552">
        <f>OFFSET(AF42,0,-1)+1</f>
        <v>1</v>
      </c>
      <c r="AG42" s="2552">
        <f>OFFSET(AG42,0,-1)+1</f>
        <v>2</v>
      </c>
      <c r="AH42" s="2546">
        <f>OFFSET(AH42,0,-1)+1</f>
        <v>3</v>
      </c>
      <c r="AI42" s="3483">
        <f>OFFSET(AI42,0,-1)+1</f>
        <v>4</v>
      </c>
      <c r="AJ42" s="3483"/>
      <c r="AK42" s="2546">
        <f>OFFSET(AK42,0,-2)+1</f>
        <v>5</v>
      </c>
      <c r="AL42" s="2456">
        <f>OFFSET(AL42,0,-1)</f>
        <v>5</v>
      </c>
      <c r="AM42" s="2546">
        <f>OFFSET(AM42,0,-1)+1</f>
        <v>6</v>
      </c>
      <c r="AN42" s="1722"/>
      <c r="AO42" s="1722"/>
      <c r="AP42" s="1722"/>
      <c r="AQ42" s="1722"/>
      <c r="AR42" s="1722"/>
      <c r="AS42" s="1707">
        <v>0</v>
      </c>
    </row>
    <row customHeight="1" ht="22.049999999999997">
      <c r="A43" s="2574" t="s">
        <v>212</v>
      </c>
      <c r="B43" s="2574"/>
      <c r="C43" s="2574"/>
      <c r="D43" s="2574"/>
      <c r="E43" s="3469">
        <v>1</v>
      </c>
      <c r="F43" s="2574"/>
      <c r="G43" s="2574"/>
      <c r="H43" s="2574"/>
      <c r="I43" s="2574"/>
      <c r="J43" s="2574"/>
      <c r="K43" s="2574"/>
      <c r="L43" s="2575"/>
      <c r="M43" s="2576"/>
      <c r="N43" s="2576"/>
      <c r="O43" s="2576"/>
      <c r="P43" s="1572"/>
      <c r="Q43" s="1571"/>
      <c r="R43" s="1566"/>
      <c r="S43" s="2547">
        <f>INDEX(PT_DIFFERENTIATION_NUM_NTAR,MATCH(A43,PT_DIFFERENTIATION_NTAR_ID,0))</f>
        <v>0</v>
      </c>
      <c r="T43" s="1509"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11"/>
      <c r="AP43" s="1711" t="str">
        <f>IF(T43="","",T43)</f>
        <v>Наименование тарифа</v>
      </c>
      <c r="AQ43" s="1711"/>
      <c r="AR43" s="1711"/>
      <c r="AS43" s="2366">
        <v>21</v>
      </c>
    </row>
    <row customHeight="1" ht="22.049999999999997">
      <c r="A44" s="2574" t="s">
        <v>212</v>
      </c>
      <c r="B44" s="2574" t="s">
        <v>213</v>
      </c>
      <c r="C44" s="2574"/>
      <c r="D44" s="2574"/>
      <c r="E44" s="3470"/>
      <c r="F44" s="3469">
        <v>1</v>
      </c>
      <c r="G44" s="2574"/>
      <c r="H44" s="2574"/>
      <c r="I44" s="2574"/>
      <c r="J44" s="2574"/>
      <c r="K44" s="2574"/>
      <c r="L44" s="2575"/>
      <c r="M44" s="2576"/>
      <c r="N44" s="2576"/>
      <c r="O44" s="2576"/>
      <c r="P44" s="2543"/>
      <c r="Q44" s="1563"/>
      <c r="R44" s="1564"/>
      <c r="S44" s="2547" t="str">
        <f>INDEX(PT_DIFFERENTIATION_NUM_TER,MATCH(B44,PT_DIFFERENTIATION_TER_ID,0))</f>
        <v>.</v>
      </c>
      <c r="T44" s="1519"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1711"/>
      <c r="AP44" s="1711" t="str">
        <f>IF(T44="","",T44)</f>
        <v>Территория действия тарифа</v>
      </c>
      <c r="AQ44" s="1711"/>
      <c r="AR44" s="1711"/>
      <c r="AS44" s="2366">
        <v>21</v>
      </c>
    </row>
    <row customHeight="1" ht="24">
      <c r="A45" s="2574" t="s">
        <v>212</v>
      </c>
      <c r="B45" s="2574" t="s">
        <v>213</v>
      </c>
      <c r="C45" s="2574" t="s">
        <v>214</v>
      </c>
      <c r="D45" s="2574"/>
      <c r="E45" s="3470"/>
      <c r="F45" s="3470"/>
      <c r="G45" s="3469">
        <v>1</v>
      </c>
      <c r="H45" s="2574"/>
      <c r="I45" s="2574"/>
      <c r="J45" s="2574"/>
      <c r="K45" s="2574"/>
      <c r="L45" s="2575"/>
      <c r="M45" s="2576"/>
      <c r="N45" s="2576"/>
      <c r="O45" s="2576"/>
      <c r="P45" s="1565"/>
      <c r="Q45" s="1563"/>
      <c r="R45" s="1564"/>
      <c r="S45" s="2547"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1711"/>
      <c r="AP45" s="1711" t="str">
        <f>IF(T45="","",T45)</f>
        <v>Наименование системы теплоснабжения </v>
      </c>
      <c r="AQ45" s="1711"/>
      <c r="AR45" s="1711"/>
      <c r="AS45" s="2366">
        <v>23</v>
      </c>
    </row>
    <row customHeight="1" ht="22.049999999999997">
      <c r="A46" s="2574" t="s">
        <v>212</v>
      </c>
      <c r="B46" s="2574" t="s">
        <v>213</v>
      </c>
      <c r="C46" s="2574" t="s">
        <v>214</v>
      </c>
      <c r="D46" s="2574" t="s">
        <v>215</v>
      </c>
      <c r="E46" s="3470"/>
      <c r="F46" s="3470"/>
      <c r="G46" s="3470"/>
      <c r="H46" s="3469">
        <v>1</v>
      </c>
      <c r="I46" s="2574"/>
      <c r="J46" s="2574"/>
      <c r="K46" s="2574"/>
      <c r="L46" s="2575"/>
      <c r="M46" s="2576"/>
      <c r="N46" s="2576"/>
      <c r="O46" s="2576"/>
      <c r="P46" s="1565"/>
      <c r="Q46" s="1563"/>
      <c r="R46" s="1564"/>
      <c r="S46" s="2547"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1711"/>
      <c r="AP46" s="1711" t="str">
        <f>IF(T46="","",T46)</f>
        <v>Источник тепловой энергии  </v>
      </c>
      <c r="AQ46" s="1711"/>
      <c r="AR46" s="1711"/>
      <c r="AS46" s="2366">
        <v>21</v>
      </c>
    </row>
    <row customHeight="1" ht="49.5">
      <c r="A47" s="2574" t="s">
        <v>212</v>
      </c>
      <c r="B47" s="2574" t="s">
        <v>213</v>
      </c>
      <c r="C47" s="2574" t="s">
        <v>214</v>
      </c>
      <c r="D47" s="2574" t="s">
        <v>215</v>
      </c>
      <c r="E47" s="3470"/>
      <c r="F47" s="3470"/>
      <c r="G47" s="3470"/>
      <c r="H47" s="3470"/>
      <c r="I47" s="3467" t="str">
        <f>S46&amp;".1"</f>
        <v>....1</v>
      </c>
      <c r="J47" s="2574"/>
      <c r="K47" s="2574"/>
      <c r="L47" s="2575" t="s">
        <v>421</v>
      </c>
      <c r="P47" s="3468">
        <v>1</v>
      </c>
      <c r="Q47" s="2542"/>
      <c r="R47" s="1567"/>
      <c r="S47" s="2547" t="str">
        <f>$I47</f>
        <v>....1</v>
      </c>
      <c r="T47" s="1496" t="s">
        <v>422</v>
      </c>
      <c r="U47" s="1511"/>
      <c r="V47" s="3456"/>
      <c r="W47" s="3457"/>
      <c r="X47" s="3457"/>
      <c r="Y47" s="3457"/>
      <c r="Z47" s="3457"/>
      <c r="AA47" s="3457"/>
      <c r="AB47" s="3457"/>
      <c r="AC47" s="3458"/>
      <c r="AD47" s="3456"/>
      <c r="AE47" s="3457"/>
      <c r="AF47" s="3457"/>
      <c r="AG47" s="3457"/>
      <c r="AH47" s="3457"/>
      <c r="AI47" s="3457"/>
      <c r="AJ47" s="3457"/>
      <c r="AK47" s="3457"/>
      <c r="AL47" s="3458"/>
      <c r="AM47" s="2469" t="s">
        <v>423</v>
      </c>
      <c r="AO47" s="1711"/>
      <c r="AP47" s="1711" t="str">
        <f>IF(T47="","",T47)</f>
        <v>Схема подключения теплопотребляющей установки к коллектору источника тепловой энергии</v>
      </c>
      <c r="AQ47" s="1711"/>
      <c r="AR47" s="1711"/>
      <c r="AS47" s="2366">
        <v>47</v>
      </c>
    </row>
    <row customHeight="1" ht="22.049999999999997">
      <c r="A48" s="2574" t="s">
        <v>212</v>
      </c>
      <c r="B48" s="2574" t="s">
        <v>213</v>
      </c>
      <c r="C48" s="2574" t="s">
        <v>214</v>
      </c>
      <c r="D48" s="2574" t="s">
        <v>215</v>
      </c>
      <c r="E48" s="3470"/>
      <c r="F48" s="3470"/>
      <c r="G48" s="3470"/>
      <c r="H48" s="3470"/>
      <c r="I48" s="3497"/>
      <c r="J48" s="3467" t="str">
        <f>I47&amp;".1"</f>
        <v>....1.1</v>
      </c>
      <c r="K48" s="2574"/>
      <c r="L48" s="2575" t="s">
        <v>424</v>
      </c>
      <c r="P48" s="3468"/>
      <c r="Q48" s="3468">
        <v>1</v>
      </c>
      <c r="R48" s="1568"/>
      <c r="S48" s="2547" t="str">
        <f>$J48</f>
        <v>....1.1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1711"/>
      <c r="AP48" s="1711" t="str">
        <f>IF(T48="","",T48)</f>
        <v>Группа потребителей</v>
      </c>
      <c r="AQ48" s="1711"/>
      <c r="AR48" s="1711"/>
      <c r="AS48" s="2366">
        <v>21</v>
      </c>
    </row>
    <row customHeight="1" ht="22.049999999999997">
      <c r="A49" s="2574" t="s">
        <v>212</v>
      </c>
      <c r="B49" s="2574" t="s">
        <v>213</v>
      </c>
      <c r="C49" s="2574" t="s">
        <v>214</v>
      </c>
      <c r="D49" s="2574" t="s">
        <v>215</v>
      </c>
      <c r="E49" s="3470"/>
      <c r="F49" s="3470"/>
      <c r="G49" s="3470"/>
      <c r="H49" s="3470"/>
      <c r="I49" s="3497"/>
      <c r="J49" s="3497"/>
      <c r="K49" s="3467" t="str">
        <f>J48&amp;".1"</f>
        <v>....1.1.1</v>
      </c>
      <c r="L49" s="2575" t="s">
        <v>427</v>
      </c>
      <c r="P49" s="3468"/>
      <c r="Q49" s="3468"/>
      <c r="R49" s="1568">
        <v>1</v>
      </c>
      <c r="S49" s="2547" t="str">
        <f>$K49</f>
        <v>....1.1.1</v>
      </c>
      <c r="T49" s="2558"/>
      <c r="U49" s="1511"/>
      <c r="V49" s="1536"/>
      <c r="W49" s="1962"/>
      <c r="X49" s="1536"/>
      <c r="Y49" s="1595"/>
      <c r="Z49" s="3476"/>
      <c r="AA49" s="3318" t="s">
        <v>62</v>
      </c>
      <c r="AB49" s="3476"/>
      <c r="AC49" s="3318" t="s">
        <v>62</v>
      </c>
      <c r="AD49" s="1536"/>
      <c r="AE49" s="1962"/>
      <c r="AF49" s="1536"/>
      <c r="AG49" s="1595"/>
      <c r="AH49" s="3476"/>
      <c r="AI49" s="3318" t="s">
        <v>62</v>
      </c>
      <c r="AJ49" s="3498"/>
      <c r="AK49" s="3318" t="s">
        <v>62</v>
      </c>
      <c r="AL49" s="2559"/>
      <c r="AM49" s="3464" t="s">
        <v>428</v>
      </c>
      <c r="AN49" s="1722">
        <f>STRCHECKDATE(V50:AL50)</f>
      </c>
      <c r="AO49" s="1711"/>
      <c r="AP49" s="1711" t="str">
        <f>IF(T49="","",T49)</f>
        <v/>
      </c>
      <c r="AQ49" s="1711"/>
      <c r="AR49" s="1711"/>
      <c r="AS49" s="2366">
        <v>21</v>
      </c>
    </row>
    <row customHeight="1" ht="1.05">
      <c r="A50" s="2574" t="s">
        <v>212</v>
      </c>
      <c r="B50" s="2574" t="s">
        <v>213</v>
      </c>
      <c r="C50" s="2574" t="s">
        <v>214</v>
      </c>
      <c r="D50" s="2574" t="s">
        <v>215</v>
      </c>
      <c r="E50" s="3470"/>
      <c r="F50" s="3470"/>
      <c r="G50" s="3470"/>
      <c r="H50" s="3470"/>
      <c r="I50" s="3497"/>
      <c r="J50" s="3497"/>
      <c r="K50" s="3467"/>
      <c r="L50" s="2575"/>
      <c r="P50" s="3468"/>
      <c r="Q50" s="3468"/>
      <c r="R50" s="1568"/>
      <c r="S50" s="2553"/>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1711"/>
      <c r="AP50" s="1711" t="str">
        <f>IF(T50="","",T50)</f>
        <v/>
      </c>
      <c r="AQ50" s="1711"/>
      <c r="AR50" s="1711"/>
      <c r="AS50" s="2366">
        <v>1</v>
      </c>
    </row>
    <row customHeight="1" ht="11.549999999999999">
      <c r="A51" s="2574" t="s">
        <v>212</v>
      </c>
      <c r="B51" s="2574" t="s">
        <v>213</v>
      </c>
      <c r="C51" s="2574" t="s">
        <v>214</v>
      </c>
      <c r="D51" s="2574" t="s">
        <v>215</v>
      </c>
      <c r="E51" s="3470"/>
      <c r="F51" s="3470"/>
      <c r="G51" s="3470"/>
      <c r="H51" s="3470"/>
      <c r="I51" s="3497"/>
      <c r="J51" s="3467"/>
      <c r="K51" s="2574"/>
      <c r="L51" s="2575"/>
      <c r="P51" s="3468"/>
      <c r="Q51" s="3468"/>
      <c r="R51" s="1567"/>
      <c r="S51" s="2489"/>
      <c r="T51" s="1499" t="s">
        <v>429</v>
      </c>
      <c r="U51" s="1578"/>
      <c r="V51" s="1578"/>
      <c r="W51" s="1578"/>
      <c r="X51" s="1578"/>
      <c r="Y51" s="1578"/>
      <c r="Z51" s="1578"/>
      <c r="AA51" s="1578"/>
      <c r="AB51" s="1578"/>
      <c r="AC51" s="1578"/>
      <c r="AD51" s="1578"/>
      <c r="AE51" s="1578"/>
      <c r="AF51" s="1578"/>
      <c r="AG51" s="1578"/>
      <c r="AH51" s="1578"/>
      <c r="AI51" s="1578"/>
      <c r="AJ51" s="1578"/>
      <c r="AK51" s="1578"/>
      <c r="AL51" s="1535"/>
      <c r="AM51" s="3466"/>
      <c r="AO51" s="1711"/>
      <c r="AP51" s="1711" t="str">
        <f>IF(T51="","",T51)</f>
        <v>Добавить вид теплоносителя (параметры теплоносителя)</v>
      </c>
      <c r="AQ51" s="1711"/>
      <c r="AR51" s="1711"/>
      <c r="AS51" s="2366">
        <v>11</v>
      </c>
    </row>
    <row customHeight="1" ht="11.549999999999999">
      <c r="A52" s="2574" t="s">
        <v>212</v>
      </c>
      <c r="B52" s="2574" t="s">
        <v>213</v>
      </c>
      <c r="C52" s="2574" t="s">
        <v>214</v>
      </c>
      <c r="D52" s="2574" t="s">
        <v>215</v>
      </c>
      <c r="E52" s="3470"/>
      <c r="F52" s="3470"/>
      <c r="G52" s="3470"/>
      <c r="H52" s="3470"/>
      <c r="I52" s="3467"/>
      <c r="J52" s="2574"/>
      <c r="K52" s="2574"/>
      <c r="L52" s="2575"/>
      <c r="P52" s="3468"/>
      <c r="Q52" s="2542"/>
      <c r="R52" s="1567"/>
      <c r="S52" s="2489"/>
      <c r="T52" s="1498" t="s">
        <v>430</v>
      </c>
      <c r="U52" s="1578"/>
      <c r="V52" s="1578"/>
      <c r="W52" s="1578"/>
      <c r="X52" s="1578"/>
      <c r="Y52" s="1578"/>
      <c r="Z52" s="1578"/>
      <c r="AA52" s="1578"/>
      <c r="AB52" s="1578"/>
      <c r="AC52" s="1577"/>
      <c r="AD52" s="1578"/>
      <c r="AE52" s="1578"/>
      <c r="AF52" s="1578"/>
      <c r="AG52" s="1578"/>
      <c r="AH52" s="1578"/>
      <c r="AI52" s="1578"/>
      <c r="AJ52" s="1578"/>
      <c r="AK52" s="1577"/>
      <c r="AL52" s="1578"/>
      <c r="AM52" s="1514"/>
      <c r="AO52" s="1711"/>
      <c r="AP52" s="1711" t="str">
        <f>IF(T52="","",T52)</f>
        <v>Добавить группу потребителей</v>
      </c>
      <c r="AQ52" s="1711"/>
      <c r="AR52" s="1711"/>
      <c r="AS52" s="2366">
        <v>11</v>
      </c>
    </row>
    <row customHeight="1" ht="14.699999999999998">
      <c r="A53" s="2574" t="s">
        <v>212</v>
      </c>
      <c r="B53" s="2574" t="s">
        <v>213</v>
      </c>
      <c r="C53" s="2574" t="s">
        <v>214</v>
      </c>
      <c r="D53" s="2574" t="s">
        <v>215</v>
      </c>
      <c r="E53" s="3470"/>
      <c r="F53" s="3470"/>
      <c r="G53" s="3470"/>
      <c r="H53" s="3469"/>
      <c r="I53" s="2574"/>
      <c r="J53" s="2574"/>
      <c r="K53" s="2574"/>
      <c r="L53" s="2575"/>
      <c r="M53" s="2576"/>
      <c r="N53" s="2576"/>
      <c r="O53" s="1748"/>
      <c r="P53" s="1571"/>
      <c r="Q53" s="1586"/>
      <c r="R53" s="1566"/>
      <c r="S53" s="2489"/>
      <c r="T53" s="1576" t="s">
        <v>431</v>
      </c>
      <c r="U53" s="1578"/>
      <c r="V53" s="1578"/>
      <c r="W53" s="1578"/>
      <c r="X53" s="1578"/>
      <c r="Y53" s="1578"/>
      <c r="Z53" s="1578"/>
      <c r="AA53" s="1578"/>
      <c r="AB53" s="1578"/>
      <c r="AC53" s="1577"/>
      <c r="AD53" s="1578"/>
      <c r="AE53" s="1578"/>
      <c r="AF53" s="1578"/>
      <c r="AG53" s="1578"/>
      <c r="AH53" s="1578"/>
      <c r="AI53" s="1578"/>
      <c r="AJ53" s="1578"/>
      <c r="AK53" s="1577"/>
      <c r="AL53" s="1578"/>
      <c r="AM53" s="1514"/>
      <c r="AO53" s="1711"/>
      <c r="AP53" s="1711" t="str">
        <f>IF(T53="","",T53)</f>
        <v>Добавить схему подключения</v>
      </c>
      <c r="AQ53" s="1711"/>
      <c r="AR53" s="1711"/>
      <c r="AS53" s="2366">
        <v>14</v>
      </c>
    </row>
    <row s="65923" customFormat="1" customHeight="1" ht="1.05">
      <c r="A54" s="2554" t="s">
        <v>212</v>
      </c>
      <c r="B54" s="2554" t="s">
        <v>213</v>
      </c>
      <c r="C54" s="2554" t="s">
        <v>214</v>
      </c>
      <c r="D54" s="2525"/>
      <c r="E54" s="3470"/>
      <c r="F54" s="3470"/>
      <c r="G54" s="3469"/>
      <c r="H54" s="2525"/>
      <c r="I54" s="2525"/>
      <c r="J54" s="2525"/>
      <c r="K54" s="2525"/>
      <c r="L54" s="2550"/>
      <c r="M54" s="2526"/>
      <c r="N54" s="2526"/>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000"/>
      <c r="AP54" s="2000" t="str">
        <f>IF(T54="","",T54)</f>
        <v>Добавить источник для дифференциации</v>
      </c>
      <c r="AQ54" s="2000"/>
      <c r="AR54" s="2000"/>
      <c r="AS54" s="1729">
        <v>1</v>
      </c>
    </row>
    <row s="65923" customFormat="1" customHeight="1" ht="1.05">
      <c r="A55" s="2554" t="s">
        <v>212</v>
      </c>
      <c r="B55" s="2554" t="s">
        <v>213</v>
      </c>
      <c r="C55" s="2525"/>
      <c r="D55" s="2525"/>
      <c r="E55" s="3470"/>
      <c r="F55" s="3469"/>
      <c r="G55" s="2525"/>
      <c r="H55" s="2525"/>
      <c r="I55" s="2525"/>
      <c r="J55" s="2525"/>
      <c r="K55" s="2525"/>
      <c r="L55" s="2550"/>
      <c r="M55" s="2532"/>
      <c r="N55" s="2532"/>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000"/>
      <c r="AP55" s="2000" t="str">
        <f>IF(T55="","",T55)</f>
        <v>Добавить централизованную систему для дифференциации</v>
      </c>
      <c r="AQ55" s="2000"/>
      <c r="AR55" s="2000"/>
      <c r="AS55" s="1729">
        <v>1</v>
      </c>
    </row>
    <row s="65923" customFormat="1" customHeight="1" ht="1.05">
      <c r="A56" s="2554" t="s">
        <v>212</v>
      </c>
      <c r="B56" s="2554"/>
      <c r="C56" s="2554"/>
      <c r="D56" s="2554"/>
      <c r="E56" s="3469"/>
      <c r="F56" s="2554"/>
      <c r="G56" s="2554"/>
      <c r="H56" s="2554"/>
      <c r="I56" s="2554"/>
      <c r="J56" s="2554"/>
      <c r="K56" s="2554"/>
      <c r="L56" s="2557"/>
      <c r="M56" s="2532"/>
      <c r="N56" s="2532"/>
      <c r="O56" s="1729"/>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1711"/>
      <c r="AP56" s="1711" t="str">
        <f>IF(T56="","",T56)</f>
        <v>Добавить территорию для дифференциации</v>
      </c>
      <c r="AQ56" s="1711"/>
      <c r="AR56" s="1711"/>
      <c r="AS56" s="1722">
        <v>1</v>
      </c>
    </row>
    <row s="65923" customFormat="1" customHeight="1" ht="1.05">
      <c r="A57" s="2525"/>
      <c r="B57" s="2525"/>
      <c r="C57" s="2525"/>
      <c r="D57" s="2525"/>
      <c r="E57" s="2554"/>
      <c r="F57" s="2525"/>
      <c r="G57" s="2525"/>
      <c r="H57" s="2525"/>
      <c r="I57" s="2525"/>
      <c r="J57" s="2525"/>
      <c r="K57" s="2525"/>
      <c r="L57" s="2550"/>
      <c r="M57" s="2532"/>
      <c r="N57" s="2532"/>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000"/>
      <c r="AP57" s="2000" t="str">
        <f>IF(T57="","",T57)</f>
        <v>Добавить наименование тарифа</v>
      </c>
      <c r="AQ57" s="2000"/>
      <c r="AR57" s="2000"/>
      <c r="AS57" s="1729">
        <v>1</v>
      </c>
    </row>
    <row customHeight="1" ht="11.549999999999999">
      <c r="M58" s="2371"/>
      <c r="N58" s="2371"/>
      <c r="O58" s="1748"/>
      <c r="P58" s="2366"/>
      <c r="Q58" s="2366"/>
      <c r="R58" s="2366"/>
      <c r="S58" s="2366"/>
      <c r="AN58" s="2366"/>
      <c r="AO58" s="2366"/>
      <c r="AP58" s="2366"/>
      <c r="AQ58" s="2366"/>
      <c r="AR58" s="2366"/>
      <c r="AS58" s="2366">
        <v>11</v>
      </c>
    </row>
    <row customHeight="1" ht="28.5">
      <c r="O59" s="1748"/>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366">
        <v>27</v>
      </c>
    </row>
    <row customHeight="1" ht="78.75">
      <c r="O60" s="1748"/>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366">
        <v>75</v>
      </c>
    </row>
    <row customHeight="1" ht="14.699999999999998">
      <c r="O61" s="1748"/>
      <c r="AS61" s="2366">
        <v>14</v>
      </c>
    </row>
    <row customHeight="1" ht="18.75">
      <c r="O62" s="1748"/>
      <c r="S62" s="2464"/>
      <c r="T62" s="3496"/>
      <c r="U62" s="3496"/>
      <c r="V62" s="3496"/>
      <c r="W62" s="3496"/>
      <c r="X62" s="3496"/>
      <c r="Y62" s="3496"/>
      <c r="Z62" s="3496"/>
      <c r="AA62" s="3496"/>
      <c r="AB62" s="3496"/>
      <c r="AC62" s="3496"/>
      <c r="AD62" s="3496"/>
      <c r="AE62" s="3496"/>
      <c r="AF62" s="3496"/>
      <c r="AG62" s="3496"/>
      <c r="AH62" s="3496"/>
      <c r="AI62" s="3496"/>
      <c r="AJ62" s="3496"/>
      <c r="AK62" s="3496"/>
      <c r="AL62" s="3496"/>
      <c r="AM62" s="3496"/>
      <c r="AS62" s="2366">
        <v>18</v>
      </c>
    </row>
    <row customHeight="1" ht="18.75">
      <c r="O63" s="1748"/>
      <c r="T63" s="3496"/>
      <c r="U63" s="3496"/>
      <c r="V63" s="3496"/>
      <c r="W63" s="3496"/>
      <c r="X63" s="3496"/>
      <c r="Y63" s="3496"/>
      <c r="Z63" s="3496"/>
      <c r="AA63" s="3496"/>
      <c r="AB63" s="3496"/>
      <c r="AC63" s="3496"/>
      <c r="AD63" s="3496"/>
      <c r="AE63" s="3496"/>
      <c r="AF63" s="3496"/>
      <c r="AG63" s="3496"/>
      <c r="AH63" s="3496"/>
      <c r="AI63" s="3496"/>
      <c r="AJ63" s="3496"/>
      <c r="AK63" s="3496"/>
      <c r="AL63" s="3496"/>
      <c r="AM63" s="3496"/>
      <c r="AS63" s="2366">
        <v>18</v>
      </c>
    </row>
    <row customHeight="1" ht="39.75">
      <c r="O64" s="1748"/>
      <c r="S64" s="2464"/>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366">
        <v>38</v>
      </c>
    </row>
    <row customHeight="1" ht="22.5" hidden="1">
      <c r="A65" s="2371" t="s">
        <v>82</v>
      </c>
      <c r="B65" s="2371">
        <v>0</v>
      </c>
      <c r="C65" s="2371">
        <v>0</v>
      </c>
      <c r="D65" s="2371">
        <v>0</v>
      </c>
      <c r="E65" s="2371">
        <v>0</v>
      </c>
      <c r="F65" s="2371">
        <v>0</v>
      </c>
      <c r="G65" s="2371">
        <v>0</v>
      </c>
      <c r="H65" s="2371">
        <v>0</v>
      </c>
      <c r="I65" s="2371">
        <v>0</v>
      </c>
      <c r="J65" s="2371">
        <v>0</v>
      </c>
      <c r="K65" s="2371">
        <v>0</v>
      </c>
      <c r="L65" s="2540">
        <v>0</v>
      </c>
      <c r="M65" s="2573">
        <v>0</v>
      </c>
      <c r="N65" s="2573">
        <v>0</v>
      </c>
      <c r="O65" s="2573">
        <v>0</v>
      </c>
      <c r="P65" s="2539">
        <v>3</v>
      </c>
      <c r="Q65" s="1555">
        <v>3</v>
      </c>
      <c r="R65" s="1555">
        <v>3</v>
      </c>
      <c r="S65" s="1792">
        <v>12</v>
      </c>
      <c r="T65" s="2366">
        <v>31</v>
      </c>
      <c r="U65" s="2366">
        <v>0</v>
      </c>
      <c r="V65" s="2366">
        <v>0</v>
      </c>
      <c r="W65" s="2366">
        <v>0</v>
      </c>
      <c r="X65" s="2366">
        <v>0</v>
      </c>
      <c r="Y65" s="2366">
        <v>0</v>
      </c>
      <c r="Z65" s="2366">
        <v>0</v>
      </c>
      <c r="AA65" s="2366">
        <v>0</v>
      </c>
      <c r="AB65" s="2366">
        <v>0</v>
      </c>
      <c r="AC65" s="2366">
        <v>0</v>
      </c>
      <c r="AD65" s="2366">
        <v>0</v>
      </c>
      <c r="AE65" s="2366">
        <v>24</v>
      </c>
      <c r="AF65" s="2366">
        <v>0</v>
      </c>
      <c r="AG65" s="2366">
        <v>0</v>
      </c>
      <c r="AH65" s="2366">
        <v>11</v>
      </c>
      <c r="AI65" s="2366">
        <v>3</v>
      </c>
      <c r="AJ65" s="2366">
        <v>11</v>
      </c>
      <c r="AK65" s="2366">
        <v>0</v>
      </c>
      <c r="AL65" s="2366">
        <v>4</v>
      </c>
      <c r="AM65" s="2366">
        <v>115</v>
      </c>
      <c r="AN65" s="1722">
        <v>10</v>
      </c>
      <c r="AO65" s="1722">
        <v>10</v>
      </c>
      <c r="AP65" s="1722">
        <v>10</v>
      </c>
      <c r="AQ65" s="1722">
        <v>10</v>
      </c>
      <c r="AR65" s="1722">
        <v>10</v>
      </c>
      <c r="AS65" s="236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9EE14-9F7B-C5F6-8D7B-68BE88B7E58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7462" width="3.7109375" hidden="1" customWidth="1"/>
    <col min="17" max="18" style="66873" width="3.00390625" customWidth="1"/>
    <col min="19" max="19" style="67434" width="12.00390625" customWidth="1"/>
    <col min="20" max="20" style="66903" width="31.00390625" customWidth="1"/>
    <col min="21" max="21" style="66903" width="0.140625" customWidth="1"/>
    <col min="22" max="22" style="66903" width="24.7109375" hidden="1" customWidth="1"/>
    <col min="23" max="23" style="66903" width="0.140625" hidden="1" customWidth="1"/>
    <col min="24" max="25" style="66903" width="24.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24.7109375" customWidth="1"/>
    <col min="31" max="31" style="66903" width="0.140625" customWidth="1"/>
    <col min="32" max="33" style="66903" width="24.0039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8.421875" hidden="1" customWidth="1"/>
  </cols>
  <sheetData>
    <row customHeight="1" ht="22.5" hidden="1">
      <c r="Y1" s="1538"/>
      <c r="Z1" s="1538"/>
      <c r="AG1" s="1538"/>
      <c r="AH1" s="1538"/>
      <c r="AS1" s="2366" t="s">
        <v>14</v>
      </c>
    </row>
    <row customHeight="1" ht="21" hidden="1">
      <c r="A2" s="2574"/>
      <c r="B2" s="2574"/>
      <c r="C2" s="2574"/>
      <c r="D2" s="2574"/>
      <c r="E2" s="3469">
        <v>1</v>
      </c>
      <c r="F2" s="2574"/>
      <c r="G2" s="2574"/>
      <c r="H2" s="2574"/>
      <c r="I2" s="2574"/>
      <c r="J2" s="2574"/>
      <c r="K2" s="2574"/>
      <c r="L2" s="2575"/>
      <c r="M2" s="2576"/>
      <c r="N2" s="2576"/>
      <c r="O2" s="2576"/>
      <c r="P2" s="1572"/>
      <c r="Q2" s="1571"/>
      <c r="R2" s="1566"/>
      <c r="S2" s="2547">
        <f>INDEX(PT_DIFFERENTIATION_NUM_NTAR,MATCH(A2,PT_DIFFERENTIATION_NTAR_ID,0))</f>
      </c>
      <c r="T2" s="1509"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1711"/>
      <c r="AP2" s="1711" t="str">
        <f>IF(T2="","",T2)</f>
        <v>Наименование тарифа</v>
      </c>
      <c r="AQ2" s="1711"/>
      <c r="AR2" s="1711"/>
      <c r="AS2" s="2366">
        <v>0</v>
      </c>
    </row>
    <row customHeight="1" ht="21" hidden="1">
      <c r="A3" s="2574"/>
      <c r="B3" s="2574"/>
      <c r="C3" s="2574"/>
      <c r="D3" s="2574"/>
      <c r="E3" s="3470"/>
      <c r="F3" s="3469">
        <v>1</v>
      </c>
      <c r="G3" s="2574"/>
      <c r="H3" s="2574"/>
      <c r="I3" s="2574"/>
      <c r="J3" s="2574"/>
      <c r="K3" s="2574"/>
      <c r="L3" s="2575"/>
      <c r="M3" s="2576"/>
      <c r="N3" s="2576"/>
      <c r="O3" s="2576"/>
      <c r="P3" s="2543"/>
      <c r="Q3" s="1563"/>
      <c r="R3" s="1564"/>
      <c r="S3" s="2547">
        <f>INDEX(PT_DIFFERENTIATION_NUM_TER,MATCH(B3,PT_DIFFERENTIATION_TER_ID,0))</f>
      </c>
      <c r="T3" s="1519"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1711"/>
      <c r="AP3" s="1711" t="str">
        <f>IF(T3="","",T3)</f>
        <v>Территория действия тарифа</v>
      </c>
      <c r="AQ3" s="1711"/>
      <c r="AR3" s="1711"/>
      <c r="AS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547">
        <f>INDEX(PT_DIFFERENTIATION_NUM_CS,MATCH(C4,PT_DIFFERENTIATION_CS_ID,0))</f>
      </c>
      <c r="T4" s="1520" t="s">
        <v>417</v>
      </c>
      <c r="U4" s="1511"/>
      <c r="V4" s="3453"/>
      <c r="W4" s="3454"/>
      <c r="X4" s="3454"/>
      <c r="Y4" s="3454"/>
      <c r="Z4" s="3454"/>
      <c r="AA4" s="3454"/>
      <c r="AB4" s="3454"/>
      <c r="AC4" s="3455"/>
      <c r="AD4" s="3453">
        <f>INDEX(PT_DIFFERENTIATION_CS,MATCH(C4,PT_DIFFERENTIATION_CS_ID,0))</f>
      </c>
      <c r="AE4" s="3454"/>
      <c r="AF4" s="3454"/>
      <c r="AG4" s="3454"/>
      <c r="AH4" s="3454"/>
      <c r="AI4" s="3454"/>
      <c r="AJ4" s="3454"/>
      <c r="AK4" s="3454"/>
      <c r="AL4" s="3455"/>
      <c r="AM4" s="2469" t="s">
        <v>418</v>
      </c>
      <c r="AO4" s="1711"/>
      <c r="AP4" s="1711" t="str">
        <f>IF(T4="","",T4)</f>
        <v>Наименование системы теплоснабжения </v>
      </c>
      <c r="AQ4" s="1711"/>
      <c r="AR4" s="1711"/>
      <c r="AS4" s="2366">
        <v>0</v>
      </c>
    </row>
    <row customHeight="1" ht="21" hidden="1">
      <c r="A5" s="2574"/>
      <c r="B5" s="2574"/>
      <c r="C5" s="2574"/>
      <c r="D5" s="2574"/>
      <c r="E5" s="3470"/>
      <c r="F5" s="3470"/>
      <c r="G5" s="3470"/>
      <c r="H5" s="3469">
        <v>1</v>
      </c>
      <c r="I5" s="2574"/>
      <c r="J5" s="2574"/>
      <c r="K5" s="2574"/>
      <c r="L5" s="2575"/>
      <c r="M5" s="2576"/>
      <c r="N5" s="2576"/>
      <c r="O5" s="2576"/>
      <c r="P5" s="1565"/>
      <c r="Q5" s="1563"/>
      <c r="R5" s="1564"/>
      <c r="S5" s="2547">
        <f>INDEX(PT_DIFFERENTIATION_NUM_IST_TE,MATCH(D5,PT_DIFFERENTIATION_IST_TE_ID,0))</f>
      </c>
      <c r="T5" s="1521" t="s">
        <v>419</v>
      </c>
      <c r="U5" s="1511"/>
      <c r="V5" s="3453"/>
      <c r="W5" s="3454"/>
      <c r="X5" s="3454"/>
      <c r="Y5" s="3454"/>
      <c r="Z5" s="3454"/>
      <c r="AA5" s="3454"/>
      <c r="AB5" s="3454"/>
      <c r="AC5" s="3455"/>
      <c r="AD5" s="3453">
        <f>INDEX(PT_DIFFERENTIATION_IST_TE,MATCH(D5,PT_DIFFERENTIATION_IST_TE_ID,0))</f>
      </c>
      <c r="AE5" s="3454"/>
      <c r="AF5" s="3454"/>
      <c r="AG5" s="3454"/>
      <c r="AH5" s="3454"/>
      <c r="AI5" s="3454"/>
      <c r="AJ5" s="3454"/>
      <c r="AK5" s="3454"/>
      <c r="AL5" s="3455"/>
      <c r="AM5" s="2469" t="s">
        <v>420</v>
      </c>
      <c r="AO5" s="1711"/>
      <c r="AP5" s="1711" t="str">
        <f>IF(T5="","",T5)</f>
        <v>Источник тепловой энергии  </v>
      </c>
      <c r="AQ5" s="1711"/>
      <c r="AR5" s="1711"/>
      <c r="AS5" s="2366">
        <v>0</v>
      </c>
    </row>
    <row customHeight="1" ht="14.25" hidden="1">
      <c r="A6" s="2574"/>
      <c r="B6" s="2574"/>
      <c r="C6" s="2574"/>
      <c r="D6" s="2574"/>
      <c r="E6" s="3470"/>
      <c r="F6" s="3470"/>
      <c r="G6" s="3470"/>
      <c r="H6" s="3470"/>
      <c r="I6" s="3467">
        <f>S5&amp;".1"</f>
      </c>
      <c r="J6" s="2574"/>
      <c r="K6" s="2574"/>
      <c r="L6" s="2575" t="s">
        <v>421</v>
      </c>
      <c r="M6" s="1748"/>
      <c r="P6" s="3468">
        <v>1</v>
      </c>
      <c r="Q6" s="2542"/>
      <c r="R6" s="1567"/>
      <c r="S6" s="2253"/>
      <c r="T6" s="2594"/>
      <c r="U6" s="2595"/>
      <c r="V6" s="3507"/>
      <c r="W6" s="3508"/>
      <c r="X6" s="3508"/>
      <c r="Y6" s="3508"/>
      <c r="Z6" s="3508"/>
      <c r="AA6" s="3508"/>
      <c r="AB6" s="3508"/>
      <c r="AC6" s="3509"/>
      <c r="AD6" s="3507"/>
      <c r="AE6" s="3508"/>
      <c r="AF6" s="3508"/>
      <c r="AG6" s="3508"/>
      <c r="AH6" s="3508"/>
      <c r="AI6" s="3508"/>
      <c r="AJ6" s="3508"/>
      <c r="AK6" s="3508"/>
      <c r="AL6" s="3509"/>
      <c r="AM6" s="2596"/>
      <c r="AO6" s="1711"/>
      <c r="AP6" s="1711" t="str">
        <f>IF(T6="","",T6)</f>
        <v/>
      </c>
      <c r="AQ6" s="1711"/>
      <c r="AR6" s="1711"/>
      <c r="AS6" s="2366">
        <v>0</v>
      </c>
    </row>
    <row customHeight="1" ht="21" hidden="1">
      <c r="A7" s="2574"/>
      <c r="B7" s="2574"/>
      <c r="C7" s="2574"/>
      <c r="D7" s="2574"/>
      <c r="E7" s="3470"/>
      <c r="F7" s="3470"/>
      <c r="G7" s="3470"/>
      <c r="H7" s="3470"/>
      <c r="I7" s="3497"/>
      <c r="J7" s="3467">
        <f>I6&amp;".1"</f>
      </c>
      <c r="K7" s="2574"/>
      <c r="L7" s="2575" t="s">
        <v>424</v>
      </c>
      <c r="M7" s="1748"/>
      <c r="N7" s="2577"/>
      <c r="P7" s="3468"/>
      <c r="Q7" s="3468">
        <v>1</v>
      </c>
      <c r="R7" s="1568"/>
      <c r="S7" s="2547">
        <f>$J7</f>
      </c>
      <c r="T7" s="1497" t="s">
        <v>425</v>
      </c>
      <c r="U7" s="1511"/>
      <c r="V7" s="3456"/>
      <c r="W7" s="3457"/>
      <c r="X7" s="3457"/>
      <c r="Y7" s="3457"/>
      <c r="Z7" s="3457"/>
      <c r="AA7" s="3457"/>
      <c r="AB7" s="3457"/>
      <c r="AC7" s="3458"/>
      <c r="AD7" s="3456"/>
      <c r="AE7" s="3457"/>
      <c r="AF7" s="3457"/>
      <c r="AG7" s="3457"/>
      <c r="AH7" s="3457"/>
      <c r="AI7" s="3457"/>
      <c r="AJ7" s="3457"/>
      <c r="AK7" s="3457"/>
      <c r="AL7" s="3458"/>
      <c r="AM7" s="2469" t="s">
        <v>426</v>
      </c>
      <c r="AO7" s="1711"/>
      <c r="AP7" s="1711" t="str">
        <f>IF(T7="","",T7)</f>
        <v>Группа потребителей</v>
      </c>
      <c r="AQ7" s="1711"/>
      <c r="AR7" s="1711"/>
      <c r="AS7" s="2366">
        <v>0</v>
      </c>
    </row>
    <row customHeight="1" ht="21" hidden="1">
      <c r="A8" s="2574"/>
      <c r="B8" s="2574"/>
      <c r="C8" s="2574"/>
      <c r="D8" s="2574"/>
      <c r="E8" s="3470"/>
      <c r="F8" s="3470"/>
      <c r="G8" s="3470"/>
      <c r="H8" s="3470"/>
      <c r="I8" s="3497"/>
      <c r="J8" s="3497"/>
      <c r="K8" s="3467">
        <f>J7&amp;".1"</f>
      </c>
      <c r="L8" s="2575" t="s">
        <v>427</v>
      </c>
      <c r="M8" s="1748"/>
      <c r="N8" s="2577"/>
      <c r="O8" s="2577"/>
      <c r="P8" s="3468"/>
      <c r="Q8" s="3468"/>
      <c r="R8" s="1568">
        <v>1</v>
      </c>
      <c r="S8" s="2547">
        <f>$K8</f>
      </c>
      <c r="T8" s="2558"/>
      <c r="U8" s="1511"/>
      <c r="V8" s="1962"/>
      <c r="W8" s="1536"/>
      <c r="X8" s="1962"/>
      <c r="Y8" s="2468"/>
      <c r="Z8" s="3476"/>
      <c r="AA8" s="3318" t="s">
        <v>62</v>
      </c>
      <c r="AB8" s="3476"/>
      <c r="AC8" s="3318" t="s">
        <v>62</v>
      </c>
      <c r="AD8" s="1962"/>
      <c r="AE8" s="1536"/>
      <c r="AF8" s="1962"/>
      <c r="AG8" s="2468"/>
      <c r="AH8" s="3476"/>
      <c r="AI8" s="3318" t="s">
        <v>62</v>
      </c>
      <c r="AJ8" s="3476"/>
      <c r="AK8" s="3318" t="s">
        <v>62</v>
      </c>
      <c r="AL8" s="1536"/>
      <c r="AM8" s="3464" t="s">
        <v>428</v>
      </c>
      <c r="AN8" s="1722">
        <f>STRCHECKDATE(V9:AL9)</f>
      </c>
      <c r="AO8" s="1711"/>
      <c r="AP8" s="1711" t="str">
        <f>IF(T8="","",T8)</f>
        <v/>
      </c>
      <c r="AQ8" s="1711"/>
      <c r="AR8" s="1711"/>
      <c r="AS8" s="2366">
        <v>0</v>
      </c>
    </row>
    <row customHeight="1" ht="0.75" hidden="1">
      <c r="A9" s="2574"/>
      <c r="B9" s="2574"/>
      <c r="C9" s="2574"/>
      <c r="D9" s="2574"/>
      <c r="E9" s="3470"/>
      <c r="F9" s="3470"/>
      <c r="G9" s="3470"/>
      <c r="H9" s="3470"/>
      <c r="I9" s="3497"/>
      <c r="J9" s="3497"/>
      <c r="K9" s="3467"/>
      <c r="L9" s="2575"/>
      <c r="M9" s="1748"/>
      <c r="N9" s="2577"/>
      <c r="O9" s="2577"/>
      <c r="P9" s="3468"/>
      <c r="Q9" s="3468"/>
      <c r="R9" s="1568"/>
      <c r="S9" s="2553"/>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1711"/>
      <c r="AP9" s="1711" t="str">
        <f>IF(T9="","",T9)</f>
        <v/>
      </c>
      <c r="AQ9" s="1711"/>
      <c r="AR9" s="1711"/>
      <c r="AS9" s="2366">
        <v>0</v>
      </c>
    </row>
    <row customHeight="1" ht="15" hidden="1">
      <c r="A10" s="2574"/>
      <c r="B10" s="2574"/>
      <c r="C10" s="2574"/>
      <c r="D10" s="2574"/>
      <c r="E10" s="3470"/>
      <c r="F10" s="3470"/>
      <c r="G10" s="3470"/>
      <c r="H10" s="3470"/>
      <c r="I10" s="3497"/>
      <c r="J10" s="3467"/>
      <c r="K10" s="2574"/>
      <c r="L10" s="2575"/>
      <c r="M10" s="1748"/>
      <c r="N10" s="2577"/>
      <c r="P10" s="3468"/>
      <c r="Q10" s="3468"/>
      <c r="R10" s="1567"/>
      <c r="S10" s="2489"/>
      <c r="T10" s="1498" t="s">
        <v>429</v>
      </c>
      <c r="U10" s="1578"/>
      <c r="V10" s="1578"/>
      <c r="W10" s="1578"/>
      <c r="X10" s="1578"/>
      <c r="Y10" s="1578"/>
      <c r="Z10" s="1578"/>
      <c r="AA10" s="1578"/>
      <c r="AB10" s="1578"/>
      <c r="AC10" s="1578"/>
      <c r="AD10" s="1578"/>
      <c r="AE10" s="1578"/>
      <c r="AF10" s="1578"/>
      <c r="AG10" s="1578"/>
      <c r="AH10" s="1578"/>
      <c r="AI10" s="1578"/>
      <c r="AJ10" s="1578"/>
      <c r="AK10" s="1578"/>
      <c r="AL10" s="1535"/>
      <c r="AM10" s="3466"/>
      <c r="AO10" s="1711"/>
      <c r="AP10" s="1711" t="str">
        <f>IF(T10="","",T10)</f>
        <v>Добавить вид теплоносителя (параметры теплоносителя)</v>
      </c>
      <c r="AQ10" s="1711"/>
      <c r="AR10" s="1711"/>
      <c r="AS10" s="2366">
        <v>0</v>
      </c>
    </row>
    <row customHeight="1" ht="15" hidden="1">
      <c r="A11" s="2574"/>
      <c r="B11" s="2574"/>
      <c r="C11" s="2574"/>
      <c r="D11" s="2574"/>
      <c r="E11" s="3470"/>
      <c r="F11" s="3470"/>
      <c r="G11" s="3470"/>
      <c r="H11" s="3470"/>
      <c r="I11" s="3467"/>
      <c r="J11" s="2574"/>
      <c r="K11" s="2574"/>
      <c r="L11" s="2575"/>
      <c r="M11" s="1748"/>
      <c r="P11" s="3468"/>
      <c r="Q11" s="2542"/>
      <c r="R11" s="1567"/>
      <c r="S11" s="2489"/>
      <c r="T11" s="1576" t="s">
        <v>430</v>
      </c>
      <c r="U11" s="1578"/>
      <c r="V11" s="1578"/>
      <c r="W11" s="1578"/>
      <c r="X11" s="1578"/>
      <c r="Y11" s="1578"/>
      <c r="Z11" s="1578"/>
      <c r="AA11" s="1578"/>
      <c r="AB11" s="1578"/>
      <c r="AC11" s="1577"/>
      <c r="AD11" s="1578"/>
      <c r="AE11" s="1578"/>
      <c r="AF11" s="1578"/>
      <c r="AG11" s="1578"/>
      <c r="AH11" s="1578"/>
      <c r="AI11" s="1578"/>
      <c r="AJ11" s="1578"/>
      <c r="AK11" s="1577"/>
      <c r="AL11" s="1578"/>
      <c r="AM11" s="1514"/>
      <c r="AO11" s="1711"/>
      <c r="AP11" s="1711" t="str">
        <f>IF(T11="","",T11)</f>
        <v>Добавить группу потребителей</v>
      </c>
      <c r="AQ11" s="1711"/>
      <c r="AR11" s="1711"/>
      <c r="AS11" s="2366">
        <v>0</v>
      </c>
    </row>
    <row customHeight="1" ht="14.25" hidden="1">
      <c r="A12" s="2574"/>
      <c r="B12" s="2574"/>
      <c r="C12" s="2574"/>
      <c r="D12" s="2574"/>
      <c r="E12" s="3470"/>
      <c r="F12" s="3470"/>
      <c r="G12" s="3470"/>
      <c r="H12" s="3469"/>
      <c r="I12" s="2574"/>
      <c r="J12" s="2574"/>
      <c r="K12" s="2574"/>
      <c r="L12" s="2575"/>
      <c r="M12" s="2576"/>
      <c r="N12" s="2576"/>
      <c r="O12" s="1748"/>
      <c r="P12" s="1571"/>
      <c r="Q12" s="1586"/>
      <c r="R12" s="1566"/>
      <c r="S12" s="2597"/>
      <c r="T12" s="2598"/>
      <c r="U12" s="2599"/>
      <c r="V12" s="2599"/>
      <c r="W12" s="2599"/>
      <c r="X12" s="2599"/>
      <c r="Y12" s="2599"/>
      <c r="Z12" s="2599"/>
      <c r="AA12" s="2599"/>
      <c r="AB12" s="2599"/>
      <c r="AC12" s="2599"/>
      <c r="AD12" s="2599"/>
      <c r="AE12" s="2599"/>
      <c r="AF12" s="2599"/>
      <c r="AG12" s="2599"/>
      <c r="AH12" s="2599"/>
      <c r="AI12" s="2599"/>
      <c r="AJ12" s="2599"/>
      <c r="AK12" s="2599"/>
      <c r="AL12" s="2599"/>
      <c r="AM12" s="2600"/>
      <c r="AO12" s="1711"/>
      <c r="AP12" s="1711" t="str">
        <f>IF(T12="","",T12)</f>
        <v/>
      </c>
      <c r="AQ12" s="1711"/>
      <c r="AR12" s="1711"/>
      <c r="AS12" s="2366">
        <v>0</v>
      </c>
    </row>
    <row s="65923" customFormat="1" customHeight="1" ht="0.75" hidden="1">
      <c r="A13" s="2525"/>
      <c r="B13" s="2525"/>
      <c r="C13" s="2525"/>
      <c r="D13" s="2525"/>
      <c r="E13" s="3470"/>
      <c r="F13" s="3470"/>
      <c r="G13" s="3469"/>
      <c r="H13" s="2525"/>
      <c r="I13" s="2525"/>
      <c r="J13" s="2525"/>
      <c r="K13" s="2525"/>
      <c r="L13" s="2550"/>
      <c r="M13" s="2526"/>
      <c r="N13" s="2526"/>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000"/>
      <c r="AP13" s="2000" t="str">
        <f>IF(T13="","",T13)</f>
        <v>Добавить источник для дифференциации</v>
      </c>
      <c r="AQ13" s="2000"/>
      <c r="AR13" s="2000"/>
      <c r="AS13" s="1729">
        <v>0</v>
      </c>
    </row>
    <row s="65923" customFormat="1" customHeight="1" ht="0.75" hidden="1">
      <c r="A14" s="2525"/>
      <c r="B14" s="2525"/>
      <c r="C14" s="2525"/>
      <c r="D14" s="2525"/>
      <c r="E14" s="3470"/>
      <c r="F14" s="3469"/>
      <c r="G14" s="2525"/>
      <c r="H14" s="2525"/>
      <c r="I14" s="2525"/>
      <c r="J14" s="2525"/>
      <c r="K14" s="2525"/>
      <c r="L14" s="2550"/>
      <c r="M14" s="2532"/>
      <c r="N14" s="2532"/>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000"/>
      <c r="AP14" s="2000" t="str">
        <f>IF(T14="","",T14)</f>
        <v>Добавить централизованную систему для дифференциации</v>
      </c>
      <c r="AQ14" s="2000"/>
      <c r="AR14" s="2000"/>
      <c r="AS14" s="1729">
        <v>0</v>
      </c>
    </row>
    <row s="65923" customFormat="1" customHeight="1" ht="0.75" hidden="1">
      <c r="A15" s="2525"/>
      <c r="B15" s="2525"/>
      <c r="C15" s="2525"/>
      <c r="D15" s="2525"/>
      <c r="E15" s="3469"/>
      <c r="F15" s="2525"/>
      <c r="G15" s="2525"/>
      <c r="H15" s="2525"/>
      <c r="I15" s="2525"/>
      <c r="J15" s="2525"/>
      <c r="K15" s="2525"/>
      <c r="L15" s="2550"/>
      <c r="M15" s="2532"/>
      <c r="N15" s="2532"/>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000"/>
      <c r="AP15" s="2000" t="str">
        <f>IF(T15="","",T15)</f>
        <v>Добавить территорию для дифференциации</v>
      </c>
      <c r="AQ15" s="2000"/>
      <c r="AR15" s="2000"/>
      <c r="AS15" s="1729">
        <v>0</v>
      </c>
    </row>
    <row customHeight="1" ht="14.25" hidden="1">
      <c r="AC16" s="1538"/>
      <c r="AK16" s="1538"/>
      <c r="AS16" s="2366">
        <v>0</v>
      </c>
    </row>
    <row customHeight="1" ht="14.25" hidden="1">
      <c r="AD17" s="2571"/>
      <c r="AE17" s="2571"/>
      <c r="AF17" s="2571"/>
      <c r="AG17" s="2572"/>
      <c r="AH17" s="3478"/>
      <c r="AI17" s="3479" t="s">
        <v>62</v>
      </c>
      <c r="AJ17" s="3478"/>
      <c r="AK17" s="3479" t="s">
        <v>62</v>
      </c>
      <c r="AS17" s="2366">
        <v>0</v>
      </c>
    </row>
    <row customHeight="1" ht="14.25" hidden="1">
      <c r="AD18" s="2571"/>
      <c r="AE18" s="2571"/>
      <c r="AF18" s="2571"/>
      <c r="AG18" s="1539" t="str">
        <f>AH17&amp;"-"&amp;AJ17</f>
        <v>-</v>
      </c>
      <c r="AH18" s="3479"/>
      <c r="AI18" s="3479"/>
      <c r="AJ18" s="3479"/>
      <c r="AK18" s="3479"/>
      <c r="AS18" s="2366">
        <v>0</v>
      </c>
    </row>
    <row customHeight="1" ht="14.25" hidden="1">
      <c r="AK19" s="1538"/>
      <c r="AS19" s="2366">
        <v>0</v>
      </c>
    </row>
    <row s="66852" customFormat="1" customHeight="1" ht="22.5" hidden="1">
      <c r="L20" s="2540"/>
      <c r="M20" s="2573"/>
      <c r="N20" s="2573"/>
      <c r="O20" s="2578" t="s">
        <v>435</v>
      </c>
      <c r="P20" s="2573"/>
      <c r="Q20" s="2582"/>
      <c r="R20" s="2582"/>
      <c r="S20" s="1940"/>
      <c r="Z20" s="2578"/>
      <c r="AB20" s="2578"/>
      <c r="AC20" s="2577"/>
      <c r="AH20" s="2578"/>
      <c r="AJ20" s="2578"/>
      <c r="AK20" s="2577"/>
      <c r="AN20" s="1722"/>
      <c r="AO20" s="1722"/>
      <c r="AP20" s="1722"/>
      <c r="AQ20" s="1722"/>
      <c r="AR20" s="1722"/>
      <c r="AS20" s="2371">
        <v>0</v>
      </c>
    </row>
    <row s="66852" customFormat="1" customHeight="1" ht="14.25" hidden="1">
      <c r="L21" s="2540"/>
      <c r="M21" s="2573"/>
      <c r="N21" s="2573"/>
      <c r="O21" s="2573"/>
      <c r="P21" s="2573"/>
      <c r="Q21" s="2582"/>
      <c r="R21" s="2582"/>
      <c r="S21" s="1940"/>
      <c r="AC21" s="2577"/>
      <c r="AK21" s="2577"/>
      <c r="AN21" s="1722"/>
      <c r="AO21" s="1722"/>
      <c r="AP21" s="1722"/>
      <c r="AQ21" s="1722"/>
      <c r="AR21" s="1722"/>
      <c r="AS21" s="2371">
        <v>0</v>
      </c>
    </row>
    <row s="66852" customFormat="1" customHeight="1" ht="14.25" hidden="1">
      <c r="L22" s="2540"/>
      <c r="M22" s="2573"/>
      <c r="N22" s="2573"/>
      <c r="O22" s="2575" t="s">
        <v>436</v>
      </c>
      <c r="P22" s="2573"/>
      <c r="Q22" s="2582"/>
      <c r="R22" s="2582"/>
      <c r="S22" s="1940"/>
      <c r="T22" s="2371" t="s">
        <v>437</v>
      </c>
      <c r="AA22" s="1397" t="s">
        <v>438</v>
      </c>
      <c r="AC22" s="1397" t="s">
        <v>439</v>
      </c>
      <c r="AD22" s="2371" t="s">
        <v>437</v>
      </c>
      <c r="AI22" s="1397" t="s">
        <v>440</v>
      </c>
      <c r="AK22" s="1397" t="s">
        <v>439</v>
      </c>
      <c r="AN22" s="1722"/>
      <c r="AO22" s="1722"/>
      <c r="AP22" s="1722"/>
      <c r="AQ22" s="1722"/>
      <c r="AR22" s="1722"/>
      <c r="AS22" s="2371">
        <v>0</v>
      </c>
    </row>
    <row customHeight="1" ht="14.25" hidden="1">
      <c r="O23" s="2575"/>
      <c r="AS23" s="2366">
        <v>0</v>
      </c>
    </row>
    <row customHeight="1" ht="14.25" hidden="1">
      <c r="O24" s="2575"/>
      <c r="AS24" s="2366">
        <v>0</v>
      </c>
    </row>
    <row customHeight="1" ht="14.699999999999998">
      <c r="Q25" s="1587"/>
      <c r="R25" s="1587"/>
      <c r="S25" s="2486"/>
      <c r="T25" s="1574"/>
      <c r="U25" s="1574"/>
      <c r="V25" s="1720"/>
      <c r="W25" s="1720"/>
      <c r="X25" s="1720"/>
      <c r="Y25" s="1720"/>
      <c r="Z25" s="1720"/>
      <c r="AA25" s="1720"/>
      <c r="AB25" s="1720"/>
      <c r="AC25" s="1720"/>
      <c r="AD25" s="1720"/>
      <c r="AE25" s="1720"/>
      <c r="AF25" s="1720"/>
      <c r="AG25" s="1720"/>
      <c r="AH25" s="1720"/>
      <c r="AI25" s="1720"/>
      <c r="AJ25" s="1720"/>
      <c r="AK25" s="1720"/>
      <c r="AS25" s="2366">
        <v>14</v>
      </c>
    </row>
    <row customHeight="1" ht="63">
      <c r="Q26" s="1587"/>
      <c r="R26" s="1587"/>
      <c r="S26" s="345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459"/>
      <c r="U26" s="3459"/>
      <c r="V26" s="3459"/>
      <c r="W26" s="3459"/>
      <c r="X26" s="3459"/>
      <c r="Y26" s="3459"/>
      <c r="Z26" s="3459"/>
      <c r="AA26" s="3459"/>
      <c r="AB26" s="3459"/>
      <c r="AC26" s="3459"/>
      <c r="AD26" s="3459"/>
      <c r="AE26" s="3459"/>
      <c r="AF26" s="3459"/>
      <c r="AG26" s="3459"/>
      <c r="AH26" s="3459"/>
      <c r="AI26" s="3459"/>
      <c r="AJ26" s="3459"/>
      <c r="AK26" s="2454"/>
      <c r="AS26" s="2366">
        <v>60</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366">
        <v>14</v>
      </c>
    </row>
    <row customHeight="1" ht="14.25" hidden="1">
      <c r="Q28" s="1587"/>
      <c r="R28" s="1587"/>
      <c r="S28" s="2486"/>
      <c r="T28" s="1574"/>
      <c r="U28" s="1574"/>
      <c r="V28" s="1533"/>
      <c r="W28" s="1533"/>
      <c r="X28" s="1533"/>
      <c r="Y28" s="1533"/>
      <c r="Z28" s="1533"/>
      <c r="AA28" s="1533"/>
      <c r="AB28" s="1533"/>
      <c r="AC28" s="1533"/>
      <c r="AD28" s="1533"/>
      <c r="AE28" s="1533"/>
      <c r="AF28" s="1533"/>
      <c r="AG28" s="1533"/>
      <c r="AH28" s="1533"/>
      <c r="AI28" s="1533"/>
      <c r="AJ28" s="1533"/>
      <c r="AK28" s="1533"/>
      <c r="AL28" s="1720"/>
      <c r="AS28" s="2366">
        <v>0</v>
      </c>
    </row>
    <row s="67333" customFormat="1" customHeight="1" ht="25.5" hidden="1">
      <c r="A29" s="2579"/>
      <c r="B29" s="2579"/>
      <c r="C29" s="2579"/>
      <c r="D29" s="2579"/>
      <c r="E29" s="2579"/>
      <c r="F29" s="2579"/>
      <c r="G29" s="2579"/>
      <c r="H29" s="2579"/>
      <c r="I29" s="2579"/>
      <c r="J29" s="2579"/>
      <c r="K29" s="2579"/>
      <c r="L29" s="2580"/>
      <c r="M29" s="2579"/>
      <c r="N29" s="2579"/>
      <c r="O29" s="2579"/>
      <c r="S29" s="3461" t="s">
        <v>41</v>
      </c>
      <c r="T29" s="3461"/>
      <c r="U29" s="2583"/>
      <c r="V29" s="3462" t="str">
        <f>IF(TITLE_NAME_OR_PR_CHANGE="",IF(TITLE_NAME_OR_PR="","",TITLE_NAME_OR_PR),TITLE_NAME_OR_PR_CHANGE)</f>
        <v/>
      </c>
      <c r="W29" s="3462"/>
      <c r="X29" s="3462"/>
      <c r="Y29" s="3462"/>
      <c r="Z29" s="3462"/>
      <c r="AA29" s="3462"/>
      <c r="AB29" s="3462"/>
      <c r="AC29" s="1537"/>
      <c r="AD29" s="3462" t="str">
        <f>IF(TITLE_NAME_OR_PR_CHANGE="",IF(TITLE_NAME_OR_PR="","",TITLE_NAME_OR_PR),TITLE_NAME_OR_PR_CHANGE)</f>
        <v/>
      </c>
      <c r="AE29" s="3462"/>
      <c r="AF29" s="3462"/>
      <c r="AG29" s="3462"/>
      <c r="AH29" s="3462"/>
      <c r="AI29" s="3462"/>
      <c r="AJ29" s="3462"/>
      <c r="AK29" s="1537"/>
      <c r="AL29" s="1537"/>
      <c r="AM29" s="1491"/>
      <c r="AN29" s="1579"/>
      <c r="AO29" s="1579"/>
      <c r="AP29" s="1579"/>
      <c r="AQ29" s="1579"/>
      <c r="AR29" s="1579"/>
      <c r="AS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441</v>
      </c>
      <c r="T30" s="3461"/>
      <c r="U30" s="2583"/>
      <c r="V30" s="3475" t="str">
        <f>IF(TITLE_DATE_PR_CHANGE="",IF(TITLE_DATE_PR="","",TITLE_DATE_PR),TITLE_DATE_PR_CHANGE)</f>
        <v/>
      </c>
      <c r="W30" s="3475"/>
      <c r="X30" s="3475"/>
      <c r="Y30" s="3475"/>
      <c r="Z30" s="3475"/>
      <c r="AA30" s="3475"/>
      <c r="AB30" s="3475"/>
      <c r="AC30" s="1537"/>
      <c r="AD30" s="3475" t="str">
        <f>IF(TITLE_DATE_PR_CHANGE="",IF(TITLE_DATE_PR="","",TITLE_DATE_PR),TITLE_DATE_PR_CHANGE)</f>
        <v/>
      </c>
      <c r="AE30" s="3475"/>
      <c r="AF30" s="3475"/>
      <c r="AG30" s="3475"/>
      <c r="AH30" s="3475"/>
      <c r="AI30" s="3475"/>
      <c r="AJ30" s="3475"/>
      <c r="AK30" s="1537"/>
      <c r="AL30" s="1537"/>
      <c r="AM30" s="1491"/>
      <c r="AN30" s="1579"/>
      <c r="AO30" s="1579"/>
      <c r="AP30" s="1579"/>
      <c r="AQ30" s="1579"/>
      <c r="AR30" s="1579"/>
      <c r="AS30" s="1629">
        <v>0</v>
      </c>
    </row>
    <row s="67333" customFormat="1" customHeight="1" ht="18.75" hidden="1">
      <c r="A31" s="2579"/>
      <c r="B31" s="2579"/>
      <c r="C31" s="2579"/>
      <c r="D31" s="2579"/>
      <c r="E31" s="2579"/>
      <c r="F31" s="2579"/>
      <c r="G31" s="2579"/>
      <c r="H31" s="2579"/>
      <c r="I31" s="2579"/>
      <c r="J31" s="2579"/>
      <c r="K31" s="2579"/>
      <c r="L31" s="2580"/>
      <c r="M31" s="2579"/>
      <c r="N31" s="2579"/>
      <c r="O31" s="2579"/>
      <c r="S31" s="3461" t="s">
        <v>442</v>
      </c>
      <c r="T31" s="3461"/>
      <c r="U31" s="2583"/>
      <c r="V31" s="3462" t="str">
        <f>IF(TITLE_NUMBER_PR_CHANGE="",IF(TITLE_NUMBER_PR="","",TITLE_NUMBER_PR),TITLE_NUMBER_PR_CHANGE)</f>
        <v/>
      </c>
      <c r="W31" s="3462"/>
      <c r="X31" s="3462"/>
      <c r="Y31" s="3462"/>
      <c r="Z31" s="3462"/>
      <c r="AA31" s="3462"/>
      <c r="AB31" s="3462"/>
      <c r="AC31" s="1537"/>
      <c r="AD31" s="3462" t="str">
        <f>IF(TITLE_NUMBER_PR_CHANGE="",IF(TITLE_NUMBER_PR="","",TITLE_NUMBER_PR),TITLE_NUMBER_PR_CHANGE)</f>
        <v/>
      </c>
      <c r="AE31" s="3462"/>
      <c r="AF31" s="3462"/>
      <c r="AG31" s="3462"/>
      <c r="AH31" s="3462"/>
      <c r="AI31" s="3462"/>
      <c r="AJ31" s="3462"/>
      <c r="AK31" s="1537"/>
      <c r="AL31" s="1537"/>
      <c r="AM31" s="1491"/>
      <c r="AN31" s="1579"/>
      <c r="AO31" s="1579"/>
      <c r="AP31" s="1579"/>
      <c r="AQ31" s="1579"/>
      <c r="AR31" s="1579"/>
      <c r="AS31" s="1629">
        <v>0</v>
      </c>
    </row>
    <row s="67333" customFormat="1" customHeight="1" ht="18.75" hidden="1">
      <c r="A32" s="2579"/>
      <c r="B32" s="2579"/>
      <c r="C32" s="2579"/>
      <c r="D32" s="2579"/>
      <c r="E32" s="2579"/>
      <c r="F32" s="2579"/>
      <c r="G32" s="2579"/>
      <c r="H32" s="2579"/>
      <c r="I32" s="2579"/>
      <c r="J32" s="2579"/>
      <c r="K32" s="2579"/>
      <c r="L32" s="2580"/>
      <c r="M32" s="2579"/>
      <c r="N32" s="2579"/>
      <c r="O32" s="2579"/>
      <c r="S32" s="3461" t="s">
        <v>42</v>
      </c>
      <c r="T32" s="3461"/>
      <c r="U32" s="2583"/>
      <c r="V32" s="3462" t="str">
        <f>IF(TITLE_IST_PUB_CHANGE="",IF(TITLE_IST_PUB="","",TITLE_IST_PUB),TITLE_IST_PUB_CHANGE)</f>
        <v/>
      </c>
      <c r="W32" s="3462"/>
      <c r="X32" s="3462"/>
      <c r="Y32" s="3462"/>
      <c r="Z32" s="3462"/>
      <c r="AA32" s="3462"/>
      <c r="AB32" s="3462"/>
      <c r="AC32" s="1537"/>
      <c r="AD32" s="3462" t="str">
        <f>IF(TITLE_IST_PUB_CHANGE="",IF(TITLE_IST_PUB="","",TITLE_IST_PUB),TITLE_IST_PUB_CHANGE)</f>
        <v/>
      </c>
      <c r="AE32" s="3462"/>
      <c r="AF32" s="3462"/>
      <c r="AG32" s="3462"/>
      <c r="AH32" s="3462"/>
      <c r="AI32" s="3462"/>
      <c r="AJ32" s="3462"/>
      <c r="AK32" s="1537"/>
      <c r="AL32" s="1537"/>
      <c r="AM32" s="1491"/>
      <c r="AN32" s="1579"/>
      <c r="AO32" s="1579"/>
      <c r="AP32" s="1579"/>
      <c r="AQ32" s="1579"/>
      <c r="AR32" s="1579"/>
      <c r="AS32" s="1629">
        <v>0</v>
      </c>
    </row>
    <row customHeight="1" ht="14.25" hidden="1">
      <c r="Q33" s="1587"/>
      <c r="R33" s="1587"/>
      <c r="S33" s="2486"/>
      <c r="T33" s="1574"/>
      <c r="U33" s="1574"/>
      <c r="V33" s="1533"/>
      <c r="W33" s="1533"/>
      <c r="X33" s="1533"/>
      <c r="Y33" s="1533"/>
      <c r="Z33" s="1533"/>
      <c r="AA33" s="1533"/>
      <c r="AB33" s="1533"/>
      <c r="AC33" s="1533"/>
      <c r="AD33" s="1533"/>
      <c r="AE33" s="1533"/>
      <c r="AF33" s="1533"/>
      <c r="AG33" s="1533"/>
      <c r="AH33" s="1533"/>
      <c r="AI33" s="1533"/>
      <c r="AJ33" s="1533"/>
      <c r="AK33" s="1533"/>
      <c r="AL33" s="1720"/>
      <c r="AS33" s="2366">
        <v>0</v>
      </c>
    </row>
    <row s="67333" customFormat="1" customHeight="1" ht="18.75" hidden="1">
      <c r="A34" s="2579"/>
      <c r="B34" s="2579"/>
      <c r="C34" s="2579"/>
      <c r="D34" s="2579"/>
      <c r="E34" s="2579"/>
      <c r="F34" s="2579"/>
      <c r="G34" s="2579"/>
      <c r="H34" s="2579"/>
      <c r="I34" s="2579"/>
      <c r="J34" s="2579"/>
      <c r="K34" s="2579"/>
      <c r="L34" s="2580"/>
      <c r="M34" s="2579"/>
      <c r="N34" s="2579"/>
      <c r="O34" s="2579"/>
      <c r="S34" s="3461" t="s">
        <v>443</v>
      </c>
      <c r="T34" s="3461"/>
      <c r="U34" s="2583"/>
      <c r="V34" s="3475" t="str">
        <f>IF(TITLE_DATE_PR_CHANGE="",IF(TITLE_DATE_PR="","",TITLE_DATE_PR),TITLE_DATE_PR_CHANGE)</f>
        <v/>
      </c>
      <c r="W34" s="3475"/>
      <c r="X34" s="3475"/>
      <c r="Y34" s="3475"/>
      <c r="Z34" s="3475"/>
      <c r="AA34" s="3475"/>
      <c r="AB34" s="3475"/>
      <c r="AC34" s="1537"/>
      <c r="AD34" s="3475" t="str">
        <f>IF(TITLE_DATE_PR_CHANGE="",IF(TITLE_DATE_PR="","",TITLE_DATE_PR),TITLE_DATE_PR_CHANGE)</f>
        <v/>
      </c>
      <c r="AE34" s="3475"/>
      <c r="AF34" s="3475"/>
      <c r="AG34" s="3475"/>
      <c r="AH34" s="3475"/>
      <c r="AI34" s="3475"/>
      <c r="AJ34" s="3475"/>
      <c r="AK34" s="1537"/>
      <c r="AL34" s="1537"/>
      <c r="AM34" s="1491"/>
      <c r="AN34" s="1579"/>
      <c r="AO34" s="1579"/>
      <c r="AP34" s="1579"/>
      <c r="AQ34" s="1579"/>
      <c r="AR34" s="1579"/>
      <c r="AS34" s="1629">
        <v>0</v>
      </c>
    </row>
    <row s="67333" customFormat="1" customHeight="1" ht="18.75" hidden="1">
      <c r="A35" s="2579"/>
      <c r="B35" s="2579"/>
      <c r="C35" s="2579"/>
      <c r="D35" s="2579"/>
      <c r="E35" s="2579"/>
      <c r="F35" s="2579"/>
      <c r="G35" s="2579"/>
      <c r="H35" s="2579"/>
      <c r="I35" s="2579"/>
      <c r="J35" s="2579"/>
      <c r="K35" s="2579"/>
      <c r="L35" s="2580"/>
      <c r="M35" s="2579"/>
      <c r="N35" s="2579"/>
      <c r="O35" s="2579"/>
      <c r="S35" s="3461" t="s">
        <v>444</v>
      </c>
      <c r="T35" s="3461"/>
      <c r="U35" s="2583"/>
      <c r="V35" s="3462" t="str">
        <f>IF(TITLE_NUMBER_PR_CHANGE="",IF(TITLE_NUMBER_PR="","",TITLE_NUMBER_PR),TITLE_NUMBER_PR_CHANGE)</f>
        <v/>
      </c>
      <c r="W35" s="3462"/>
      <c r="X35" s="3462"/>
      <c r="Y35" s="3462"/>
      <c r="Z35" s="3462"/>
      <c r="AA35" s="3462"/>
      <c r="AB35" s="3462"/>
      <c r="AC35" s="1537"/>
      <c r="AD35" s="3462" t="str">
        <f>IF(TITLE_NUMBER_PR_CHANGE="",IF(TITLE_NUMBER_PR="","",TITLE_NUMBER_PR),TITLE_NUMBER_PR_CHANGE)</f>
        <v/>
      </c>
      <c r="AE35" s="3462"/>
      <c r="AF35" s="3462"/>
      <c r="AG35" s="3462"/>
      <c r="AH35" s="3462"/>
      <c r="AI35" s="3462"/>
      <c r="AJ35" s="3462"/>
      <c r="AK35" s="1537"/>
      <c r="AL35" s="1537"/>
      <c r="AM35" s="1491"/>
      <c r="AN35" s="1579"/>
      <c r="AO35" s="1579"/>
      <c r="AP35" s="1579"/>
      <c r="AQ35" s="1579"/>
      <c r="AR35" s="1579"/>
      <c r="AS35" s="1629">
        <v>0</v>
      </c>
    </row>
    <row s="67333" customFormat="1" customHeight="1" ht="0">
      <c r="A36" s="2579"/>
      <c r="B36" s="2579"/>
      <c r="C36" s="2579"/>
      <c r="D36" s="2579"/>
      <c r="E36" s="2579"/>
      <c r="F36" s="2579"/>
      <c r="G36" s="2579"/>
      <c r="H36" s="2579"/>
      <c r="I36" s="2579"/>
      <c r="J36" s="2579"/>
      <c r="K36" s="2579"/>
      <c r="L36" s="2580"/>
      <c r="M36" s="2579"/>
      <c r="N36" s="2579"/>
      <c r="O36" s="2579"/>
      <c r="S36" s="1534"/>
      <c r="T36" s="1534"/>
      <c r="U36" s="2551"/>
      <c r="V36" s="1537"/>
      <c r="W36" s="1537"/>
      <c r="X36" s="1537"/>
      <c r="Y36" s="1537"/>
      <c r="Z36" s="1537"/>
      <c r="AA36" s="1537"/>
      <c r="AB36" s="1537"/>
      <c r="AC36" s="1489" t="s">
        <v>445</v>
      </c>
      <c r="AD36" s="1537"/>
      <c r="AE36" s="1537"/>
      <c r="AF36" s="1537"/>
      <c r="AG36" s="1537"/>
      <c r="AH36" s="1537"/>
      <c r="AI36" s="1537"/>
      <c r="AJ36" s="1537"/>
      <c r="AK36" s="1489" t="s">
        <v>445</v>
      </c>
      <c r="AN36" s="1579"/>
      <c r="AO36" s="1579"/>
      <c r="AP36" s="1579"/>
      <c r="AQ36" s="1579"/>
      <c r="AR36" s="1579"/>
      <c r="AS36" s="1629">
        <v>0</v>
      </c>
    </row>
    <row customHeight="1" ht="14.699999999999998">
      <c r="Q37" s="1587"/>
      <c r="R37" s="1587"/>
      <c r="S37" s="2486"/>
      <c r="T37" s="1574"/>
      <c r="U37" s="2455"/>
      <c r="V37" s="3463"/>
      <c r="W37" s="3463"/>
      <c r="X37" s="3463"/>
      <c r="Y37" s="3463"/>
      <c r="Z37" s="3463"/>
      <c r="AA37" s="3463"/>
      <c r="AB37" s="3463"/>
      <c r="AC37" s="3463"/>
      <c r="AD37" s="3463"/>
      <c r="AE37" s="3463"/>
      <c r="AF37" s="3463"/>
      <c r="AG37" s="3463"/>
      <c r="AH37" s="3463"/>
      <c r="AI37" s="3463"/>
      <c r="AJ37" s="3463"/>
      <c r="AK37" s="3463"/>
      <c r="AS37" s="2366">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366">
        <v>14</v>
      </c>
    </row>
    <row customHeight="1" ht="14.699999999999998">
      <c r="Q39" s="1587"/>
      <c r="R39" s="1587"/>
      <c r="S39" s="3484" t="s">
        <v>88</v>
      </c>
      <c r="T39" s="3420" t="s">
        <v>446</v>
      </c>
      <c r="U39" s="1512"/>
      <c r="V39" s="3485" t="s">
        <v>447</v>
      </c>
      <c r="W39" s="3486"/>
      <c r="X39" s="3486"/>
      <c r="Y39" s="3486"/>
      <c r="Z39" s="3486"/>
      <c r="AA39" s="3486"/>
      <c r="AB39" s="3487"/>
      <c r="AC39" s="3488" t="s">
        <v>448</v>
      </c>
      <c r="AD39" s="3485" t="s">
        <v>447</v>
      </c>
      <c r="AE39" s="3486"/>
      <c r="AF39" s="3486"/>
      <c r="AG39" s="3486"/>
      <c r="AH39" s="3486"/>
      <c r="AI39" s="3486"/>
      <c r="AJ39" s="3487"/>
      <c r="AK39" s="3488" t="s">
        <v>449</v>
      </c>
      <c r="AL39" s="3491" t="s">
        <v>450</v>
      </c>
      <c r="AM39" s="3338"/>
      <c r="AS39" s="2366">
        <v>14</v>
      </c>
    </row>
    <row customHeight="1" ht="35.699999999999996">
      <c r="Q40" s="1587"/>
      <c r="R40" s="1587"/>
      <c r="S40" s="3484"/>
      <c r="T40" s="3420"/>
      <c r="U40" s="2242"/>
      <c r="V40" s="3471" t="s">
        <v>451</v>
      </c>
      <c r="W40" s="3494"/>
      <c r="X40" s="3473" t="s">
        <v>453</v>
      </c>
      <c r="Y40" s="3474"/>
      <c r="Z40" s="3473" t="s">
        <v>454</v>
      </c>
      <c r="AA40" s="3480"/>
      <c r="AB40" s="3474"/>
      <c r="AC40" s="3489"/>
      <c r="AD40" s="3471" t="s">
        <v>468</v>
      </c>
      <c r="AE40" s="3494"/>
      <c r="AF40" s="3473" t="s">
        <v>453</v>
      </c>
      <c r="AG40" s="3474"/>
      <c r="AH40" s="3473" t="s">
        <v>454</v>
      </c>
      <c r="AI40" s="3480"/>
      <c r="AJ40" s="3474"/>
      <c r="AK40" s="3489"/>
      <c r="AL40" s="3492"/>
      <c r="AM40" s="3338"/>
      <c r="AS40" s="2366">
        <v>34</v>
      </c>
    </row>
    <row customHeight="1" ht="35.699999999999996">
      <c r="A41" s="2581"/>
      <c r="B41" s="2581" t="s">
        <v>155</v>
      </c>
      <c r="C41" s="2581" t="s">
        <v>156</v>
      </c>
      <c r="D41" s="2581" t="s">
        <v>157</v>
      </c>
      <c r="E41" s="2575" t="s">
        <v>455</v>
      </c>
      <c r="F41" s="2575" t="s">
        <v>456</v>
      </c>
      <c r="G41" s="2575" t="s">
        <v>457</v>
      </c>
      <c r="H41" s="2575" t="s">
        <v>458</v>
      </c>
      <c r="I41" s="2575" t="s">
        <v>459</v>
      </c>
      <c r="J41" s="2575" t="s">
        <v>460</v>
      </c>
      <c r="K41" s="2575" t="s">
        <v>461</v>
      </c>
      <c r="L41" s="2575" t="s">
        <v>436</v>
      </c>
      <c r="Q41" s="1587"/>
      <c r="R41" s="1587"/>
      <c r="S41" s="3484"/>
      <c r="T41" s="3420"/>
      <c r="U41" s="1513"/>
      <c r="V41" s="3472"/>
      <c r="W41" s="3495"/>
      <c r="X41" s="2433" t="s">
        <v>462</v>
      </c>
      <c r="Y41" s="2433" t="s">
        <v>463</v>
      </c>
      <c r="Z41" s="2549" t="s">
        <v>464</v>
      </c>
      <c r="AA41" s="3481" t="s">
        <v>465</v>
      </c>
      <c r="AB41" s="3482"/>
      <c r="AC41" s="3490"/>
      <c r="AD41" s="3472"/>
      <c r="AE41" s="3495"/>
      <c r="AF41" s="2433" t="s">
        <v>462</v>
      </c>
      <c r="AG41" s="2433" t="s">
        <v>463</v>
      </c>
      <c r="AH41" s="2549" t="s">
        <v>464</v>
      </c>
      <c r="AI41" s="3481" t="s">
        <v>465</v>
      </c>
      <c r="AJ41" s="3482"/>
      <c r="AK41" s="3490"/>
      <c r="AL41" s="3493"/>
      <c r="AM41" s="3338"/>
      <c r="AS41" s="2366">
        <v>34</v>
      </c>
    </row>
    <row s="65897" customFormat="1" customHeight="1" ht="11.25" hidden="1">
      <c r="A42" s="2581"/>
      <c r="B42" s="2581"/>
      <c r="C42" s="2581"/>
      <c r="D42" s="2581"/>
      <c r="E42" s="2581"/>
      <c r="F42" s="2581"/>
      <c r="G42" s="2581"/>
      <c r="H42" s="2581"/>
      <c r="I42" s="2581"/>
      <c r="J42" s="2581"/>
      <c r="K42" s="2581"/>
      <c r="L42" s="2575"/>
      <c r="M42" s="2573"/>
      <c r="N42" s="2573"/>
      <c r="O42" s="2573"/>
      <c r="P42" s="2457"/>
      <c r="Q42" s="2458"/>
      <c r="R42" s="2465">
        <v>1</v>
      </c>
      <c r="S42" s="2488" t="s">
        <v>99</v>
      </c>
      <c r="T42" s="2466" t="s">
        <v>102</v>
      </c>
      <c r="U42" s="2456" t="str">
        <f>OFFSET(U42,0,-1)</f>
        <v>2</v>
      </c>
      <c r="V42" s="2546">
        <f>OFFSET(V42,0,-1)+1</f>
        <v>3</v>
      </c>
      <c r="W42" s="2546"/>
      <c r="X42" s="2546">
        <f>OFFSET(X42,0,-1)+1</f>
        <v>1</v>
      </c>
      <c r="Y42" s="2546">
        <f>OFFSET(Y42,0,-1)+1</f>
        <v>2</v>
      </c>
      <c r="Z42" s="2546">
        <f>OFFSET(Z42,0,-1)+1</f>
        <v>3</v>
      </c>
      <c r="AA42" s="3483">
        <f>OFFSET(AA42,0,-1)+1</f>
        <v>4</v>
      </c>
      <c r="AB42" s="3483"/>
      <c r="AC42" s="2546">
        <f>OFFSET(AC42,0,-2)+1</f>
        <v>5</v>
      </c>
      <c r="AD42" s="2546">
        <f>OFFSET(AD42,0,-1)+1</f>
        <v>6</v>
      </c>
      <c r="AE42" s="2546"/>
      <c r="AF42" s="2546">
        <f>OFFSET(AF42,0,-1)+1</f>
        <v>1</v>
      </c>
      <c r="AG42" s="2546">
        <f>OFFSET(AG42,0,-1)+1</f>
        <v>2</v>
      </c>
      <c r="AH42" s="2546">
        <f>OFFSET(AH42,0,-1)+1</f>
        <v>3</v>
      </c>
      <c r="AI42" s="3483">
        <f>OFFSET(AI42,0,-1)+1</f>
        <v>4</v>
      </c>
      <c r="AJ42" s="3483"/>
      <c r="AK42" s="2546">
        <f>OFFSET(AK42,0,-2)+1</f>
        <v>5</v>
      </c>
      <c r="AL42" s="2456">
        <f>OFFSET(AL42,0,-1)</f>
        <v>5</v>
      </c>
      <c r="AM42" s="2546">
        <f>OFFSET(AM42,0,-1)+1</f>
        <v>6</v>
      </c>
      <c r="AN42" s="1722"/>
      <c r="AO42" s="1722"/>
      <c r="AP42" s="1722"/>
      <c r="AQ42" s="1722"/>
      <c r="AR42" s="1722"/>
      <c r="AS42" s="1707">
        <v>0</v>
      </c>
    </row>
    <row customHeight="1" ht="22.049999999999997">
      <c r="A43" s="2574" t="s">
        <v>188</v>
      </c>
      <c r="B43" s="2574"/>
      <c r="C43" s="2574"/>
      <c r="D43" s="2574"/>
      <c r="E43" s="3469">
        <v>1</v>
      </c>
      <c r="F43" s="2574"/>
      <c r="G43" s="2574"/>
      <c r="H43" s="2574"/>
      <c r="I43" s="2574"/>
      <c r="J43" s="2574"/>
      <c r="K43" s="2574"/>
      <c r="L43" s="2575"/>
      <c r="M43" s="2576"/>
      <c r="N43" s="2576"/>
      <c r="O43" s="2576"/>
      <c r="P43" s="1572"/>
      <c r="Q43" s="1571"/>
      <c r="R43" s="1566"/>
      <c r="S43" s="2547">
        <f>INDEX(PT_DIFFERENTIATION_NUM_NTAR,MATCH(A43,PT_DIFFERENTIATION_NTAR_ID,0))</f>
        <v>0</v>
      </c>
      <c r="T43" s="1509"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11"/>
      <c r="AP43" s="1711" t="str">
        <f>IF(T43="","",T43)</f>
        <v>Наименование тарифа</v>
      </c>
      <c r="AQ43" s="1711"/>
      <c r="AR43" s="1711"/>
      <c r="AS43" s="2366">
        <v>21</v>
      </c>
    </row>
    <row customHeight="1" ht="22.049999999999997">
      <c r="A44" s="2574" t="s">
        <v>188</v>
      </c>
      <c r="B44" s="2574" t="s">
        <v>189</v>
      </c>
      <c r="C44" s="2574"/>
      <c r="D44" s="2574"/>
      <c r="E44" s="3470"/>
      <c r="F44" s="3469">
        <v>1</v>
      </c>
      <c r="G44" s="2574"/>
      <c r="H44" s="2574"/>
      <c r="I44" s="2574"/>
      <c r="J44" s="2574"/>
      <c r="K44" s="2574"/>
      <c r="L44" s="2575"/>
      <c r="M44" s="2576"/>
      <c r="N44" s="2576"/>
      <c r="O44" s="2576"/>
      <c r="P44" s="2543"/>
      <c r="Q44" s="1563"/>
      <c r="R44" s="1564"/>
      <c r="S44" s="2547" t="str">
        <f>INDEX(PT_DIFFERENTIATION_NUM_TER,MATCH(B44,PT_DIFFERENTIATION_TER_ID,0))</f>
        <v>.</v>
      </c>
      <c r="T44" s="1519"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1711"/>
      <c r="AP44" s="1711" t="str">
        <f>IF(T44="","",T44)</f>
        <v>Территория действия тарифа</v>
      </c>
      <c r="AQ44" s="1711"/>
      <c r="AR44" s="1711"/>
      <c r="AS44" s="2366">
        <v>21</v>
      </c>
    </row>
    <row customHeight="1" ht="24">
      <c r="A45" s="2574" t="s">
        <v>188</v>
      </c>
      <c r="B45" s="2574" t="s">
        <v>189</v>
      </c>
      <c r="C45" s="2574" t="s">
        <v>190</v>
      </c>
      <c r="D45" s="2574"/>
      <c r="E45" s="3470"/>
      <c r="F45" s="3470"/>
      <c r="G45" s="3469">
        <v>1</v>
      </c>
      <c r="H45" s="2574"/>
      <c r="I45" s="2574"/>
      <c r="J45" s="2574"/>
      <c r="K45" s="2574"/>
      <c r="L45" s="2575"/>
      <c r="M45" s="2576"/>
      <c r="N45" s="2576"/>
      <c r="O45" s="2576"/>
      <c r="P45" s="1565"/>
      <c r="Q45" s="1563"/>
      <c r="R45" s="1564"/>
      <c r="S45" s="2547"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1711"/>
      <c r="AP45" s="1711" t="str">
        <f>IF(T45="","",T45)</f>
        <v>Наименование системы теплоснабжения </v>
      </c>
      <c r="AQ45" s="1711"/>
      <c r="AR45" s="1711"/>
      <c r="AS45" s="2366">
        <v>23</v>
      </c>
    </row>
    <row customHeight="1" ht="22.049999999999997">
      <c r="A46" s="2574" t="s">
        <v>188</v>
      </c>
      <c r="B46" s="2574" t="s">
        <v>189</v>
      </c>
      <c r="C46" s="2574" t="s">
        <v>190</v>
      </c>
      <c r="D46" s="2574" t="s">
        <v>191</v>
      </c>
      <c r="E46" s="3470"/>
      <c r="F46" s="3470"/>
      <c r="G46" s="3470"/>
      <c r="H46" s="3469">
        <v>1</v>
      </c>
      <c r="I46" s="2574"/>
      <c r="J46" s="2574"/>
      <c r="K46" s="2574"/>
      <c r="L46" s="2575"/>
      <c r="M46" s="2576"/>
      <c r="N46" s="2576"/>
      <c r="O46" s="2576"/>
      <c r="P46" s="1565"/>
      <c r="Q46" s="1563"/>
      <c r="R46" s="1564"/>
      <c r="S46" s="2547"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1711"/>
      <c r="AP46" s="1711" t="str">
        <f>IF(T46="","",T46)</f>
        <v>Источник тепловой энергии  </v>
      </c>
      <c r="AQ46" s="1711"/>
      <c r="AR46" s="1711"/>
      <c r="AS46" s="2366">
        <v>21</v>
      </c>
    </row>
    <row s="65923" customFormat="1" customHeight="1" ht="0">
      <c r="A47" s="2554" t="s">
        <v>188</v>
      </c>
      <c r="B47" s="2554" t="s">
        <v>189</v>
      </c>
      <c r="C47" s="2554" t="s">
        <v>190</v>
      </c>
      <c r="D47" s="2554" t="s">
        <v>191</v>
      </c>
      <c r="E47" s="3470"/>
      <c r="F47" s="3470"/>
      <c r="G47" s="3470"/>
      <c r="H47" s="3470"/>
      <c r="I47" s="3467" t="str">
        <f>S46&amp;".1"</f>
        <v>....1</v>
      </c>
      <c r="J47" s="2554"/>
      <c r="K47" s="2554"/>
      <c r="L47" s="2557" t="s">
        <v>421</v>
      </c>
      <c r="M47" s="1721"/>
      <c r="N47" s="1721"/>
      <c r="O47" s="1721"/>
      <c r="P47" s="3468">
        <v>1</v>
      </c>
      <c r="Q47" s="2542"/>
      <c r="R47" s="1567"/>
      <c r="S47" s="2253"/>
      <c r="T47" s="2594"/>
      <c r="U47" s="2595"/>
      <c r="V47" s="3507"/>
      <c r="W47" s="3508"/>
      <c r="X47" s="3508"/>
      <c r="Y47" s="3508"/>
      <c r="Z47" s="3508"/>
      <c r="AA47" s="3508"/>
      <c r="AB47" s="3508"/>
      <c r="AC47" s="3509"/>
      <c r="AD47" s="3507"/>
      <c r="AE47" s="3508"/>
      <c r="AF47" s="3508"/>
      <c r="AG47" s="3508"/>
      <c r="AH47" s="3508"/>
      <c r="AI47" s="3508"/>
      <c r="AJ47" s="3508"/>
      <c r="AK47" s="3508"/>
      <c r="AL47" s="3509"/>
      <c r="AM47" s="2596"/>
      <c r="AO47" s="1711"/>
      <c r="AP47" s="1711" t="str">
        <f>IF(T47="","",T47)</f>
        <v/>
      </c>
      <c r="AQ47" s="1711"/>
      <c r="AR47" s="1711"/>
      <c r="AS47" s="1722">
        <v>0</v>
      </c>
    </row>
    <row customHeight="1" ht="22.049999999999997">
      <c r="A48" s="2574" t="s">
        <v>188</v>
      </c>
      <c r="B48" s="2574" t="s">
        <v>189</v>
      </c>
      <c r="C48" s="2574" t="s">
        <v>190</v>
      </c>
      <c r="D48" s="2574" t="s">
        <v>191</v>
      </c>
      <c r="E48" s="3470"/>
      <c r="F48" s="3470"/>
      <c r="G48" s="3470"/>
      <c r="H48" s="3470"/>
      <c r="I48" s="3497"/>
      <c r="J48" s="3467" t="str">
        <f>S46&amp;".1"</f>
        <v>....1</v>
      </c>
      <c r="K48" s="2574"/>
      <c r="L48" s="2575" t="s">
        <v>424</v>
      </c>
      <c r="P48" s="3468"/>
      <c r="Q48" s="3468">
        <v>1</v>
      </c>
      <c r="R48" s="1568"/>
      <c r="S48" s="2547" t="str">
        <f>$J48</f>
        <v>....1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1711"/>
      <c r="AP48" s="1711" t="str">
        <f>IF(T48="","",T48)</f>
        <v>Группа потребителей</v>
      </c>
      <c r="AQ48" s="1711"/>
      <c r="AR48" s="1711"/>
      <c r="AS48" s="2366">
        <v>21</v>
      </c>
    </row>
    <row customHeight="1" ht="22.049999999999997">
      <c r="A49" s="2574" t="s">
        <v>188</v>
      </c>
      <c r="B49" s="2574" t="s">
        <v>189</v>
      </c>
      <c r="C49" s="2574" t="s">
        <v>190</v>
      </c>
      <c r="D49" s="2574" t="s">
        <v>191</v>
      </c>
      <c r="E49" s="3470"/>
      <c r="F49" s="3470"/>
      <c r="G49" s="3470"/>
      <c r="H49" s="3470"/>
      <c r="I49" s="3497"/>
      <c r="J49" s="3497"/>
      <c r="K49" s="3467" t="str">
        <f>J48&amp;".1"</f>
        <v>....1.1</v>
      </c>
      <c r="L49" s="2575" t="s">
        <v>427</v>
      </c>
      <c r="P49" s="3468"/>
      <c r="Q49" s="3468"/>
      <c r="R49" s="1568">
        <v>1</v>
      </c>
      <c r="S49" s="2547" t="str">
        <f>$K49</f>
        <v>....1.1</v>
      </c>
      <c r="T49" s="2558"/>
      <c r="U49" s="1511"/>
      <c r="V49" s="1962"/>
      <c r="W49" s="1536"/>
      <c r="X49" s="1962"/>
      <c r="Y49" s="2468"/>
      <c r="Z49" s="3476"/>
      <c r="AA49" s="3318" t="s">
        <v>62</v>
      </c>
      <c r="AB49" s="3476"/>
      <c r="AC49" s="3318" t="s">
        <v>62</v>
      </c>
      <c r="AD49" s="1962"/>
      <c r="AE49" s="1536"/>
      <c r="AF49" s="1962"/>
      <c r="AG49" s="2468"/>
      <c r="AH49" s="3476"/>
      <c r="AI49" s="3318" t="s">
        <v>62</v>
      </c>
      <c r="AJ49" s="3498"/>
      <c r="AK49" s="3318" t="s">
        <v>62</v>
      </c>
      <c r="AL49" s="2559"/>
      <c r="AM49" s="3464" t="s">
        <v>469</v>
      </c>
      <c r="AN49" s="1722">
        <f>STRCHECKDATE(V50:AL50)</f>
      </c>
      <c r="AO49" s="1711"/>
      <c r="AP49" s="1711" t="str">
        <f>IF(T49="","",T49)</f>
        <v/>
      </c>
      <c r="AQ49" s="1711"/>
      <c r="AR49" s="1711"/>
      <c r="AS49" s="2366">
        <v>21</v>
      </c>
    </row>
    <row customHeight="1" ht="1.05">
      <c r="A50" s="2574" t="s">
        <v>188</v>
      </c>
      <c r="B50" s="2574" t="s">
        <v>189</v>
      </c>
      <c r="C50" s="2574" t="s">
        <v>190</v>
      </c>
      <c r="D50" s="2574" t="s">
        <v>191</v>
      </c>
      <c r="E50" s="3470"/>
      <c r="F50" s="3470"/>
      <c r="G50" s="3470"/>
      <c r="H50" s="3470"/>
      <c r="I50" s="3497"/>
      <c r="J50" s="3497"/>
      <c r="K50" s="3467"/>
      <c r="L50" s="2575"/>
      <c r="P50" s="3468"/>
      <c r="Q50" s="3468"/>
      <c r="R50" s="1568"/>
      <c r="S50" s="2553"/>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1711"/>
      <c r="AP50" s="1711" t="str">
        <f>IF(T50="","",T50)</f>
        <v/>
      </c>
      <c r="AQ50" s="1711"/>
      <c r="AR50" s="1711"/>
      <c r="AS50" s="2366">
        <v>1</v>
      </c>
    </row>
    <row customHeight="1" ht="11.549999999999999">
      <c r="A51" s="2574" t="s">
        <v>188</v>
      </c>
      <c r="B51" s="2574" t="s">
        <v>189</v>
      </c>
      <c r="C51" s="2574" t="s">
        <v>190</v>
      </c>
      <c r="D51" s="2574" t="s">
        <v>191</v>
      </c>
      <c r="E51" s="3470"/>
      <c r="F51" s="3470"/>
      <c r="G51" s="3470"/>
      <c r="H51" s="3470"/>
      <c r="I51" s="3497"/>
      <c r="J51" s="3467"/>
      <c r="K51" s="2574"/>
      <c r="L51" s="2575"/>
      <c r="P51" s="3468"/>
      <c r="Q51" s="3468"/>
      <c r="R51" s="1567"/>
      <c r="S51" s="2489"/>
      <c r="T51" s="1498" t="s">
        <v>429</v>
      </c>
      <c r="U51" s="1578"/>
      <c r="V51" s="1578"/>
      <c r="W51" s="1578"/>
      <c r="X51" s="1578"/>
      <c r="Y51" s="1578"/>
      <c r="Z51" s="1578"/>
      <c r="AA51" s="1578"/>
      <c r="AB51" s="1578"/>
      <c r="AC51" s="1578"/>
      <c r="AD51" s="1578"/>
      <c r="AE51" s="1578"/>
      <c r="AF51" s="1578"/>
      <c r="AG51" s="1578"/>
      <c r="AH51" s="1578"/>
      <c r="AI51" s="1578"/>
      <c r="AJ51" s="1578"/>
      <c r="AK51" s="1578"/>
      <c r="AL51" s="1535"/>
      <c r="AM51" s="3466"/>
      <c r="AO51" s="1711"/>
      <c r="AP51" s="1711" t="str">
        <f>IF(T51="","",T51)</f>
        <v>Добавить вид теплоносителя (параметры теплоносителя)</v>
      </c>
      <c r="AQ51" s="1711"/>
      <c r="AR51" s="1711"/>
      <c r="AS51" s="2366">
        <v>11</v>
      </c>
    </row>
    <row customHeight="1" ht="11.549999999999999">
      <c r="A52" s="2574" t="s">
        <v>188</v>
      </c>
      <c r="B52" s="2574" t="s">
        <v>189</v>
      </c>
      <c r="C52" s="2574" t="s">
        <v>190</v>
      </c>
      <c r="D52" s="2574" t="s">
        <v>191</v>
      </c>
      <c r="E52" s="3470"/>
      <c r="F52" s="3470"/>
      <c r="G52" s="3470"/>
      <c r="H52" s="3470"/>
      <c r="I52" s="3467"/>
      <c r="J52" s="2574"/>
      <c r="K52" s="2574"/>
      <c r="L52" s="2575"/>
      <c r="P52" s="3468"/>
      <c r="Q52" s="2542"/>
      <c r="R52" s="1567"/>
      <c r="S52" s="2489"/>
      <c r="T52" s="1576" t="s">
        <v>430</v>
      </c>
      <c r="U52" s="1578"/>
      <c r="V52" s="1578"/>
      <c r="W52" s="1578"/>
      <c r="X52" s="1578"/>
      <c r="Y52" s="1578"/>
      <c r="Z52" s="1578"/>
      <c r="AA52" s="1578"/>
      <c r="AB52" s="1578"/>
      <c r="AC52" s="1577"/>
      <c r="AD52" s="1578"/>
      <c r="AE52" s="1578"/>
      <c r="AF52" s="1578"/>
      <c r="AG52" s="1578"/>
      <c r="AH52" s="1578"/>
      <c r="AI52" s="1578"/>
      <c r="AJ52" s="1578"/>
      <c r="AK52" s="1577"/>
      <c r="AL52" s="1578"/>
      <c r="AM52" s="1514"/>
      <c r="AO52" s="1711"/>
      <c r="AP52" s="1711" t="str">
        <f>IF(T52="","",T52)</f>
        <v>Добавить группу потребителей</v>
      </c>
      <c r="AQ52" s="1711"/>
      <c r="AR52" s="1711"/>
      <c r="AS52" s="2366">
        <v>11</v>
      </c>
    </row>
    <row customHeight="1" ht="0">
      <c r="A53" s="2574" t="s">
        <v>188</v>
      </c>
      <c r="B53" s="2574" t="s">
        <v>189</v>
      </c>
      <c r="C53" s="2574" t="s">
        <v>190</v>
      </c>
      <c r="D53" s="2574" t="s">
        <v>191</v>
      </c>
      <c r="E53" s="3470"/>
      <c r="F53" s="3470"/>
      <c r="G53" s="3470"/>
      <c r="H53" s="3469"/>
      <c r="I53" s="2574"/>
      <c r="J53" s="2574"/>
      <c r="K53" s="2574"/>
      <c r="L53" s="2575"/>
      <c r="M53" s="2576"/>
      <c r="N53" s="2576"/>
      <c r="O53" s="1748"/>
      <c r="P53" s="1571"/>
      <c r="Q53" s="1586"/>
      <c r="R53" s="1566"/>
      <c r="S53" s="2597"/>
      <c r="T53" s="2598"/>
      <c r="U53" s="2599"/>
      <c r="V53" s="2599"/>
      <c r="W53" s="2599"/>
      <c r="X53" s="2599"/>
      <c r="Y53" s="2599"/>
      <c r="Z53" s="2599"/>
      <c r="AA53" s="2599"/>
      <c r="AB53" s="2599"/>
      <c r="AC53" s="2599"/>
      <c r="AD53" s="2599"/>
      <c r="AE53" s="2599"/>
      <c r="AF53" s="2599"/>
      <c r="AG53" s="2599"/>
      <c r="AH53" s="2599"/>
      <c r="AI53" s="2599"/>
      <c r="AJ53" s="2599"/>
      <c r="AK53" s="2599"/>
      <c r="AL53" s="2599"/>
      <c r="AM53" s="2600"/>
      <c r="AO53" s="1711"/>
      <c r="AP53" s="1711" t="str">
        <f>IF(T53="","",T53)</f>
        <v/>
      </c>
      <c r="AQ53" s="1711"/>
      <c r="AR53" s="1711"/>
      <c r="AS53" s="2366">
        <v>0</v>
      </c>
    </row>
    <row s="65923" customFormat="1" customHeight="1" ht="1.05">
      <c r="A54" s="2554" t="s">
        <v>188</v>
      </c>
      <c r="B54" s="2554" t="s">
        <v>189</v>
      </c>
      <c r="C54" s="2554" t="s">
        <v>190</v>
      </c>
      <c r="D54" s="2525"/>
      <c r="E54" s="3470"/>
      <c r="F54" s="3470"/>
      <c r="G54" s="3469"/>
      <c r="H54" s="2525"/>
      <c r="I54" s="2525"/>
      <c r="J54" s="2525"/>
      <c r="K54" s="2525"/>
      <c r="L54" s="2550"/>
      <c r="M54" s="2526"/>
      <c r="N54" s="2526"/>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000"/>
      <c r="AP54" s="2000" t="str">
        <f>IF(T54="","",T54)</f>
        <v>Добавить источник для дифференциации</v>
      </c>
      <c r="AQ54" s="2000"/>
      <c r="AR54" s="2000"/>
      <c r="AS54" s="1729">
        <v>1</v>
      </c>
    </row>
    <row s="65923" customFormat="1" customHeight="1" ht="1.05">
      <c r="A55" s="2554" t="s">
        <v>188</v>
      </c>
      <c r="B55" s="2554" t="s">
        <v>189</v>
      </c>
      <c r="C55" s="2525"/>
      <c r="D55" s="2525"/>
      <c r="E55" s="3470"/>
      <c r="F55" s="3469"/>
      <c r="G55" s="2525"/>
      <c r="H55" s="2525"/>
      <c r="I55" s="2525"/>
      <c r="J55" s="2525"/>
      <c r="K55" s="2525"/>
      <c r="L55" s="2550"/>
      <c r="M55" s="2532"/>
      <c r="N55" s="2532"/>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000"/>
      <c r="AP55" s="2000" t="str">
        <f>IF(T55="","",T55)</f>
        <v>Добавить централизованную систему для дифференциации</v>
      </c>
      <c r="AQ55" s="2000"/>
      <c r="AR55" s="2000"/>
      <c r="AS55" s="1729">
        <v>1</v>
      </c>
    </row>
    <row s="65923" customFormat="1" customHeight="1" ht="1.05">
      <c r="A56" s="2554" t="s">
        <v>188</v>
      </c>
      <c r="B56" s="2554"/>
      <c r="C56" s="2554"/>
      <c r="D56" s="2554"/>
      <c r="E56" s="3469"/>
      <c r="F56" s="2554"/>
      <c r="G56" s="2554"/>
      <c r="H56" s="2554"/>
      <c r="I56" s="2554"/>
      <c r="J56" s="2554"/>
      <c r="K56" s="2554"/>
      <c r="L56" s="2557"/>
      <c r="M56" s="2532"/>
      <c r="N56" s="2532"/>
      <c r="O56" s="1729"/>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1711"/>
      <c r="AP56" s="1711" t="str">
        <f>IF(T56="","",T56)</f>
        <v>Добавить территорию для дифференциации</v>
      </c>
      <c r="AQ56" s="1711"/>
      <c r="AR56" s="1711"/>
      <c r="AS56" s="1722">
        <v>1</v>
      </c>
    </row>
    <row s="65923" customFormat="1" customHeight="1" ht="1.05">
      <c r="A57" s="2525"/>
      <c r="B57" s="2525"/>
      <c r="C57" s="2525"/>
      <c r="D57" s="2525"/>
      <c r="E57" s="2554"/>
      <c r="F57" s="2525"/>
      <c r="G57" s="2525"/>
      <c r="H57" s="2525"/>
      <c r="I57" s="2525"/>
      <c r="J57" s="2525"/>
      <c r="K57" s="2525"/>
      <c r="L57" s="2550"/>
      <c r="M57" s="2532"/>
      <c r="N57" s="2532"/>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000"/>
      <c r="AP57" s="2000" t="str">
        <f>IF(T57="","",T57)</f>
        <v>Добавить наименование тарифа</v>
      </c>
      <c r="AQ57" s="2000"/>
      <c r="AR57" s="2000"/>
      <c r="AS57" s="1729">
        <v>1</v>
      </c>
    </row>
    <row customHeight="1" ht="11.549999999999999">
      <c r="M58" s="2371"/>
      <c r="N58" s="2371"/>
      <c r="O58" s="1748"/>
      <c r="P58" s="2366"/>
      <c r="Q58" s="2366"/>
      <c r="R58" s="2366"/>
      <c r="S58" s="2366"/>
      <c r="AN58" s="2366"/>
      <c r="AO58" s="2366"/>
      <c r="AP58" s="2366"/>
      <c r="AQ58" s="2366"/>
      <c r="AR58" s="2366"/>
      <c r="AS58" s="2366">
        <v>11</v>
      </c>
    </row>
    <row customHeight="1" ht="19.95">
      <c r="O59" s="1748"/>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366">
        <v>19</v>
      </c>
    </row>
    <row customHeight="1" ht="29.25">
      <c r="O60" s="1748"/>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366">
        <v>28</v>
      </c>
    </row>
    <row customHeight="1" ht="42">
      <c r="O61" s="1748"/>
      <c r="T61" s="3496"/>
      <c r="U61" s="3496"/>
      <c r="V61" s="3496"/>
      <c r="W61" s="3496"/>
      <c r="X61" s="3496"/>
      <c r="Y61" s="3496"/>
      <c r="Z61" s="3496"/>
      <c r="AA61" s="3496"/>
      <c r="AB61" s="3496"/>
      <c r="AC61" s="3496"/>
      <c r="AD61" s="3496"/>
      <c r="AE61" s="3496"/>
      <c r="AF61" s="3496"/>
      <c r="AG61" s="3496"/>
      <c r="AH61" s="3496"/>
      <c r="AI61" s="3496"/>
      <c r="AJ61" s="3496"/>
      <c r="AK61" s="3496"/>
      <c r="AL61" s="3496"/>
      <c r="AM61" s="3496"/>
      <c r="AS61" s="2366">
        <v>40</v>
      </c>
    </row>
    <row customHeight="1" ht="14.699999999999998">
      <c r="O62" s="1748"/>
      <c r="AS62" s="2366">
        <v>14</v>
      </c>
    </row>
    <row customHeight="1" ht="21">
      <c r="O63" s="1748"/>
      <c r="S63" s="2464"/>
      <c r="T63" s="3510"/>
      <c r="U63" s="3496"/>
      <c r="V63" s="3496"/>
      <c r="W63" s="3496"/>
      <c r="X63" s="3496"/>
      <c r="Y63" s="3496"/>
      <c r="Z63" s="3496"/>
      <c r="AA63" s="3496"/>
      <c r="AB63" s="3496"/>
      <c r="AC63" s="3496"/>
      <c r="AD63" s="3496"/>
      <c r="AE63" s="3496"/>
      <c r="AF63" s="3496"/>
      <c r="AG63" s="3496"/>
      <c r="AH63" s="3496"/>
      <c r="AI63" s="3496"/>
      <c r="AJ63" s="3496"/>
      <c r="AK63" s="3496"/>
      <c r="AL63" s="3496"/>
      <c r="AM63" s="3496"/>
      <c r="AS63" s="2366">
        <v>20</v>
      </c>
    </row>
    <row customHeight="1" ht="29.25">
      <c r="O64" s="1748"/>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366">
        <v>28</v>
      </c>
    </row>
    <row customHeight="1" ht="35.699999999999996">
      <c r="T65" s="3496"/>
      <c r="U65" s="3496"/>
      <c r="V65" s="3496"/>
      <c r="W65" s="3496"/>
      <c r="X65" s="3496"/>
      <c r="Y65" s="3496"/>
      <c r="Z65" s="3496"/>
      <c r="AA65" s="3496"/>
      <c r="AB65" s="3496"/>
      <c r="AC65" s="3496"/>
      <c r="AD65" s="3496"/>
      <c r="AE65" s="3496"/>
      <c r="AF65" s="3496"/>
      <c r="AG65" s="3496"/>
      <c r="AH65" s="3496"/>
      <c r="AI65" s="3496"/>
      <c r="AJ65" s="3496"/>
      <c r="AK65" s="3496"/>
      <c r="AL65" s="3496"/>
      <c r="AM65" s="3496"/>
      <c r="AS65" s="2366">
        <v>34</v>
      </c>
    </row>
    <row customHeight="1" ht="22.5" hidden="1">
      <c r="A66" s="2371" t="s">
        <v>82</v>
      </c>
      <c r="B66" s="2371">
        <v>0</v>
      </c>
      <c r="C66" s="2371">
        <v>0</v>
      </c>
      <c r="D66" s="2371">
        <v>0</v>
      </c>
      <c r="E66" s="2371">
        <v>0</v>
      </c>
      <c r="F66" s="2371">
        <v>0</v>
      </c>
      <c r="G66" s="2371">
        <v>0</v>
      </c>
      <c r="H66" s="2371">
        <v>0</v>
      </c>
      <c r="I66" s="2371">
        <v>0</v>
      </c>
      <c r="J66" s="2371">
        <v>0</v>
      </c>
      <c r="K66" s="2371">
        <v>0</v>
      </c>
      <c r="L66" s="2540">
        <v>0</v>
      </c>
      <c r="M66" s="2573">
        <v>0</v>
      </c>
      <c r="N66" s="2573">
        <v>0</v>
      </c>
      <c r="O66" s="2573">
        <v>0</v>
      </c>
      <c r="P66" s="2539">
        <v>0</v>
      </c>
      <c r="Q66" s="1555">
        <v>3</v>
      </c>
      <c r="R66" s="1555">
        <v>3</v>
      </c>
      <c r="S66" s="1792">
        <v>12</v>
      </c>
      <c r="T66" s="2366">
        <v>31</v>
      </c>
      <c r="U66" s="2366">
        <v>0</v>
      </c>
      <c r="V66" s="2366">
        <v>0</v>
      </c>
      <c r="W66" s="2366">
        <v>0</v>
      </c>
      <c r="X66" s="2366">
        <v>0</v>
      </c>
      <c r="Y66" s="2366">
        <v>0</v>
      </c>
      <c r="Z66" s="2366">
        <v>0</v>
      </c>
      <c r="AA66" s="2366">
        <v>0</v>
      </c>
      <c r="AB66" s="2366">
        <v>0</v>
      </c>
      <c r="AC66" s="2366">
        <v>0</v>
      </c>
      <c r="AD66" s="2366">
        <v>24</v>
      </c>
      <c r="AE66" s="2366">
        <v>0</v>
      </c>
      <c r="AF66" s="2366">
        <v>24</v>
      </c>
      <c r="AG66" s="2366">
        <v>24</v>
      </c>
      <c r="AH66" s="2366">
        <v>11</v>
      </c>
      <c r="AI66" s="2366">
        <v>3</v>
      </c>
      <c r="AJ66" s="2366">
        <v>11</v>
      </c>
      <c r="AK66" s="2366">
        <v>0</v>
      </c>
      <c r="AL66" s="2366">
        <v>4</v>
      </c>
      <c r="AM66" s="2366">
        <v>115</v>
      </c>
      <c r="AN66" s="1722">
        <v>10</v>
      </c>
      <c r="AO66" s="1722">
        <v>10</v>
      </c>
      <c r="AP66" s="1722">
        <v>10</v>
      </c>
      <c r="AQ66" s="1722">
        <v>10</v>
      </c>
      <c r="AR66" s="1722">
        <v>10</v>
      </c>
      <c r="AS66" s="236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5DCC5E-E3C8-DB64-7085-81649E0CB38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7462" width="3.7109375" hidden="1" customWidth="1"/>
    <col min="17" max="18" style="66873" width="3.00390625" customWidth="1"/>
    <col min="19" max="19" style="67434" width="12.00390625" customWidth="1"/>
    <col min="20" max="20" style="66903" width="31.00390625" customWidth="1"/>
    <col min="21" max="21" style="66903" width="0.140625" customWidth="1"/>
    <col min="22" max="22" style="66903" width="24.7109375" hidden="1" customWidth="1"/>
    <col min="23" max="23" style="66903" width="0.140625" hidden="1" customWidth="1"/>
    <col min="24" max="25" style="66903" width="24.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24.7109375" customWidth="1"/>
    <col min="31" max="31" style="66903" width="0.140625" customWidth="1"/>
    <col min="32" max="33" style="66903" width="24.0039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10.57421875" hidden="1"/>
  </cols>
  <sheetData>
    <row customHeight="1" ht="22.5" hidden="1">
      <c r="A1" s="3082"/>
      <c r="Y1" s="1538"/>
      <c r="Z1" s="1538"/>
      <c r="AG1" s="1538"/>
      <c r="AH1" s="1538"/>
      <c r="AS1" s="2366" t="s">
        <v>14</v>
      </c>
    </row>
    <row customHeight="1" ht="21" hidden="1">
      <c r="A2" s="2574"/>
      <c r="B2" s="2574"/>
      <c r="C2" s="2574"/>
      <c r="D2" s="2574"/>
      <c r="E2" s="3469">
        <v>1</v>
      </c>
      <c r="F2" s="2574"/>
      <c r="G2" s="2574"/>
      <c r="H2" s="2574"/>
      <c r="I2" s="2574"/>
      <c r="J2" s="2574"/>
      <c r="K2" s="2574"/>
      <c r="L2" s="2575"/>
      <c r="M2" s="2576"/>
      <c r="N2" s="2576"/>
      <c r="O2" s="2576"/>
      <c r="P2" s="1572"/>
      <c r="Q2" s="1571"/>
      <c r="R2" s="1566"/>
      <c r="S2" s="2547">
        <f>INDEX(PT_DIFFERENTIATION_NUM_NTAR,MATCH(A2,PT_DIFFERENTIATION_NTAR_ID,0))</f>
      </c>
      <c r="T2" s="1509"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1711"/>
      <c r="AP2" s="1711" t="str">
        <f>IF(T2="","",T2)</f>
        <v>Наименование тарифа</v>
      </c>
      <c r="AQ2" s="1711"/>
      <c r="AR2" s="1711"/>
      <c r="AS2" s="2366">
        <v>0</v>
      </c>
    </row>
    <row customHeight="1" ht="21" hidden="1">
      <c r="A3" s="2574"/>
      <c r="B3" s="2574"/>
      <c r="C3" s="2574"/>
      <c r="D3" s="2574"/>
      <c r="E3" s="3470"/>
      <c r="F3" s="3469">
        <v>1</v>
      </c>
      <c r="G3" s="2574"/>
      <c r="H3" s="2574"/>
      <c r="I3" s="2574"/>
      <c r="J3" s="2574"/>
      <c r="K3" s="2574"/>
      <c r="L3" s="2575"/>
      <c r="M3" s="2576"/>
      <c r="N3" s="2576"/>
      <c r="O3" s="2576"/>
      <c r="P3" s="2543"/>
      <c r="Q3" s="1563"/>
      <c r="R3" s="1564"/>
      <c r="S3" s="2547">
        <f>INDEX(PT_DIFFERENTIATION_NUM_TER,MATCH(B3,PT_DIFFERENTIATION_TER_ID,0))</f>
      </c>
      <c r="T3" s="1519"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1711"/>
      <c r="AP3" s="1711" t="str">
        <f>IF(T3="","",T3)</f>
        <v>Территория действия тарифа</v>
      </c>
      <c r="AQ3" s="1711"/>
      <c r="AR3" s="1711"/>
      <c r="AS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3219">
        <f>INDEX(PT_DIFFERENTIATION_NUM_CS,MATCH(C4,PT_DIFFERENTIATION_CS_ID,0))</f>
      </c>
      <c r="T4" s="3223" t="s">
        <v>417</v>
      </c>
      <c r="U4" s="3224"/>
      <c r="V4" s="3511"/>
      <c r="W4" s="3512"/>
      <c r="X4" s="3512"/>
      <c r="Y4" s="3512"/>
      <c r="Z4" s="3512"/>
      <c r="AA4" s="3512"/>
      <c r="AB4" s="3512"/>
      <c r="AC4" s="3513"/>
      <c r="AD4" s="3511">
        <f>INDEX(PT_DIFFERENTIATION_CS,MATCH(C4,PT_DIFFERENTIATION_CS_ID,0))</f>
      </c>
      <c r="AE4" s="3512"/>
      <c r="AF4" s="3512"/>
      <c r="AG4" s="3512"/>
      <c r="AH4" s="3512"/>
      <c r="AI4" s="3512"/>
      <c r="AJ4" s="3512"/>
      <c r="AK4" s="3512"/>
      <c r="AL4" s="3513"/>
      <c r="AM4" s="2469" t="s">
        <v>418</v>
      </c>
      <c r="AO4" s="1711"/>
      <c r="AP4" s="1711" t="str">
        <f>IF(T4="","",T4)</f>
        <v>Наименование системы теплоснабжения </v>
      </c>
      <c r="AQ4" s="1711"/>
      <c r="AR4" s="1711"/>
      <c r="AS4" s="2366">
        <v>0</v>
      </c>
    </row>
    <row customHeight="1" ht="21" hidden="1">
      <c r="A5" s="2574"/>
      <c r="B5" s="2574"/>
      <c r="C5" s="2574"/>
      <c r="D5" s="2574"/>
      <c r="E5" s="3470"/>
      <c r="F5" s="3470"/>
      <c r="G5" s="3470"/>
      <c r="H5" s="3469">
        <v>1</v>
      </c>
      <c r="I5" s="2574"/>
      <c r="J5" s="2574"/>
      <c r="K5" s="2574"/>
      <c r="L5" s="2575"/>
      <c r="M5" s="2576"/>
      <c r="N5" s="2576"/>
      <c r="O5" s="2576"/>
      <c r="P5" s="1565"/>
      <c r="Q5" s="1563"/>
      <c r="R5" s="2846"/>
      <c r="S5" s="3218">
        <f>INDEX(PT_DIFFERENTIATION_NUM_IST_TE,MATCH(D5,PT_DIFFERENTIATION_IST_TE_ID,0))</f>
      </c>
      <c r="T5" s="1521" t="s">
        <v>419</v>
      </c>
      <c r="U5" s="1511"/>
      <c r="V5" s="3514"/>
      <c r="W5" s="3514"/>
      <c r="X5" s="3514"/>
      <c r="Y5" s="3514"/>
      <c r="Z5" s="3514"/>
      <c r="AA5" s="3514"/>
      <c r="AB5" s="3514"/>
      <c r="AC5" s="3514"/>
      <c r="AD5" s="3514">
        <f>INDEX(PT_DIFFERENTIATION_IST_TE,MATCH(D5,PT_DIFFERENTIATION_IST_TE_ID,0))</f>
      </c>
      <c r="AE5" s="3514"/>
      <c r="AF5" s="3514"/>
      <c r="AG5" s="3514"/>
      <c r="AH5" s="3514"/>
      <c r="AI5" s="3514"/>
      <c r="AJ5" s="3514"/>
      <c r="AK5" s="3514"/>
      <c r="AL5" s="3514"/>
      <c r="AM5" s="3221" t="s">
        <v>420</v>
      </c>
      <c r="AO5" s="1711"/>
      <c r="AP5" s="1711" t="str">
        <f>IF(T5="","",T5)</f>
        <v>Источник тепловой энергии  </v>
      </c>
      <c r="AQ5" s="1711"/>
      <c r="AR5" s="1711"/>
      <c r="AS5" s="2366">
        <v>0</v>
      </c>
    </row>
    <row customHeight="1" ht="0.75" hidden="1">
      <c r="A6" s="2574"/>
      <c r="B6" s="2574"/>
      <c r="C6" s="2574"/>
      <c r="D6" s="2574"/>
      <c r="E6" s="3470"/>
      <c r="F6" s="3470"/>
      <c r="G6" s="3470"/>
      <c r="H6" s="3470"/>
      <c r="I6" s="3467">
        <f>S5&amp;".1"</f>
      </c>
      <c r="J6" s="2574"/>
      <c r="K6" s="2574"/>
      <c r="L6" s="2575" t="s">
        <v>421</v>
      </c>
      <c r="M6" s="1748"/>
      <c r="P6" s="3468">
        <v>1</v>
      </c>
      <c r="Q6" s="2542"/>
      <c r="R6" s="3217"/>
      <c r="S6" s="2253"/>
      <c r="T6" s="2594"/>
      <c r="U6" s="2595"/>
      <c r="V6" s="3515"/>
      <c r="W6" s="3515"/>
      <c r="X6" s="3515"/>
      <c r="Y6" s="3515"/>
      <c r="Z6" s="3515"/>
      <c r="AA6" s="3515"/>
      <c r="AB6" s="3515"/>
      <c r="AC6" s="3515"/>
      <c r="AD6" s="3515"/>
      <c r="AE6" s="3515"/>
      <c r="AF6" s="3515"/>
      <c r="AG6" s="3515"/>
      <c r="AH6" s="3515"/>
      <c r="AI6" s="3515"/>
      <c r="AJ6" s="3515"/>
      <c r="AK6" s="3515"/>
      <c r="AL6" s="3515"/>
      <c r="AM6" s="3222"/>
      <c r="AO6" s="1711"/>
      <c r="AP6" s="1711" t="str">
        <f>IF(T6="","",T6)</f>
        <v/>
      </c>
      <c r="AQ6" s="1711"/>
      <c r="AR6" s="1711"/>
      <c r="AS6" s="2366">
        <v>0</v>
      </c>
    </row>
    <row customHeight="1" ht="84" hidden="1">
      <c r="A7" s="2574"/>
      <c r="B7" s="2574"/>
      <c r="C7" s="2574"/>
      <c r="D7" s="2574"/>
      <c r="E7" s="3470"/>
      <c r="F7" s="3470"/>
      <c r="G7" s="3470"/>
      <c r="H7" s="3470"/>
      <c r="I7" s="3497"/>
      <c r="J7" s="3467">
        <f>I6&amp;".1"</f>
      </c>
      <c r="K7" s="2574"/>
      <c r="L7" s="2575" t="s">
        <v>424</v>
      </c>
      <c r="M7" s="1748"/>
      <c r="N7" s="2577"/>
      <c r="P7" s="3468"/>
      <c r="Q7" s="3468">
        <v>1</v>
      </c>
      <c r="R7" s="2853"/>
      <c r="S7" s="3218">
        <f>$J7</f>
      </c>
      <c r="T7" s="1497" t="s">
        <v>425</v>
      </c>
      <c r="U7" s="1511"/>
      <c r="V7" s="3516"/>
      <c r="W7" s="3516"/>
      <c r="X7" s="3516"/>
      <c r="Y7" s="3516"/>
      <c r="Z7" s="3516"/>
      <c r="AA7" s="3516"/>
      <c r="AB7" s="3516"/>
      <c r="AC7" s="3516"/>
      <c r="AD7" s="3516"/>
      <c r="AE7" s="3516"/>
      <c r="AF7" s="3516"/>
      <c r="AG7" s="3516"/>
      <c r="AH7" s="3516"/>
      <c r="AI7" s="3516"/>
      <c r="AJ7" s="3516"/>
      <c r="AK7" s="3516"/>
      <c r="AL7" s="3516"/>
      <c r="AM7" s="3221" t="s">
        <v>426</v>
      </c>
      <c r="AO7" s="1711"/>
      <c r="AP7" s="1711" t="str">
        <f>IF(T7="","",T7)</f>
        <v>Группа потребителей</v>
      </c>
      <c r="AQ7" s="1711"/>
      <c r="AR7" s="1711"/>
      <c r="AS7" s="2366">
        <v>0</v>
      </c>
    </row>
    <row customHeight="1" ht="11.25" hidden="1">
      <c r="A8" s="2574"/>
      <c r="B8" s="2574"/>
      <c r="C8" s="2574"/>
      <c r="D8" s="2574"/>
      <c r="E8" s="3470"/>
      <c r="F8" s="3470"/>
      <c r="G8" s="3470"/>
      <c r="H8" s="3470"/>
      <c r="I8" s="3497"/>
      <c r="J8" s="3497"/>
      <c r="K8" s="3467">
        <f>J7&amp;".1"</f>
      </c>
      <c r="L8" s="2575" t="s">
        <v>427</v>
      </c>
      <c r="M8" s="1748"/>
      <c r="N8" s="2577"/>
      <c r="O8" s="2577"/>
      <c r="P8" s="3468"/>
      <c r="Q8" s="3468"/>
      <c r="R8" s="1568">
        <v>1</v>
      </c>
      <c r="S8" s="3220">
        <f>$K8</f>
      </c>
      <c r="T8" s="3225"/>
      <c r="U8" s="3226"/>
      <c r="V8" s="3227"/>
      <c r="W8" s="2560"/>
      <c r="X8" s="3227"/>
      <c r="Y8" s="3228"/>
      <c r="Z8" s="3517"/>
      <c r="AA8" s="3323" t="s">
        <v>62</v>
      </c>
      <c r="AB8" s="3517"/>
      <c r="AC8" s="3323" t="s">
        <v>62</v>
      </c>
      <c r="AD8" s="3227"/>
      <c r="AE8" s="2560"/>
      <c r="AF8" s="3227"/>
      <c r="AG8" s="3228"/>
      <c r="AH8" s="3517"/>
      <c r="AI8" s="3323" t="s">
        <v>62</v>
      </c>
      <c r="AJ8" s="3517"/>
      <c r="AK8" s="3323" t="s">
        <v>62</v>
      </c>
      <c r="AL8" s="2560"/>
      <c r="AM8" s="3464" t="s">
        <v>428</v>
      </c>
      <c r="AN8" s="1722">
        <f>STRCHECKDATE(V9:AL9)</f>
      </c>
      <c r="AO8" s="1711"/>
      <c r="AP8" s="1711" t="str">
        <f>IF(T8="","",T8)</f>
        <v/>
      </c>
      <c r="AQ8" s="1711"/>
      <c r="AR8" s="1711"/>
      <c r="AS8" s="2366">
        <v>0</v>
      </c>
    </row>
    <row customHeight="1" ht="0.75" hidden="1">
      <c r="A9" s="2574"/>
      <c r="B9" s="2574"/>
      <c r="C9" s="2574"/>
      <c r="D9" s="2574"/>
      <c r="E9" s="3470"/>
      <c r="F9" s="3470"/>
      <c r="G9" s="3470"/>
      <c r="H9" s="3470"/>
      <c r="I9" s="3497"/>
      <c r="J9" s="3497"/>
      <c r="K9" s="3467"/>
      <c r="L9" s="2575"/>
      <c r="M9" s="1748"/>
      <c r="N9" s="2577"/>
      <c r="O9" s="2577"/>
      <c r="P9" s="3468"/>
      <c r="Q9" s="3468"/>
      <c r="R9" s="1568"/>
      <c r="S9" s="2553"/>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1711"/>
      <c r="AP9" s="1711" t="str">
        <f>IF(T9="","",T9)</f>
        <v/>
      </c>
      <c r="AQ9" s="1711"/>
      <c r="AR9" s="1711"/>
      <c r="AS9" s="2366">
        <v>0</v>
      </c>
    </row>
    <row customHeight="1" ht="11.25" hidden="1">
      <c r="A10" s="2574"/>
      <c r="B10" s="2574"/>
      <c r="C10" s="2574"/>
      <c r="D10" s="2574"/>
      <c r="E10" s="3470"/>
      <c r="F10" s="3470"/>
      <c r="G10" s="3470"/>
      <c r="H10" s="3470"/>
      <c r="I10" s="3497"/>
      <c r="J10" s="3467"/>
      <c r="K10" s="2574"/>
      <c r="L10" s="2575"/>
      <c r="M10" s="1748"/>
      <c r="N10" s="2577"/>
      <c r="P10" s="3468"/>
      <c r="Q10" s="3468"/>
      <c r="R10" s="1567"/>
      <c r="S10" s="2489"/>
      <c r="T10" s="1498" t="s">
        <v>429</v>
      </c>
      <c r="U10" s="1578"/>
      <c r="V10" s="1578"/>
      <c r="W10" s="1578"/>
      <c r="X10" s="1578"/>
      <c r="Y10" s="1578"/>
      <c r="Z10" s="1578"/>
      <c r="AA10" s="1578"/>
      <c r="AB10" s="1578"/>
      <c r="AC10" s="1578"/>
      <c r="AD10" s="1578"/>
      <c r="AE10" s="1578"/>
      <c r="AF10" s="1578"/>
      <c r="AG10" s="1578"/>
      <c r="AH10" s="1578"/>
      <c r="AI10" s="1578"/>
      <c r="AJ10" s="1578"/>
      <c r="AK10" s="1578"/>
      <c r="AL10" s="1535"/>
      <c r="AM10" s="3466"/>
      <c r="AO10" s="1711"/>
      <c r="AP10" s="1711" t="str">
        <f>IF(T10="","",T10)</f>
        <v>Добавить вид теплоносителя (параметры теплоносителя)</v>
      </c>
      <c r="AQ10" s="1711"/>
      <c r="AR10" s="1711"/>
      <c r="AS10" s="2366">
        <v>0</v>
      </c>
    </row>
    <row customHeight="1" ht="11.25" hidden="1">
      <c r="A11" s="2574"/>
      <c r="B11" s="2574"/>
      <c r="C11" s="2574"/>
      <c r="D11" s="2574"/>
      <c r="E11" s="3470"/>
      <c r="F11" s="3470"/>
      <c r="G11" s="3470"/>
      <c r="H11" s="3470"/>
      <c r="I11" s="3467"/>
      <c r="J11" s="2574"/>
      <c r="K11" s="2574"/>
      <c r="L11" s="2575"/>
      <c r="M11" s="1748"/>
      <c r="P11" s="3468"/>
      <c r="Q11" s="2542"/>
      <c r="R11" s="1567"/>
      <c r="S11" s="2489"/>
      <c r="T11" s="1576" t="s">
        <v>430</v>
      </c>
      <c r="U11" s="1578"/>
      <c r="V11" s="1578"/>
      <c r="W11" s="1578"/>
      <c r="X11" s="1578"/>
      <c r="Y11" s="1578"/>
      <c r="Z11" s="1578"/>
      <c r="AA11" s="1578"/>
      <c r="AB11" s="1578"/>
      <c r="AC11" s="1577"/>
      <c r="AD11" s="1578"/>
      <c r="AE11" s="1578"/>
      <c r="AF11" s="1578"/>
      <c r="AG11" s="1578"/>
      <c r="AH11" s="1578"/>
      <c r="AI11" s="1578"/>
      <c r="AJ11" s="1578"/>
      <c r="AK11" s="1577"/>
      <c r="AL11" s="1578"/>
      <c r="AM11" s="1514"/>
      <c r="AO11" s="1711"/>
      <c r="AP11" s="1711" t="str">
        <f>IF(T11="","",T11)</f>
        <v>Добавить группу потребителей</v>
      </c>
      <c r="AQ11" s="1711"/>
      <c r="AR11" s="1711"/>
      <c r="AS11" s="2366">
        <v>0</v>
      </c>
    </row>
    <row customHeight="1" ht="0.75" hidden="1">
      <c r="A12" s="2574"/>
      <c r="B12" s="2574"/>
      <c r="C12" s="2574"/>
      <c r="D12" s="2574"/>
      <c r="E12" s="3470"/>
      <c r="F12" s="3470"/>
      <c r="G12" s="3470"/>
      <c r="H12" s="3469"/>
      <c r="I12" s="2574"/>
      <c r="J12" s="2574"/>
      <c r="K12" s="2574"/>
      <c r="L12" s="2575"/>
      <c r="M12" s="2576"/>
      <c r="N12" s="2576"/>
      <c r="O12" s="1748"/>
      <c r="P12" s="1571"/>
      <c r="Q12" s="1586"/>
      <c r="R12" s="1566"/>
      <c r="S12" s="2597"/>
      <c r="T12" s="2598"/>
      <c r="U12" s="2599"/>
      <c r="V12" s="2599"/>
      <c r="W12" s="2599"/>
      <c r="X12" s="2599"/>
      <c r="Y12" s="2599"/>
      <c r="Z12" s="2599"/>
      <c r="AA12" s="2599"/>
      <c r="AB12" s="2599"/>
      <c r="AC12" s="2599"/>
      <c r="AD12" s="2599"/>
      <c r="AE12" s="2599"/>
      <c r="AF12" s="2599"/>
      <c r="AG12" s="2599"/>
      <c r="AH12" s="2599"/>
      <c r="AI12" s="2599"/>
      <c r="AJ12" s="2599"/>
      <c r="AK12" s="2599"/>
      <c r="AL12" s="2599"/>
      <c r="AM12" s="2600"/>
      <c r="AO12" s="1711"/>
      <c r="AP12" s="1711" t="str">
        <f>IF(T12="","",T12)</f>
        <v/>
      </c>
      <c r="AQ12" s="1711"/>
      <c r="AR12" s="1711"/>
      <c r="AS12" s="2366">
        <v>0</v>
      </c>
    </row>
    <row s="65923" customFormat="1" customHeight="1" ht="0.75" hidden="1">
      <c r="A13" s="2525"/>
      <c r="B13" s="2525"/>
      <c r="C13" s="2525"/>
      <c r="D13" s="2525"/>
      <c r="E13" s="3470"/>
      <c r="F13" s="3470"/>
      <c r="G13" s="3469"/>
      <c r="H13" s="2525"/>
      <c r="I13" s="2525"/>
      <c r="J13" s="2525"/>
      <c r="K13" s="2525"/>
      <c r="L13" s="2550"/>
      <c r="M13" s="2526"/>
      <c r="N13" s="2526"/>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000"/>
      <c r="AP13" s="2000" t="str">
        <f>IF(T13="","",T13)</f>
        <v>Добавить источник для дифференциации</v>
      </c>
      <c r="AQ13" s="2000"/>
      <c r="AR13" s="2000"/>
      <c r="AS13" s="1729">
        <v>0</v>
      </c>
    </row>
    <row s="65923" customFormat="1" customHeight="1" ht="0.75" hidden="1">
      <c r="A14" s="2525"/>
      <c r="B14" s="2525"/>
      <c r="C14" s="2525"/>
      <c r="D14" s="2525"/>
      <c r="E14" s="3470"/>
      <c r="F14" s="3469"/>
      <c r="G14" s="2525"/>
      <c r="H14" s="2525"/>
      <c r="I14" s="2525"/>
      <c r="J14" s="2525"/>
      <c r="K14" s="2525"/>
      <c r="L14" s="2550"/>
      <c r="M14" s="2532"/>
      <c r="N14" s="2532"/>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000"/>
      <c r="AP14" s="2000" t="str">
        <f>IF(T14="","",T14)</f>
        <v>Добавить централизованную систему для дифференциации</v>
      </c>
      <c r="AQ14" s="2000"/>
      <c r="AR14" s="2000"/>
      <c r="AS14" s="1729">
        <v>0</v>
      </c>
    </row>
    <row s="65923" customFormat="1" customHeight="1" ht="0.75" hidden="1">
      <c r="A15" s="2525"/>
      <c r="B15" s="2525"/>
      <c r="C15" s="2525"/>
      <c r="D15" s="2525"/>
      <c r="E15" s="3469"/>
      <c r="F15" s="2525"/>
      <c r="G15" s="2525"/>
      <c r="H15" s="2525"/>
      <c r="I15" s="2525"/>
      <c r="J15" s="2525"/>
      <c r="K15" s="2525"/>
      <c r="L15" s="2550"/>
      <c r="M15" s="2532"/>
      <c r="N15" s="2532"/>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000"/>
      <c r="AP15" s="2000" t="str">
        <f>IF(T15="","",T15)</f>
        <v>Добавить территорию для дифференциации</v>
      </c>
      <c r="AQ15" s="2000"/>
      <c r="AR15" s="2000"/>
      <c r="AS15" s="1729">
        <v>0</v>
      </c>
    </row>
    <row customHeight="1" ht="14.25" hidden="1">
      <c r="AC16" s="1538"/>
      <c r="AK16" s="1538"/>
      <c r="AS16" s="2366">
        <v>0</v>
      </c>
    </row>
    <row customHeight="1" ht="14.25" hidden="1">
      <c r="AD17" s="2571"/>
      <c r="AE17" s="2571"/>
      <c r="AF17" s="2571"/>
      <c r="AG17" s="2572"/>
      <c r="AH17" s="3478"/>
      <c r="AI17" s="3479" t="s">
        <v>62</v>
      </c>
      <c r="AJ17" s="3478"/>
      <c r="AK17" s="3479" t="s">
        <v>62</v>
      </c>
      <c r="AS17" s="2366">
        <v>0</v>
      </c>
    </row>
    <row customHeight="1" ht="14.25" hidden="1">
      <c r="AD18" s="2571"/>
      <c r="AE18" s="2571"/>
      <c r="AF18" s="2571"/>
      <c r="AG18" s="1539" t="str">
        <f>AH17&amp;"-"&amp;AJ17</f>
        <v>-</v>
      </c>
      <c r="AH18" s="3479"/>
      <c r="AI18" s="3479"/>
      <c r="AJ18" s="3479"/>
      <c r="AK18" s="3479"/>
      <c r="AS18" s="2366">
        <v>0</v>
      </c>
    </row>
    <row customHeight="1" ht="14.25" hidden="1">
      <c r="AK19" s="1538"/>
      <c r="AS19" s="2366">
        <v>0</v>
      </c>
    </row>
    <row s="66852" customFormat="1" customHeight="1" ht="22.5" hidden="1">
      <c r="L20" s="2540"/>
      <c r="M20" s="2573"/>
      <c r="N20" s="2573"/>
      <c r="O20" s="2578" t="s">
        <v>435</v>
      </c>
      <c r="P20" s="2573"/>
      <c r="Q20" s="2582"/>
      <c r="R20" s="2582"/>
      <c r="S20" s="1940"/>
      <c r="Z20" s="2578"/>
      <c r="AB20" s="2578"/>
      <c r="AC20" s="2577"/>
      <c r="AH20" s="2578"/>
      <c r="AJ20" s="2578"/>
      <c r="AK20" s="2577"/>
      <c r="AN20" s="1722"/>
      <c r="AO20" s="1722"/>
      <c r="AP20" s="1722"/>
      <c r="AQ20" s="1722"/>
      <c r="AR20" s="1722"/>
      <c r="AS20" s="2371">
        <v>0</v>
      </c>
    </row>
    <row s="66852" customFormat="1" customHeight="1" ht="14.25" hidden="1">
      <c r="L21" s="2540"/>
      <c r="M21" s="2573"/>
      <c r="N21" s="2573"/>
      <c r="O21" s="2573"/>
      <c r="P21" s="2573"/>
      <c r="Q21" s="2582"/>
      <c r="R21" s="2582"/>
      <c r="S21" s="1940"/>
      <c r="AC21" s="2577"/>
      <c r="AK21" s="2577"/>
      <c r="AN21" s="1722"/>
      <c r="AO21" s="1722"/>
      <c r="AP21" s="1722"/>
      <c r="AQ21" s="1722"/>
      <c r="AR21" s="1722"/>
      <c r="AS21" s="2371">
        <v>0</v>
      </c>
    </row>
    <row s="66852" customFormat="1" customHeight="1" ht="14.25" hidden="1">
      <c r="L22" s="2540"/>
      <c r="M22" s="2573"/>
      <c r="N22" s="2573"/>
      <c r="O22" s="2575" t="s">
        <v>436</v>
      </c>
      <c r="P22" s="2573"/>
      <c r="Q22" s="2582"/>
      <c r="R22" s="2582"/>
      <c r="S22" s="1940"/>
      <c r="T22" s="2371" t="s">
        <v>437</v>
      </c>
      <c r="AA22" s="1397" t="s">
        <v>438</v>
      </c>
      <c r="AC22" s="1397" t="s">
        <v>439</v>
      </c>
      <c r="AD22" s="2371" t="s">
        <v>437</v>
      </c>
      <c r="AI22" s="1397" t="s">
        <v>440</v>
      </c>
      <c r="AK22" s="1397" t="s">
        <v>439</v>
      </c>
      <c r="AN22" s="1722"/>
      <c r="AO22" s="1722"/>
      <c r="AP22" s="1722"/>
      <c r="AQ22" s="1722"/>
      <c r="AR22" s="1722"/>
      <c r="AS22" s="2371">
        <v>0</v>
      </c>
    </row>
    <row customHeight="1" ht="14.25" hidden="1">
      <c r="O23" s="2575"/>
      <c r="AS23" s="2366">
        <v>0</v>
      </c>
    </row>
    <row customHeight="1" ht="14.25" hidden="1">
      <c r="O24" s="2575"/>
      <c r="AS24" s="2366">
        <v>0</v>
      </c>
    </row>
    <row customHeight="1" ht="14.699999999999998">
      <c r="Q25" s="1587"/>
      <c r="R25" s="1587"/>
      <c r="S25" s="2486"/>
      <c r="T25" s="1574"/>
      <c r="U25" s="1574"/>
      <c r="V25" s="1720"/>
      <c r="W25" s="1720"/>
      <c r="X25" s="1720"/>
      <c r="Y25" s="1720"/>
      <c r="Z25" s="1720"/>
      <c r="AA25" s="1720"/>
      <c r="AB25" s="1720"/>
      <c r="AC25" s="1720"/>
      <c r="AD25" s="1720"/>
      <c r="AE25" s="1720"/>
      <c r="AF25" s="1720"/>
      <c r="AG25" s="1720"/>
      <c r="AH25" s="1720"/>
      <c r="AI25" s="1720"/>
      <c r="AJ25" s="1720"/>
      <c r="AK25" s="1720"/>
      <c r="AS25" s="2366">
        <v>14</v>
      </c>
    </row>
    <row customHeight="1" ht="54.75">
      <c r="Q26" s="1587"/>
      <c r="R26" s="1587"/>
      <c r="S26" s="351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518"/>
      <c r="U26" s="3518"/>
      <c r="V26" s="3518"/>
      <c r="W26" s="3518"/>
      <c r="X26" s="3518"/>
      <c r="Y26" s="3518"/>
      <c r="Z26" s="3518"/>
      <c r="AA26" s="3518"/>
      <c r="AB26" s="3518"/>
      <c r="AC26" s="3518"/>
      <c r="AD26" s="3518"/>
      <c r="AE26" s="3518"/>
      <c r="AF26" s="3518"/>
      <c r="AG26" s="3518"/>
      <c r="AH26" s="3518"/>
      <c r="AI26" s="3518"/>
      <c r="AJ26" s="3518"/>
      <c r="AK26" s="2454"/>
      <c r="AS26" s="2366">
        <v>52</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366">
        <v>14</v>
      </c>
    </row>
    <row customHeight="1" ht="14.25" hidden="1">
      <c r="Q28" s="1587"/>
      <c r="R28" s="1587"/>
      <c r="S28" s="2486"/>
      <c r="T28" s="1574"/>
      <c r="U28" s="1574"/>
      <c r="V28" s="1533"/>
      <c r="W28" s="1533"/>
      <c r="X28" s="1533"/>
      <c r="Y28" s="1533"/>
      <c r="Z28" s="1533"/>
      <c r="AA28" s="1533"/>
      <c r="AB28" s="1533"/>
      <c r="AC28" s="1533"/>
      <c r="AD28" s="1533"/>
      <c r="AE28" s="1533"/>
      <c r="AF28" s="1533"/>
      <c r="AG28" s="1533"/>
      <c r="AH28" s="1533"/>
      <c r="AI28" s="1533"/>
      <c r="AJ28" s="1533"/>
      <c r="AK28" s="1533"/>
      <c r="AL28" s="1720"/>
      <c r="AS28" s="2366">
        <v>0</v>
      </c>
    </row>
    <row s="67333" customFormat="1" customHeight="1" ht="25.5" hidden="1">
      <c r="A29" s="2579"/>
      <c r="B29" s="2579"/>
      <c r="C29" s="2579"/>
      <c r="D29" s="2579"/>
      <c r="E29" s="2579"/>
      <c r="F29" s="2579"/>
      <c r="G29" s="2579"/>
      <c r="H29" s="2579"/>
      <c r="I29" s="2579"/>
      <c r="J29" s="2579"/>
      <c r="K29" s="2579"/>
      <c r="L29" s="2580"/>
      <c r="M29" s="2579"/>
      <c r="N29" s="2579"/>
      <c r="O29" s="2579"/>
      <c r="S29" s="3461" t="s">
        <v>41</v>
      </c>
      <c r="T29" s="3461"/>
      <c r="U29" s="2583"/>
      <c r="V29" s="3462" t="str">
        <f>IF(TITLE_NAME_OR_PR_CHANGE="",IF(TITLE_NAME_OR_PR="","",TITLE_NAME_OR_PR),TITLE_NAME_OR_PR_CHANGE)</f>
        <v/>
      </c>
      <c r="W29" s="3462"/>
      <c r="X29" s="3462"/>
      <c r="Y29" s="3462"/>
      <c r="Z29" s="3462"/>
      <c r="AA29" s="3462"/>
      <c r="AB29" s="3462"/>
      <c r="AC29" s="1537"/>
      <c r="AD29" s="3462" t="str">
        <f>IF(TITLE_NAME_OR_PR_CHANGE="",IF(TITLE_NAME_OR_PR="","",TITLE_NAME_OR_PR),TITLE_NAME_OR_PR_CHANGE)</f>
        <v/>
      </c>
      <c r="AE29" s="3462"/>
      <c r="AF29" s="3462"/>
      <c r="AG29" s="3462"/>
      <c r="AH29" s="3462"/>
      <c r="AI29" s="3462"/>
      <c r="AJ29" s="3462"/>
      <c r="AK29" s="1537"/>
      <c r="AL29" s="1537"/>
      <c r="AM29" s="1491"/>
      <c r="AN29" s="1579"/>
      <c r="AO29" s="1579"/>
      <c r="AP29" s="1579"/>
      <c r="AQ29" s="1579"/>
      <c r="AR29" s="1579"/>
      <c r="AS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441</v>
      </c>
      <c r="T30" s="3461"/>
      <c r="U30" s="2583"/>
      <c r="V30" s="3475" t="str">
        <f>IF(TITLE_DATE_PR_CHANGE="",IF(TITLE_DATE_PR="","",TITLE_DATE_PR),TITLE_DATE_PR_CHANGE)</f>
        <v/>
      </c>
      <c r="W30" s="3475"/>
      <c r="X30" s="3475"/>
      <c r="Y30" s="3475"/>
      <c r="Z30" s="3475"/>
      <c r="AA30" s="3475"/>
      <c r="AB30" s="3475"/>
      <c r="AC30" s="1537"/>
      <c r="AD30" s="3475" t="str">
        <f>IF(TITLE_DATE_PR_CHANGE="",IF(TITLE_DATE_PR="","",TITLE_DATE_PR),TITLE_DATE_PR_CHANGE)</f>
        <v/>
      </c>
      <c r="AE30" s="3475"/>
      <c r="AF30" s="3475"/>
      <c r="AG30" s="3475"/>
      <c r="AH30" s="3475"/>
      <c r="AI30" s="3475"/>
      <c r="AJ30" s="3475"/>
      <c r="AK30" s="1537"/>
      <c r="AL30" s="1537"/>
      <c r="AM30" s="1491"/>
      <c r="AN30" s="1579"/>
      <c r="AO30" s="1579"/>
      <c r="AP30" s="1579"/>
      <c r="AQ30" s="1579"/>
      <c r="AR30" s="1579"/>
      <c r="AS30" s="1629">
        <v>0</v>
      </c>
    </row>
    <row s="67333" customFormat="1" customHeight="1" ht="18.75" hidden="1">
      <c r="A31" s="2579"/>
      <c r="B31" s="2579"/>
      <c r="C31" s="2579"/>
      <c r="D31" s="2579"/>
      <c r="E31" s="2579"/>
      <c r="F31" s="2579"/>
      <c r="G31" s="2579"/>
      <c r="H31" s="2579"/>
      <c r="I31" s="2579"/>
      <c r="J31" s="2579"/>
      <c r="K31" s="2579"/>
      <c r="L31" s="2580"/>
      <c r="M31" s="2579"/>
      <c r="N31" s="2579"/>
      <c r="O31" s="2579"/>
      <c r="S31" s="3461" t="s">
        <v>442</v>
      </c>
      <c r="T31" s="3461"/>
      <c r="U31" s="2583"/>
      <c r="V31" s="3462" t="str">
        <f>IF(TITLE_NUMBER_PR_CHANGE="",IF(TITLE_NUMBER_PR="","",TITLE_NUMBER_PR),TITLE_NUMBER_PR_CHANGE)</f>
        <v/>
      </c>
      <c r="W31" s="3462"/>
      <c r="X31" s="3462"/>
      <c r="Y31" s="3462"/>
      <c r="Z31" s="3462"/>
      <c r="AA31" s="3462"/>
      <c r="AB31" s="3462"/>
      <c r="AC31" s="1537"/>
      <c r="AD31" s="3462" t="str">
        <f>IF(TITLE_NUMBER_PR_CHANGE="",IF(TITLE_NUMBER_PR="","",TITLE_NUMBER_PR),TITLE_NUMBER_PR_CHANGE)</f>
        <v/>
      </c>
      <c r="AE31" s="3462"/>
      <c r="AF31" s="3462"/>
      <c r="AG31" s="3462"/>
      <c r="AH31" s="3462"/>
      <c r="AI31" s="3462"/>
      <c r="AJ31" s="3462"/>
      <c r="AK31" s="1537"/>
      <c r="AL31" s="1537"/>
      <c r="AM31" s="1491"/>
      <c r="AN31" s="1579"/>
      <c r="AO31" s="1579"/>
      <c r="AP31" s="1579"/>
      <c r="AQ31" s="1579"/>
      <c r="AR31" s="1579"/>
      <c r="AS31" s="1629">
        <v>0</v>
      </c>
    </row>
    <row s="67333" customFormat="1" customHeight="1" ht="18.75" hidden="1">
      <c r="A32" s="2579"/>
      <c r="B32" s="2579"/>
      <c r="C32" s="2579"/>
      <c r="D32" s="2579"/>
      <c r="E32" s="2579"/>
      <c r="F32" s="2579"/>
      <c r="G32" s="2579"/>
      <c r="H32" s="2579"/>
      <c r="I32" s="2579"/>
      <c r="J32" s="2579"/>
      <c r="K32" s="2579"/>
      <c r="L32" s="2580"/>
      <c r="M32" s="2579"/>
      <c r="N32" s="2579"/>
      <c r="O32" s="2579"/>
      <c r="S32" s="3461" t="s">
        <v>42</v>
      </c>
      <c r="T32" s="3461"/>
      <c r="U32" s="2583"/>
      <c r="V32" s="3462" t="str">
        <f>IF(TITLE_IST_PUB_CHANGE="",IF(TITLE_IST_PUB="","",TITLE_IST_PUB),TITLE_IST_PUB_CHANGE)</f>
        <v/>
      </c>
      <c r="W32" s="3462"/>
      <c r="X32" s="3462"/>
      <c r="Y32" s="3462"/>
      <c r="Z32" s="3462"/>
      <c r="AA32" s="3462"/>
      <c r="AB32" s="3462"/>
      <c r="AC32" s="1537"/>
      <c r="AD32" s="3462" t="str">
        <f>IF(TITLE_IST_PUB_CHANGE="",IF(TITLE_IST_PUB="","",TITLE_IST_PUB),TITLE_IST_PUB_CHANGE)</f>
        <v/>
      </c>
      <c r="AE32" s="3462"/>
      <c r="AF32" s="3462"/>
      <c r="AG32" s="3462"/>
      <c r="AH32" s="3462"/>
      <c r="AI32" s="3462"/>
      <c r="AJ32" s="3462"/>
      <c r="AK32" s="1537"/>
      <c r="AL32" s="1537"/>
      <c r="AM32" s="1491"/>
      <c r="AN32" s="1579"/>
      <c r="AO32" s="1579"/>
      <c r="AP32" s="1579"/>
      <c r="AQ32" s="1579"/>
      <c r="AR32" s="1579"/>
      <c r="AS32" s="1629">
        <v>0</v>
      </c>
    </row>
    <row customHeight="1" ht="14.25" hidden="1">
      <c r="Q33" s="1587"/>
      <c r="R33" s="1587"/>
      <c r="S33" s="2486"/>
      <c r="T33" s="1574"/>
      <c r="U33" s="1574"/>
      <c r="V33" s="1533"/>
      <c r="W33" s="1533"/>
      <c r="X33" s="1533"/>
      <c r="Y33" s="1533"/>
      <c r="Z33" s="1533"/>
      <c r="AA33" s="1533"/>
      <c r="AB33" s="1533"/>
      <c r="AC33" s="1533"/>
      <c r="AD33" s="1533"/>
      <c r="AE33" s="1533"/>
      <c r="AF33" s="1533"/>
      <c r="AG33" s="1533"/>
      <c r="AH33" s="1533"/>
      <c r="AI33" s="1533"/>
      <c r="AJ33" s="1533"/>
      <c r="AK33" s="1533"/>
      <c r="AL33" s="1720"/>
      <c r="AS33" s="2366">
        <v>0</v>
      </c>
    </row>
    <row s="67333" customFormat="1" customHeight="1" ht="18.75" hidden="1">
      <c r="A34" s="2579"/>
      <c r="B34" s="2579"/>
      <c r="C34" s="2579"/>
      <c r="D34" s="2579"/>
      <c r="E34" s="2579"/>
      <c r="F34" s="2579"/>
      <c r="G34" s="2579"/>
      <c r="H34" s="2579"/>
      <c r="I34" s="2579"/>
      <c r="J34" s="2579"/>
      <c r="K34" s="2579"/>
      <c r="L34" s="2580"/>
      <c r="M34" s="2579"/>
      <c r="N34" s="2579"/>
      <c r="O34" s="2579"/>
      <c r="S34" s="3461" t="s">
        <v>443</v>
      </c>
      <c r="T34" s="3461"/>
      <c r="U34" s="2583"/>
      <c r="V34" s="3475" t="str">
        <f>IF(TITLE_DATE_PR_CHANGE="",IF(TITLE_DATE_PR="","",TITLE_DATE_PR),TITLE_DATE_PR_CHANGE)</f>
        <v/>
      </c>
      <c r="W34" s="3475"/>
      <c r="X34" s="3475"/>
      <c r="Y34" s="3475"/>
      <c r="Z34" s="3475"/>
      <c r="AA34" s="3475"/>
      <c r="AB34" s="3475"/>
      <c r="AC34" s="1537"/>
      <c r="AD34" s="3475" t="str">
        <f>IF(TITLE_DATE_PR_CHANGE="",IF(TITLE_DATE_PR="","",TITLE_DATE_PR),TITLE_DATE_PR_CHANGE)</f>
        <v/>
      </c>
      <c r="AE34" s="3475"/>
      <c r="AF34" s="3475"/>
      <c r="AG34" s="3475"/>
      <c r="AH34" s="3475"/>
      <c r="AI34" s="3475"/>
      <c r="AJ34" s="3475"/>
      <c r="AK34" s="1537"/>
      <c r="AL34" s="1537"/>
      <c r="AM34" s="1491"/>
      <c r="AN34" s="1579"/>
      <c r="AO34" s="1579"/>
      <c r="AP34" s="1579"/>
      <c r="AQ34" s="1579"/>
      <c r="AR34" s="1579"/>
      <c r="AS34" s="1629">
        <v>0</v>
      </c>
    </row>
    <row s="67333" customFormat="1" customHeight="1" ht="18.75" hidden="1">
      <c r="A35" s="2579"/>
      <c r="B35" s="2579"/>
      <c r="C35" s="2579"/>
      <c r="D35" s="2579"/>
      <c r="E35" s="2579"/>
      <c r="F35" s="2579"/>
      <c r="G35" s="2579"/>
      <c r="H35" s="2579"/>
      <c r="I35" s="2579"/>
      <c r="J35" s="2579"/>
      <c r="K35" s="2579"/>
      <c r="L35" s="2580"/>
      <c r="M35" s="2579"/>
      <c r="N35" s="2579"/>
      <c r="O35" s="2579"/>
      <c r="S35" s="3461" t="s">
        <v>444</v>
      </c>
      <c r="T35" s="3461"/>
      <c r="U35" s="2583"/>
      <c r="V35" s="3462" t="str">
        <f>IF(TITLE_NUMBER_PR_CHANGE="",IF(TITLE_NUMBER_PR="","",TITLE_NUMBER_PR),TITLE_NUMBER_PR_CHANGE)</f>
        <v/>
      </c>
      <c r="W35" s="3462"/>
      <c r="X35" s="3462"/>
      <c r="Y35" s="3462"/>
      <c r="Z35" s="3462"/>
      <c r="AA35" s="3462"/>
      <c r="AB35" s="3462"/>
      <c r="AC35" s="1537"/>
      <c r="AD35" s="3462" t="str">
        <f>IF(TITLE_NUMBER_PR_CHANGE="",IF(TITLE_NUMBER_PR="","",TITLE_NUMBER_PR),TITLE_NUMBER_PR_CHANGE)</f>
        <v/>
      </c>
      <c r="AE35" s="3462"/>
      <c r="AF35" s="3462"/>
      <c r="AG35" s="3462"/>
      <c r="AH35" s="3462"/>
      <c r="AI35" s="3462"/>
      <c r="AJ35" s="3462"/>
      <c r="AK35" s="1537"/>
      <c r="AL35" s="1537"/>
      <c r="AM35" s="1491"/>
      <c r="AN35" s="1579"/>
      <c r="AO35" s="1579"/>
      <c r="AP35" s="1579"/>
      <c r="AQ35" s="1579"/>
      <c r="AR35" s="1579"/>
      <c r="AS35" s="1629">
        <v>0</v>
      </c>
    </row>
    <row s="67333" customFormat="1" customHeight="1" ht="0">
      <c r="A36" s="2579"/>
      <c r="B36" s="2579"/>
      <c r="C36" s="2579"/>
      <c r="D36" s="2579"/>
      <c r="E36" s="2579"/>
      <c r="F36" s="2579"/>
      <c r="G36" s="2579"/>
      <c r="H36" s="2579"/>
      <c r="I36" s="2579"/>
      <c r="J36" s="2579"/>
      <c r="K36" s="2579"/>
      <c r="L36" s="2580"/>
      <c r="M36" s="2579"/>
      <c r="N36" s="2579"/>
      <c r="O36" s="2579"/>
      <c r="S36" s="1534"/>
      <c r="T36" s="1534"/>
      <c r="U36" s="2551"/>
      <c r="V36" s="1537"/>
      <c r="W36" s="1537"/>
      <c r="X36" s="1537"/>
      <c r="Y36" s="1537"/>
      <c r="Z36" s="1537"/>
      <c r="AA36" s="1537"/>
      <c r="AB36" s="1537"/>
      <c r="AC36" s="1489" t="s">
        <v>445</v>
      </c>
      <c r="AD36" s="1537"/>
      <c r="AE36" s="1537"/>
      <c r="AF36" s="1537"/>
      <c r="AG36" s="1537"/>
      <c r="AH36" s="1537"/>
      <c r="AI36" s="1537"/>
      <c r="AJ36" s="1537"/>
      <c r="AK36" s="1489" t="s">
        <v>445</v>
      </c>
      <c r="AN36" s="1579"/>
      <c r="AO36" s="1579"/>
      <c r="AP36" s="1579"/>
      <c r="AQ36" s="1579"/>
      <c r="AR36" s="1579"/>
      <c r="AS36" s="1629">
        <v>0</v>
      </c>
    </row>
    <row customHeight="1" ht="14.699999999999998">
      <c r="Q37" s="1587"/>
      <c r="R37" s="1587"/>
      <c r="S37" s="2486"/>
      <c r="T37" s="1574"/>
      <c r="U37" s="2455"/>
      <c r="V37" s="3463"/>
      <c r="W37" s="3463"/>
      <c r="X37" s="3463"/>
      <c r="Y37" s="3463"/>
      <c r="Z37" s="3463"/>
      <c r="AA37" s="3463"/>
      <c r="AB37" s="3463"/>
      <c r="AC37" s="3463"/>
      <c r="AD37" s="3463"/>
      <c r="AE37" s="3463"/>
      <c r="AF37" s="3463"/>
      <c r="AG37" s="3463"/>
      <c r="AH37" s="3463"/>
      <c r="AI37" s="3463"/>
      <c r="AJ37" s="3463"/>
      <c r="AK37" s="3463"/>
      <c r="AS37" s="2366">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366">
        <v>14</v>
      </c>
    </row>
    <row customHeight="1" ht="14.699999999999998">
      <c r="Q39" s="1587"/>
      <c r="R39" s="1587"/>
      <c r="S39" s="3484" t="s">
        <v>88</v>
      </c>
      <c r="T39" s="3420" t="s">
        <v>446</v>
      </c>
      <c r="U39" s="1512"/>
      <c r="V39" s="3485" t="s">
        <v>447</v>
      </c>
      <c r="W39" s="3486"/>
      <c r="X39" s="3486"/>
      <c r="Y39" s="3486"/>
      <c r="Z39" s="3486"/>
      <c r="AA39" s="3486"/>
      <c r="AB39" s="3487"/>
      <c r="AC39" s="3488" t="s">
        <v>448</v>
      </c>
      <c r="AD39" s="3485" t="s">
        <v>447</v>
      </c>
      <c r="AE39" s="3486"/>
      <c r="AF39" s="3486"/>
      <c r="AG39" s="3486"/>
      <c r="AH39" s="3486"/>
      <c r="AI39" s="3486"/>
      <c r="AJ39" s="3487"/>
      <c r="AK39" s="3488" t="s">
        <v>449</v>
      </c>
      <c r="AL39" s="3491" t="s">
        <v>450</v>
      </c>
      <c r="AM39" s="3338"/>
      <c r="AS39" s="2366">
        <v>14</v>
      </c>
    </row>
    <row customHeight="1" ht="35.699999999999996">
      <c r="Q40" s="1587"/>
      <c r="R40" s="1587"/>
      <c r="S40" s="3484"/>
      <c r="T40" s="3420"/>
      <c r="U40" s="2242"/>
      <c r="V40" s="3471" t="s">
        <v>451</v>
      </c>
      <c r="W40" s="3494"/>
      <c r="X40" s="3473" t="s">
        <v>453</v>
      </c>
      <c r="Y40" s="3474"/>
      <c r="Z40" s="3473" t="s">
        <v>454</v>
      </c>
      <c r="AA40" s="3480"/>
      <c r="AB40" s="3474"/>
      <c r="AC40" s="3489"/>
      <c r="AD40" s="3471" t="s">
        <v>468</v>
      </c>
      <c r="AE40" s="3494"/>
      <c r="AF40" s="3473" t="s">
        <v>453</v>
      </c>
      <c r="AG40" s="3474"/>
      <c r="AH40" s="3473" t="s">
        <v>454</v>
      </c>
      <c r="AI40" s="3480"/>
      <c r="AJ40" s="3474"/>
      <c r="AK40" s="3489"/>
      <c r="AL40" s="3492"/>
      <c r="AM40" s="3338"/>
      <c r="AS40" s="2366">
        <v>34</v>
      </c>
    </row>
    <row customHeight="1" ht="35.699999999999996">
      <c r="A41" s="2581"/>
      <c r="B41" s="2581" t="s">
        <v>155</v>
      </c>
      <c r="C41" s="2581" t="s">
        <v>156</v>
      </c>
      <c r="D41" s="2581" t="s">
        <v>157</v>
      </c>
      <c r="E41" s="2575" t="s">
        <v>455</v>
      </c>
      <c r="F41" s="2575" t="s">
        <v>456</v>
      </c>
      <c r="G41" s="2575" t="s">
        <v>457</v>
      </c>
      <c r="H41" s="2575" t="s">
        <v>458</v>
      </c>
      <c r="I41" s="2575" t="s">
        <v>459</v>
      </c>
      <c r="J41" s="2575" t="s">
        <v>460</v>
      </c>
      <c r="K41" s="2575" t="s">
        <v>461</v>
      </c>
      <c r="L41" s="2575" t="s">
        <v>436</v>
      </c>
      <c r="Q41" s="1587"/>
      <c r="R41" s="1587"/>
      <c r="S41" s="3484"/>
      <c r="T41" s="3420"/>
      <c r="U41" s="1513"/>
      <c r="V41" s="3472"/>
      <c r="W41" s="3495"/>
      <c r="X41" s="2433" t="s">
        <v>462</v>
      </c>
      <c r="Y41" s="2433" t="s">
        <v>463</v>
      </c>
      <c r="Z41" s="2549" t="s">
        <v>464</v>
      </c>
      <c r="AA41" s="3481" t="s">
        <v>465</v>
      </c>
      <c r="AB41" s="3482"/>
      <c r="AC41" s="3490"/>
      <c r="AD41" s="3472"/>
      <c r="AE41" s="3495"/>
      <c r="AF41" s="2433" t="s">
        <v>462</v>
      </c>
      <c r="AG41" s="2433" t="s">
        <v>463</v>
      </c>
      <c r="AH41" s="2549" t="s">
        <v>464</v>
      </c>
      <c r="AI41" s="3481" t="s">
        <v>465</v>
      </c>
      <c r="AJ41" s="3482"/>
      <c r="AK41" s="3490"/>
      <c r="AL41" s="3493"/>
      <c r="AM41" s="3338"/>
      <c r="AS41" s="2366">
        <v>34</v>
      </c>
    </row>
    <row s="65897" customFormat="1" customHeight="1" ht="11.25" hidden="1">
      <c r="A42" s="2581"/>
      <c r="B42" s="2581"/>
      <c r="C42" s="2581"/>
      <c r="D42" s="2581"/>
      <c r="E42" s="2581"/>
      <c r="F42" s="2581"/>
      <c r="G42" s="2581"/>
      <c r="H42" s="2581"/>
      <c r="I42" s="2581"/>
      <c r="J42" s="2581"/>
      <c r="K42" s="2581"/>
      <c r="L42" s="2575"/>
      <c r="M42" s="2573"/>
      <c r="N42" s="2573"/>
      <c r="O42" s="2573"/>
      <c r="P42" s="2457"/>
      <c r="Q42" s="2458"/>
      <c r="R42" s="2465">
        <v>1</v>
      </c>
      <c r="S42" s="2488" t="s">
        <v>99</v>
      </c>
      <c r="T42" s="2466" t="s">
        <v>102</v>
      </c>
      <c r="U42" s="2456" t="str">
        <f>OFFSET(U42,0,-1)</f>
        <v>2</v>
      </c>
      <c r="V42" s="2546">
        <f>OFFSET(V42,0,-1)+1</f>
        <v>3</v>
      </c>
      <c r="W42" s="2546"/>
      <c r="X42" s="2546">
        <f>OFFSET(X42,0,-1)+1</f>
        <v>1</v>
      </c>
      <c r="Y42" s="2546">
        <f>OFFSET(Y42,0,-1)+1</f>
        <v>2</v>
      </c>
      <c r="Z42" s="2546">
        <f>OFFSET(Z42,0,-1)+1</f>
        <v>3</v>
      </c>
      <c r="AA42" s="3483">
        <f>OFFSET(AA42,0,-1)+1</f>
        <v>4</v>
      </c>
      <c r="AB42" s="3483"/>
      <c r="AC42" s="2546">
        <f>OFFSET(AC42,0,-2)+1</f>
        <v>5</v>
      </c>
      <c r="AD42" s="2546">
        <f>OFFSET(AD42,0,-1)+1</f>
        <v>6</v>
      </c>
      <c r="AE42" s="2546"/>
      <c r="AF42" s="2546">
        <f>OFFSET(AF42,0,-1)+1</f>
        <v>1</v>
      </c>
      <c r="AG42" s="2546">
        <f>OFFSET(AG42,0,-1)+1</f>
        <v>2</v>
      </c>
      <c r="AH42" s="2546">
        <f>OFFSET(AH42,0,-1)+1</f>
        <v>3</v>
      </c>
      <c r="AI42" s="3483">
        <f>OFFSET(AI42,0,-1)+1</f>
        <v>4</v>
      </c>
      <c r="AJ42" s="3483"/>
      <c r="AK42" s="2546">
        <f>OFFSET(AK42,0,-2)+1</f>
        <v>5</v>
      </c>
      <c r="AL42" s="2456">
        <f>OFFSET(AL42,0,-1)</f>
        <v>5</v>
      </c>
      <c r="AM42" s="2546">
        <f>OFFSET(AM42,0,-1)+1</f>
        <v>6</v>
      </c>
      <c r="AN42" s="1722"/>
      <c r="AO42" s="1722"/>
      <c r="AP42" s="1722"/>
      <c r="AQ42" s="1722"/>
      <c r="AR42" s="1722"/>
      <c r="AS42" s="1707">
        <v>0</v>
      </c>
    </row>
    <row customHeight="1" ht="22.049999999999997">
      <c r="A43" s="2574" t="s">
        <v>200</v>
      </c>
      <c r="B43" s="2574"/>
      <c r="C43" s="2574"/>
      <c r="D43" s="2574"/>
      <c r="E43" s="3469">
        <v>1</v>
      </c>
      <c r="F43" s="2574"/>
      <c r="G43" s="2574"/>
      <c r="H43" s="2574"/>
      <c r="I43" s="2574"/>
      <c r="J43" s="2574"/>
      <c r="K43" s="2574"/>
      <c r="L43" s="2575"/>
      <c r="M43" s="2576"/>
      <c r="N43" s="2576"/>
      <c r="O43" s="2576"/>
      <c r="P43" s="1572"/>
      <c r="Q43" s="1571"/>
      <c r="R43" s="1566"/>
      <c r="S43" s="2547">
        <f>INDEX(PT_DIFFERENTIATION_NUM_NTAR,MATCH(A43,PT_DIFFERENTIATION_NTAR_ID,0))</f>
        <v>0</v>
      </c>
      <c r="T43" s="1509"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11"/>
      <c r="AP43" s="1711" t="str">
        <f>IF(T43="","",T43)</f>
        <v>Наименование тарифа</v>
      </c>
      <c r="AQ43" s="1711"/>
      <c r="AR43" s="1711"/>
      <c r="AS43" s="2366">
        <v>21</v>
      </c>
    </row>
    <row customHeight="1" ht="22.049999999999997">
      <c r="A44" s="2574" t="s">
        <v>200</v>
      </c>
      <c r="B44" s="2574" t="s">
        <v>201</v>
      </c>
      <c r="C44" s="2574"/>
      <c r="D44" s="2574"/>
      <c r="E44" s="3470"/>
      <c r="F44" s="3469">
        <v>1</v>
      </c>
      <c r="G44" s="2574"/>
      <c r="H44" s="2574"/>
      <c r="I44" s="2574"/>
      <c r="J44" s="2574"/>
      <c r="K44" s="2574"/>
      <c r="L44" s="2575"/>
      <c r="M44" s="2576"/>
      <c r="N44" s="2576"/>
      <c r="O44" s="2576"/>
      <c r="P44" s="2543"/>
      <c r="Q44" s="1563"/>
      <c r="R44" s="1564"/>
      <c r="S44" s="2547" t="str">
        <f>INDEX(PT_DIFFERENTIATION_NUM_TER,MATCH(B44,PT_DIFFERENTIATION_TER_ID,0))</f>
        <v>.</v>
      </c>
      <c r="T44" s="1519"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1711"/>
      <c r="AP44" s="1711" t="str">
        <f>IF(T44="","",T44)</f>
        <v>Территория действия тарифа</v>
      </c>
      <c r="AQ44" s="1711"/>
      <c r="AR44" s="1711"/>
      <c r="AS44" s="2366">
        <v>21</v>
      </c>
    </row>
    <row customHeight="1" ht="24">
      <c r="A45" s="2574" t="s">
        <v>200</v>
      </c>
      <c r="B45" s="2574" t="s">
        <v>201</v>
      </c>
      <c r="C45" s="2574" t="s">
        <v>202</v>
      </c>
      <c r="D45" s="2574"/>
      <c r="E45" s="3470"/>
      <c r="F45" s="3470"/>
      <c r="G45" s="3469">
        <v>1</v>
      </c>
      <c r="H45" s="2574"/>
      <c r="I45" s="2574"/>
      <c r="J45" s="2574"/>
      <c r="K45" s="2574"/>
      <c r="L45" s="2575"/>
      <c r="M45" s="2576"/>
      <c r="N45" s="2576"/>
      <c r="O45" s="2576"/>
      <c r="P45" s="1565"/>
      <c r="Q45" s="1563"/>
      <c r="R45" s="1564"/>
      <c r="S45" s="2547"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1711"/>
      <c r="AP45" s="1711" t="str">
        <f>IF(T45="","",T45)</f>
        <v>Наименование системы теплоснабжения </v>
      </c>
      <c r="AQ45" s="1711"/>
      <c r="AR45" s="1711"/>
      <c r="AS45" s="2366">
        <v>23</v>
      </c>
    </row>
    <row customHeight="1" ht="22.049999999999997">
      <c r="A46" s="2574" t="s">
        <v>200</v>
      </c>
      <c r="B46" s="2574" t="s">
        <v>201</v>
      </c>
      <c r="C46" s="2574" t="s">
        <v>202</v>
      </c>
      <c r="D46" s="2574" t="s">
        <v>203</v>
      </c>
      <c r="E46" s="3470"/>
      <c r="F46" s="3470"/>
      <c r="G46" s="3470"/>
      <c r="H46" s="3469">
        <v>1</v>
      </c>
      <c r="I46" s="2574"/>
      <c r="J46" s="2574"/>
      <c r="K46" s="2574"/>
      <c r="L46" s="2575"/>
      <c r="M46" s="2576"/>
      <c r="N46" s="2576"/>
      <c r="O46" s="2576"/>
      <c r="P46" s="1565"/>
      <c r="Q46" s="1563"/>
      <c r="R46" s="1564"/>
      <c r="S46" s="2547"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1711"/>
      <c r="AP46" s="1711" t="str">
        <f>IF(T46="","",T46)</f>
        <v>Источник тепловой энергии  </v>
      </c>
      <c r="AQ46" s="1711"/>
      <c r="AR46" s="1711"/>
      <c r="AS46" s="2366">
        <v>21</v>
      </c>
    </row>
    <row s="65923" customFormat="1" customHeight="1" ht="0">
      <c r="A47" s="2554" t="s">
        <v>200</v>
      </c>
      <c r="B47" s="2554" t="s">
        <v>201</v>
      </c>
      <c r="C47" s="2554" t="s">
        <v>202</v>
      </c>
      <c r="D47" s="2554" t="s">
        <v>203</v>
      </c>
      <c r="E47" s="3470"/>
      <c r="F47" s="3470"/>
      <c r="G47" s="3470"/>
      <c r="H47" s="3470"/>
      <c r="I47" s="3467" t="str">
        <f>S46&amp;".1"</f>
        <v>....1</v>
      </c>
      <c r="J47" s="2554"/>
      <c r="K47" s="2554"/>
      <c r="L47" s="2557" t="s">
        <v>421</v>
      </c>
      <c r="M47" s="1721"/>
      <c r="N47" s="1721"/>
      <c r="O47" s="1721"/>
      <c r="P47" s="3468">
        <v>1</v>
      </c>
      <c r="Q47" s="2542"/>
      <c r="R47" s="1567"/>
      <c r="S47" s="2253"/>
      <c r="T47" s="2594"/>
      <c r="U47" s="2595"/>
      <c r="V47" s="3507"/>
      <c r="W47" s="3508"/>
      <c r="X47" s="3508"/>
      <c r="Y47" s="3508"/>
      <c r="Z47" s="3508"/>
      <c r="AA47" s="3508"/>
      <c r="AB47" s="3508"/>
      <c r="AC47" s="3509"/>
      <c r="AD47" s="3507"/>
      <c r="AE47" s="3508"/>
      <c r="AF47" s="3508"/>
      <c r="AG47" s="3508"/>
      <c r="AH47" s="3508"/>
      <c r="AI47" s="3508"/>
      <c r="AJ47" s="3508"/>
      <c r="AK47" s="3508"/>
      <c r="AL47" s="3509"/>
      <c r="AM47" s="2596"/>
      <c r="AO47" s="1711"/>
      <c r="AP47" s="1711" t="str">
        <f>IF(T47="","",T47)</f>
        <v/>
      </c>
      <c r="AQ47" s="1711"/>
      <c r="AR47" s="1711"/>
      <c r="AS47" s="1722">
        <v>0</v>
      </c>
    </row>
    <row customHeight="1" ht="22.049999999999997">
      <c r="A48" s="2574" t="s">
        <v>200</v>
      </c>
      <c r="B48" s="2574" t="s">
        <v>201</v>
      </c>
      <c r="C48" s="2574" t="s">
        <v>202</v>
      </c>
      <c r="D48" s="2574" t="s">
        <v>203</v>
      </c>
      <c r="E48" s="3470"/>
      <c r="F48" s="3470"/>
      <c r="G48" s="3470"/>
      <c r="H48" s="3470"/>
      <c r="I48" s="3497"/>
      <c r="J48" s="3467" t="str">
        <f>S46&amp;".1"</f>
        <v>....1</v>
      </c>
      <c r="K48" s="2574"/>
      <c r="L48" s="2575" t="s">
        <v>424</v>
      </c>
      <c r="P48" s="3468"/>
      <c r="Q48" s="3468">
        <v>1</v>
      </c>
      <c r="R48" s="1568"/>
      <c r="S48" s="2547" t="str">
        <f>$J48</f>
        <v>....1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1711"/>
      <c r="AP48" s="1711" t="str">
        <f>IF(T48="","",T48)</f>
        <v>Группа потребителей</v>
      </c>
      <c r="AQ48" s="1711"/>
      <c r="AR48" s="1711"/>
      <c r="AS48" s="2366">
        <v>21</v>
      </c>
    </row>
    <row customHeight="1" ht="22.049999999999997">
      <c r="A49" s="2574" t="s">
        <v>200</v>
      </c>
      <c r="B49" s="2574" t="s">
        <v>201</v>
      </c>
      <c r="C49" s="2574" t="s">
        <v>202</v>
      </c>
      <c r="D49" s="2574" t="s">
        <v>203</v>
      </c>
      <c r="E49" s="3470"/>
      <c r="F49" s="3470"/>
      <c r="G49" s="3470"/>
      <c r="H49" s="3470"/>
      <c r="I49" s="3497"/>
      <c r="J49" s="3497"/>
      <c r="K49" s="3467" t="str">
        <f>J48&amp;".1"</f>
        <v>....1.1</v>
      </c>
      <c r="L49" s="2575" t="s">
        <v>427</v>
      </c>
      <c r="P49" s="3468"/>
      <c r="Q49" s="3468"/>
      <c r="R49" s="1568">
        <v>1</v>
      </c>
      <c r="S49" s="2547" t="str">
        <f>$K49</f>
        <v>....1.1</v>
      </c>
      <c r="T49" s="2558"/>
      <c r="U49" s="1511"/>
      <c r="V49" s="1962"/>
      <c r="W49" s="1536"/>
      <c r="X49" s="1962"/>
      <c r="Y49" s="2468"/>
      <c r="Z49" s="3476"/>
      <c r="AA49" s="3318" t="s">
        <v>62</v>
      </c>
      <c r="AB49" s="3476"/>
      <c r="AC49" s="3318" t="s">
        <v>62</v>
      </c>
      <c r="AD49" s="1962"/>
      <c r="AE49" s="1536"/>
      <c r="AF49" s="1962"/>
      <c r="AG49" s="2468"/>
      <c r="AH49" s="3476"/>
      <c r="AI49" s="3318" t="s">
        <v>62</v>
      </c>
      <c r="AJ49" s="3498"/>
      <c r="AK49" s="3318" t="s">
        <v>62</v>
      </c>
      <c r="AL49" s="2559"/>
      <c r="AM49" s="3464" t="s">
        <v>469</v>
      </c>
      <c r="AN49" s="1722">
        <f>STRCHECKDATE(V50:AL50)</f>
      </c>
      <c r="AO49" s="1711"/>
      <c r="AP49" s="1711" t="str">
        <f>IF(T49="","",T49)</f>
        <v/>
      </c>
      <c r="AQ49" s="1711"/>
      <c r="AR49" s="1711"/>
      <c r="AS49" s="2366">
        <v>21</v>
      </c>
    </row>
    <row customHeight="1" ht="1.05">
      <c r="A50" s="2574" t="s">
        <v>200</v>
      </c>
      <c r="B50" s="2574" t="s">
        <v>201</v>
      </c>
      <c r="C50" s="2574" t="s">
        <v>202</v>
      </c>
      <c r="D50" s="2574" t="s">
        <v>203</v>
      </c>
      <c r="E50" s="3470"/>
      <c r="F50" s="3470"/>
      <c r="G50" s="3470"/>
      <c r="H50" s="3470"/>
      <c r="I50" s="3497"/>
      <c r="J50" s="3497"/>
      <c r="K50" s="3467"/>
      <c r="L50" s="2575"/>
      <c r="P50" s="3468"/>
      <c r="Q50" s="3468"/>
      <c r="R50" s="1568"/>
      <c r="S50" s="2553"/>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1711"/>
      <c r="AP50" s="1711" t="str">
        <f>IF(T50="","",T50)</f>
        <v/>
      </c>
      <c r="AQ50" s="1711"/>
      <c r="AR50" s="1711"/>
      <c r="AS50" s="2366">
        <v>1</v>
      </c>
    </row>
    <row customHeight="1" ht="11.549999999999999">
      <c r="A51" s="2574" t="s">
        <v>200</v>
      </c>
      <c r="B51" s="2574" t="s">
        <v>201</v>
      </c>
      <c r="C51" s="2574" t="s">
        <v>202</v>
      </c>
      <c r="D51" s="2574" t="s">
        <v>203</v>
      </c>
      <c r="E51" s="3470"/>
      <c r="F51" s="3470"/>
      <c r="G51" s="3470"/>
      <c r="H51" s="3470"/>
      <c r="I51" s="3497"/>
      <c r="J51" s="3467"/>
      <c r="K51" s="2574"/>
      <c r="L51" s="2575"/>
      <c r="P51" s="3468"/>
      <c r="Q51" s="3468"/>
      <c r="R51" s="1567"/>
      <c r="S51" s="2489"/>
      <c r="T51" s="1498" t="s">
        <v>429</v>
      </c>
      <c r="U51" s="1578"/>
      <c r="V51" s="1578"/>
      <c r="W51" s="1578"/>
      <c r="X51" s="1578"/>
      <c r="Y51" s="1578"/>
      <c r="Z51" s="1578"/>
      <c r="AA51" s="1578"/>
      <c r="AB51" s="1578"/>
      <c r="AC51" s="1578"/>
      <c r="AD51" s="1578"/>
      <c r="AE51" s="1578"/>
      <c r="AF51" s="1578"/>
      <c r="AG51" s="1578"/>
      <c r="AH51" s="1578"/>
      <c r="AI51" s="1578"/>
      <c r="AJ51" s="1578"/>
      <c r="AK51" s="1578"/>
      <c r="AL51" s="1535"/>
      <c r="AM51" s="3466"/>
      <c r="AO51" s="1711"/>
      <c r="AP51" s="1711" t="str">
        <f>IF(T51="","",T51)</f>
        <v>Добавить вид теплоносителя (параметры теплоносителя)</v>
      </c>
      <c r="AQ51" s="1711"/>
      <c r="AR51" s="1711"/>
      <c r="AS51" s="2366">
        <v>11</v>
      </c>
    </row>
    <row customHeight="1" ht="11.549999999999999">
      <c r="A52" s="2574" t="s">
        <v>200</v>
      </c>
      <c r="B52" s="2574" t="s">
        <v>201</v>
      </c>
      <c r="C52" s="2574" t="s">
        <v>202</v>
      </c>
      <c r="D52" s="2574" t="s">
        <v>203</v>
      </c>
      <c r="E52" s="3470"/>
      <c r="F52" s="3470"/>
      <c r="G52" s="3470"/>
      <c r="H52" s="3470"/>
      <c r="I52" s="3467"/>
      <c r="J52" s="2574"/>
      <c r="K52" s="2574"/>
      <c r="L52" s="2575"/>
      <c r="P52" s="3468"/>
      <c r="Q52" s="2542"/>
      <c r="R52" s="1567"/>
      <c r="S52" s="2489"/>
      <c r="T52" s="1576" t="s">
        <v>430</v>
      </c>
      <c r="U52" s="1578"/>
      <c r="V52" s="1578"/>
      <c r="W52" s="1578"/>
      <c r="X52" s="1578"/>
      <c r="Y52" s="1578"/>
      <c r="Z52" s="1578"/>
      <c r="AA52" s="1578"/>
      <c r="AB52" s="1578"/>
      <c r="AC52" s="1577"/>
      <c r="AD52" s="1578"/>
      <c r="AE52" s="1578"/>
      <c r="AF52" s="1578"/>
      <c r="AG52" s="1578"/>
      <c r="AH52" s="1578"/>
      <c r="AI52" s="1578"/>
      <c r="AJ52" s="1578"/>
      <c r="AK52" s="1577"/>
      <c r="AL52" s="1578"/>
      <c r="AM52" s="1514"/>
      <c r="AO52" s="1711"/>
      <c r="AP52" s="1711" t="str">
        <f>IF(T52="","",T52)</f>
        <v>Добавить группу потребителей</v>
      </c>
      <c r="AQ52" s="1711"/>
      <c r="AR52" s="1711"/>
      <c r="AS52" s="2366">
        <v>11</v>
      </c>
    </row>
    <row customHeight="1" ht="0">
      <c r="A53" s="2574" t="s">
        <v>200</v>
      </c>
      <c r="B53" s="2574" t="s">
        <v>201</v>
      </c>
      <c r="C53" s="2574" t="s">
        <v>202</v>
      </c>
      <c r="D53" s="2574" t="s">
        <v>203</v>
      </c>
      <c r="E53" s="3470"/>
      <c r="F53" s="3470"/>
      <c r="G53" s="3470"/>
      <c r="H53" s="3469"/>
      <c r="I53" s="2574"/>
      <c r="J53" s="2574"/>
      <c r="K53" s="2574"/>
      <c r="L53" s="2575"/>
      <c r="M53" s="2576"/>
      <c r="N53" s="2576"/>
      <c r="O53" s="1748"/>
      <c r="P53" s="1571"/>
      <c r="Q53" s="1586"/>
      <c r="R53" s="1566"/>
      <c r="S53" s="2597"/>
      <c r="T53" s="2598"/>
      <c r="U53" s="2599"/>
      <c r="V53" s="2599"/>
      <c r="W53" s="2599"/>
      <c r="X53" s="2599"/>
      <c r="Y53" s="2599"/>
      <c r="Z53" s="2599"/>
      <c r="AA53" s="2599"/>
      <c r="AB53" s="2599"/>
      <c r="AC53" s="2599"/>
      <c r="AD53" s="2599"/>
      <c r="AE53" s="2599"/>
      <c r="AF53" s="2599"/>
      <c r="AG53" s="2599"/>
      <c r="AH53" s="2599"/>
      <c r="AI53" s="2599"/>
      <c r="AJ53" s="2599"/>
      <c r="AK53" s="2599"/>
      <c r="AL53" s="2599"/>
      <c r="AM53" s="2600"/>
      <c r="AO53" s="1711"/>
      <c r="AP53" s="1711" t="str">
        <f>IF(T53="","",T53)</f>
        <v/>
      </c>
      <c r="AQ53" s="1711"/>
      <c r="AR53" s="1711"/>
      <c r="AS53" s="2366">
        <v>0</v>
      </c>
    </row>
    <row s="65923" customFormat="1" customHeight="1" ht="1.05">
      <c r="A54" s="2554" t="s">
        <v>200</v>
      </c>
      <c r="B54" s="2554" t="s">
        <v>201</v>
      </c>
      <c r="C54" s="2554" t="s">
        <v>202</v>
      </c>
      <c r="D54" s="2525"/>
      <c r="E54" s="3470"/>
      <c r="F54" s="3470"/>
      <c r="G54" s="3469"/>
      <c r="H54" s="2525"/>
      <c r="I54" s="2525"/>
      <c r="J54" s="2525"/>
      <c r="K54" s="2525"/>
      <c r="L54" s="2550"/>
      <c r="M54" s="2526"/>
      <c r="N54" s="2526"/>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000"/>
      <c r="AP54" s="2000" t="str">
        <f>IF(T54="","",T54)</f>
        <v>Добавить источник для дифференциации</v>
      </c>
      <c r="AQ54" s="2000"/>
      <c r="AR54" s="2000"/>
      <c r="AS54" s="1729">
        <v>1</v>
      </c>
    </row>
    <row s="65923" customFormat="1" customHeight="1" ht="1.05">
      <c r="A55" s="2554" t="s">
        <v>200</v>
      </c>
      <c r="B55" s="2554" t="s">
        <v>201</v>
      </c>
      <c r="C55" s="2525"/>
      <c r="D55" s="2525"/>
      <c r="E55" s="3470"/>
      <c r="F55" s="3469"/>
      <c r="G55" s="2525"/>
      <c r="H55" s="2525"/>
      <c r="I55" s="2525"/>
      <c r="J55" s="2525"/>
      <c r="K55" s="2525"/>
      <c r="L55" s="2550"/>
      <c r="M55" s="2532"/>
      <c r="N55" s="2532"/>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000"/>
      <c r="AP55" s="2000" t="str">
        <f>IF(T55="","",T55)</f>
        <v>Добавить централизованную систему для дифференциации</v>
      </c>
      <c r="AQ55" s="2000"/>
      <c r="AR55" s="2000"/>
      <c r="AS55" s="1729">
        <v>1</v>
      </c>
    </row>
    <row s="65923" customFormat="1" customHeight="1" ht="1.05">
      <c r="A56" s="2554" t="s">
        <v>200</v>
      </c>
      <c r="B56" s="2554"/>
      <c r="C56" s="2554"/>
      <c r="D56" s="2554"/>
      <c r="E56" s="3469"/>
      <c r="F56" s="2554"/>
      <c r="G56" s="2554"/>
      <c r="H56" s="2554"/>
      <c r="I56" s="2554"/>
      <c r="J56" s="2554"/>
      <c r="K56" s="2554"/>
      <c r="L56" s="2557"/>
      <c r="M56" s="2532"/>
      <c r="N56" s="2532"/>
      <c r="O56" s="1729"/>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1711"/>
      <c r="AP56" s="1711" t="str">
        <f>IF(T56="","",T56)</f>
        <v>Добавить территорию для дифференциации</v>
      </c>
      <c r="AQ56" s="1711"/>
      <c r="AR56" s="1711"/>
      <c r="AS56" s="1722">
        <v>1</v>
      </c>
    </row>
    <row s="65923" customFormat="1" customHeight="1" ht="1.05">
      <c r="A57" s="2525"/>
      <c r="B57" s="2525"/>
      <c r="C57" s="2525"/>
      <c r="D57" s="2525"/>
      <c r="E57" s="2554"/>
      <c r="F57" s="2525"/>
      <c r="G57" s="2525"/>
      <c r="H57" s="2525"/>
      <c r="I57" s="2525"/>
      <c r="J57" s="2525"/>
      <c r="K57" s="2525"/>
      <c r="L57" s="2550"/>
      <c r="M57" s="2532"/>
      <c r="N57" s="2532"/>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000"/>
      <c r="AP57" s="2000" t="str">
        <f>IF(T57="","",T57)</f>
        <v>Добавить наименование тарифа</v>
      </c>
      <c r="AQ57" s="2000"/>
      <c r="AR57" s="2000"/>
      <c r="AS57" s="1729">
        <v>1</v>
      </c>
    </row>
    <row customHeight="1" ht="11.549999999999999">
      <c r="M58" s="2371"/>
      <c r="N58" s="2371"/>
      <c r="O58" s="1748"/>
      <c r="P58" s="2366"/>
      <c r="Q58" s="2366"/>
      <c r="R58" s="2366"/>
      <c r="S58" s="2366"/>
      <c r="AN58" s="2366"/>
      <c r="AO58" s="2366"/>
      <c r="AP58" s="2366"/>
      <c r="AQ58" s="2366"/>
      <c r="AR58" s="2366"/>
      <c r="AS58" s="2366">
        <v>11</v>
      </c>
    </row>
    <row customHeight="1" ht="23.25">
      <c r="O59" s="1748"/>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366">
        <v>22</v>
      </c>
    </row>
    <row customHeight="1" ht="30.45">
      <c r="O60" s="1748"/>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366">
        <v>29</v>
      </c>
    </row>
    <row customHeight="1" ht="42">
      <c r="O61" s="1748"/>
      <c r="T61" s="3496"/>
      <c r="U61" s="3496"/>
      <c r="V61" s="3496"/>
      <c r="W61" s="3496"/>
      <c r="X61" s="3496"/>
      <c r="Y61" s="3496"/>
      <c r="Z61" s="3496"/>
      <c r="AA61" s="3496"/>
      <c r="AB61" s="3496"/>
      <c r="AC61" s="3496"/>
      <c r="AD61" s="3496"/>
      <c r="AE61" s="3496"/>
      <c r="AF61" s="3496"/>
      <c r="AG61" s="3496"/>
      <c r="AH61" s="3496"/>
      <c r="AI61" s="3496"/>
      <c r="AJ61" s="3496"/>
      <c r="AK61" s="3496"/>
      <c r="AL61" s="3496"/>
      <c r="AM61" s="3496"/>
      <c r="AS61" s="2366">
        <v>40</v>
      </c>
    </row>
    <row customHeight="1" ht="14.699999999999998">
      <c r="O62" s="1748"/>
      <c r="AS62" s="2366">
        <v>14</v>
      </c>
    </row>
    <row customHeight="1" ht="21">
      <c r="O63" s="1748"/>
      <c r="S63" s="2464"/>
      <c r="T63" s="3510"/>
      <c r="U63" s="3496"/>
      <c r="V63" s="3496"/>
      <c r="W63" s="3496"/>
      <c r="X63" s="3496"/>
      <c r="Y63" s="3496"/>
      <c r="Z63" s="3496"/>
      <c r="AA63" s="3496"/>
      <c r="AB63" s="3496"/>
      <c r="AC63" s="3496"/>
      <c r="AD63" s="3496"/>
      <c r="AE63" s="3496"/>
      <c r="AF63" s="3496"/>
      <c r="AG63" s="3496"/>
      <c r="AH63" s="3496"/>
      <c r="AI63" s="3496"/>
      <c r="AJ63" s="3496"/>
      <c r="AK63" s="3496"/>
      <c r="AL63" s="3496"/>
      <c r="AM63" s="3496"/>
      <c r="AS63" s="2366">
        <v>20</v>
      </c>
    </row>
    <row customHeight="1" ht="29.25">
      <c r="O64" s="1748"/>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366">
        <v>28</v>
      </c>
    </row>
    <row customHeight="1" ht="35.699999999999996">
      <c r="T65" s="3496"/>
      <c r="U65" s="3496"/>
      <c r="V65" s="3496"/>
      <c r="W65" s="3496"/>
      <c r="X65" s="3496"/>
      <c r="Y65" s="3496"/>
      <c r="Z65" s="3496"/>
      <c r="AA65" s="3496"/>
      <c r="AB65" s="3496"/>
      <c r="AC65" s="3496"/>
      <c r="AD65" s="3496"/>
      <c r="AE65" s="3496"/>
      <c r="AF65" s="3496"/>
      <c r="AG65" s="3496"/>
      <c r="AH65" s="3496"/>
      <c r="AI65" s="3496"/>
      <c r="AJ65" s="3496"/>
      <c r="AK65" s="3496"/>
      <c r="AL65" s="3496"/>
      <c r="AM65" s="3496"/>
      <c r="AS65" s="2366">
        <v>34</v>
      </c>
    </row>
    <row customHeight="1" ht="22.5" hidden="1">
      <c r="A66" s="2371" t="s">
        <v>82</v>
      </c>
      <c r="B66" s="2371">
        <v>0</v>
      </c>
      <c r="C66" s="2371">
        <v>0</v>
      </c>
      <c r="D66" s="2371">
        <v>0</v>
      </c>
      <c r="E66" s="2371">
        <v>0</v>
      </c>
      <c r="F66" s="2371">
        <v>0</v>
      </c>
      <c r="G66" s="2371">
        <v>0</v>
      </c>
      <c r="H66" s="2371">
        <v>0</v>
      </c>
      <c r="I66" s="2371">
        <v>0</v>
      </c>
      <c r="J66" s="2371">
        <v>0</v>
      </c>
      <c r="K66" s="2371">
        <v>0</v>
      </c>
      <c r="L66" s="2540">
        <v>0</v>
      </c>
      <c r="M66" s="2573">
        <v>0</v>
      </c>
      <c r="N66" s="2573">
        <v>0</v>
      </c>
      <c r="O66" s="2573">
        <v>0</v>
      </c>
      <c r="P66" s="2539">
        <v>0</v>
      </c>
      <c r="Q66" s="1555">
        <v>3</v>
      </c>
      <c r="R66" s="1555">
        <v>3</v>
      </c>
      <c r="S66" s="1792">
        <v>12</v>
      </c>
      <c r="T66" s="2366">
        <v>31</v>
      </c>
      <c r="U66" s="2366">
        <v>0</v>
      </c>
      <c r="V66" s="2366">
        <v>0</v>
      </c>
      <c r="W66" s="2366">
        <v>0</v>
      </c>
      <c r="X66" s="2366">
        <v>0</v>
      </c>
      <c r="Y66" s="2366">
        <v>0</v>
      </c>
      <c r="Z66" s="2366">
        <v>0</v>
      </c>
      <c r="AA66" s="2366">
        <v>0</v>
      </c>
      <c r="AB66" s="2366">
        <v>0</v>
      </c>
      <c r="AC66" s="2366">
        <v>0</v>
      </c>
      <c r="AD66" s="2366">
        <v>24</v>
      </c>
      <c r="AE66" s="2366">
        <v>0</v>
      </c>
      <c r="AF66" s="2366">
        <v>24</v>
      </c>
      <c r="AG66" s="2366">
        <v>24</v>
      </c>
      <c r="AH66" s="2366">
        <v>11</v>
      </c>
      <c r="AI66" s="2366">
        <v>3</v>
      </c>
      <c r="AJ66" s="2366">
        <v>11</v>
      </c>
      <c r="AK66" s="2366">
        <v>0</v>
      </c>
      <c r="AL66" s="2366">
        <v>4</v>
      </c>
      <c r="AM66" s="2366">
        <v>115</v>
      </c>
      <c r="AN66" s="1722">
        <v>10</v>
      </c>
      <c r="AO66" s="1722">
        <v>10</v>
      </c>
      <c r="AP66" s="1722">
        <v>10</v>
      </c>
      <c r="AQ66" s="1722">
        <v>10</v>
      </c>
      <c r="AR66" s="1722">
        <v>10</v>
      </c>
      <c r="AS66" s="236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ECBF97-035E-6BDB-0999-174A5EF80F5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7462" width="3.7109375" hidden="1" customWidth="1"/>
    <col min="17" max="18" style="66873" width="3.00390625" customWidth="1"/>
    <col min="19" max="19" style="67434" width="12.00390625" customWidth="1"/>
    <col min="20" max="20" style="66903" width="31.00390625" customWidth="1"/>
    <col min="21" max="21" style="66903" width="0.140625" customWidth="1"/>
    <col min="22" max="22" style="66903" width="24.7109375" hidden="1" customWidth="1"/>
    <col min="23" max="23" style="66903" width="0.140625" hidden="1" customWidth="1"/>
    <col min="24" max="25" style="66903" width="24.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24.7109375" customWidth="1"/>
    <col min="31" max="31" style="66903" width="0.140625" customWidth="1"/>
    <col min="32" max="33" style="66903" width="24.00390625" customWidth="1"/>
    <col min="34" max="34" style="66903" width="11.00390625" customWidth="1"/>
    <col min="35" max="35" style="66903" width="3.7109375" customWidth="1"/>
    <col min="36" max="36" style="66903" width="11.00390625" customWidth="1"/>
    <col min="37" max="37" style="66903" width="8.57421875" hidden="1" customWidth="1"/>
    <col min="38" max="38" style="66903" width="4.00390625" customWidth="1"/>
    <col min="39" max="39" style="66903" width="115.00390625" customWidth="1"/>
    <col min="40" max="44" style="65923" width="10.00390625" customWidth="1"/>
    <col min="45" max="45" style="66903" width="10.57421875" hidden="1"/>
  </cols>
  <sheetData>
    <row customHeight="1" ht="22.5" hidden="1">
      <c r="Y1" s="1538"/>
      <c r="Z1" s="1538"/>
      <c r="AG1" s="1538"/>
      <c r="AH1" s="1538"/>
      <c r="AS1" s="2366" t="s">
        <v>14</v>
      </c>
    </row>
    <row customHeight="1" ht="21" hidden="1">
      <c r="A2" s="2574"/>
      <c r="B2" s="2574"/>
      <c r="C2" s="2574"/>
      <c r="D2" s="2574"/>
      <c r="E2" s="3469">
        <v>1</v>
      </c>
      <c r="F2" s="2574"/>
      <c r="G2" s="2574"/>
      <c r="H2" s="2574"/>
      <c r="I2" s="2574"/>
      <c r="J2" s="2574"/>
      <c r="K2" s="2574"/>
      <c r="L2" s="2575"/>
      <c r="M2" s="2576"/>
      <c r="N2" s="2576"/>
      <c r="O2" s="2576"/>
      <c r="P2" s="1572"/>
      <c r="Q2" s="1571"/>
      <c r="R2" s="1566"/>
      <c r="S2" s="2547">
        <f>INDEX(PT_DIFFERENTIATION_NUM_NTAR,MATCH(A2,PT_DIFFERENTIATION_NTAR_ID,0))</f>
      </c>
      <c r="T2" s="1509" t="s">
        <v>143</v>
      </c>
      <c r="U2" s="1511"/>
      <c r="V2" s="3453"/>
      <c r="W2" s="3454"/>
      <c r="X2" s="3454"/>
      <c r="Y2" s="3454"/>
      <c r="Z2" s="3454"/>
      <c r="AA2" s="3454"/>
      <c r="AB2" s="3454"/>
      <c r="AC2" s="3455"/>
      <c r="AD2" s="3453">
        <f>INDEX(PT_DIFFERENTIATION_NTAR,MATCH(A2,PT_DIFFERENTIATION_NTAR_ID,0))</f>
      </c>
      <c r="AE2" s="3454"/>
      <c r="AF2" s="3454"/>
      <c r="AG2" s="3454"/>
      <c r="AH2" s="3454"/>
      <c r="AI2" s="3454"/>
      <c r="AJ2" s="3454"/>
      <c r="AK2" s="3454"/>
      <c r="AL2" s="3455"/>
      <c r="AM2" s="2469" t="s">
        <v>414</v>
      </c>
      <c r="AO2" s="1711"/>
      <c r="AP2" s="1711" t="str">
        <f>IF(T2="","",T2)</f>
        <v>Наименование тарифа</v>
      </c>
      <c r="AQ2" s="1711"/>
      <c r="AR2" s="1711"/>
      <c r="AS2" s="2366">
        <v>0</v>
      </c>
    </row>
    <row customHeight="1" ht="21" hidden="1">
      <c r="A3" s="2574"/>
      <c r="B3" s="2574"/>
      <c r="C3" s="2574"/>
      <c r="D3" s="2574"/>
      <c r="E3" s="3470"/>
      <c r="F3" s="3469">
        <v>1</v>
      </c>
      <c r="G3" s="2574"/>
      <c r="H3" s="2574"/>
      <c r="I3" s="2574"/>
      <c r="J3" s="2574"/>
      <c r="K3" s="2574"/>
      <c r="L3" s="2575"/>
      <c r="M3" s="2576"/>
      <c r="N3" s="2576"/>
      <c r="O3" s="2576"/>
      <c r="P3" s="2543"/>
      <c r="Q3" s="1563"/>
      <c r="R3" s="1564"/>
      <c r="S3" s="2547">
        <f>INDEX(PT_DIFFERENTIATION_NUM_TER,MATCH(B3,PT_DIFFERENTIATION_TER_ID,0))</f>
      </c>
      <c r="T3" s="1519" t="s">
        <v>415</v>
      </c>
      <c r="U3" s="1511"/>
      <c r="V3" s="3453"/>
      <c r="W3" s="3454"/>
      <c r="X3" s="3454"/>
      <c r="Y3" s="3454"/>
      <c r="Z3" s="3454"/>
      <c r="AA3" s="3454"/>
      <c r="AB3" s="3454"/>
      <c r="AC3" s="3455"/>
      <c r="AD3" s="3453">
        <f>INDEX(PT_DIFFERENTIATION_TER,MATCH(B3,PT_DIFFERENTIATION_TER_ID,0))</f>
      </c>
      <c r="AE3" s="3454"/>
      <c r="AF3" s="3454"/>
      <c r="AG3" s="3454"/>
      <c r="AH3" s="3454"/>
      <c r="AI3" s="3454"/>
      <c r="AJ3" s="3454"/>
      <c r="AK3" s="3454"/>
      <c r="AL3" s="3455"/>
      <c r="AM3" s="2469" t="s">
        <v>416</v>
      </c>
      <c r="AO3" s="1711"/>
      <c r="AP3" s="1711" t="str">
        <f>IF(T3="","",T3)</f>
        <v>Территория действия тарифа</v>
      </c>
      <c r="AQ3" s="1711"/>
      <c r="AR3" s="1711"/>
      <c r="AS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547">
        <f>INDEX(PT_DIFFERENTIATION_NUM_CS,MATCH(C4,PT_DIFFERENTIATION_CS_ID,0))</f>
      </c>
      <c r="T4" s="1520" t="s">
        <v>417</v>
      </c>
      <c r="U4" s="1511"/>
      <c r="V4" s="3453"/>
      <c r="W4" s="3454"/>
      <c r="X4" s="3454"/>
      <c r="Y4" s="3454"/>
      <c r="Z4" s="3454"/>
      <c r="AA4" s="3454"/>
      <c r="AB4" s="3454"/>
      <c r="AC4" s="3455"/>
      <c r="AD4" s="3453">
        <f>INDEX(PT_DIFFERENTIATION_CS,MATCH(C4,PT_DIFFERENTIATION_CS_ID,0))</f>
      </c>
      <c r="AE4" s="3454"/>
      <c r="AF4" s="3454"/>
      <c r="AG4" s="3454"/>
      <c r="AH4" s="3454"/>
      <c r="AI4" s="3454"/>
      <c r="AJ4" s="3454"/>
      <c r="AK4" s="3454"/>
      <c r="AL4" s="3455"/>
      <c r="AM4" s="2469" t="s">
        <v>418</v>
      </c>
      <c r="AO4" s="1711"/>
      <c r="AP4" s="1711" t="str">
        <f>IF(T4="","",T4)</f>
        <v>Наименование системы теплоснабжения </v>
      </c>
      <c r="AQ4" s="1711"/>
      <c r="AR4" s="1711"/>
      <c r="AS4" s="2366">
        <v>0</v>
      </c>
    </row>
    <row customHeight="1" ht="21" hidden="1">
      <c r="A5" s="2574"/>
      <c r="B5" s="2574"/>
      <c r="C5" s="2574"/>
      <c r="D5" s="2574"/>
      <c r="E5" s="3470"/>
      <c r="F5" s="3470"/>
      <c r="G5" s="3470"/>
      <c r="H5" s="3469">
        <v>1</v>
      </c>
      <c r="I5" s="2574"/>
      <c r="J5" s="2574"/>
      <c r="K5" s="2574"/>
      <c r="L5" s="2575"/>
      <c r="M5" s="2576"/>
      <c r="N5" s="2576"/>
      <c r="O5" s="2576"/>
      <c r="P5" s="1565"/>
      <c r="Q5" s="1563"/>
      <c r="R5" s="1564"/>
      <c r="S5" s="2547">
        <f>INDEX(PT_DIFFERENTIATION_NUM_IST_TE,MATCH(D5,PT_DIFFERENTIATION_IST_TE_ID,0))</f>
      </c>
      <c r="T5" s="1521" t="s">
        <v>419</v>
      </c>
      <c r="U5" s="1511"/>
      <c r="V5" s="3453"/>
      <c r="W5" s="3454"/>
      <c r="X5" s="3454"/>
      <c r="Y5" s="3454"/>
      <c r="Z5" s="3454"/>
      <c r="AA5" s="3454"/>
      <c r="AB5" s="3454"/>
      <c r="AC5" s="3455"/>
      <c r="AD5" s="3453">
        <f>INDEX(PT_DIFFERENTIATION_IST_TE,MATCH(D5,PT_DIFFERENTIATION_IST_TE_ID,0))</f>
      </c>
      <c r="AE5" s="3454"/>
      <c r="AF5" s="3454"/>
      <c r="AG5" s="3454"/>
      <c r="AH5" s="3454"/>
      <c r="AI5" s="3454"/>
      <c r="AJ5" s="3454"/>
      <c r="AK5" s="3454"/>
      <c r="AL5" s="3455"/>
      <c r="AM5" s="2469" t="s">
        <v>420</v>
      </c>
      <c r="AO5" s="1711"/>
      <c r="AP5" s="1711" t="str">
        <f>IF(T5="","",T5)</f>
        <v>Источник тепловой энергии  </v>
      </c>
      <c r="AQ5" s="1711"/>
      <c r="AR5" s="1711"/>
      <c r="AS5" s="2366">
        <v>0</v>
      </c>
    </row>
    <row customHeight="1" ht="14.25" hidden="1">
      <c r="A6" s="2574"/>
      <c r="B6" s="2574"/>
      <c r="C6" s="2574"/>
      <c r="D6" s="2574"/>
      <c r="E6" s="3470"/>
      <c r="F6" s="3470"/>
      <c r="G6" s="3470"/>
      <c r="H6" s="3470"/>
      <c r="I6" s="3467">
        <f>S5&amp;".1"</f>
      </c>
      <c r="J6" s="2574"/>
      <c r="K6" s="2574"/>
      <c r="L6" s="2575" t="s">
        <v>421</v>
      </c>
      <c r="M6" s="1748"/>
      <c r="P6" s="3468">
        <v>1</v>
      </c>
      <c r="Q6" s="2542"/>
      <c r="R6" s="1567"/>
      <c r="S6" s="2253"/>
      <c r="T6" s="2594"/>
      <c r="U6" s="2595"/>
      <c r="V6" s="3507"/>
      <c r="W6" s="3508"/>
      <c r="X6" s="3508"/>
      <c r="Y6" s="3508"/>
      <c r="Z6" s="3508"/>
      <c r="AA6" s="3508"/>
      <c r="AB6" s="3508"/>
      <c r="AC6" s="3509"/>
      <c r="AD6" s="3507"/>
      <c r="AE6" s="3508"/>
      <c r="AF6" s="3508"/>
      <c r="AG6" s="3508"/>
      <c r="AH6" s="3508"/>
      <c r="AI6" s="3508"/>
      <c r="AJ6" s="3508"/>
      <c r="AK6" s="3508"/>
      <c r="AL6" s="3509"/>
      <c r="AM6" s="2596"/>
      <c r="AO6" s="1711"/>
      <c r="AP6" s="1711" t="str">
        <f>IF(T6="","",T6)</f>
        <v/>
      </c>
      <c r="AQ6" s="1711"/>
      <c r="AR6" s="1711"/>
      <c r="AS6" s="2366">
        <v>0</v>
      </c>
    </row>
    <row customHeight="1" ht="21" hidden="1">
      <c r="A7" s="2574"/>
      <c r="B7" s="2574"/>
      <c r="C7" s="2574"/>
      <c r="D7" s="2574"/>
      <c r="E7" s="3470"/>
      <c r="F7" s="3470"/>
      <c r="G7" s="3470"/>
      <c r="H7" s="3470"/>
      <c r="I7" s="3497"/>
      <c r="J7" s="3467">
        <f>I6&amp;".1"</f>
      </c>
      <c r="K7" s="2574"/>
      <c r="L7" s="2575" t="s">
        <v>424</v>
      </c>
      <c r="M7" s="1748"/>
      <c r="N7" s="2577"/>
      <c r="P7" s="3468"/>
      <c r="Q7" s="3468">
        <v>1</v>
      </c>
      <c r="R7" s="1568"/>
      <c r="S7" s="2547">
        <f>$J7</f>
      </c>
      <c r="T7" s="1497" t="s">
        <v>425</v>
      </c>
      <c r="U7" s="1511"/>
      <c r="V7" s="3456"/>
      <c r="W7" s="3457"/>
      <c r="X7" s="3457"/>
      <c r="Y7" s="3457"/>
      <c r="Z7" s="3457"/>
      <c r="AA7" s="3457"/>
      <c r="AB7" s="3457"/>
      <c r="AC7" s="3458"/>
      <c r="AD7" s="3456"/>
      <c r="AE7" s="3457"/>
      <c r="AF7" s="3457"/>
      <c r="AG7" s="3457"/>
      <c r="AH7" s="3457"/>
      <c r="AI7" s="3457"/>
      <c r="AJ7" s="3457"/>
      <c r="AK7" s="3457"/>
      <c r="AL7" s="3458"/>
      <c r="AM7" s="2469" t="s">
        <v>426</v>
      </c>
      <c r="AO7" s="1711"/>
      <c r="AP7" s="1711" t="str">
        <f>IF(T7="","",T7)</f>
        <v>Группа потребителей</v>
      </c>
      <c r="AQ7" s="1711"/>
      <c r="AR7" s="1711"/>
      <c r="AS7" s="2366">
        <v>0</v>
      </c>
    </row>
    <row customHeight="1" ht="21" hidden="1">
      <c r="A8" s="2574"/>
      <c r="B8" s="2574"/>
      <c r="C8" s="2574"/>
      <c r="D8" s="2574"/>
      <c r="E8" s="3470"/>
      <c r="F8" s="3470"/>
      <c r="G8" s="3470"/>
      <c r="H8" s="3470"/>
      <c r="I8" s="3497"/>
      <c r="J8" s="3497"/>
      <c r="K8" s="3467">
        <f>J7&amp;".1"</f>
      </c>
      <c r="L8" s="2575" t="s">
        <v>427</v>
      </c>
      <c r="M8" s="1748"/>
      <c r="N8" s="2577"/>
      <c r="O8" s="2577"/>
      <c r="P8" s="3468"/>
      <c r="Q8" s="3468"/>
      <c r="R8" s="1568">
        <v>1</v>
      </c>
      <c r="S8" s="2547">
        <f>$K8</f>
      </c>
      <c r="T8" s="2558"/>
      <c r="U8" s="1511"/>
      <c r="V8" s="1962"/>
      <c r="W8" s="1536"/>
      <c r="X8" s="1962"/>
      <c r="Y8" s="2468"/>
      <c r="Z8" s="3476"/>
      <c r="AA8" s="3318" t="s">
        <v>62</v>
      </c>
      <c r="AB8" s="3476"/>
      <c r="AC8" s="3318" t="s">
        <v>62</v>
      </c>
      <c r="AD8" s="1962"/>
      <c r="AE8" s="1536"/>
      <c r="AF8" s="1962"/>
      <c r="AG8" s="2468"/>
      <c r="AH8" s="3476"/>
      <c r="AI8" s="3318" t="s">
        <v>62</v>
      </c>
      <c r="AJ8" s="3476"/>
      <c r="AK8" s="3318" t="s">
        <v>62</v>
      </c>
      <c r="AL8" s="1536"/>
      <c r="AM8" s="3464" t="s">
        <v>428</v>
      </c>
      <c r="AN8" s="1722">
        <f>STRCHECKDATE(V9:AL9)</f>
      </c>
      <c r="AO8" s="1711"/>
      <c r="AP8" s="1711" t="str">
        <f>IF(T8="","",T8)</f>
        <v/>
      </c>
      <c r="AQ8" s="1711"/>
      <c r="AR8" s="1711"/>
      <c r="AS8" s="2366">
        <v>0</v>
      </c>
    </row>
    <row customHeight="1" ht="14.25" hidden="1">
      <c r="A9" s="2574"/>
      <c r="B9" s="2574"/>
      <c r="C9" s="2574"/>
      <c r="D9" s="2574"/>
      <c r="E9" s="3470"/>
      <c r="F9" s="3470"/>
      <c r="G9" s="3470"/>
      <c r="H9" s="3470"/>
      <c r="I9" s="3497"/>
      <c r="J9" s="3497"/>
      <c r="K9" s="3467"/>
      <c r="L9" s="2575"/>
      <c r="M9" s="1748"/>
      <c r="N9" s="2577"/>
      <c r="O9" s="2577"/>
      <c r="P9" s="3468"/>
      <c r="Q9" s="3468"/>
      <c r="R9" s="1568"/>
      <c r="S9" s="2553"/>
      <c r="T9" s="1511"/>
      <c r="U9" s="1511"/>
      <c r="V9" s="1536"/>
      <c r="W9" s="1536"/>
      <c r="X9" s="1536"/>
      <c r="Y9" s="1539" t="str">
        <f>Z8&amp;"-"&amp;AB8</f>
        <v>-</v>
      </c>
      <c r="Z9" s="3477"/>
      <c r="AA9" s="3318"/>
      <c r="AB9" s="3477"/>
      <c r="AC9" s="3318"/>
      <c r="AD9" s="1536"/>
      <c r="AE9" s="1536"/>
      <c r="AF9" s="1536"/>
      <c r="AG9" s="1539" t="str">
        <f>AH8&amp;"-"&amp;AJ8</f>
        <v>-</v>
      </c>
      <c r="AH9" s="3477"/>
      <c r="AI9" s="3318"/>
      <c r="AJ9" s="3477"/>
      <c r="AK9" s="3318"/>
      <c r="AL9" s="1536"/>
      <c r="AM9" s="3465"/>
      <c r="AO9" s="1711"/>
      <c r="AP9" s="1711" t="str">
        <f>IF(T9="","",T9)</f>
        <v/>
      </c>
      <c r="AQ9" s="1711"/>
      <c r="AR9" s="1711"/>
      <c r="AS9" s="2366">
        <v>0</v>
      </c>
    </row>
    <row customHeight="1" ht="15" hidden="1">
      <c r="A10" s="2574"/>
      <c r="B10" s="2574"/>
      <c r="C10" s="2574"/>
      <c r="D10" s="2574"/>
      <c r="E10" s="3470"/>
      <c r="F10" s="3470"/>
      <c r="G10" s="3470"/>
      <c r="H10" s="3470"/>
      <c r="I10" s="3497"/>
      <c r="J10" s="3467"/>
      <c r="K10" s="2574"/>
      <c r="L10" s="2575"/>
      <c r="M10" s="1748"/>
      <c r="N10" s="2577"/>
      <c r="P10" s="3468"/>
      <c r="Q10" s="3468"/>
      <c r="R10" s="1567"/>
      <c r="S10" s="2489"/>
      <c r="T10" s="1498" t="s">
        <v>429</v>
      </c>
      <c r="U10" s="1578"/>
      <c r="V10" s="1578"/>
      <c r="W10" s="1578"/>
      <c r="X10" s="1578"/>
      <c r="Y10" s="1578"/>
      <c r="Z10" s="1578"/>
      <c r="AA10" s="1578"/>
      <c r="AB10" s="1578"/>
      <c r="AC10" s="1578"/>
      <c r="AD10" s="1578"/>
      <c r="AE10" s="1578"/>
      <c r="AF10" s="1578"/>
      <c r="AG10" s="1578"/>
      <c r="AH10" s="1578"/>
      <c r="AI10" s="1578"/>
      <c r="AJ10" s="1578"/>
      <c r="AK10" s="1578"/>
      <c r="AL10" s="1535"/>
      <c r="AM10" s="3466"/>
      <c r="AO10" s="1711"/>
      <c r="AP10" s="1711" t="str">
        <f>IF(T10="","",T10)</f>
        <v>Добавить вид теплоносителя (параметры теплоносителя)</v>
      </c>
      <c r="AQ10" s="1711"/>
      <c r="AR10" s="1711"/>
      <c r="AS10" s="2366">
        <v>0</v>
      </c>
    </row>
    <row customHeight="1" ht="11.25" hidden="1">
      <c r="A11" s="2574"/>
      <c r="B11" s="2574"/>
      <c r="C11" s="2574"/>
      <c r="D11" s="2574"/>
      <c r="E11" s="3470"/>
      <c r="F11" s="3470"/>
      <c r="G11" s="3470"/>
      <c r="H11" s="3470"/>
      <c r="I11" s="3467"/>
      <c r="J11" s="2574"/>
      <c r="K11" s="2574"/>
      <c r="L11" s="2575"/>
      <c r="M11" s="1748"/>
      <c r="P11" s="3468"/>
      <c r="Q11" s="2542"/>
      <c r="R11" s="1567"/>
      <c r="S11" s="2489"/>
      <c r="T11" s="1576" t="s">
        <v>430</v>
      </c>
      <c r="U11" s="1578"/>
      <c r="V11" s="1578"/>
      <c r="W11" s="1578"/>
      <c r="X11" s="1578"/>
      <c r="Y11" s="1578"/>
      <c r="Z11" s="1578"/>
      <c r="AA11" s="1578"/>
      <c r="AB11" s="1578"/>
      <c r="AC11" s="1577"/>
      <c r="AD11" s="1578"/>
      <c r="AE11" s="1578"/>
      <c r="AF11" s="1578"/>
      <c r="AG11" s="1578"/>
      <c r="AH11" s="1578"/>
      <c r="AI11" s="1578"/>
      <c r="AJ11" s="1578"/>
      <c r="AK11" s="1577"/>
      <c r="AL11" s="1578"/>
      <c r="AM11" s="1514"/>
      <c r="AO11" s="1711"/>
      <c r="AP11" s="1711" t="str">
        <f>IF(T11="","",T11)</f>
        <v>Добавить группу потребителей</v>
      </c>
      <c r="AQ11" s="1711"/>
      <c r="AR11" s="1711"/>
      <c r="AS11" s="2366">
        <v>0</v>
      </c>
    </row>
    <row customHeight="1" ht="14.25" hidden="1">
      <c r="A12" s="2574"/>
      <c r="B12" s="2574"/>
      <c r="C12" s="2574"/>
      <c r="D12" s="2574"/>
      <c r="E12" s="3470"/>
      <c r="F12" s="3470"/>
      <c r="G12" s="3470"/>
      <c r="H12" s="3469"/>
      <c r="I12" s="2574"/>
      <c r="J12" s="2574"/>
      <c r="K12" s="2574"/>
      <c r="L12" s="2575"/>
      <c r="M12" s="2576"/>
      <c r="N12" s="2576"/>
      <c r="O12" s="1748"/>
      <c r="P12" s="1571"/>
      <c r="Q12" s="1586"/>
      <c r="R12" s="1566"/>
      <c r="S12" s="2597"/>
      <c r="T12" s="2598"/>
      <c r="U12" s="2599"/>
      <c r="V12" s="2599"/>
      <c r="W12" s="2599"/>
      <c r="X12" s="2599"/>
      <c r="Y12" s="2599"/>
      <c r="Z12" s="2599"/>
      <c r="AA12" s="2599"/>
      <c r="AB12" s="2599"/>
      <c r="AC12" s="2599"/>
      <c r="AD12" s="2599"/>
      <c r="AE12" s="2599"/>
      <c r="AF12" s="2599"/>
      <c r="AG12" s="2599"/>
      <c r="AH12" s="2599"/>
      <c r="AI12" s="2599"/>
      <c r="AJ12" s="2599"/>
      <c r="AK12" s="2599"/>
      <c r="AL12" s="2599"/>
      <c r="AM12" s="2600"/>
      <c r="AO12" s="1711"/>
      <c r="AP12" s="1711" t="str">
        <f>IF(T12="","",T12)</f>
        <v/>
      </c>
      <c r="AQ12" s="1711"/>
      <c r="AR12" s="1711"/>
      <c r="AS12" s="2366">
        <v>0</v>
      </c>
    </row>
    <row s="65923" customFormat="1" customHeight="1" ht="14.25" hidden="1">
      <c r="A13" s="2525"/>
      <c r="B13" s="2525"/>
      <c r="C13" s="2525"/>
      <c r="D13" s="2525"/>
      <c r="E13" s="3470"/>
      <c r="F13" s="3470"/>
      <c r="G13" s="3469"/>
      <c r="H13" s="2525"/>
      <c r="I13" s="2525"/>
      <c r="J13" s="2525"/>
      <c r="K13" s="2525"/>
      <c r="L13" s="2550"/>
      <c r="M13" s="2526"/>
      <c r="N13" s="2526"/>
      <c r="P13" s="2527"/>
      <c r="Q13" s="2528"/>
      <c r="R13" s="2527"/>
      <c r="S13" s="2529"/>
      <c r="T13" s="2530" t="s">
        <v>432</v>
      </c>
      <c r="U13" s="2531"/>
      <c r="V13" s="2531"/>
      <c r="W13" s="2531"/>
      <c r="X13" s="2531"/>
      <c r="Y13" s="2531"/>
      <c r="Z13" s="2531"/>
      <c r="AA13" s="2531"/>
      <c r="AB13" s="2531"/>
      <c r="AC13" s="2531"/>
      <c r="AD13" s="2531"/>
      <c r="AE13" s="2531"/>
      <c r="AF13" s="2531"/>
      <c r="AG13" s="2531"/>
      <c r="AH13" s="2531"/>
      <c r="AI13" s="2531"/>
      <c r="AJ13" s="2531"/>
      <c r="AK13" s="2531"/>
      <c r="AL13" s="2531"/>
      <c r="AM13" s="2531"/>
      <c r="AO13" s="2000"/>
      <c r="AP13" s="2000" t="str">
        <f>IF(T13="","",T13)</f>
        <v>Добавить источник для дифференциации</v>
      </c>
      <c r="AQ13" s="2000"/>
      <c r="AR13" s="2000"/>
      <c r="AS13" s="1729">
        <v>0</v>
      </c>
    </row>
    <row s="65923" customFormat="1" customHeight="1" ht="14.25" hidden="1">
      <c r="A14" s="2525"/>
      <c r="B14" s="2525"/>
      <c r="C14" s="2525"/>
      <c r="D14" s="2525"/>
      <c r="E14" s="3470"/>
      <c r="F14" s="3469"/>
      <c r="G14" s="2525"/>
      <c r="H14" s="2525"/>
      <c r="I14" s="2525"/>
      <c r="J14" s="2525"/>
      <c r="K14" s="2525"/>
      <c r="L14" s="2550"/>
      <c r="M14" s="2532"/>
      <c r="N14" s="2532"/>
      <c r="P14" s="2527"/>
      <c r="Q14" s="2528"/>
      <c r="R14" s="2527"/>
      <c r="S14" s="2533"/>
      <c r="T14" s="2534" t="s">
        <v>433</v>
      </c>
      <c r="U14" s="2535"/>
      <c r="V14" s="2535"/>
      <c r="W14" s="2535"/>
      <c r="X14" s="2535"/>
      <c r="Y14" s="2535"/>
      <c r="Z14" s="2535"/>
      <c r="AA14" s="2535"/>
      <c r="AB14" s="2535"/>
      <c r="AC14" s="2535"/>
      <c r="AD14" s="2535"/>
      <c r="AE14" s="2535"/>
      <c r="AF14" s="2535"/>
      <c r="AG14" s="2535"/>
      <c r="AH14" s="2535"/>
      <c r="AI14" s="2535"/>
      <c r="AJ14" s="2535"/>
      <c r="AK14" s="2535"/>
      <c r="AL14" s="2535"/>
      <c r="AM14" s="2535"/>
      <c r="AO14" s="2000"/>
      <c r="AP14" s="2000" t="str">
        <f>IF(T14="","",T14)</f>
        <v>Добавить централизованную систему для дифференциации</v>
      </c>
      <c r="AQ14" s="2000"/>
      <c r="AR14" s="2000"/>
      <c r="AS14" s="1729">
        <v>0</v>
      </c>
    </row>
    <row s="65923" customFormat="1" customHeight="1" ht="14.25" hidden="1">
      <c r="A15" s="2525"/>
      <c r="B15" s="2525"/>
      <c r="C15" s="2525"/>
      <c r="D15" s="2525"/>
      <c r="E15" s="3469"/>
      <c r="F15" s="2525"/>
      <c r="G15" s="2525"/>
      <c r="H15" s="2525"/>
      <c r="I15" s="2525"/>
      <c r="J15" s="2525"/>
      <c r="K15" s="2525"/>
      <c r="L15" s="2550"/>
      <c r="M15" s="2532"/>
      <c r="N15" s="2532"/>
      <c r="P15" s="2527"/>
      <c r="Q15" s="2528"/>
      <c r="R15" s="2527"/>
      <c r="S15" s="2533"/>
      <c r="T15" s="2536" t="s">
        <v>434</v>
      </c>
      <c r="U15" s="2535"/>
      <c r="V15" s="2535"/>
      <c r="W15" s="2535"/>
      <c r="X15" s="2535"/>
      <c r="Y15" s="2535"/>
      <c r="Z15" s="2535"/>
      <c r="AA15" s="2535"/>
      <c r="AB15" s="2535"/>
      <c r="AC15" s="2535"/>
      <c r="AD15" s="2535"/>
      <c r="AE15" s="2535"/>
      <c r="AF15" s="2535"/>
      <c r="AG15" s="2535"/>
      <c r="AH15" s="2535"/>
      <c r="AI15" s="2535"/>
      <c r="AJ15" s="2535"/>
      <c r="AK15" s="2535"/>
      <c r="AL15" s="2535"/>
      <c r="AM15" s="2535"/>
      <c r="AO15" s="2000"/>
      <c r="AP15" s="2000" t="str">
        <f>IF(T15="","",T15)</f>
        <v>Добавить территорию для дифференциации</v>
      </c>
      <c r="AQ15" s="2000"/>
      <c r="AR15" s="2000"/>
      <c r="AS15" s="1729">
        <v>0</v>
      </c>
    </row>
    <row customHeight="1" ht="14.25" hidden="1">
      <c r="AC16" s="1538"/>
      <c r="AK16" s="1538"/>
      <c r="AS16" s="2366">
        <v>0</v>
      </c>
    </row>
    <row customHeight="1" ht="14.25" hidden="1">
      <c r="AD17" s="2571"/>
      <c r="AE17" s="2571"/>
      <c r="AF17" s="2571"/>
      <c r="AG17" s="2572"/>
      <c r="AH17" s="3478"/>
      <c r="AI17" s="3479" t="s">
        <v>62</v>
      </c>
      <c r="AJ17" s="3478"/>
      <c r="AK17" s="3479" t="s">
        <v>62</v>
      </c>
      <c r="AS17" s="2366">
        <v>0</v>
      </c>
    </row>
    <row customHeight="1" ht="14.25" hidden="1">
      <c r="AD18" s="2571"/>
      <c r="AE18" s="2571"/>
      <c r="AF18" s="2571"/>
      <c r="AG18" s="1539" t="str">
        <f>AH17&amp;"-"&amp;AJ17</f>
        <v>-</v>
      </c>
      <c r="AH18" s="3479"/>
      <c r="AI18" s="3479"/>
      <c r="AJ18" s="3479"/>
      <c r="AK18" s="3479"/>
      <c r="AS18" s="2366">
        <v>0</v>
      </c>
    </row>
    <row customHeight="1" ht="14.25" hidden="1">
      <c r="AK19" s="1538"/>
      <c r="AS19" s="2366">
        <v>0</v>
      </c>
    </row>
    <row s="66852" customFormat="1" customHeight="1" ht="22.5" hidden="1">
      <c r="L20" s="2540"/>
      <c r="M20" s="2573"/>
      <c r="N20" s="2573"/>
      <c r="O20" s="2578" t="s">
        <v>435</v>
      </c>
      <c r="P20" s="2573"/>
      <c r="Q20" s="2582"/>
      <c r="R20" s="2582"/>
      <c r="S20" s="1940"/>
      <c r="Z20" s="2578"/>
      <c r="AB20" s="2578"/>
      <c r="AC20" s="2577"/>
      <c r="AH20" s="2578"/>
      <c r="AJ20" s="2578"/>
      <c r="AK20" s="2577"/>
      <c r="AN20" s="1722"/>
      <c r="AO20" s="1722"/>
      <c r="AP20" s="1722"/>
      <c r="AQ20" s="1722"/>
      <c r="AR20" s="1722"/>
      <c r="AS20" s="2371">
        <v>0</v>
      </c>
    </row>
    <row s="66852" customFormat="1" customHeight="1" ht="14.25" hidden="1">
      <c r="L21" s="2540"/>
      <c r="M21" s="2573"/>
      <c r="N21" s="2573"/>
      <c r="O21" s="2573"/>
      <c r="P21" s="2573"/>
      <c r="Q21" s="2582"/>
      <c r="R21" s="2582"/>
      <c r="S21" s="1940"/>
      <c r="AC21" s="2577"/>
      <c r="AK21" s="2577"/>
      <c r="AN21" s="1722"/>
      <c r="AO21" s="1722"/>
      <c r="AP21" s="1722"/>
      <c r="AQ21" s="1722"/>
      <c r="AR21" s="1722"/>
      <c r="AS21" s="2371">
        <v>0</v>
      </c>
    </row>
    <row s="66852" customFormat="1" customHeight="1" ht="14.25" hidden="1">
      <c r="L22" s="2540"/>
      <c r="M22" s="2573"/>
      <c r="N22" s="2573"/>
      <c r="O22" s="2575" t="s">
        <v>436</v>
      </c>
      <c r="P22" s="2573"/>
      <c r="Q22" s="2582"/>
      <c r="R22" s="2582"/>
      <c r="S22" s="1940"/>
      <c r="T22" s="2371" t="s">
        <v>437</v>
      </c>
      <c r="AA22" s="1397" t="s">
        <v>438</v>
      </c>
      <c r="AC22" s="1397" t="s">
        <v>439</v>
      </c>
      <c r="AD22" s="2371" t="s">
        <v>437</v>
      </c>
      <c r="AI22" s="1397" t="s">
        <v>440</v>
      </c>
      <c r="AK22" s="1397" t="s">
        <v>439</v>
      </c>
      <c r="AN22" s="1722"/>
      <c r="AO22" s="1722"/>
      <c r="AP22" s="1722"/>
      <c r="AQ22" s="1722"/>
      <c r="AR22" s="1722"/>
      <c r="AS22" s="2371">
        <v>0</v>
      </c>
    </row>
    <row customHeight="1" ht="14.25" hidden="1">
      <c r="O23" s="2575"/>
      <c r="AS23" s="2366">
        <v>0</v>
      </c>
    </row>
    <row customHeight="1" ht="14.25" hidden="1">
      <c r="O24" s="2575"/>
      <c r="AS24" s="2366">
        <v>0</v>
      </c>
    </row>
    <row customHeight="1" ht="14.699999999999998">
      <c r="Q25" s="1587"/>
      <c r="R25" s="1587"/>
      <c r="S25" s="2486"/>
      <c r="T25" s="1574"/>
      <c r="U25" s="1574"/>
      <c r="V25" s="1720"/>
      <c r="W25" s="1720"/>
      <c r="X25" s="1720"/>
      <c r="Y25" s="1720"/>
      <c r="Z25" s="1720"/>
      <c r="AA25" s="1720"/>
      <c r="AB25" s="1720"/>
      <c r="AC25" s="1720"/>
      <c r="AD25" s="1720"/>
      <c r="AE25" s="1720"/>
      <c r="AF25" s="1720"/>
      <c r="AG25" s="1720"/>
      <c r="AH25" s="1720"/>
      <c r="AI25" s="1720"/>
      <c r="AJ25" s="1720"/>
      <c r="AK25" s="1720"/>
      <c r="AS25" s="2366">
        <v>14</v>
      </c>
    </row>
    <row customHeight="1" ht="53.54999999999999">
      <c r="Q26" s="1587"/>
      <c r="R26" s="1587"/>
      <c r="S26" s="345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459"/>
      <c r="U26" s="3459"/>
      <c r="V26" s="3459"/>
      <c r="W26" s="3459"/>
      <c r="X26" s="3459"/>
      <c r="Y26" s="3459"/>
      <c r="Z26" s="3459"/>
      <c r="AA26" s="3459"/>
      <c r="AB26" s="3459"/>
      <c r="AC26" s="3459"/>
      <c r="AD26" s="3459"/>
      <c r="AE26" s="3459"/>
      <c r="AF26" s="3459"/>
      <c r="AG26" s="3459"/>
      <c r="AH26" s="3459"/>
      <c r="AI26" s="3459"/>
      <c r="AJ26" s="3459"/>
      <c r="AK26" s="2454"/>
      <c r="AS26" s="2366">
        <v>51</v>
      </c>
    </row>
    <row customHeight="1" ht="14.699999999999998">
      <c r="Q27" s="1587"/>
      <c r="R27" s="1587"/>
      <c r="S27" s="3460" t="str">
        <f>IF(org=0,"Не определено",org)</f>
        <v>ПАО "ТГК-2"</v>
      </c>
      <c r="T27" s="3460"/>
      <c r="U27" s="3460"/>
      <c r="V27" s="3460"/>
      <c r="W27" s="3460"/>
      <c r="X27" s="3460"/>
      <c r="Y27" s="3460"/>
      <c r="Z27" s="3460"/>
      <c r="AA27" s="3460"/>
      <c r="AB27" s="3460"/>
      <c r="AC27" s="3460"/>
      <c r="AD27" s="3460"/>
      <c r="AE27" s="3460"/>
      <c r="AF27" s="3460"/>
      <c r="AG27" s="3460"/>
      <c r="AH27" s="3460"/>
      <c r="AI27" s="3460"/>
      <c r="AJ27" s="3460"/>
      <c r="AK27" s="2454"/>
      <c r="AS27" s="2366">
        <v>14</v>
      </c>
    </row>
    <row customHeight="1" ht="14.25" hidden="1">
      <c r="Q28" s="1587"/>
      <c r="R28" s="1587"/>
      <c r="S28" s="2486"/>
      <c r="T28" s="1574"/>
      <c r="U28" s="1574"/>
      <c r="V28" s="1533"/>
      <c r="W28" s="1533"/>
      <c r="X28" s="1533"/>
      <c r="Y28" s="1533"/>
      <c r="Z28" s="1533"/>
      <c r="AA28" s="1533"/>
      <c r="AB28" s="1533"/>
      <c r="AC28" s="1533"/>
      <c r="AD28" s="1533"/>
      <c r="AE28" s="1533"/>
      <c r="AF28" s="1533"/>
      <c r="AG28" s="1533"/>
      <c r="AH28" s="1533"/>
      <c r="AI28" s="1533"/>
      <c r="AJ28" s="1533"/>
      <c r="AK28" s="1533"/>
      <c r="AL28" s="1720"/>
      <c r="AS28" s="2366">
        <v>0</v>
      </c>
    </row>
    <row s="67333" customFormat="1" customHeight="1" ht="25.5" hidden="1">
      <c r="A29" s="2579"/>
      <c r="B29" s="2579"/>
      <c r="C29" s="2579"/>
      <c r="D29" s="2579"/>
      <c r="E29" s="2579"/>
      <c r="F29" s="2579"/>
      <c r="G29" s="2579"/>
      <c r="H29" s="2579"/>
      <c r="I29" s="2579"/>
      <c r="J29" s="2579"/>
      <c r="K29" s="2579"/>
      <c r="L29" s="2580"/>
      <c r="M29" s="2579"/>
      <c r="N29" s="2579"/>
      <c r="O29" s="2579"/>
      <c r="S29" s="3461" t="s">
        <v>41</v>
      </c>
      <c r="T29" s="3461"/>
      <c r="U29" s="2583"/>
      <c r="V29" s="3462" t="str">
        <f>IF(TITLE_NAME_OR_PR_CHANGE="",IF(TITLE_NAME_OR_PR="","",TITLE_NAME_OR_PR),TITLE_NAME_OR_PR_CHANGE)</f>
        <v/>
      </c>
      <c r="W29" s="3462"/>
      <c r="X29" s="3462"/>
      <c r="Y29" s="3462"/>
      <c r="Z29" s="3462"/>
      <c r="AA29" s="3462"/>
      <c r="AB29" s="3462"/>
      <c r="AC29" s="1537"/>
      <c r="AD29" s="3462" t="str">
        <f>IF(TITLE_NAME_OR_PR_CHANGE="",IF(TITLE_NAME_OR_PR="","",TITLE_NAME_OR_PR),TITLE_NAME_OR_PR_CHANGE)</f>
        <v/>
      </c>
      <c r="AE29" s="3462"/>
      <c r="AF29" s="3462"/>
      <c r="AG29" s="3462"/>
      <c r="AH29" s="3462"/>
      <c r="AI29" s="3462"/>
      <c r="AJ29" s="3462"/>
      <c r="AK29" s="1537"/>
      <c r="AL29" s="1537"/>
      <c r="AM29" s="1491"/>
      <c r="AN29" s="1579"/>
      <c r="AO29" s="1579"/>
      <c r="AP29" s="1579"/>
      <c r="AQ29" s="1579"/>
      <c r="AR29" s="1579"/>
      <c r="AS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441</v>
      </c>
      <c r="T30" s="3461"/>
      <c r="U30" s="2583"/>
      <c r="V30" s="3475" t="str">
        <f>IF(TITLE_DATE_PR_CHANGE="",IF(TITLE_DATE_PR="","",TITLE_DATE_PR),TITLE_DATE_PR_CHANGE)</f>
        <v/>
      </c>
      <c r="W30" s="3475"/>
      <c r="X30" s="3475"/>
      <c r="Y30" s="3475"/>
      <c r="Z30" s="3475"/>
      <c r="AA30" s="3475"/>
      <c r="AB30" s="3475"/>
      <c r="AC30" s="1537"/>
      <c r="AD30" s="3475" t="str">
        <f>IF(TITLE_DATE_PR_CHANGE="",IF(TITLE_DATE_PR="","",TITLE_DATE_PR),TITLE_DATE_PR_CHANGE)</f>
        <v/>
      </c>
      <c r="AE30" s="3475"/>
      <c r="AF30" s="3475"/>
      <c r="AG30" s="3475"/>
      <c r="AH30" s="3475"/>
      <c r="AI30" s="3475"/>
      <c r="AJ30" s="3475"/>
      <c r="AK30" s="1537"/>
      <c r="AL30" s="1537"/>
      <c r="AM30" s="1491"/>
      <c r="AN30" s="1579"/>
      <c r="AO30" s="1579"/>
      <c r="AP30" s="1579"/>
      <c r="AQ30" s="1579"/>
      <c r="AR30" s="1579"/>
      <c r="AS30" s="1629">
        <v>0</v>
      </c>
    </row>
    <row s="67333" customFormat="1" customHeight="1" ht="18.75" hidden="1">
      <c r="A31" s="2579"/>
      <c r="B31" s="2579"/>
      <c r="C31" s="2579"/>
      <c r="D31" s="2579"/>
      <c r="E31" s="2579"/>
      <c r="F31" s="2579"/>
      <c r="G31" s="2579"/>
      <c r="H31" s="2579"/>
      <c r="I31" s="2579"/>
      <c r="J31" s="2579"/>
      <c r="K31" s="2579"/>
      <c r="L31" s="2580"/>
      <c r="M31" s="2579"/>
      <c r="N31" s="2579"/>
      <c r="O31" s="2579"/>
      <c r="S31" s="3461" t="s">
        <v>442</v>
      </c>
      <c r="T31" s="3461"/>
      <c r="U31" s="2583"/>
      <c r="V31" s="3462" t="str">
        <f>IF(TITLE_NUMBER_PR_CHANGE="",IF(TITLE_NUMBER_PR="","",TITLE_NUMBER_PR),TITLE_NUMBER_PR_CHANGE)</f>
        <v/>
      </c>
      <c r="W31" s="3462"/>
      <c r="X31" s="3462"/>
      <c r="Y31" s="3462"/>
      <c r="Z31" s="3462"/>
      <c r="AA31" s="3462"/>
      <c r="AB31" s="3462"/>
      <c r="AC31" s="1537"/>
      <c r="AD31" s="3462" t="str">
        <f>IF(TITLE_NUMBER_PR_CHANGE="",IF(TITLE_NUMBER_PR="","",TITLE_NUMBER_PR),TITLE_NUMBER_PR_CHANGE)</f>
        <v/>
      </c>
      <c r="AE31" s="3462"/>
      <c r="AF31" s="3462"/>
      <c r="AG31" s="3462"/>
      <c r="AH31" s="3462"/>
      <c r="AI31" s="3462"/>
      <c r="AJ31" s="3462"/>
      <c r="AK31" s="1537"/>
      <c r="AL31" s="1537"/>
      <c r="AM31" s="1491"/>
      <c r="AN31" s="1579"/>
      <c r="AO31" s="1579"/>
      <c r="AP31" s="1579"/>
      <c r="AQ31" s="1579"/>
      <c r="AR31" s="1579"/>
      <c r="AS31" s="1629">
        <v>0</v>
      </c>
    </row>
    <row s="67333" customFormat="1" customHeight="1" ht="18.75" hidden="1">
      <c r="A32" s="2579"/>
      <c r="B32" s="2579"/>
      <c r="C32" s="2579"/>
      <c r="D32" s="2579"/>
      <c r="E32" s="2579"/>
      <c r="F32" s="2579"/>
      <c r="G32" s="2579"/>
      <c r="H32" s="2579"/>
      <c r="I32" s="2579"/>
      <c r="J32" s="2579"/>
      <c r="K32" s="2579"/>
      <c r="L32" s="2580"/>
      <c r="M32" s="2579"/>
      <c r="N32" s="2579"/>
      <c r="O32" s="2579"/>
      <c r="S32" s="3461" t="s">
        <v>42</v>
      </c>
      <c r="T32" s="3461"/>
      <c r="U32" s="2583"/>
      <c r="V32" s="3462" t="str">
        <f>IF(TITLE_IST_PUB_CHANGE="",IF(TITLE_IST_PUB="","",TITLE_IST_PUB),TITLE_IST_PUB_CHANGE)</f>
        <v/>
      </c>
      <c r="W32" s="3462"/>
      <c r="X32" s="3462"/>
      <c r="Y32" s="3462"/>
      <c r="Z32" s="3462"/>
      <c r="AA32" s="3462"/>
      <c r="AB32" s="3462"/>
      <c r="AC32" s="1537"/>
      <c r="AD32" s="3462" t="str">
        <f>IF(TITLE_IST_PUB_CHANGE="",IF(TITLE_IST_PUB="","",TITLE_IST_PUB),TITLE_IST_PUB_CHANGE)</f>
        <v/>
      </c>
      <c r="AE32" s="3462"/>
      <c r="AF32" s="3462"/>
      <c r="AG32" s="3462"/>
      <c r="AH32" s="3462"/>
      <c r="AI32" s="3462"/>
      <c r="AJ32" s="3462"/>
      <c r="AK32" s="1537"/>
      <c r="AL32" s="1537"/>
      <c r="AM32" s="1491"/>
      <c r="AN32" s="1579"/>
      <c r="AO32" s="1579"/>
      <c r="AP32" s="1579"/>
      <c r="AQ32" s="1579"/>
      <c r="AR32" s="1579"/>
      <c r="AS32" s="1629">
        <v>0</v>
      </c>
    </row>
    <row customHeight="1" ht="14.25" hidden="1">
      <c r="Q33" s="1587"/>
      <c r="R33" s="1587"/>
      <c r="S33" s="2486"/>
      <c r="T33" s="1574"/>
      <c r="U33" s="1574"/>
      <c r="V33" s="1533"/>
      <c r="W33" s="1533"/>
      <c r="X33" s="1533"/>
      <c r="Y33" s="1533"/>
      <c r="Z33" s="1533"/>
      <c r="AA33" s="1533"/>
      <c r="AB33" s="1533"/>
      <c r="AC33" s="1533"/>
      <c r="AD33" s="1533"/>
      <c r="AE33" s="1533"/>
      <c r="AF33" s="1533"/>
      <c r="AG33" s="1533"/>
      <c r="AH33" s="1533"/>
      <c r="AI33" s="1533"/>
      <c r="AJ33" s="1533"/>
      <c r="AK33" s="1533"/>
      <c r="AL33" s="1720"/>
      <c r="AS33" s="2366">
        <v>0</v>
      </c>
    </row>
    <row s="67333" customFormat="1" customHeight="1" ht="18.75" hidden="1">
      <c r="A34" s="2579"/>
      <c r="B34" s="2579"/>
      <c r="C34" s="2579"/>
      <c r="D34" s="2579"/>
      <c r="E34" s="2579"/>
      <c r="F34" s="2579"/>
      <c r="G34" s="2579"/>
      <c r="H34" s="2579"/>
      <c r="I34" s="2579"/>
      <c r="J34" s="2579"/>
      <c r="K34" s="2579"/>
      <c r="L34" s="2580"/>
      <c r="M34" s="2579"/>
      <c r="N34" s="2579"/>
      <c r="O34" s="2579"/>
      <c r="S34" s="3461" t="s">
        <v>443</v>
      </c>
      <c r="T34" s="3461"/>
      <c r="U34" s="2583"/>
      <c r="V34" s="3475" t="str">
        <f>IF(TITLE_DATE_PR_CHANGE="",IF(TITLE_DATE_PR="","",TITLE_DATE_PR),TITLE_DATE_PR_CHANGE)</f>
        <v/>
      </c>
      <c r="W34" s="3475"/>
      <c r="X34" s="3475"/>
      <c r="Y34" s="3475"/>
      <c r="Z34" s="3475"/>
      <c r="AA34" s="3475"/>
      <c r="AB34" s="3475"/>
      <c r="AC34" s="1537"/>
      <c r="AD34" s="3475" t="str">
        <f>IF(TITLE_DATE_PR_CHANGE="",IF(TITLE_DATE_PR="","",TITLE_DATE_PR),TITLE_DATE_PR_CHANGE)</f>
        <v/>
      </c>
      <c r="AE34" s="3475"/>
      <c r="AF34" s="3475"/>
      <c r="AG34" s="3475"/>
      <c r="AH34" s="3475"/>
      <c r="AI34" s="3475"/>
      <c r="AJ34" s="3475"/>
      <c r="AK34" s="1537"/>
      <c r="AL34" s="1537"/>
      <c r="AM34" s="1491"/>
      <c r="AN34" s="1579"/>
      <c r="AO34" s="1579"/>
      <c r="AP34" s="1579"/>
      <c r="AQ34" s="1579"/>
      <c r="AR34" s="1579"/>
      <c r="AS34" s="1629">
        <v>0</v>
      </c>
    </row>
    <row s="67333" customFormat="1" customHeight="1" ht="25.5" hidden="1">
      <c r="A35" s="2579"/>
      <c r="B35" s="2579"/>
      <c r="C35" s="2579"/>
      <c r="D35" s="2579"/>
      <c r="E35" s="2579"/>
      <c r="F35" s="2579"/>
      <c r="G35" s="2579"/>
      <c r="H35" s="2579"/>
      <c r="I35" s="2579"/>
      <c r="J35" s="2579"/>
      <c r="K35" s="2579"/>
      <c r="L35" s="2580"/>
      <c r="M35" s="2579"/>
      <c r="N35" s="2579"/>
      <c r="O35" s="2579"/>
      <c r="S35" s="3461" t="s">
        <v>444</v>
      </c>
      <c r="T35" s="3461"/>
      <c r="U35" s="2583"/>
      <c r="V35" s="3462" t="str">
        <f>IF(TITLE_NUMBER_PR_CHANGE="",IF(TITLE_NUMBER_PR="","",TITLE_NUMBER_PR),TITLE_NUMBER_PR_CHANGE)</f>
        <v/>
      </c>
      <c r="W35" s="3462"/>
      <c r="X35" s="3462"/>
      <c r="Y35" s="3462"/>
      <c r="Z35" s="3462"/>
      <c r="AA35" s="3462"/>
      <c r="AB35" s="3462"/>
      <c r="AC35" s="1537"/>
      <c r="AD35" s="3462" t="str">
        <f>IF(TITLE_NUMBER_PR_CHANGE="",IF(TITLE_NUMBER_PR="","",TITLE_NUMBER_PR),TITLE_NUMBER_PR_CHANGE)</f>
        <v/>
      </c>
      <c r="AE35" s="3462"/>
      <c r="AF35" s="3462"/>
      <c r="AG35" s="3462"/>
      <c r="AH35" s="3462"/>
      <c r="AI35" s="3462"/>
      <c r="AJ35" s="3462"/>
      <c r="AK35" s="1537"/>
      <c r="AL35" s="1537"/>
      <c r="AM35" s="1491"/>
      <c r="AN35" s="1579"/>
      <c r="AO35" s="1579"/>
      <c r="AP35" s="1579"/>
      <c r="AQ35" s="1579"/>
      <c r="AR35" s="1579"/>
      <c r="AS35" s="1629">
        <v>0</v>
      </c>
    </row>
    <row s="67333" customFormat="1" customHeight="1" ht="0">
      <c r="A36" s="2579"/>
      <c r="B36" s="2579"/>
      <c r="C36" s="2579"/>
      <c r="D36" s="2579"/>
      <c r="E36" s="2579"/>
      <c r="F36" s="2579"/>
      <c r="G36" s="2579"/>
      <c r="H36" s="2579"/>
      <c r="I36" s="2579"/>
      <c r="J36" s="2579"/>
      <c r="K36" s="2579"/>
      <c r="L36" s="2580"/>
      <c r="M36" s="2579"/>
      <c r="N36" s="2579"/>
      <c r="O36" s="2579"/>
      <c r="S36" s="1534"/>
      <c r="T36" s="1534"/>
      <c r="U36" s="2551"/>
      <c r="V36" s="1537"/>
      <c r="W36" s="1537"/>
      <c r="X36" s="1537"/>
      <c r="Y36" s="1537"/>
      <c r="Z36" s="1537"/>
      <c r="AA36" s="1537"/>
      <c r="AB36" s="1537"/>
      <c r="AC36" s="1489" t="s">
        <v>445</v>
      </c>
      <c r="AD36" s="1537"/>
      <c r="AE36" s="1537"/>
      <c r="AF36" s="1537"/>
      <c r="AG36" s="1537"/>
      <c r="AH36" s="1537"/>
      <c r="AI36" s="1537"/>
      <c r="AJ36" s="1537"/>
      <c r="AK36" s="1489" t="s">
        <v>445</v>
      </c>
      <c r="AN36" s="1579"/>
      <c r="AO36" s="1579"/>
      <c r="AP36" s="1579"/>
      <c r="AQ36" s="1579"/>
      <c r="AR36" s="1579"/>
      <c r="AS36" s="1629">
        <v>0</v>
      </c>
    </row>
    <row customHeight="1" ht="14.699999999999998">
      <c r="Q37" s="1587"/>
      <c r="R37" s="1587"/>
      <c r="S37" s="2486"/>
      <c r="T37" s="1574"/>
      <c r="U37" s="2455"/>
      <c r="V37" s="3463"/>
      <c r="W37" s="3463"/>
      <c r="X37" s="3463"/>
      <c r="Y37" s="3463"/>
      <c r="Z37" s="3463"/>
      <c r="AA37" s="3463"/>
      <c r="AB37" s="3463"/>
      <c r="AC37" s="3463"/>
      <c r="AD37" s="3463"/>
      <c r="AE37" s="3463"/>
      <c r="AF37" s="3463"/>
      <c r="AG37" s="3463"/>
      <c r="AH37" s="3463"/>
      <c r="AI37" s="3463"/>
      <c r="AJ37" s="3463"/>
      <c r="AK37" s="3463"/>
      <c r="AS37" s="2366">
        <v>14</v>
      </c>
    </row>
    <row customHeight="1" ht="14.699999999999998">
      <c r="Q38" s="1587"/>
      <c r="R38" s="1587"/>
      <c r="S38" s="3338" t="s">
        <v>318</v>
      </c>
      <c r="T38" s="3338"/>
      <c r="U38" s="3338"/>
      <c r="V38" s="3338"/>
      <c r="W38" s="3338"/>
      <c r="X38" s="3338"/>
      <c r="Y38" s="3338"/>
      <c r="Z38" s="3338"/>
      <c r="AA38" s="3338"/>
      <c r="AB38" s="3338"/>
      <c r="AC38" s="3338"/>
      <c r="AD38" s="3338"/>
      <c r="AE38" s="3338"/>
      <c r="AF38" s="3338"/>
      <c r="AG38" s="3338"/>
      <c r="AH38" s="3338"/>
      <c r="AI38" s="3338"/>
      <c r="AJ38" s="3338"/>
      <c r="AK38" s="3338"/>
      <c r="AL38" s="3338"/>
      <c r="AM38" s="3338" t="s">
        <v>319</v>
      </c>
      <c r="AS38" s="2366">
        <v>14</v>
      </c>
    </row>
    <row customHeight="1" ht="14.699999999999998">
      <c r="Q39" s="1587"/>
      <c r="R39" s="1587"/>
      <c r="S39" s="3484" t="s">
        <v>88</v>
      </c>
      <c r="T39" s="3420" t="s">
        <v>446</v>
      </c>
      <c r="U39" s="1512"/>
      <c r="V39" s="3485" t="s">
        <v>447</v>
      </c>
      <c r="W39" s="3486"/>
      <c r="X39" s="3486"/>
      <c r="Y39" s="3486"/>
      <c r="Z39" s="3486"/>
      <c r="AA39" s="3486"/>
      <c r="AB39" s="3487"/>
      <c r="AC39" s="3488" t="s">
        <v>448</v>
      </c>
      <c r="AD39" s="3485" t="s">
        <v>447</v>
      </c>
      <c r="AE39" s="3486"/>
      <c r="AF39" s="3486"/>
      <c r="AG39" s="3486"/>
      <c r="AH39" s="3486"/>
      <c r="AI39" s="3486"/>
      <c r="AJ39" s="3487"/>
      <c r="AK39" s="3488" t="s">
        <v>449</v>
      </c>
      <c r="AL39" s="3491" t="s">
        <v>450</v>
      </c>
      <c r="AM39" s="3338"/>
      <c r="AS39" s="2366">
        <v>14</v>
      </c>
    </row>
    <row customHeight="1" ht="35.699999999999996">
      <c r="Q40" s="1587"/>
      <c r="R40" s="1587"/>
      <c r="S40" s="3484"/>
      <c r="T40" s="3420"/>
      <c r="U40" s="2242"/>
      <c r="V40" s="3471" t="s">
        <v>451</v>
      </c>
      <c r="W40" s="3494"/>
      <c r="X40" s="3473" t="s">
        <v>453</v>
      </c>
      <c r="Y40" s="3474"/>
      <c r="Z40" s="3473" t="s">
        <v>454</v>
      </c>
      <c r="AA40" s="3480"/>
      <c r="AB40" s="3474"/>
      <c r="AC40" s="3489"/>
      <c r="AD40" s="3471" t="s">
        <v>468</v>
      </c>
      <c r="AE40" s="3494"/>
      <c r="AF40" s="3473" t="s">
        <v>453</v>
      </c>
      <c r="AG40" s="3474"/>
      <c r="AH40" s="3473" t="s">
        <v>454</v>
      </c>
      <c r="AI40" s="3480"/>
      <c r="AJ40" s="3474"/>
      <c r="AK40" s="3489"/>
      <c r="AL40" s="3492"/>
      <c r="AM40" s="3338"/>
      <c r="AS40" s="2366">
        <v>34</v>
      </c>
    </row>
    <row customHeight="1" ht="35.699999999999996">
      <c r="A41" s="2581"/>
      <c r="B41" s="2581" t="s">
        <v>155</v>
      </c>
      <c r="C41" s="2581" t="s">
        <v>156</v>
      </c>
      <c r="D41" s="2581" t="s">
        <v>157</v>
      </c>
      <c r="E41" s="2575" t="s">
        <v>455</v>
      </c>
      <c r="F41" s="2575" t="s">
        <v>456</v>
      </c>
      <c r="G41" s="2575" t="s">
        <v>457</v>
      </c>
      <c r="H41" s="2575" t="s">
        <v>458</v>
      </c>
      <c r="I41" s="2575" t="s">
        <v>459</v>
      </c>
      <c r="J41" s="2575" t="s">
        <v>460</v>
      </c>
      <c r="K41" s="2575" t="s">
        <v>461</v>
      </c>
      <c r="L41" s="2575" t="s">
        <v>436</v>
      </c>
      <c r="Q41" s="1587"/>
      <c r="R41" s="1587"/>
      <c r="S41" s="3484"/>
      <c r="T41" s="3420"/>
      <c r="U41" s="1513"/>
      <c r="V41" s="3472"/>
      <c r="W41" s="3495"/>
      <c r="X41" s="2433" t="s">
        <v>462</v>
      </c>
      <c r="Y41" s="2433" t="s">
        <v>463</v>
      </c>
      <c r="Z41" s="2549" t="s">
        <v>464</v>
      </c>
      <c r="AA41" s="3481" t="s">
        <v>465</v>
      </c>
      <c r="AB41" s="3482"/>
      <c r="AC41" s="3490"/>
      <c r="AD41" s="3472"/>
      <c r="AE41" s="3495"/>
      <c r="AF41" s="2433" t="s">
        <v>462</v>
      </c>
      <c r="AG41" s="2433" t="s">
        <v>463</v>
      </c>
      <c r="AH41" s="2549" t="s">
        <v>464</v>
      </c>
      <c r="AI41" s="3481" t="s">
        <v>465</v>
      </c>
      <c r="AJ41" s="3482"/>
      <c r="AK41" s="3490"/>
      <c r="AL41" s="3493"/>
      <c r="AM41" s="3338"/>
      <c r="AS41" s="2366">
        <v>34</v>
      </c>
    </row>
    <row s="65897" customFormat="1" customHeight="1" ht="11.25" hidden="1">
      <c r="A42" s="2581"/>
      <c r="B42" s="2581"/>
      <c r="C42" s="2581"/>
      <c r="D42" s="2581"/>
      <c r="E42" s="2581"/>
      <c r="F42" s="2581"/>
      <c r="G42" s="2581"/>
      <c r="H42" s="2581"/>
      <c r="I42" s="2581"/>
      <c r="J42" s="2581"/>
      <c r="K42" s="2581"/>
      <c r="L42" s="2575"/>
      <c r="M42" s="2573"/>
      <c r="N42" s="2573"/>
      <c r="O42" s="2573"/>
      <c r="P42" s="2457"/>
      <c r="Q42" s="2458"/>
      <c r="R42" s="2465">
        <v>1</v>
      </c>
      <c r="S42" s="2488" t="s">
        <v>99</v>
      </c>
      <c r="T42" s="2466" t="s">
        <v>102</v>
      </c>
      <c r="U42" s="2456" t="str">
        <f>OFFSET(U42,0,-1)</f>
        <v>2</v>
      </c>
      <c r="V42" s="2546">
        <f>OFFSET(V42,0,-1)+1</f>
        <v>3</v>
      </c>
      <c r="W42" s="2546"/>
      <c r="X42" s="2546">
        <f>OFFSET(X42,0,-1)+1</f>
        <v>1</v>
      </c>
      <c r="Y42" s="2546">
        <f>OFFSET(Y42,0,-1)+1</f>
        <v>2</v>
      </c>
      <c r="Z42" s="2546">
        <f>OFFSET(Z42,0,-1)+1</f>
        <v>3</v>
      </c>
      <c r="AA42" s="3483">
        <f>OFFSET(AA42,0,-1)+1</f>
        <v>4</v>
      </c>
      <c r="AB42" s="3483"/>
      <c r="AC42" s="2546">
        <f>OFFSET(AC42,0,-2)+1</f>
        <v>5</v>
      </c>
      <c r="AD42" s="2546">
        <f>OFFSET(AD42,0,-1)+1</f>
        <v>6</v>
      </c>
      <c r="AE42" s="2546"/>
      <c r="AF42" s="2546">
        <f>OFFSET(AF42,0,-1)+1</f>
        <v>1</v>
      </c>
      <c r="AG42" s="2546">
        <f>OFFSET(AG42,0,-1)+1</f>
        <v>2</v>
      </c>
      <c r="AH42" s="2546">
        <f>OFFSET(AH42,0,-1)+1</f>
        <v>3</v>
      </c>
      <c r="AI42" s="3483">
        <f>OFFSET(AI42,0,-1)+1</f>
        <v>4</v>
      </c>
      <c r="AJ42" s="3483"/>
      <c r="AK42" s="2546">
        <f>OFFSET(AK42,0,-2)+1</f>
        <v>5</v>
      </c>
      <c r="AL42" s="2456">
        <f>OFFSET(AL42,0,-1)</f>
        <v>5</v>
      </c>
      <c r="AM42" s="2546">
        <f>OFFSET(AM42,0,-1)+1</f>
        <v>6</v>
      </c>
      <c r="AN42" s="1722"/>
      <c r="AO42" s="1722"/>
      <c r="AP42" s="1722"/>
      <c r="AQ42" s="1722"/>
      <c r="AR42" s="1722"/>
      <c r="AS42" s="1707">
        <v>0</v>
      </c>
    </row>
    <row customHeight="1" ht="22.049999999999997">
      <c r="A43" s="2574" t="s">
        <v>206</v>
      </c>
      <c r="B43" s="2574"/>
      <c r="C43" s="2574"/>
      <c r="D43" s="2574"/>
      <c r="E43" s="3469">
        <v>1</v>
      </c>
      <c r="F43" s="2574"/>
      <c r="G43" s="2574"/>
      <c r="H43" s="2574"/>
      <c r="I43" s="2574"/>
      <c r="J43" s="2574"/>
      <c r="K43" s="2574"/>
      <c r="L43" s="2575"/>
      <c r="M43" s="2576"/>
      <c r="N43" s="2576"/>
      <c r="O43" s="2576"/>
      <c r="P43" s="1572"/>
      <c r="Q43" s="1571"/>
      <c r="R43" s="1566"/>
      <c r="S43" s="2547">
        <f>INDEX(PT_DIFFERENTIATION_NUM_NTAR,MATCH(A43,PT_DIFFERENTIATION_NTAR_ID,0))</f>
        <v>0</v>
      </c>
      <c r="T43" s="1509" t="s">
        <v>143</v>
      </c>
      <c r="U43" s="1511"/>
      <c r="V43" s="3453"/>
      <c r="W43" s="3454"/>
      <c r="X43" s="3454"/>
      <c r="Y43" s="3454"/>
      <c r="Z43" s="3454"/>
      <c r="AA43" s="3454"/>
      <c r="AB43" s="3454"/>
      <c r="AC43" s="3455"/>
      <c r="AD43" s="3453" t="str">
        <f>INDEX(PT_DIFFERENTIATION_NTAR,MATCH(A43,PT_DIFFERENTIATION_NTAR_ID,0))</f>
        <v/>
      </c>
      <c r="AE43" s="3454"/>
      <c r="AF43" s="3454"/>
      <c r="AG43" s="3454"/>
      <c r="AH43" s="3454"/>
      <c r="AI43" s="3454"/>
      <c r="AJ43" s="3454"/>
      <c r="AK43" s="3454"/>
      <c r="AL43" s="3455"/>
      <c r="AM43" s="246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711"/>
      <c r="AP43" s="1711" t="str">
        <f>IF(T43="","",T43)</f>
        <v>Наименование тарифа</v>
      </c>
      <c r="AQ43" s="1711"/>
      <c r="AR43" s="1711"/>
      <c r="AS43" s="2366">
        <v>21</v>
      </c>
    </row>
    <row customHeight="1" ht="22.049999999999997">
      <c r="A44" s="2574" t="s">
        <v>206</v>
      </c>
      <c r="B44" s="2574" t="s">
        <v>207</v>
      </c>
      <c r="C44" s="2574"/>
      <c r="D44" s="2574"/>
      <c r="E44" s="3470"/>
      <c r="F44" s="3469">
        <v>1</v>
      </c>
      <c r="G44" s="2574"/>
      <c r="H44" s="2574"/>
      <c r="I44" s="2574"/>
      <c r="J44" s="2574"/>
      <c r="K44" s="2574"/>
      <c r="L44" s="2575"/>
      <c r="M44" s="2576"/>
      <c r="N44" s="2576"/>
      <c r="O44" s="2576"/>
      <c r="P44" s="2543"/>
      <c r="Q44" s="1563"/>
      <c r="R44" s="1564"/>
      <c r="S44" s="2547" t="str">
        <f>INDEX(PT_DIFFERENTIATION_NUM_TER,MATCH(B44,PT_DIFFERENTIATION_TER_ID,0))</f>
        <v>.</v>
      </c>
      <c r="T44" s="1519" t="s">
        <v>415</v>
      </c>
      <c r="U44" s="1511"/>
      <c r="V44" s="3453"/>
      <c r="W44" s="3454"/>
      <c r="X44" s="3454"/>
      <c r="Y44" s="3454"/>
      <c r="Z44" s="3454"/>
      <c r="AA44" s="3454"/>
      <c r="AB44" s="3454"/>
      <c r="AC44" s="3455"/>
      <c r="AD44" s="3453" t="str">
        <f>INDEX(PT_DIFFERENTIATION_TER,MATCH(B44,PT_DIFFERENTIATION_TER_ID,0))</f>
        <v/>
      </c>
      <c r="AE44" s="3454"/>
      <c r="AF44" s="3454"/>
      <c r="AG44" s="3454"/>
      <c r="AH44" s="3454"/>
      <c r="AI44" s="3454"/>
      <c r="AJ44" s="3454"/>
      <c r="AK44" s="3454"/>
      <c r="AL44" s="3455"/>
      <c r="AM44" s="2469" t="s">
        <v>416</v>
      </c>
      <c r="AO44" s="1711"/>
      <c r="AP44" s="1711" t="str">
        <f>IF(T44="","",T44)</f>
        <v>Территория действия тарифа</v>
      </c>
      <c r="AQ44" s="1711"/>
      <c r="AR44" s="1711"/>
      <c r="AS44" s="2366">
        <v>21</v>
      </c>
    </row>
    <row customHeight="1" ht="24">
      <c r="A45" s="2574" t="s">
        <v>206</v>
      </c>
      <c r="B45" s="2574" t="s">
        <v>207</v>
      </c>
      <c r="C45" s="2574" t="s">
        <v>208</v>
      </c>
      <c r="D45" s="2574"/>
      <c r="E45" s="3470"/>
      <c r="F45" s="3470"/>
      <c r="G45" s="3469">
        <v>1</v>
      </c>
      <c r="H45" s="2574"/>
      <c r="I45" s="2574"/>
      <c r="J45" s="2574"/>
      <c r="K45" s="2574"/>
      <c r="L45" s="2575"/>
      <c r="M45" s="2576"/>
      <c r="N45" s="2576"/>
      <c r="O45" s="2576"/>
      <c r="P45" s="1565"/>
      <c r="Q45" s="1563"/>
      <c r="R45" s="1564"/>
      <c r="S45" s="2547" t="str">
        <f>INDEX(PT_DIFFERENTIATION_NUM_CS,MATCH(C45,PT_DIFFERENTIATION_CS_ID,0))</f>
        <v>..</v>
      </c>
      <c r="T45" s="1520" t="s">
        <v>417</v>
      </c>
      <c r="U45" s="1511"/>
      <c r="V45" s="3453"/>
      <c r="W45" s="3454"/>
      <c r="X45" s="3454"/>
      <c r="Y45" s="3454"/>
      <c r="Z45" s="3454"/>
      <c r="AA45" s="3454"/>
      <c r="AB45" s="3454"/>
      <c r="AC45" s="3455"/>
      <c r="AD45" s="3453" t="str">
        <f>INDEX(PT_DIFFERENTIATION_CS,MATCH(C45,PT_DIFFERENTIATION_CS_ID,0))</f>
        <v/>
      </c>
      <c r="AE45" s="3454"/>
      <c r="AF45" s="3454"/>
      <c r="AG45" s="3454"/>
      <c r="AH45" s="3454"/>
      <c r="AI45" s="3454"/>
      <c r="AJ45" s="3454"/>
      <c r="AK45" s="3454"/>
      <c r="AL45" s="3455"/>
      <c r="AM45" s="2469" t="s">
        <v>418</v>
      </c>
      <c r="AO45" s="1711"/>
      <c r="AP45" s="1711" t="str">
        <f>IF(T45="","",T45)</f>
        <v>Наименование системы теплоснабжения </v>
      </c>
      <c r="AQ45" s="1711"/>
      <c r="AR45" s="1711"/>
      <c r="AS45" s="2366">
        <v>23</v>
      </c>
    </row>
    <row customHeight="1" ht="22.049999999999997">
      <c r="A46" s="2574" t="s">
        <v>206</v>
      </c>
      <c r="B46" s="2574" t="s">
        <v>207</v>
      </c>
      <c r="C46" s="2574" t="s">
        <v>208</v>
      </c>
      <c r="D46" s="2574" t="s">
        <v>209</v>
      </c>
      <c r="E46" s="3470"/>
      <c r="F46" s="3470"/>
      <c r="G46" s="3470"/>
      <c r="H46" s="3469">
        <v>1</v>
      </c>
      <c r="I46" s="2574"/>
      <c r="J46" s="2574"/>
      <c r="K46" s="2574"/>
      <c r="L46" s="2575"/>
      <c r="M46" s="2576"/>
      <c r="N46" s="2576"/>
      <c r="O46" s="2576"/>
      <c r="P46" s="1565"/>
      <c r="Q46" s="1563"/>
      <c r="R46" s="1564"/>
      <c r="S46" s="2547" t="str">
        <f>INDEX(PT_DIFFERENTIATION_NUM_IST_TE,MATCH(D46,PT_DIFFERENTIATION_IST_TE_ID,0))</f>
        <v>...</v>
      </c>
      <c r="T46" s="1521" t="s">
        <v>419</v>
      </c>
      <c r="U46" s="1511"/>
      <c r="V46" s="3453"/>
      <c r="W46" s="3454"/>
      <c r="X46" s="3454"/>
      <c r="Y46" s="3454"/>
      <c r="Z46" s="3454"/>
      <c r="AA46" s="3454"/>
      <c r="AB46" s="3454"/>
      <c r="AC46" s="3455"/>
      <c r="AD46" s="3453" t="str">
        <f>INDEX(PT_DIFFERENTIATION_IST_TE,MATCH(D46,PT_DIFFERENTIATION_IST_TE_ID,0))</f>
        <v/>
      </c>
      <c r="AE46" s="3454"/>
      <c r="AF46" s="3454"/>
      <c r="AG46" s="3454"/>
      <c r="AH46" s="3454"/>
      <c r="AI46" s="3454"/>
      <c r="AJ46" s="3454"/>
      <c r="AK46" s="3454"/>
      <c r="AL46" s="3455"/>
      <c r="AM46" s="2469" t="s">
        <v>420</v>
      </c>
      <c r="AO46" s="1711"/>
      <c r="AP46" s="1711" t="str">
        <f>IF(T46="","",T46)</f>
        <v>Источник тепловой энергии  </v>
      </c>
      <c r="AQ46" s="1711"/>
      <c r="AR46" s="1711"/>
      <c r="AS46" s="2366">
        <v>21</v>
      </c>
    </row>
    <row s="65923" customFormat="1" customHeight="1" ht="0">
      <c r="A47" s="2554" t="s">
        <v>206</v>
      </c>
      <c r="B47" s="2554" t="s">
        <v>207</v>
      </c>
      <c r="C47" s="2554" t="s">
        <v>208</v>
      </c>
      <c r="D47" s="2554" t="s">
        <v>209</v>
      </c>
      <c r="E47" s="3470"/>
      <c r="F47" s="3470"/>
      <c r="G47" s="3470"/>
      <c r="H47" s="3470"/>
      <c r="I47" s="3467" t="str">
        <f>S46&amp;".1"</f>
        <v>....1</v>
      </c>
      <c r="J47" s="2554"/>
      <c r="K47" s="2554"/>
      <c r="L47" s="2557" t="s">
        <v>421</v>
      </c>
      <c r="M47" s="1721"/>
      <c r="N47" s="1721"/>
      <c r="O47" s="1721"/>
      <c r="P47" s="3468">
        <v>1</v>
      </c>
      <c r="Q47" s="2542"/>
      <c r="R47" s="1567"/>
      <c r="S47" s="2253"/>
      <c r="T47" s="2594"/>
      <c r="U47" s="2595"/>
      <c r="V47" s="3507"/>
      <c r="W47" s="3508"/>
      <c r="X47" s="3508"/>
      <c r="Y47" s="3508"/>
      <c r="Z47" s="3508"/>
      <c r="AA47" s="3508"/>
      <c r="AB47" s="3508"/>
      <c r="AC47" s="3509"/>
      <c r="AD47" s="3507"/>
      <c r="AE47" s="3508"/>
      <c r="AF47" s="3508"/>
      <c r="AG47" s="3508"/>
      <c r="AH47" s="3508"/>
      <c r="AI47" s="3508"/>
      <c r="AJ47" s="3508"/>
      <c r="AK47" s="3508"/>
      <c r="AL47" s="3509"/>
      <c r="AM47" s="2596"/>
      <c r="AO47" s="1711"/>
      <c r="AP47" s="1711" t="str">
        <f>IF(T47="","",T47)</f>
        <v/>
      </c>
      <c r="AQ47" s="1711"/>
      <c r="AR47" s="1711"/>
      <c r="AS47" s="1722">
        <v>0</v>
      </c>
    </row>
    <row customHeight="1" ht="22.049999999999997">
      <c r="A48" s="2574" t="s">
        <v>206</v>
      </c>
      <c r="B48" s="2574" t="s">
        <v>207</v>
      </c>
      <c r="C48" s="2574" t="s">
        <v>208</v>
      </c>
      <c r="D48" s="2574" t="s">
        <v>209</v>
      </c>
      <c r="E48" s="3470"/>
      <c r="F48" s="3470"/>
      <c r="G48" s="3470"/>
      <c r="H48" s="3470"/>
      <c r="I48" s="3497"/>
      <c r="J48" s="3467" t="str">
        <f>S46&amp;".1"</f>
        <v>....1</v>
      </c>
      <c r="K48" s="2574"/>
      <c r="L48" s="2575" t="s">
        <v>424</v>
      </c>
      <c r="P48" s="3468"/>
      <c r="Q48" s="3468">
        <v>1</v>
      </c>
      <c r="R48" s="1568"/>
      <c r="S48" s="2547" t="str">
        <f>$J48</f>
        <v>....1</v>
      </c>
      <c r="T48" s="1497" t="s">
        <v>425</v>
      </c>
      <c r="U48" s="1511"/>
      <c r="V48" s="3456"/>
      <c r="W48" s="3457"/>
      <c r="X48" s="3457"/>
      <c r="Y48" s="3457"/>
      <c r="Z48" s="3457"/>
      <c r="AA48" s="3457"/>
      <c r="AB48" s="3457"/>
      <c r="AC48" s="3458"/>
      <c r="AD48" s="3456"/>
      <c r="AE48" s="3457"/>
      <c r="AF48" s="3457"/>
      <c r="AG48" s="3457"/>
      <c r="AH48" s="3457"/>
      <c r="AI48" s="3457"/>
      <c r="AJ48" s="3457"/>
      <c r="AK48" s="3457"/>
      <c r="AL48" s="3458"/>
      <c r="AM48" s="2469" t="s">
        <v>426</v>
      </c>
      <c r="AO48" s="1711"/>
      <c r="AP48" s="1711" t="str">
        <f>IF(T48="","",T48)</f>
        <v>Группа потребителей</v>
      </c>
      <c r="AQ48" s="1711"/>
      <c r="AR48" s="1711"/>
      <c r="AS48" s="2366">
        <v>21</v>
      </c>
    </row>
    <row customHeight="1" ht="22.049999999999997">
      <c r="A49" s="2574" t="s">
        <v>206</v>
      </c>
      <c r="B49" s="2574" t="s">
        <v>207</v>
      </c>
      <c r="C49" s="2574" t="s">
        <v>208</v>
      </c>
      <c r="D49" s="2574" t="s">
        <v>209</v>
      </c>
      <c r="E49" s="3470"/>
      <c r="F49" s="3470"/>
      <c r="G49" s="3470"/>
      <c r="H49" s="3470"/>
      <c r="I49" s="3497"/>
      <c r="J49" s="3497"/>
      <c r="K49" s="3467" t="str">
        <f>J48&amp;".1"</f>
        <v>....1.1</v>
      </c>
      <c r="L49" s="2575" t="s">
        <v>427</v>
      </c>
      <c r="P49" s="3468"/>
      <c r="Q49" s="3468"/>
      <c r="R49" s="1568">
        <v>1</v>
      </c>
      <c r="S49" s="2547" t="str">
        <f>$K49</f>
        <v>....1.1</v>
      </c>
      <c r="T49" s="2558"/>
      <c r="U49" s="1511"/>
      <c r="V49" s="1962"/>
      <c r="W49" s="1536"/>
      <c r="X49" s="1962"/>
      <c r="Y49" s="2468"/>
      <c r="Z49" s="3476"/>
      <c r="AA49" s="3318" t="s">
        <v>62</v>
      </c>
      <c r="AB49" s="3476"/>
      <c r="AC49" s="3318" t="s">
        <v>62</v>
      </c>
      <c r="AD49" s="1962"/>
      <c r="AE49" s="1536"/>
      <c r="AF49" s="1962"/>
      <c r="AG49" s="2468"/>
      <c r="AH49" s="3476"/>
      <c r="AI49" s="3318" t="s">
        <v>62</v>
      </c>
      <c r="AJ49" s="3498"/>
      <c r="AK49" s="3318" t="s">
        <v>62</v>
      </c>
      <c r="AL49" s="2559"/>
      <c r="AM49" s="3464" t="s">
        <v>469</v>
      </c>
      <c r="AN49" s="1722">
        <f>STRCHECKDATE(V50:AL50)</f>
      </c>
      <c r="AO49" s="1711"/>
      <c r="AP49" s="1711" t="str">
        <f>IF(T49="","",T49)</f>
        <v/>
      </c>
      <c r="AQ49" s="1711"/>
      <c r="AR49" s="1711"/>
      <c r="AS49" s="2366">
        <v>21</v>
      </c>
    </row>
    <row customHeight="1" ht="0">
      <c r="A50" s="2574" t="s">
        <v>206</v>
      </c>
      <c r="B50" s="2574" t="s">
        <v>207</v>
      </c>
      <c r="C50" s="2574" t="s">
        <v>208</v>
      </c>
      <c r="D50" s="2574" t="s">
        <v>209</v>
      </c>
      <c r="E50" s="3470"/>
      <c r="F50" s="3470"/>
      <c r="G50" s="3470"/>
      <c r="H50" s="3470"/>
      <c r="I50" s="3497"/>
      <c r="J50" s="3497"/>
      <c r="K50" s="3467"/>
      <c r="L50" s="2575"/>
      <c r="P50" s="3468"/>
      <c r="Q50" s="3468"/>
      <c r="R50" s="1568"/>
      <c r="S50" s="2553"/>
      <c r="T50" s="1511"/>
      <c r="U50" s="1511"/>
      <c r="V50" s="1536"/>
      <c r="W50" s="1536"/>
      <c r="X50" s="1536"/>
      <c r="Y50" s="1539" t="str">
        <f>Z49&amp;"-"&amp;AB49</f>
        <v>-</v>
      </c>
      <c r="Z50" s="3477"/>
      <c r="AA50" s="3318"/>
      <c r="AB50" s="3477"/>
      <c r="AC50" s="3318"/>
      <c r="AD50" s="1536"/>
      <c r="AE50" s="1536"/>
      <c r="AF50" s="1536"/>
      <c r="AG50" s="1539" t="str">
        <f>AH49&amp;"-"&amp;AJ49</f>
        <v>-</v>
      </c>
      <c r="AH50" s="3477"/>
      <c r="AI50" s="3318"/>
      <c r="AJ50" s="3499"/>
      <c r="AK50" s="3318"/>
      <c r="AL50" s="2560"/>
      <c r="AM50" s="3465"/>
      <c r="AO50" s="1711"/>
      <c r="AP50" s="1711" t="str">
        <f>IF(T50="","",T50)</f>
        <v/>
      </c>
      <c r="AQ50" s="1711"/>
      <c r="AR50" s="1711"/>
      <c r="AS50" s="2366">
        <v>0</v>
      </c>
    </row>
    <row customHeight="1" ht="11.549999999999999">
      <c r="A51" s="2574" t="s">
        <v>206</v>
      </c>
      <c r="B51" s="2574" t="s">
        <v>207</v>
      </c>
      <c r="C51" s="2574" t="s">
        <v>208</v>
      </c>
      <c r="D51" s="2574" t="s">
        <v>209</v>
      </c>
      <c r="E51" s="3470"/>
      <c r="F51" s="3470"/>
      <c r="G51" s="3470"/>
      <c r="H51" s="3470"/>
      <c r="I51" s="3497"/>
      <c r="J51" s="3467"/>
      <c r="K51" s="2574"/>
      <c r="L51" s="2575"/>
      <c r="P51" s="3468"/>
      <c r="Q51" s="3468"/>
      <c r="R51" s="1567"/>
      <c r="S51" s="2489"/>
      <c r="T51" s="1498" t="s">
        <v>429</v>
      </c>
      <c r="U51" s="1578"/>
      <c r="V51" s="1578"/>
      <c r="W51" s="1578"/>
      <c r="X51" s="1578"/>
      <c r="Y51" s="1578"/>
      <c r="Z51" s="1578"/>
      <c r="AA51" s="1578"/>
      <c r="AB51" s="1578"/>
      <c r="AC51" s="1578"/>
      <c r="AD51" s="1578"/>
      <c r="AE51" s="1578"/>
      <c r="AF51" s="1578"/>
      <c r="AG51" s="1578"/>
      <c r="AH51" s="1578"/>
      <c r="AI51" s="1578"/>
      <c r="AJ51" s="1578"/>
      <c r="AK51" s="1578"/>
      <c r="AL51" s="1535"/>
      <c r="AM51" s="3466"/>
      <c r="AO51" s="1711"/>
      <c r="AP51" s="1711" t="str">
        <f>IF(T51="","",T51)</f>
        <v>Добавить вид теплоносителя (параметры теплоносителя)</v>
      </c>
      <c r="AQ51" s="1711"/>
      <c r="AR51" s="1711"/>
      <c r="AS51" s="2366">
        <v>11</v>
      </c>
    </row>
    <row customHeight="1" ht="11.549999999999999">
      <c r="A52" s="2574" t="s">
        <v>206</v>
      </c>
      <c r="B52" s="2574" t="s">
        <v>207</v>
      </c>
      <c r="C52" s="2574" t="s">
        <v>208</v>
      </c>
      <c r="D52" s="2574" t="s">
        <v>209</v>
      </c>
      <c r="E52" s="3470"/>
      <c r="F52" s="3470"/>
      <c r="G52" s="3470"/>
      <c r="H52" s="3470"/>
      <c r="I52" s="3467"/>
      <c r="J52" s="2574"/>
      <c r="K52" s="2574"/>
      <c r="L52" s="2575"/>
      <c r="P52" s="3468"/>
      <c r="Q52" s="2542"/>
      <c r="R52" s="1567"/>
      <c r="S52" s="2489"/>
      <c r="T52" s="1576" t="s">
        <v>430</v>
      </c>
      <c r="U52" s="1578"/>
      <c r="V52" s="1578"/>
      <c r="W52" s="1578"/>
      <c r="X52" s="1578"/>
      <c r="Y52" s="1578"/>
      <c r="Z52" s="1578"/>
      <c r="AA52" s="1578"/>
      <c r="AB52" s="1578"/>
      <c r="AC52" s="1577"/>
      <c r="AD52" s="1578"/>
      <c r="AE52" s="1578"/>
      <c r="AF52" s="1578"/>
      <c r="AG52" s="1578"/>
      <c r="AH52" s="1578"/>
      <c r="AI52" s="1578"/>
      <c r="AJ52" s="1578"/>
      <c r="AK52" s="1577"/>
      <c r="AL52" s="1578"/>
      <c r="AM52" s="1514"/>
      <c r="AO52" s="1711"/>
      <c r="AP52" s="1711" t="str">
        <f>IF(T52="","",T52)</f>
        <v>Добавить группу потребителей</v>
      </c>
      <c r="AQ52" s="1711"/>
      <c r="AR52" s="1711"/>
      <c r="AS52" s="2366">
        <v>11</v>
      </c>
    </row>
    <row customHeight="1" ht="0">
      <c r="A53" s="2574" t="s">
        <v>206</v>
      </c>
      <c r="B53" s="2574" t="s">
        <v>207</v>
      </c>
      <c r="C53" s="2574" t="s">
        <v>208</v>
      </c>
      <c r="D53" s="2574" t="s">
        <v>209</v>
      </c>
      <c r="E53" s="3470"/>
      <c r="F53" s="3470"/>
      <c r="G53" s="3470"/>
      <c r="H53" s="3469"/>
      <c r="I53" s="2574"/>
      <c r="J53" s="2574"/>
      <c r="K53" s="2574"/>
      <c r="L53" s="2575"/>
      <c r="M53" s="2576"/>
      <c r="N53" s="2576"/>
      <c r="O53" s="1748"/>
      <c r="P53" s="1571"/>
      <c r="Q53" s="1586"/>
      <c r="R53" s="1566"/>
      <c r="S53" s="2597"/>
      <c r="T53" s="2598"/>
      <c r="U53" s="2599"/>
      <c r="V53" s="2599"/>
      <c r="W53" s="2599"/>
      <c r="X53" s="2599"/>
      <c r="Y53" s="2599"/>
      <c r="Z53" s="2599"/>
      <c r="AA53" s="2599"/>
      <c r="AB53" s="2599"/>
      <c r="AC53" s="2599"/>
      <c r="AD53" s="2599"/>
      <c r="AE53" s="2599"/>
      <c r="AF53" s="2599"/>
      <c r="AG53" s="2599"/>
      <c r="AH53" s="2599"/>
      <c r="AI53" s="2599"/>
      <c r="AJ53" s="2599"/>
      <c r="AK53" s="2599"/>
      <c r="AL53" s="2599"/>
      <c r="AM53" s="2600"/>
      <c r="AO53" s="1711"/>
      <c r="AP53" s="1711" t="str">
        <f>IF(T53="","",T53)</f>
        <v/>
      </c>
      <c r="AQ53" s="1711"/>
      <c r="AR53" s="1711"/>
      <c r="AS53" s="2366">
        <v>0</v>
      </c>
    </row>
    <row s="65923" customFormat="1" customHeight="1" ht="0">
      <c r="A54" s="2554" t="s">
        <v>206</v>
      </c>
      <c r="B54" s="2554" t="s">
        <v>207</v>
      </c>
      <c r="C54" s="2554" t="s">
        <v>208</v>
      </c>
      <c r="D54" s="2525"/>
      <c r="E54" s="3470"/>
      <c r="F54" s="3470"/>
      <c r="G54" s="3469"/>
      <c r="H54" s="2525"/>
      <c r="I54" s="2525"/>
      <c r="J54" s="2525"/>
      <c r="K54" s="2525"/>
      <c r="L54" s="2550"/>
      <c r="M54" s="2526"/>
      <c r="N54" s="2526"/>
      <c r="P54" s="2527"/>
      <c r="Q54" s="2528"/>
      <c r="R54" s="2527"/>
      <c r="S54" s="2533"/>
      <c r="T54" s="2536" t="s">
        <v>432</v>
      </c>
      <c r="U54" s="2535"/>
      <c r="V54" s="2535"/>
      <c r="W54" s="2535"/>
      <c r="X54" s="2535"/>
      <c r="Y54" s="2535"/>
      <c r="Z54" s="2535"/>
      <c r="AA54" s="2535"/>
      <c r="AB54" s="2535"/>
      <c r="AC54" s="2535"/>
      <c r="AD54" s="2535"/>
      <c r="AE54" s="2535"/>
      <c r="AF54" s="2535"/>
      <c r="AG54" s="2535"/>
      <c r="AH54" s="2535"/>
      <c r="AI54" s="2535"/>
      <c r="AJ54" s="2535"/>
      <c r="AK54" s="2535"/>
      <c r="AL54" s="2535"/>
      <c r="AM54" s="2535"/>
      <c r="AO54" s="2000"/>
      <c r="AP54" s="2000" t="str">
        <f>IF(T54="","",T54)</f>
        <v>Добавить источник для дифференциации</v>
      </c>
      <c r="AQ54" s="2000"/>
      <c r="AR54" s="2000"/>
      <c r="AS54" s="1729">
        <v>0</v>
      </c>
    </row>
    <row s="65923" customFormat="1" customHeight="1" ht="0">
      <c r="A55" s="2554" t="s">
        <v>206</v>
      </c>
      <c r="B55" s="2554" t="s">
        <v>207</v>
      </c>
      <c r="C55" s="2525"/>
      <c r="D55" s="2525"/>
      <c r="E55" s="3470"/>
      <c r="F55" s="3469"/>
      <c r="G55" s="2525"/>
      <c r="H55" s="2525"/>
      <c r="I55" s="2525"/>
      <c r="J55" s="2525"/>
      <c r="K55" s="2525"/>
      <c r="L55" s="2550"/>
      <c r="M55" s="2532"/>
      <c r="N55" s="2532"/>
      <c r="P55" s="2527"/>
      <c r="Q55" s="2528"/>
      <c r="R55" s="2527"/>
      <c r="S55" s="2533"/>
      <c r="T55" s="2536" t="s">
        <v>433</v>
      </c>
      <c r="U55" s="2535"/>
      <c r="V55" s="2535"/>
      <c r="W55" s="2535"/>
      <c r="X55" s="2535"/>
      <c r="Y55" s="2535"/>
      <c r="Z55" s="2535"/>
      <c r="AA55" s="2535"/>
      <c r="AB55" s="2535"/>
      <c r="AC55" s="2535"/>
      <c r="AD55" s="2535"/>
      <c r="AE55" s="2535"/>
      <c r="AF55" s="2535"/>
      <c r="AG55" s="2535"/>
      <c r="AH55" s="2535"/>
      <c r="AI55" s="2535"/>
      <c r="AJ55" s="2535"/>
      <c r="AK55" s="2535"/>
      <c r="AL55" s="2535"/>
      <c r="AM55" s="2535"/>
      <c r="AO55" s="2000"/>
      <c r="AP55" s="2000" t="str">
        <f>IF(T55="","",T55)</f>
        <v>Добавить централизованную систему для дифференциации</v>
      </c>
      <c r="AQ55" s="2000"/>
      <c r="AR55" s="2000"/>
      <c r="AS55" s="1729">
        <v>0</v>
      </c>
    </row>
    <row s="65923" customFormat="1" customHeight="1" ht="0">
      <c r="A56" s="2554" t="s">
        <v>206</v>
      </c>
      <c r="B56" s="2554"/>
      <c r="C56" s="2554"/>
      <c r="D56" s="2554"/>
      <c r="E56" s="3469"/>
      <c r="F56" s="2554"/>
      <c r="G56" s="2554"/>
      <c r="H56" s="2554"/>
      <c r="I56" s="2554"/>
      <c r="J56" s="2554"/>
      <c r="K56" s="2554"/>
      <c r="L56" s="2557"/>
      <c r="M56" s="2532"/>
      <c r="N56" s="2532"/>
      <c r="O56" s="1729"/>
      <c r="P56" s="1591"/>
      <c r="Q56" s="2555"/>
      <c r="R56" s="1591"/>
      <c r="S56" s="2533"/>
      <c r="T56" s="2536" t="s">
        <v>434</v>
      </c>
      <c r="U56" s="2535"/>
      <c r="V56" s="2535"/>
      <c r="W56" s="2535"/>
      <c r="X56" s="2535"/>
      <c r="Y56" s="2535"/>
      <c r="Z56" s="2535"/>
      <c r="AA56" s="2535"/>
      <c r="AB56" s="2535"/>
      <c r="AC56" s="2535"/>
      <c r="AD56" s="2535"/>
      <c r="AE56" s="2535"/>
      <c r="AF56" s="2535"/>
      <c r="AG56" s="2535"/>
      <c r="AH56" s="2535"/>
      <c r="AI56" s="2535"/>
      <c r="AJ56" s="2535"/>
      <c r="AK56" s="2535"/>
      <c r="AL56" s="2535"/>
      <c r="AM56" s="2535"/>
      <c r="AO56" s="1711"/>
      <c r="AP56" s="1711" t="str">
        <f>IF(T56="","",T56)</f>
        <v>Добавить территорию для дифференциации</v>
      </c>
      <c r="AQ56" s="1711"/>
      <c r="AR56" s="1711"/>
      <c r="AS56" s="1722">
        <v>0</v>
      </c>
    </row>
    <row s="65923" customFormat="1" customHeight="1" ht="4.2">
      <c r="A57" s="2525"/>
      <c r="B57" s="2525"/>
      <c r="C57" s="2525"/>
      <c r="D57" s="2525"/>
      <c r="E57" s="2554"/>
      <c r="F57" s="2525"/>
      <c r="G57" s="2525"/>
      <c r="H57" s="2525"/>
      <c r="I57" s="2525"/>
      <c r="J57" s="2525"/>
      <c r="K57" s="2525"/>
      <c r="L57" s="2550"/>
      <c r="M57" s="2532"/>
      <c r="N57" s="2532"/>
      <c r="P57" s="2527"/>
      <c r="Q57" s="2528"/>
      <c r="R57" s="2527"/>
      <c r="S57" s="2533"/>
      <c r="T57" s="2536" t="s">
        <v>466</v>
      </c>
      <c r="U57" s="2535"/>
      <c r="V57" s="2535"/>
      <c r="W57" s="2535"/>
      <c r="X57" s="2535"/>
      <c r="Y57" s="2535"/>
      <c r="Z57" s="2535"/>
      <c r="AA57" s="2535"/>
      <c r="AB57" s="2535"/>
      <c r="AC57" s="2535"/>
      <c r="AD57" s="2535"/>
      <c r="AE57" s="2535"/>
      <c r="AF57" s="2535"/>
      <c r="AG57" s="2535"/>
      <c r="AH57" s="2535"/>
      <c r="AI57" s="2535"/>
      <c r="AJ57" s="2535"/>
      <c r="AK57" s="2535"/>
      <c r="AL57" s="2535"/>
      <c r="AM57" s="2535"/>
      <c r="AO57" s="2000"/>
      <c r="AP57" s="2000" t="str">
        <f>IF(T57="","",T57)</f>
        <v>Добавить наименование тарифа</v>
      </c>
      <c r="AQ57" s="2000"/>
      <c r="AR57" s="2000"/>
      <c r="AS57" s="1729">
        <v>4</v>
      </c>
    </row>
    <row customHeight="1" ht="11.549999999999999">
      <c r="M58" s="2371"/>
      <c r="N58" s="2371"/>
      <c r="O58" s="1748"/>
      <c r="P58" s="2366"/>
      <c r="Q58" s="2366"/>
      <c r="R58" s="2366"/>
      <c r="S58" s="2366"/>
      <c r="AN58" s="2366"/>
      <c r="AO58" s="2366"/>
      <c r="AP58" s="2366"/>
      <c r="AQ58" s="2366"/>
      <c r="AR58" s="2366"/>
      <c r="AS58" s="2366">
        <v>11</v>
      </c>
    </row>
    <row customHeight="1" ht="14.699999999999998">
      <c r="O59" s="1748"/>
      <c r="S59" s="2464"/>
      <c r="T59" s="3496"/>
      <c r="U59" s="3496"/>
      <c r="V59" s="3496"/>
      <c r="W59" s="3496"/>
      <c r="X59" s="3496"/>
      <c r="Y59" s="3496"/>
      <c r="Z59" s="3496"/>
      <c r="AA59" s="3496"/>
      <c r="AB59" s="3496"/>
      <c r="AC59" s="3496"/>
      <c r="AD59" s="3496"/>
      <c r="AE59" s="3496"/>
      <c r="AF59" s="3496"/>
      <c r="AG59" s="3496"/>
      <c r="AH59" s="3496"/>
      <c r="AI59" s="3496"/>
      <c r="AJ59" s="3496"/>
      <c r="AK59" s="3496"/>
      <c r="AL59" s="3496"/>
      <c r="AM59" s="3496"/>
      <c r="AS59" s="2366">
        <v>14</v>
      </c>
    </row>
    <row customHeight="1" ht="14.699999999999998">
      <c r="O60" s="1748"/>
      <c r="T60" s="3496"/>
      <c r="U60" s="3496"/>
      <c r="V60" s="3496"/>
      <c r="W60" s="3496"/>
      <c r="X60" s="3496"/>
      <c r="Y60" s="3496"/>
      <c r="Z60" s="3496"/>
      <c r="AA60" s="3496"/>
      <c r="AB60" s="3496"/>
      <c r="AC60" s="3496"/>
      <c r="AD60" s="3496"/>
      <c r="AE60" s="3496"/>
      <c r="AF60" s="3496"/>
      <c r="AG60" s="3496"/>
      <c r="AH60" s="3496"/>
      <c r="AI60" s="3496"/>
      <c r="AJ60" s="3496"/>
      <c r="AK60" s="3496"/>
      <c r="AL60" s="3496"/>
      <c r="AM60" s="3496"/>
      <c r="AS60" s="2366">
        <v>14</v>
      </c>
    </row>
    <row customHeight="1" ht="14.699999999999998">
      <c r="O61" s="1748"/>
      <c r="T61" s="3496"/>
      <c r="U61" s="3496"/>
      <c r="V61" s="3496"/>
      <c r="W61" s="3496"/>
      <c r="X61" s="3496"/>
      <c r="Y61" s="3496"/>
      <c r="Z61" s="3496"/>
      <c r="AA61" s="3496"/>
      <c r="AB61" s="3496"/>
      <c r="AC61" s="3496"/>
      <c r="AD61" s="3496"/>
      <c r="AE61" s="3496"/>
      <c r="AF61" s="3496"/>
      <c r="AG61" s="3496"/>
      <c r="AH61" s="3496"/>
      <c r="AI61" s="3496"/>
      <c r="AJ61" s="3496"/>
      <c r="AK61" s="3496"/>
      <c r="AL61" s="3496"/>
      <c r="AM61" s="3496"/>
      <c r="AS61" s="2366">
        <v>14</v>
      </c>
    </row>
    <row customHeight="1" ht="14.699999999999998">
      <c r="O62" s="1748"/>
      <c r="AS62" s="2366">
        <v>14</v>
      </c>
    </row>
    <row customHeight="1" ht="14.699999999999998">
      <c r="O63" s="1748"/>
      <c r="S63" s="2464"/>
      <c r="T63" s="3510"/>
      <c r="U63" s="3496"/>
      <c r="V63" s="3496"/>
      <c r="W63" s="3496"/>
      <c r="X63" s="3496"/>
      <c r="Y63" s="3496"/>
      <c r="Z63" s="3496"/>
      <c r="AA63" s="3496"/>
      <c r="AB63" s="3496"/>
      <c r="AC63" s="3496"/>
      <c r="AD63" s="3496"/>
      <c r="AE63" s="3496"/>
      <c r="AF63" s="3496"/>
      <c r="AG63" s="3496"/>
      <c r="AH63" s="3496"/>
      <c r="AI63" s="3496"/>
      <c r="AJ63" s="3496"/>
      <c r="AK63" s="3496"/>
      <c r="AL63" s="3496"/>
      <c r="AM63" s="3496"/>
      <c r="AS63" s="2366">
        <v>14</v>
      </c>
    </row>
    <row customHeight="1" ht="14.699999999999998">
      <c r="O64" s="1748"/>
      <c r="T64" s="3496"/>
      <c r="U64" s="3496"/>
      <c r="V64" s="3496"/>
      <c r="W64" s="3496"/>
      <c r="X64" s="3496"/>
      <c r="Y64" s="3496"/>
      <c r="Z64" s="3496"/>
      <c r="AA64" s="3496"/>
      <c r="AB64" s="3496"/>
      <c r="AC64" s="3496"/>
      <c r="AD64" s="3496"/>
      <c r="AE64" s="3496"/>
      <c r="AF64" s="3496"/>
      <c r="AG64" s="3496"/>
      <c r="AH64" s="3496"/>
      <c r="AI64" s="3496"/>
      <c r="AJ64" s="3496"/>
      <c r="AK64" s="3496"/>
      <c r="AL64" s="3496"/>
      <c r="AM64" s="3496"/>
      <c r="AS64" s="2366">
        <v>14</v>
      </c>
    </row>
    <row customHeight="1" ht="14.699999999999998">
      <c r="T65" s="3496"/>
      <c r="U65" s="3496"/>
      <c r="V65" s="3496"/>
      <c r="W65" s="3496"/>
      <c r="X65" s="3496"/>
      <c r="Y65" s="3496"/>
      <c r="Z65" s="3496"/>
      <c r="AA65" s="3496"/>
      <c r="AB65" s="3496"/>
      <c r="AC65" s="3496"/>
      <c r="AD65" s="3496"/>
      <c r="AE65" s="3496"/>
      <c r="AF65" s="3496"/>
      <c r="AG65" s="3496"/>
      <c r="AH65" s="3496"/>
      <c r="AI65" s="3496"/>
      <c r="AJ65" s="3496"/>
      <c r="AK65" s="3496"/>
      <c r="AL65" s="3496"/>
      <c r="AM65" s="3496"/>
      <c r="AS65" s="2366">
        <v>14</v>
      </c>
    </row>
    <row customHeight="1" ht="22.5" hidden="1">
      <c r="A66" s="2371" t="s">
        <v>82</v>
      </c>
      <c r="B66" s="2371">
        <v>0</v>
      </c>
      <c r="C66" s="2371">
        <v>0</v>
      </c>
      <c r="D66" s="2371">
        <v>0</v>
      </c>
      <c r="E66" s="2371">
        <v>0</v>
      </c>
      <c r="F66" s="2371">
        <v>0</v>
      </c>
      <c r="G66" s="2371">
        <v>0</v>
      </c>
      <c r="H66" s="2371">
        <v>0</v>
      </c>
      <c r="I66" s="2371">
        <v>0</v>
      </c>
      <c r="J66" s="2371">
        <v>0</v>
      </c>
      <c r="K66" s="2371">
        <v>0</v>
      </c>
      <c r="L66" s="2540">
        <v>0</v>
      </c>
      <c r="M66" s="2573">
        <v>0</v>
      </c>
      <c r="N66" s="2573">
        <v>0</v>
      </c>
      <c r="O66" s="2573">
        <v>0</v>
      </c>
      <c r="P66" s="2539">
        <v>0</v>
      </c>
      <c r="Q66" s="1555">
        <v>3</v>
      </c>
      <c r="R66" s="1555">
        <v>3</v>
      </c>
      <c r="S66" s="1792">
        <v>12</v>
      </c>
      <c r="T66" s="2366">
        <v>31</v>
      </c>
      <c r="U66" s="2366">
        <v>0</v>
      </c>
      <c r="V66" s="2366">
        <v>0</v>
      </c>
      <c r="W66" s="2366">
        <v>0</v>
      </c>
      <c r="X66" s="2366">
        <v>0</v>
      </c>
      <c r="Y66" s="2366">
        <v>0</v>
      </c>
      <c r="Z66" s="2366">
        <v>0</v>
      </c>
      <c r="AA66" s="2366">
        <v>0</v>
      </c>
      <c r="AB66" s="2366">
        <v>0</v>
      </c>
      <c r="AC66" s="2366">
        <v>0</v>
      </c>
      <c r="AD66" s="2366">
        <v>24</v>
      </c>
      <c r="AE66" s="2366">
        <v>0</v>
      </c>
      <c r="AF66" s="2366">
        <v>24</v>
      </c>
      <c r="AG66" s="2366">
        <v>24</v>
      </c>
      <c r="AH66" s="2366">
        <v>11</v>
      </c>
      <c r="AI66" s="2366">
        <v>3</v>
      </c>
      <c r="AJ66" s="2366">
        <v>11</v>
      </c>
      <c r="AK66" s="2366">
        <v>0</v>
      </c>
      <c r="AL66" s="2366">
        <v>4</v>
      </c>
      <c r="AM66" s="2366">
        <v>115</v>
      </c>
      <c r="AN66" s="1722">
        <v>10</v>
      </c>
      <c r="AO66" s="1722">
        <v>10</v>
      </c>
      <c r="AP66" s="1722">
        <v>10</v>
      </c>
      <c r="AQ66" s="1722">
        <v>10</v>
      </c>
      <c r="AR66" s="1722">
        <v>10</v>
      </c>
      <c r="AS66" s="236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C8260C-6751-44DC-5293-908C2C462965}"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66903" width="10.57421875" hidden="1"/>
    <col min="2" max="2" style="66903" width="11.00390625" hidden="1" customWidth="1"/>
    <col min="3" max="3" style="66903" width="10.57421875" hidden="1"/>
    <col min="4" max="4" style="66903" width="11.8515625" hidden="1" customWidth="1"/>
    <col min="5" max="5" style="66903" width="10.00390625" hidden="1" customWidth="1"/>
    <col min="6" max="6" style="66903" width="8.7109375" hidden="1" customWidth="1"/>
    <col min="7" max="7" style="66903" width="7.57421875" hidden="1" customWidth="1"/>
    <col min="8" max="8" style="66903" width="11.421875" hidden="1" customWidth="1"/>
    <col min="9" max="9" style="66903" width="12.00390625" hidden="1" customWidth="1"/>
    <col min="10" max="10" style="66903" width="9.8515625" hidden="1" customWidth="1"/>
    <col min="11" max="12" style="66903" width="11.421875" hidden="1" customWidth="1"/>
    <col min="13" max="13" style="67441" width="19.140625" hidden="1" customWidth="1"/>
    <col min="14" max="15" style="67462" width="12.28125" hidden="1" customWidth="1"/>
    <col min="16" max="16" style="67462" width="23.421875" hidden="1" customWidth="1"/>
    <col min="17" max="17" style="67462" width="3.7109375" hidden="1" customWidth="1"/>
    <col min="18" max="20" style="66873" width="3.00390625" customWidth="1"/>
    <col min="21" max="21" style="67434" width="12.00390625" customWidth="1"/>
    <col min="22" max="22" style="66903" width="31.00390625" customWidth="1"/>
    <col min="23" max="23" style="66903" width="0.140625" customWidth="1"/>
    <col min="24" max="28" style="66903" width="21.7109375" hidden="1" customWidth="1"/>
    <col min="29" max="29" style="66903" width="11.7109375" hidden="1" customWidth="1"/>
    <col min="30" max="30" style="66903" width="3.7109375" hidden="1" customWidth="1"/>
    <col min="31" max="31" style="66903" width="11.7109375" hidden="1" customWidth="1"/>
    <col min="32" max="32" style="66903" width="8.57421875" hidden="1" customWidth="1"/>
    <col min="33" max="33" style="66903" width="21.7109375" customWidth="1"/>
    <col min="34" max="37" style="66903" width="21.00390625" customWidth="1"/>
    <col min="38" max="38" style="66903" width="11.00390625" customWidth="1"/>
    <col min="39" max="39" style="66903" width="3.7109375" customWidth="1"/>
    <col min="40" max="40" style="66903" width="11.00390625" customWidth="1"/>
    <col min="41" max="41" style="66903" width="8.57421875" hidden="1" customWidth="1"/>
    <col min="42" max="42" style="66903" width="4.00390625" customWidth="1"/>
    <col min="43" max="43" style="66903" width="115.00390625" customWidth="1"/>
    <col min="44" max="48" style="65923" width="10.00390625" customWidth="1"/>
    <col min="49" max="49" style="66903" width="10.57421875" hidden="1"/>
  </cols>
  <sheetData>
    <row customHeight="1" ht="22.5" hidden="1">
      <c r="AB1" s="1538"/>
      <c r="AC1" s="1538"/>
      <c r="AK1" s="1538"/>
      <c r="AL1" s="1538"/>
      <c r="AW1" s="2366" t="s">
        <v>14</v>
      </c>
    </row>
    <row customHeight="1" ht="21" hidden="1">
      <c r="A2" s="2478"/>
      <c r="B2" s="2478"/>
      <c r="C2" s="2478"/>
      <c r="D2" s="2478"/>
      <c r="E2" s="3500">
        <v>1</v>
      </c>
      <c r="F2" s="2478"/>
      <c r="G2" s="2478"/>
      <c r="H2" s="2478"/>
      <c r="I2" s="2478"/>
      <c r="J2" s="2478"/>
      <c r="K2" s="2478"/>
      <c r="L2" s="2478"/>
      <c r="M2" s="2521"/>
      <c r="N2" s="1899"/>
      <c r="O2" s="1899"/>
      <c r="P2" s="1899"/>
      <c r="Q2" s="1572"/>
      <c r="R2" s="1571"/>
      <c r="S2" s="1571"/>
      <c r="T2" s="1566"/>
      <c r="U2" s="2547">
        <f>INDEX(PT_DIFFERENTIATION_NUM_NTAR,MATCH(A2,PT_DIFFERENTIATION_NTAR_ID,0))</f>
      </c>
      <c r="V2" s="1509" t="s">
        <v>143</v>
      </c>
      <c r="W2" s="1511"/>
      <c r="X2" s="3453"/>
      <c r="Y2" s="3454"/>
      <c r="Z2" s="3454"/>
      <c r="AA2" s="3454"/>
      <c r="AB2" s="3454"/>
      <c r="AC2" s="3454"/>
      <c r="AD2" s="3454"/>
      <c r="AE2" s="3454"/>
      <c r="AF2" s="3455"/>
      <c r="AG2" s="3453">
        <f>INDEX(PT_DIFFERENTIATION_NTAR,MATCH(A2,PT_DIFFERENTIATION_NTAR_ID,0))</f>
      </c>
      <c r="AH2" s="3454"/>
      <c r="AI2" s="3454"/>
      <c r="AJ2" s="3454"/>
      <c r="AK2" s="3454"/>
      <c r="AL2" s="3454"/>
      <c r="AM2" s="3454"/>
      <c r="AN2" s="3454"/>
      <c r="AO2" s="3454"/>
      <c r="AP2" s="3455"/>
      <c r="AQ2" s="2469" t="s">
        <v>414</v>
      </c>
      <c r="AS2" s="1711"/>
      <c r="AT2" s="1711" t="str">
        <f>IF(V2="","",V2)</f>
        <v>Наименование тарифа</v>
      </c>
      <c r="AU2" s="1711"/>
      <c r="AV2" s="1711"/>
      <c r="AW2" s="2366">
        <v>0</v>
      </c>
    </row>
    <row customHeight="1" ht="21" hidden="1">
      <c r="A3" s="2478"/>
      <c r="B3" s="2478"/>
      <c r="C3" s="2478"/>
      <c r="D3" s="2478"/>
      <c r="E3" s="3501"/>
      <c r="F3" s="3500">
        <v>1</v>
      </c>
      <c r="G3" s="2478"/>
      <c r="H3" s="2478"/>
      <c r="I3" s="2478"/>
      <c r="J3" s="2478"/>
      <c r="K3" s="2478"/>
      <c r="L3" s="2478"/>
      <c r="M3" s="2521"/>
      <c r="N3" s="1899"/>
      <c r="O3" s="1899"/>
      <c r="P3" s="1899"/>
      <c r="Q3" s="2543"/>
      <c r="R3" s="1563"/>
      <c r="S3" s="1720"/>
      <c r="T3" s="1564"/>
      <c r="U3" s="2547">
        <f>INDEX(PT_DIFFERENTIATION_NUM_TER,MATCH(B3,PT_DIFFERENTIATION_TER_ID,0))</f>
      </c>
      <c r="V3" s="1519" t="s">
        <v>415</v>
      </c>
      <c r="W3" s="1511"/>
      <c r="X3" s="3453"/>
      <c r="Y3" s="3454"/>
      <c r="Z3" s="3454"/>
      <c r="AA3" s="3454"/>
      <c r="AB3" s="3454"/>
      <c r="AC3" s="3454"/>
      <c r="AD3" s="3454"/>
      <c r="AE3" s="3454"/>
      <c r="AF3" s="3455"/>
      <c r="AG3" s="3453">
        <f>INDEX(PT_DIFFERENTIATION_TER,MATCH(B3,PT_DIFFERENTIATION_TER_ID,0))</f>
      </c>
      <c r="AH3" s="3454"/>
      <c r="AI3" s="3454"/>
      <c r="AJ3" s="3454"/>
      <c r="AK3" s="3454"/>
      <c r="AL3" s="3454"/>
      <c r="AM3" s="3454"/>
      <c r="AN3" s="3454"/>
      <c r="AO3" s="3454"/>
      <c r="AP3" s="3455"/>
      <c r="AQ3" s="2469" t="s">
        <v>416</v>
      </c>
      <c r="AS3" s="1711"/>
      <c r="AT3" s="1711" t="str">
        <f>IF(V3="","",V3)</f>
        <v>Территория действия тарифа</v>
      </c>
      <c r="AU3" s="1711"/>
      <c r="AV3" s="1711"/>
      <c r="AW3" s="2366">
        <v>0</v>
      </c>
    </row>
    <row customHeight="1" ht="22.5" hidden="1">
      <c r="A4" s="2478"/>
      <c r="B4" s="2478"/>
      <c r="C4" s="2478"/>
      <c r="D4" s="2478"/>
      <c r="E4" s="3501"/>
      <c r="F4" s="3501"/>
      <c r="G4" s="3500">
        <v>1</v>
      </c>
      <c r="H4" s="2478"/>
      <c r="I4" s="2478"/>
      <c r="J4" s="2478"/>
      <c r="K4" s="2478"/>
      <c r="L4" s="2478"/>
      <c r="M4" s="2521"/>
      <c r="N4" s="1899"/>
      <c r="O4" s="1899"/>
      <c r="P4" s="1899"/>
      <c r="Q4" s="1565"/>
      <c r="R4" s="1563"/>
      <c r="S4" s="1720"/>
      <c r="T4" s="1564"/>
      <c r="U4" s="2547">
        <f>INDEX(PT_DIFFERENTIATION_NUM_CS,MATCH(C4,PT_DIFFERENTIATION_CS_ID,0))</f>
      </c>
      <c r="V4" s="1520" t="s">
        <v>417</v>
      </c>
      <c r="W4" s="1511"/>
      <c r="X4" s="3453"/>
      <c r="Y4" s="3454"/>
      <c r="Z4" s="3454"/>
      <c r="AA4" s="3454"/>
      <c r="AB4" s="3454"/>
      <c r="AC4" s="3454"/>
      <c r="AD4" s="3454"/>
      <c r="AE4" s="3454"/>
      <c r="AF4" s="3455"/>
      <c r="AG4" s="3453">
        <f>INDEX(PT_DIFFERENTIATION_CS,MATCH(C4,PT_DIFFERENTIATION_CS_ID,0))</f>
      </c>
      <c r="AH4" s="3454"/>
      <c r="AI4" s="3454"/>
      <c r="AJ4" s="3454"/>
      <c r="AK4" s="3454"/>
      <c r="AL4" s="3454"/>
      <c r="AM4" s="3454"/>
      <c r="AN4" s="3454"/>
      <c r="AO4" s="3454"/>
      <c r="AP4" s="3455"/>
      <c r="AQ4" s="2469" t="s">
        <v>418</v>
      </c>
      <c r="AS4" s="1711"/>
      <c r="AT4" s="1711" t="str">
        <f>IF(V4="","",V4)</f>
        <v>Наименование системы теплоснабжения </v>
      </c>
      <c r="AU4" s="1711"/>
      <c r="AV4" s="1711"/>
      <c r="AW4" s="2366">
        <v>0</v>
      </c>
    </row>
    <row customHeight="1" ht="21" hidden="1">
      <c r="A5" s="2478"/>
      <c r="B5" s="2478"/>
      <c r="C5" s="2478"/>
      <c r="D5" s="2478"/>
      <c r="E5" s="3501"/>
      <c r="F5" s="3501"/>
      <c r="G5" s="3501"/>
      <c r="H5" s="3500">
        <v>1</v>
      </c>
      <c r="I5" s="2478"/>
      <c r="J5" s="2478"/>
      <c r="K5" s="2478"/>
      <c r="L5" s="2478"/>
      <c r="M5" s="2521"/>
      <c r="N5" s="1899"/>
      <c r="O5" s="1899"/>
      <c r="P5" s="1899"/>
      <c r="Q5" s="1565"/>
      <c r="R5" s="1563"/>
      <c r="S5" s="1720"/>
      <c r="T5" s="1564"/>
      <c r="U5" s="2547">
        <f>INDEX(PT_DIFFERENTIATION_NUM_IST_TE,MATCH(D5,PT_DIFFERENTIATION_IST_TE_ID,0))</f>
      </c>
      <c r="V5" s="1521" t="s">
        <v>419</v>
      </c>
      <c r="W5" s="1511"/>
      <c r="X5" s="3453"/>
      <c r="Y5" s="3454"/>
      <c r="Z5" s="3454"/>
      <c r="AA5" s="3454"/>
      <c r="AB5" s="3454"/>
      <c r="AC5" s="3454"/>
      <c r="AD5" s="3454"/>
      <c r="AE5" s="3454"/>
      <c r="AF5" s="3455"/>
      <c r="AG5" s="3453">
        <f>INDEX(PT_DIFFERENTIATION_IST_TE,MATCH(D5,PT_DIFFERENTIATION_IST_TE_ID,0))</f>
      </c>
      <c r="AH5" s="3454"/>
      <c r="AI5" s="3454"/>
      <c r="AJ5" s="3454"/>
      <c r="AK5" s="3454"/>
      <c r="AL5" s="3454"/>
      <c r="AM5" s="3454"/>
      <c r="AN5" s="3454"/>
      <c r="AO5" s="3454"/>
      <c r="AP5" s="3455"/>
      <c r="AQ5" s="2469" t="s">
        <v>420</v>
      </c>
      <c r="AS5" s="1711"/>
      <c r="AT5" s="1711" t="str">
        <f>IF(V5="","",V5)</f>
        <v>Источник тепловой энергии  </v>
      </c>
      <c r="AU5" s="1711"/>
      <c r="AV5" s="1711"/>
      <c r="AW5" s="2366">
        <v>0</v>
      </c>
    </row>
    <row customHeight="1" ht="14.25" hidden="1">
      <c r="A6" s="2478"/>
      <c r="B6" s="2478"/>
      <c r="C6" s="2478"/>
      <c r="D6" s="2478"/>
      <c r="E6" s="3501"/>
      <c r="F6" s="3501"/>
      <c r="G6" s="3501"/>
      <c r="H6" s="3501"/>
      <c r="I6" s="3338">
        <f>U5&amp;".1"</f>
      </c>
      <c r="J6" s="2478"/>
      <c r="K6" s="2478"/>
      <c r="L6" s="2478"/>
      <c r="M6" s="2521" t="s">
        <v>421</v>
      </c>
      <c r="N6" s="1720"/>
      <c r="Q6" s="3468">
        <v>1</v>
      </c>
      <c r="R6" s="2542"/>
      <c r="S6" s="2542"/>
      <c r="T6" s="1567"/>
      <c r="U6" s="2253"/>
      <c r="V6" s="2594"/>
      <c r="W6" s="2595"/>
      <c r="X6" s="3507"/>
      <c r="Y6" s="3508"/>
      <c r="Z6" s="3508"/>
      <c r="AA6" s="3508"/>
      <c r="AB6" s="3508"/>
      <c r="AC6" s="3508"/>
      <c r="AD6" s="3508"/>
      <c r="AE6" s="3508"/>
      <c r="AF6" s="3509"/>
      <c r="AG6" s="3507"/>
      <c r="AH6" s="3508"/>
      <c r="AI6" s="3508"/>
      <c r="AJ6" s="3508"/>
      <c r="AK6" s="3508"/>
      <c r="AL6" s="3508"/>
      <c r="AM6" s="3508"/>
      <c r="AN6" s="3508"/>
      <c r="AO6" s="3508"/>
      <c r="AP6" s="3509"/>
      <c r="AQ6" s="2596"/>
      <c r="AS6" s="1711"/>
      <c r="AT6" s="1711" t="str">
        <f>IF(V6="","",V6)</f>
        <v/>
      </c>
      <c r="AU6" s="1711"/>
      <c r="AV6" s="1711"/>
      <c r="AW6" s="2366">
        <v>0</v>
      </c>
    </row>
    <row customHeight="1" ht="21" hidden="1">
      <c r="A7" s="2478"/>
      <c r="B7" s="2478"/>
      <c r="C7" s="2478"/>
      <c r="D7" s="2478"/>
      <c r="E7" s="3501"/>
      <c r="F7" s="3501"/>
      <c r="G7" s="3501"/>
      <c r="H7" s="3501"/>
      <c r="I7" s="3312"/>
      <c r="J7" s="3338">
        <f>I6&amp;".1"</f>
      </c>
      <c r="K7" s="2478"/>
      <c r="L7" s="2478"/>
      <c r="M7" s="2521" t="s">
        <v>424</v>
      </c>
      <c r="N7" s="1720"/>
      <c r="O7" s="1538"/>
      <c r="Q7" s="3468"/>
      <c r="R7" s="3468">
        <v>1</v>
      </c>
      <c r="S7" s="1729"/>
      <c r="T7" s="1568"/>
      <c r="U7" s="2547">
        <f>$J7</f>
      </c>
      <c r="V7" s="1497" t="s">
        <v>425</v>
      </c>
      <c r="W7" s="1511"/>
      <c r="X7" s="3456"/>
      <c r="Y7" s="3457"/>
      <c r="Z7" s="3457"/>
      <c r="AA7" s="3457"/>
      <c r="AB7" s="3457"/>
      <c r="AC7" s="3446"/>
      <c r="AD7" s="3446"/>
      <c r="AE7" s="3446"/>
      <c r="AF7" s="3519"/>
      <c r="AG7" s="3456"/>
      <c r="AH7" s="3457"/>
      <c r="AI7" s="3457"/>
      <c r="AJ7" s="3457"/>
      <c r="AK7" s="3457"/>
      <c r="AL7" s="3457"/>
      <c r="AM7" s="3457"/>
      <c r="AN7" s="3457"/>
      <c r="AO7" s="3457"/>
      <c r="AP7" s="3458"/>
      <c r="AQ7" s="2469" t="s">
        <v>426</v>
      </c>
      <c r="AS7" s="1711"/>
      <c r="AT7" s="1711" t="str">
        <f>IF(V7="","",V7)</f>
        <v>Группа потребителей</v>
      </c>
      <c r="AU7" s="1711"/>
      <c r="AV7" s="1711"/>
      <c r="AW7" s="2366">
        <v>0</v>
      </c>
    </row>
    <row customHeight="1" ht="21" hidden="1">
      <c r="A8" s="2478"/>
      <c r="B8" s="2478"/>
      <c r="C8" s="2478"/>
      <c r="D8" s="2478"/>
      <c r="E8" s="3501"/>
      <c r="F8" s="3501"/>
      <c r="G8" s="3501"/>
      <c r="H8" s="3501"/>
      <c r="I8" s="3312"/>
      <c r="J8" s="3312"/>
      <c r="K8" s="3338">
        <f>J7&amp;".1"</f>
      </c>
      <c r="L8" s="1350"/>
      <c r="M8" s="2521" t="s">
        <v>427</v>
      </c>
      <c r="N8" s="1720"/>
      <c r="O8" s="1538"/>
      <c r="P8" s="1538"/>
      <c r="Q8" s="3468"/>
      <c r="R8" s="3468"/>
      <c r="S8" s="3468">
        <v>1</v>
      </c>
      <c r="T8" s="1568"/>
      <c r="U8" s="2547">
        <f>$K8</f>
      </c>
      <c r="V8" s="2558"/>
      <c r="W8" s="1511"/>
      <c r="X8" s="1962"/>
      <c r="Y8" s="1962"/>
      <c r="Z8" s="1962"/>
      <c r="AA8" s="1962"/>
      <c r="AB8" s="2616"/>
      <c r="AC8" s="3476"/>
      <c r="AD8" s="3318" t="s">
        <v>62</v>
      </c>
      <c r="AE8" s="3476"/>
      <c r="AF8" s="3318" t="s">
        <v>62</v>
      </c>
      <c r="AG8" s="2618"/>
      <c r="AH8" s="1962"/>
      <c r="AI8" s="1962"/>
      <c r="AJ8" s="1962"/>
      <c r="AK8" s="2468"/>
      <c r="AL8" s="3476"/>
      <c r="AM8" s="3318" t="s">
        <v>62</v>
      </c>
      <c r="AN8" s="3476"/>
      <c r="AO8" s="3318" t="s">
        <v>62</v>
      </c>
      <c r="AP8" s="1536"/>
      <c r="AQ8" s="2518" t="s">
        <v>470</v>
      </c>
      <c r="AR8" s="1722">
        <f>STRCHECKDATE(X10:AP10)</f>
      </c>
      <c r="AS8" s="1711"/>
      <c r="AT8" s="1711" t="str">
        <f>IF(V8="","",V8)</f>
        <v/>
      </c>
      <c r="AU8" s="1711"/>
      <c r="AV8" s="1711"/>
      <c r="AW8" s="2366">
        <v>0</v>
      </c>
    </row>
    <row customHeight="1" ht="21" hidden="1">
      <c r="A9" s="2478"/>
      <c r="B9" s="2478"/>
      <c r="C9" s="2478"/>
      <c r="D9" s="2478"/>
      <c r="E9" s="3501"/>
      <c r="F9" s="3501"/>
      <c r="G9" s="3501"/>
      <c r="H9" s="3501"/>
      <c r="I9" s="3312"/>
      <c r="J9" s="3312"/>
      <c r="K9" s="3312"/>
      <c r="L9" s="3338">
        <f>K8&amp;".1"</f>
      </c>
      <c r="M9" s="2521"/>
      <c r="N9" s="1720"/>
      <c r="O9" s="1538"/>
      <c r="P9" s="1538"/>
      <c r="Q9" s="3468"/>
      <c r="R9" s="3468"/>
      <c r="S9" s="3468"/>
      <c r="T9" s="1568"/>
      <c r="U9" s="2547">
        <f>$L9</f>
      </c>
      <c r="V9" s="2602"/>
      <c r="W9" s="1511"/>
      <c r="X9" s="1536"/>
      <c r="Y9" s="1962"/>
      <c r="Z9" s="1962"/>
      <c r="AA9" s="1962"/>
      <c r="AB9" s="2616"/>
      <c r="AC9" s="3520"/>
      <c r="AD9" s="3318"/>
      <c r="AE9" s="3520"/>
      <c r="AF9" s="3318"/>
      <c r="AG9" s="2618"/>
      <c r="AH9" s="1962"/>
      <c r="AI9" s="1962"/>
      <c r="AJ9" s="1962"/>
      <c r="AK9" s="2468"/>
      <c r="AL9" s="3520"/>
      <c r="AM9" s="3318"/>
      <c r="AN9" s="3520"/>
      <c r="AO9" s="3318"/>
      <c r="AP9" s="1536"/>
      <c r="AQ9" s="3464" t="s">
        <v>471</v>
      </c>
      <c r="AS9" s="1711"/>
      <c r="AT9" s="1711"/>
      <c r="AU9" s="1711"/>
      <c r="AV9" s="1711"/>
      <c r="AW9" s="2366">
        <v>0</v>
      </c>
    </row>
    <row customHeight="1" ht="14.25" hidden="1">
      <c r="A10" s="2478"/>
      <c r="B10" s="2478"/>
      <c r="C10" s="2478"/>
      <c r="D10" s="2478"/>
      <c r="E10" s="3501"/>
      <c r="F10" s="3501"/>
      <c r="G10" s="3501"/>
      <c r="H10" s="3501"/>
      <c r="I10" s="3312"/>
      <c r="J10" s="3312"/>
      <c r="K10" s="3312"/>
      <c r="L10" s="3338"/>
      <c r="M10" s="2521"/>
      <c r="N10" s="1720"/>
      <c r="O10" s="1538"/>
      <c r="P10" s="1538"/>
      <c r="Q10" s="3468"/>
      <c r="R10" s="3468"/>
      <c r="S10" s="3468"/>
      <c r="T10" s="1568"/>
      <c r="U10" s="2553"/>
      <c r="V10" s="1511"/>
      <c r="W10" s="1511"/>
      <c r="X10" s="1536"/>
      <c r="Y10" s="1536"/>
      <c r="Z10" s="1536"/>
      <c r="AA10" s="1536"/>
      <c r="AB10" s="2617" t="str">
        <f>AC8&amp;"-"&amp;AE8</f>
        <v>-</v>
      </c>
      <c r="AC10" s="3520"/>
      <c r="AD10" s="3318"/>
      <c r="AE10" s="3520"/>
      <c r="AF10" s="3318"/>
      <c r="AG10" s="2593"/>
      <c r="AH10" s="1536"/>
      <c r="AI10" s="1536"/>
      <c r="AJ10" s="1536"/>
      <c r="AK10" s="1539" t="str">
        <f>AL8&amp;"-"&amp;AN8</f>
        <v>-</v>
      </c>
      <c r="AL10" s="3520"/>
      <c r="AM10" s="3318"/>
      <c r="AN10" s="3520"/>
      <c r="AO10" s="3318"/>
      <c r="AP10" s="1536"/>
      <c r="AQ10" s="3465"/>
      <c r="AS10" s="1711"/>
      <c r="AT10" s="1711" t="str">
        <f>IF(V10="","",V10)</f>
        <v/>
      </c>
      <c r="AU10" s="1711"/>
      <c r="AV10" s="1711"/>
      <c r="AW10" s="2366">
        <v>0</v>
      </c>
    </row>
    <row customHeight="1" ht="11.25" hidden="1">
      <c r="A11" s="2478"/>
      <c r="B11" s="2478"/>
      <c r="C11" s="2478"/>
      <c r="D11" s="2478"/>
      <c r="E11" s="3501"/>
      <c r="F11" s="3501"/>
      <c r="G11" s="3501"/>
      <c r="H11" s="3501"/>
      <c r="I11" s="3312"/>
      <c r="J11" s="3312"/>
      <c r="K11" s="3338"/>
      <c r="L11" s="2478"/>
      <c r="M11" s="2521"/>
      <c r="N11" s="1720"/>
      <c r="O11" s="1538"/>
      <c r="P11" s="1538"/>
      <c r="Q11" s="3468"/>
      <c r="R11" s="3468"/>
      <c r="S11" s="3468"/>
      <c r="T11" s="1568"/>
      <c r="U11" s="2489"/>
      <c r="V11" s="1499" t="s">
        <v>472</v>
      </c>
      <c r="W11" s="2603"/>
      <c r="X11" s="2604"/>
      <c r="Y11" s="2604"/>
      <c r="Z11" s="2604"/>
      <c r="AA11" s="2604"/>
      <c r="AB11" s="2605"/>
      <c r="AC11" s="3520"/>
      <c r="AD11" s="3318"/>
      <c r="AE11" s="3520"/>
      <c r="AF11" s="3318"/>
      <c r="AG11" s="2604"/>
      <c r="AH11" s="2604"/>
      <c r="AI11" s="2604"/>
      <c r="AJ11" s="2604"/>
      <c r="AK11" s="2605"/>
      <c r="AL11" s="3520"/>
      <c r="AM11" s="3318"/>
      <c r="AN11" s="3520"/>
      <c r="AO11" s="3318"/>
      <c r="AP11" s="2606"/>
      <c r="AQ11" s="3465"/>
      <c r="AS11" s="1711"/>
      <c r="AT11" s="1711"/>
      <c r="AU11" s="1711"/>
      <c r="AV11" s="1711"/>
      <c r="AW11" s="2366">
        <v>0</v>
      </c>
    </row>
    <row customHeight="1" ht="15" hidden="1">
      <c r="A12" s="2478"/>
      <c r="B12" s="2478"/>
      <c r="C12" s="2478"/>
      <c r="D12" s="2478"/>
      <c r="E12" s="3501"/>
      <c r="F12" s="3501"/>
      <c r="G12" s="3501"/>
      <c r="H12" s="3501"/>
      <c r="I12" s="3312"/>
      <c r="J12" s="3338"/>
      <c r="K12" s="2478"/>
      <c r="L12" s="2478"/>
      <c r="M12" s="2521"/>
      <c r="N12" s="1720"/>
      <c r="O12" s="1538"/>
      <c r="Q12" s="3468"/>
      <c r="R12" s="3468"/>
      <c r="S12" s="2542"/>
      <c r="T12" s="1567"/>
      <c r="U12" s="2489"/>
      <c r="V12" s="1498" t="s">
        <v>429</v>
      </c>
      <c r="W12" s="1578"/>
      <c r="X12" s="1578"/>
      <c r="Y12" s="1578"/>
      <c r="Z12" s="1578"/>
      <c r="AA12" s="1578"/>
      <c r="AB12" s="1578"/>
      <c r="AC12" s="2619"/>
      <c r="AD12" s="2619"/>
      <c r="AE12" s="2619"/>
      <c r="AF12" s="2619"/>
      <c r="AG12" s="1578"/>
      <c r="AH12" s="1578"/>
      <c r="AI12" s="1578"/>
      <c r="AJ12" s="1578"/>
      <c r="AK12" s="1578"/>
      <c r="AL12" s="1578"/>
      <c r="AM12" s="1578"/>
      <c r="AN12" s="1578"/>
      <c r="AO12" s="1578"/>
      <c r="AP12" s="1535"/>
      <c r="AQ12" s="3466"/>
      <c r="AS12" s="1711"/>
      <c r="AT12" s="1711" t="str">
        <f>IF(V12="","",V12)</f>
        <v>Добавить вид теплоносителя (параметры теплоносителя)</v>
      </c>
      <c r="AU12" s="1711"/>
      <c r="AV12" s="1711"/>
      <c r="AW12" s="2366">
        <v>0</v>
      </c>
    </row>
    <row customHeight="1" ht="11.25" hidden="1">
      <c r="A13" s="2478"/>
      <c r="B13" s="2478"/>
      <c r="C13" s="2478"/>
      <c r="D13" s="2478"/>
      <c r="E13" s="3501"/>
      <c r="F13" s="3501"/>
      <c r="G13" s="3501"/>
      <c r="H13" s="3501"/>
      <c r="I13" s="3338"/>
      <c r="J13" s="2478"/>
      <c r="K13" s="2478"/>
      <c r="L13" s="2478"/>
      <c r="M13" s="2521"/>
      <c r="N13" s="1720"/>
      <c r="Q13" s="3468"/>
      <c r="R13" s="2542"/>
      <c r="S13" s="2542"/>
      <c r="T13" s="1567"/>
      <c r="U13" s="2489"/>
      <c r="V13" s="1576" t="s">
        <v>430</v>
      </c>
      <c r="W13" s="1578"/>
      <c r="X13" s="1578"/>
      <c r="Y13" s="1578"/>
      <c r="Z13" s="1578"/>
      <c r="AA13" s="1578"/>
      <c r="AB13" s="1578"/>
      <c r="AC13" s="1578"/>
      <c r="AD13" s="1578"/>
      <c r="AE13" s="1578"/>
      <c r="AF13" s="1577"/>
      <c r="AG13" s="1578"/>
      <c r="AH13" s="1578"/>
      <c r="AI13" s="1578"/>
      <c r="AJ13" s="1578"/>
      <c r="AK13" s="1578"/>
      <c r="AL13" s="1578"/>
      <c r="AM13" s="1578"/>
      <c r="AN13" s="1578"/>
      <c r="AO13" s="1577"/>
      <c r="AP13" s="1578"/>
      <c r="AQ13" s="1514"/>
      <c r="AS13" s="1711"/>
      <c r="AT13" s="1711" t="str">
        <f>IF(V13="","",V13)</f>
        <v>Добавить группу потребителей</v>
      </c>
      <c r="AU13" s="1711"/>
      <c r="AV13" s="1711"/>
      <c r="AW13" s="2366">
        <v>0</v>
      </c>
    </row>
    <row customHeight="1" ht="14.25" hidden="1">
      <c r="A14" s="2478"/>
      <c r="B14" s="2478"/>
      <c r="C14" s="2478"/>
      <c r="D14" s="2478"/>
      <c r="E14" s="3501"/>
      <c r="F14" s="3501"/>
      <c r="G14" s="3501"/>
      <c r="H14" s="3500"/>
      <c r="I14" s="2478"/>
      <c r="J14" s="2478"/>
      <c r="K14" s="2478"/>
      <c r="L14" s="2478"/>
      <c r="M14" s="2521"/>
      <c r="N14" s="1899"/>
      <c r="O14" s="1899"/>
      <c r="P14" s="1720"/>
      <c r="Q14" s="1571"/>
      <c r="R14" s="1586"/>
      <c r="S14" s="1566"/>
      <c r="T14" s="1571"/>
      <c r="U14" s="2597"/>
      <c r="V14" s="2598"/>
      <c r="W14" s="2599"/>
      <c r="X14" s="2599"/>
      <c r="Y14" s="2599"/>
      <c r="Z14" s="2599"/>
      <c r="AA14" s="2599"/>
      <c r="AB14" s="2599"/>
      <c r="AC14" s="2599"/>
      <c r="AD14" s="2599"/>
      <c r="AE14" s="2599"/>
      <c r="AF14" s="2599"/>
      <c r="AG14" s="2599"/>
      <c r="AH14" s="2599"/>
      <c r="AI14" s="2599"/>
      <c r="AJ14" s="2599"/>
      <c r="AK14" s="2599"/>
      <c r="AL14" s="2599"/>
      <c r="AM14" s="2599"/>
      <c r="AN14" s="2599"/>
      <c r="AO14" s="2599"/>
      <c r="AP14" s="2599"/>
      <c r="AQ14" s="2600"/>
      <c r="AS14" s="1711"/>
      <c r="AT14" s="1711" t="str">
        <f>IF(V14="","",V14)</f>
        <v/>
      </c>
      <c r="AU14" s="1711"/>
      <c r="AV14" s="1711"/>
      <c r="AW14" s="2366">
        <v>0</v>
      </c>
    </row>
    <row s="65923" customFormat="1" customHeight="1" ht="14.25" hidden="1">
      <c r="A15" s="2585"/>
      <c r="B15" s="2585"/>
      <c r="C15" s="2585"/>
      <c r="D15" s="2585"/>
      <c r="E15" s="3501"/>
      <c r="F15" s="3501"/>
      <c r="G15" s="3500"/>
      <c r="H15" s="2585"/>
      <c r="I15" s="2585"/>
      <c r="J15" s="2585"/>
      <c r="K15" s="2585"/>
      <c r="L15" s="2585"/>
      <c r="M15" s="2588"/>
      <c r="N15" s="2589"/>
      <c r="O15" s="2589"/>
      <c r="P15" s="1562"/>
      <c r="Q15" s="2527"/>
      <c r="R15" s="2528"/>
      <c r="S15" s="2527"/>
      <c r="T15" s="2527"/>
      <c r="U15" s="2529"/>
      <c r="V15" s="2530" t="s">
        <v>432</v>
      </c>
      <c r="W15" s="2531"/>
      <c r="X15" s="2531"/>
      <c r="Y15" s="2531"/>
      <c r="Z15" s="2531"/>
      <c r="AA15" s="2531"/>
      <c r="AB15" s="2531"/>
      <c r="AC15" s="2531"/>
      <c r="AD15" s="2531"/>
      <c r="AE15" s="2531"/>
      <c r="AF15" s="2531"/>
      <c r="AG15" s="2531"/>
      <c r="AH15" s="2531"/>
      <c r="AI15" s="2531"/>
      <c r="AJ15" s="2531"/>
      <c r="AK15" s="2531"/>
      <c r="AL15" s="2531"/>
      <c r="AM15" s="2531"/>
      <c r="AN15" s="2531"/>
      <c r="AO15" s="2531"/>
      <c r="AP15" s="2531"/>
      <c r="AQ15" s="2531"/>
      <c r="AS15" s="2000"/>
      <c r="AT15" s="2000" t="str">
        <f>IF(V15="","",V15)</f>
        <v>Добавить источник для дифференциации</v>
      </c>
      <c r="AU15" s="2000"/>
      <c r="AV15" s="2000"/>
      <c r="AW15" s="1729">
        <v>0</v>
      </c>
    </row>
    <row s="65923" customFormat="1" customHeight="1" ht="14.25" hidden="1">
      <c r="A16" s="2585"/>
      <c r="B16" s="2585"/>
      <c r="C16" s="2585"/>
      <c r="D16" s="2585"/>
      <c r="E16" s="3501"/>
      <c r="F16" s="3500"/>
      <c r="G16" s="2585"/>
      <c r="H16" s="2585"/>
      <c r="I16" s="2585"/>
      <c r="J16" s="2585"/>
      <c r="K16" s="2585"/>
      <c r="L16" s="2585"/>
      <c r="M16" s="2588"/>
      <c r="N16" s="2590"/>
      <c r="O16" s="2590"/>
      <c r="P16" s="1562"/>
      <c r="Q16" s="2527"/>
      <c r="R16" s="2528"/>
      <c r="S16" s="2527"/>
      <c r="T16" s="2527"/>
      <c r="U16" s="2533"/>
      <c r="V16" s="2534" t="s">
        <v>433</v>
      </c>
      <c r="W16" s="2535"/>
      <c r="X16" s="2535"/>
      <c r="Y16" s="2535"/>
      <c r="Z16" s="2535"/>
      <c r="AA16" s="2535"/>
      <c r="AB16" s="2535"/>
      <c r="AC16" s="2535"/>
      <c r="AD16" s="2535"/>
      <c r="AE16" s="2535"/>
      <c r="AF16" s="2535"/>
      <c r="AG16" s="2535"/>
      <c r="AH16" s="2535"/>
      <c r="AI16" s="2535"/>
      <c r="AJ16" s="2535"/>
      <c r="AK16" s="2535"/>
      <c r="AL16" s="2535"/>
      <c r="AM16" s="2535"/>
      <c r="AN16" s="2535"/>
      <c r="AO16" s="2535"/>
      <c r="AP16" s="2535"/>
      <c r="AQ16" s="2535"/>
      <c r="AS16" s="2000"/>
      <c r="AT16" s="2000" t="str">
        <f>IF(V16="","",V16)</f>
        <v>Добавить централизованную систему для дифференциации</v>
      </c>
      <c r="AU16" s="2000"/>
      <c r="AV16" s="2000"/>
      <c r="AW16" s="1729">
        <v>0</v>
      </c>
    </row>
    <row s="65923" customFormat="1" customHeight="1" ht="14.25" hidden="1">
      <c r="A17" s="2585"/>
      <c r="B17" s="2585"/>
      <c r="C17" s="2585"/>
      <c r="D17" s="2585"/>
      <c r="E17" s="3500"/>
      <c r="F17" s="2585"/>
      <c r="G17" s="2585"/>
      <c r="H17" s="2585"/>
      <c r="I17" s="2585"/>
      <c r="J17" s="2585"/>
      <c r="K17" s="2585"/>
      <c r="L17" s="2585"/>
      <c r="M17" s="2588"/>
      <c r="N17" s="2590"/>
      <c r="O17" s="2590"/>
      <c r="P17" s="1562"/>
      <c r="Q17" s="2527"/>
      <c r="R17" s="2528"/>
      <c r="S17" s="2527"/>
      <c r="T17" s="2527"/>
      <c r="U17" s="2533"/>
      <c r="V17" s="2536" t="s">
        <v>434</v>
      </c>
      <c r="W17" s="2535"/>
      <c r="X17" s="2535"/>
      <c r="Y17" s="2535"/>
      <c r="Z17" s="2535"/>
      <c r="AA17" s="2535"/>
      <c r="AB17" s="2535"/>
      <c r="AC17" s="2535"/>
      <c r="AD17" s="2535"/>
      <c r="AE17" s="2535"/>
      <c r="AF17" s="2535"/>
      <c r="AG17" s="2535"/>
      <c r="AH17" s="2535"/>
      <c r="AI17" s="2535"/>
      <c r="AJ17" s="2535"/>
      <c r="AK17" s="2535"/>
      <c r="AL17" s="2535"/>
      <c r="AM17" s="2535"/>
      <c r="AN17" s="2535"/>
      <c r="AO17" s="2535"/>
      <c r="AP17" s="2535"/>
      <c r="AQ17" s="2535"/>
      <c r="AS17" s="2000"/>
      <c r="AT17" s="2000" t="str">
        <f>IF(V17="","",V17)</f>
        <v>Добавить территорию для дифференциации</v>
      </c>
      <c r="AU17" s="2000"/>
      <c r="AV17" s="2000"/>
      <c r="AW17" s="1729">
        <v>0</v>
      </c>
    </row>
    <row customHeight="1" ht="14.25" hidden="1">
      <c r="AF18" s="1538"/>
      <c r="AO18" s="1538"/>
      <c r="AW18" s="2366">
        <v>0</v>
      </c>
    </row>
    <row customHeight="1" ht="14.25" hidden="1">
      <c r="AG19" s="2571"/>
      <c r="AH19" s="2571"/>
      <c r="AI19" s="2571"/>
      <c r="AJ19" s="2571"/>
      <c r="AK19" s="2572"/>
      <c r="AL19" s="3478"/>
      <c r="AM19" s="3479" t="s">
        <v>62</v>
      </c>
      <c r="AN19" s="3478"/>
      <c r="AO19" s="3479" t="s">
        <v>62</v>
      </c>
      <c r="AW19" s="2366">
        <v>0</v>
      </c>
    </row>
    <row customHeight="1" ht="14.25" hidden="1">
      <c r="AG20" s="2571"/>
      <c r="AH20" s="2571"/>
      <c r="AI20" s="2571"/>
      <c r="AJ20" s="2571"/>
      <c r="AK20" s="2572"/>
      <c r="AL20" s="3478"/>
      <c r="AM20" s="3479"/>
      <c r="AN20" s="3478"/>
      <c r="AO20" s="3479"/>
      <c r="AW20" s="2366">
        <v>0</v>
      </c>
    </row>
    <row customHeight="1" ht="14.25" hidden="1">
      <c r="AG21" s="2571"/>
      <c r="AH21" s="2571"/>
      <c r="AI21" s="2571"/>
      <c r="AJ21" s="2571"/>
      <c r="AK21" s="2572"/>
      <c r="AL21" s="3478"/>
      <c r="AM21" s="3479"/>
      <c r="AN21" s="3478"/>
      <c r="AO21" s="3479"/>
      <c r="AW21" s="2366">
        <v>0</v>
      </c>
    </row>
    <row customHeight="1" ht="14.25" hidden="1">
      <c r="AG22" s="2571"/>
      <c r="AH22" s="2571"/>
      <c r="AI22" s="2571"/>
      <c r="AJ22" s="2571"/>
      <c r="AK22" s="1539" t="str">
        <f>AL19&amp;"-"&amp;AN19</f>
        <v>-</v>
      </c>
      <c r="AL22" s="3479"/>
      <c r="AM22" s="3479"/>
      <c r="AN22" s="3479"/>
      <c r="AO22" s="3479"/>
      <c r="AW22" s="2366">
        <v>0</v>
      </c>
    </row>
    <row customHeight="1" ht="14.25" hidden="1">
      <c r="AO23" s="1538"/>
      <c r="AW23" s="2366">
        <v>0</v>
      </c>
    </row>
    <row s="66852" customFormat="1" customHeight="1" ht="22.5" hidden="1">
      <c r="A24" s="2366"/>
      <c r="B24" s="2366"/>
      <c r="C24" s="2366"/>
      <c r="D24" s="2366"/>
      <c r="E24" s="2366"/>
      <c r="F24" s="2366"/>
      <c r="G24" s="2366"/>
      <c r="H24" s="2366"/>
      <c r="I24" s="2366"/>
      <c r="J24" s="2366"/>
      <c r="K24" s="2366"/>
      <c r="L24" s="2366"/>
      <c r="M24" s="2538"/>
      <c r="N24" s="2539"/>
      <c r="O24" s="2539"/>
      <c r="P24" s="2556" t="s">
        <v>435</v>
      </c>
      <c r="Q24" s="2573"/>
      <c r="R24" s="2582"/>
      <c r="S24" s="2582"/>
      <c r="T24" s="2582"/>
      <c r="U24" s="1940"/>
      <c r="AC24" s="2578"/>
      <c r="AE24" s="2578"/>
      <c r="AF24" s="2577"/>
      <c r="AL24" s="2578"/>
      <c r="AN24" s="2578"/>
      <c r="AO24" s="2577"/>
      <c r="AR24" s="1722"/>
      <c r="AS24" s="1722"/>
      <c r="AT24" s="1722"/>
      <c r="AU24" s="1722"/>
      <c r="AV24" s="1722"/>
      <c r="AW24" s="2371">
        <v>0</v>
      </c>
    </row>
    <row s="66852" customFormat="1" customHeight="1" ht="14.25" hidden="1">
      <c r="A25" s="2366"/>
      <c r="B25" s="2366"/>
      <c r="C25" s="2366"/>
      <c r="D25" s="2366"/>
      <c r="E25" s="2366"/>
      <c r="F25" s="2366"/>
      <c r="G25" s="2366"/>
      <c r="H25" s="2366"/>
      <c r="I25" s="2366"/>
      <c r="J25" s="2366"/>
      <c r="K25" s="2366"/>
      <c r="L25" s="2366"/>
      <c r="M25" s="2538"/>
      <c r="N25" s="2539"/>
      <c r="O25" s="2539"/>
      <c r="P25" s="2539"/>
      <c r="Q25" s="2573"/>
      <c r="R25" s="2582"/>
      <c r="S25" s="2582"/>
      <c r="T25" s="2582"/>
      <c r="U25" s="1940"/>
      <c r="AF25" s="2577"/>
      <c r="AO25" s="2577"/>
      <c r="AR25" s="1722"/>
      <c r="AS25" s="1722"/>
      <c r="AT25" s="1722"/>
      <c r="AU25" s="1722"/>
      <c r="AV25" s="1722"/>
      <c r="AW25" s="2371">
        <v>0</v>
      </c>
    </row>
    <row s="66852" customFormat="1" customHeight="1" ht="14.25" hidden="1">
      <c r="A26" s="2366"/>
      <c r="B26" s="2366"/>
      <c r="C26" s="2366"/>
      <c r="D26" s="2366"/>
      <c r="E26" s="2366"/>
      <c r="F26" s="2366"/>
      <c r="G26" s="2366"/>
      <c r="H26" s="2366"/>
      <c r="I26" s="2366"/>
      <c r="J26" s="2366"/>
      <c r="K26" s="2366"/>
      <c r="L26" s="2366"/>
      <c r="M26" s="2538"/>
      <c r="N26" s="2539"/>
      <c r="O26" s="2539"/>
      <c r="P26" s="2521" t="s">
        <v>436</v>
      </c>
      <c r="Q26" s="2573"/>
      <c r="R26" s="2582"/>
      <c r="S26" s="2582"/>
      <c r="T26" s="2582"/>
      <c r="U26" s="1940"/>
      <c r="V26" s="2371" t="s">
        <v>437</v>
      </c>
      <c r="AD26" s="1397" t="s">
        <v>438</v>
      </c>
      <c r="AF26" s="1397" t="s">
        <v>439</v>
      </c>
      <c r="AG26" s="2371" t="s">
        <v>437</v>
      </c>
      <c r="AM26" s="1397" t="s">
        <v>440</v>
      </c>
      <c r="AO26" s="1397" t="s">
        <v>439</v>
      </c>
      <c r="AR26" s="1722"/>
      <c r="AS26" s="1722"/>
      <c r="AT26" s="1722"/>
      <c r="AU26" s="1722"/>
      <c r="AV26" s="1722"/>
      <c r="AW26" s="2371">
        <v>0</v>
      </c>
    </row>
    <row customHeight="1" ht="14.25" hidden="1">
      <c r="P27" s="2521"/>
      <c r="AW27" s="2366">
        <v>0</v>
      </c>
    </row>
    <row customHeight="1" ht="14.25" hidden="1">
      <c r="P28" s="2521"/>
      <c r="AW28" s="2366">
        <v>0</v>
      </c>
    </row>
    <row customHeight="1" ht="14.699999999999998">
      <c r="R29" s="1587"/>
      <c r="S29" s="1587"/>
      <c r="T29" s="1587"/>
      <c r="U29" s="2486"/>
      <c r="V29" s="1574"/>
      <c r="W29" s="1574"/>
      <c r="X29" s="1720"/>
      <c r="Y29" s="1720"/>
      <c r="Z29" s="1720"/>
      <c r="AA29" s="1720"/>
      <c r="AB29" s="1720"/>
      <c r="AC29" s="1720"/>
      <c r="AD29" s="1720"/>
      <c r="AE29" s="1720"/>
      <c r="AF29" s="1720"/>
      <c r="AG29" s="1720"/>
      <c r="AH29" s="1720"/>
      <c r="AI29" s="1720"/>
      <c r="AJ29" s="1720"/>
      <c r="AK29" s="1720"/>
      <c r="AL29" s="1720"/>
      <c r="AM29" s="1720"/>
      <c r="AN29" s="1720"/>
      <c r="AO29" s="1720"/>
      <c r="AW29" s="2366">
        <v>14</v>
      </c>
    </row>
    <row customHeight="1" ht="56.699999999999996">
      <c r="R30" s="1587"/>
      <c r="S30" s="1587"/>
      <c r="T30" s="1587"/>
      <c r="U30" s="345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3459"/>
      <c r="W30" s="3459"/>
      <c r="X30" s="3459"/>
      <c r="Y30" s="3459"/>
      <c r="Z30" s="3459"/>
      <c r="AA30" s="3459"/>
      <c r="AB30" s="3459"/>
      <c r="AC30" s="3459"/>
      <c r="AD30" s="3459"/>
      <c r="AE30" s="3459"/>
      <c r="AF30" s="3459"/>
      <c r="AG30" s="3459"/>
      <c r="AH30" s="3459"/>
      <c r="AI30" s="3459"/>
      <c r="AJ30" s="3459"/>
      <c r="AK30" s="3459"/>
      <c r="AL30" s="3459"/>
      <c r="AM30" s="3459"/>
      <c r="AN30" s="3459"/>
      <c r="AO30" s="2454"/>
      <c r="AW30" s="2366">
        <v>54</v>
      </c>
    </row>
    <row customHeight="1" ht="14.699999999999998">
      <c r="R31" s="1587"/>
      <c r="S31" s="1587"/>
      <c r="T31" s="1587"/>
      <c r="U31" s="3460" t="str">
        <f>IF(org=0,"Не определено",org)</f>
        <v>ПАО "ТГК-2"</v>
      </c>
      <c r="V31" s="3460"/>
      <c r="W31" s="3460"/>
      <c r="X31" s="3460"/>
      <c r="Y31" s="3460"/>
      <c r="Z31" s="3460"/>
      <c r="AA31" s="3460"/>
      <c r="AB31" s="3460"/>
      <c r="AC31" s="3460"/>
      <c r="AD31" s="3460"/>
      <c r="AE31" s="3460"/>
      <c r="AF31" s="3460"/>
      <c r="AG31" s="3460"/>
      <c r="AH31" s="3460"/>
      <c r="AI31" s="3460"/>
      <c r="AJ31" s="3460"/>
      <c r="AK31" s="3460"/>
      <c r="AL31" s="3460"/>
      <c r="AM31" s="3460"/>
      <c r="AN31" s="3460"/>
      <c r="AO31" s="2454"/>
      <c r="AW31" s="2366">
        <v>14</v>
      </c>
    </row>
    <row customHeight="1" ht="14.25" hidden="1">
      <c r="R32" s="1587"/>
      <c r="S32" s="1587"/>
      <c r="T32" s="1587"/>
      <c r="U32" s="2486"/>
      <c r="V32" s="1574"/>
      <c r="W32" s="1574"/>
      <c r="X32" s="1533"/>
      <c r="Y32" s="1533"/>
      <c r="Z32" s="1533"/>
      <c r="AA32" s="1533"/>
      <c r="AB32" s="1533"/>
      <c r="AC32" s="1533"/>
      <c r="AD32" s="1533"/>
      <c r="AE32" s="1533"/>
      <c r="AF32" s="1533"/>
      <c r="AG32" s="1533"/>
      <c r="AH32" s="1533"/>
      <c r="AI32" s="1533"/>
      <c r="AJ32" s="1533"/>
      <c r="AK32" s="1533"/>
      <c r="AL32" s="1533"/>
      <c r="AM32" s="1533"/>
      <c r="AN32" s="1533"/>
      <c r="AO32" s="1533"/>
      <c r="AP32" s="1720"/>
      <c r="AW32" s="2366">
        <v>0</v>
      </c>
    </row>
    <row s="67333" customFormat="1" customHeight="1" ht="25.5" hidden="1">
      <c r="A33" s="2459"/>
      <c r="B33" s="2459"/>
      <c r="C33" s="2459"/>
      <c r="D33" s="2459"/>
      <c r="E33" s="2459"/>
      <c r="F33" s="2459"/>
      <c r="G33" s="2459"/>
      <c r="H33" s="2459"/>
      <c r="I33" s="2459"/>
      <c r="J33" s="2459"/>
      <c r="K33" s="2459"/>
      <c r="L33" s="2459"/>
      <c r="M33" s="2591"/>
      <c r="N33" s="2459"/>
      <c r="O33" s="2459"/>
      <c r="P33" s="2459"/>
      <c r="U33" s="3461" t="s">
        <v>41</v>
      </c>
      <c r="V33" s="3461"/>
      <c r="W33" s="2583"/>
      <c r="X33" s="3462" t="str">
        <f>IF(TITLE_NAME_OR_PR_CHANGE="",IF(TITLE_NAME_OR_PR="","",TITLE_NAME_OR_PR),TITLE_NAME_OR_PR_CHANGE)</f>
        <v/>
      </c>
      <c r="Y33" s="3462"/>
      <c r="Z33" s="3462"/>
      <c r="AA33" s="3462"/>
      <c r="AB33" s="3462"/>
      <c r="AC33" s="3462"/>
      <c r="AD33" s="3462"/>
      <c r="AE33" s="3462"/>
      <c r="AF33" s="1537"/>
      <c r="AG33" s="3462" t="str">
        <f>IF(TITLE_NAME_OR_PR_CHANGE="",IF(TITLE_NAME_OR_PR="","",TITLE_NAME_OR_PR),TITLE_NAME_OR_PR_CHANGE)</f>
        <v/>
      </c>
      <c r="AH33" s="3462"/>
      <c r="AI33" s="3462"/>
      <c r="AJ33" s="3462"/>
      <c r="AK33" s="3462"/>
      <c r="AL33" s="3462"/>
      <c r="AM33" s="3462"/>
      <c r="AN33" s="3462"/>
      <c r="AO33" s="1537"/>
      <c r="AP33" s="1537"/>
      <c r="AQ33" s="1491"/>
      <c r="AR33" s="1579"/>
      <c r="AS33" s="1579"/>
      <c r="AT33" s="1579"/>
      <c r="AU33" s="1579"/>
      <c r="AV33" s="1579"/>
      <c r="AW33" s="1629">
        <v>0</v>
      </c>
    </row>
    <row s="67333" customFormat="1" customHeight="1" ht="18.75" hidden="1">
      <c r="A34" s="2459"/>
      <c r="B34" s="2459"/>
      <c r="C34" s="2459"/>
      <c r="D34" s="2459"/>
      <c r="E34" s="2459"/>
      <c r="F34" s="2459"/>
      <c r="G34" s="2459"/>
      <c r="H34" s="2459"/>
      <c r="I34" s="2459"/>
      <c r="J34" s="2459"/>
      <c r="K34" s="2459"/>
      <c r="L34" s="2459"/>
      <c r="M34" s="2591"/>
      <c r="N34" s="2459"/>
      <c r="O34" s="2459"/>
      <c r="P34" s="2459"/>
      <c r="U34" s="3461" t="s">
        <v>441</v>
      </c>
      <c r="V34" s="3461"/>
      <c r="W34" s="2583"/>
      <c r="X34" s="3475" t="str">
        <f>IF(TITLE_DATE_PR_CHANGE="",IF(TITLE_DATE_PR="","",TITLE_DATE_PR),TITLE_DATE_PR_CHANGE)</f>
        <v/>
      </c>
      <c r="Y34" s="3475"/>
      <c r="Z34" s="3475"/>
      <c r="AA34" s="3475"/>
      <c r="AB34" s="3475"/>
      <c r="AC34" s="3475"/>
      <c r="AD34" s="3475"/>
      <c r="AE34" s="3475"/>
      <c r="AF34" s="1537"/>
      <c r="AG34" s="3475" t="str">
        <f>IF(TITLE_DATE_PR_CHANGE="",IF(TITLE_DATE_PR="","",TITLE_DATE_PR),TITLE_DATE_PR_CHANGE)</f>
        <v/>
      </c>
      <c r="AH34" s="3475"/>
      <c r="AI34" s="3475"/>
      <c r="AJ34" s="3475"/>
      <c r="AK34" s="3475"/>
      <c r="AL34" s="3475"/>
      <c r="AM34" s="3475"/>
      <c r="AN34" s="3475"/>
      <c r="AO34" s="1537"/>
      <c r="AP34" s="1537"/>
      <c r="AQ34" s="1491"/>
      <c r="AR34" s="1579"/>
      <c r="AS34" s="1579"/>
      <c r="AT34" s="1579"/>
      <c r="AU34" s="1579"/>
      <c r="AV34" s="1579"/>
      <c r="AW34" s="1629">
        <v>0</v>
      </c>
    </row>
    <row s="67333" customFormat="1" customHeight="1" ht="18.75" hidden="1">
      <c r="A35" s="2459"/>
      <c r="B35" s="2459"/>
      <c r="C35" s="2459"/>
      <c r="D35" s="2459"/>
      <c r="E35" s="2459"/>
      <c r="F35" s="2459"/>
      <c r="G35" s="2459"/>
      <c r="H35" s="2459"/>
      <c r="I35" s="2459"/>
      <c r="J35" s="2459"/>
      <c r="K35" s="2459"/>
      <c r="L35" s="2459"/>
      <c r="M35" s="2591"/>
      <c r="N35" s="2459"/>
      <c r="O35" s="2459"/>
      <c r="P35" s="2459"/>
      <c r="U35" s="3461" t="s">
        <v>442</v>
      </c>
      <c r="V35" s="3461"/>
      <c r="W35" s="2583"/>
      <c r="X35" s="3462" t="str">
        <f>IF(TITLE_NUMBER_PR_CHANGE="",IF(TITLE_NUMBER_PR="","",TITLE_NUMBER_PR),TITLE_NUMBER_PR_CHANGE)</f>
        <v/>
      </c>
      <c r="Y35" s="3462"/>
      <c r="Z35" s="3462"/>
      <c r="AA35" s="3462"/>
      <c r="AB35" s="3462"/>
      <c r="AC35" s="3462"/>
      <c r="AD35" s="3462"/>
      <c r="AE35" s="3462"/>
      <c r="AF35" s="1537"/>
      <c r="AG35" s="3462" t="str">
        <f>IF(TITLE_NUMBER_PR_CHANGE="",IF(TITLE_NUMBER_PR="","",TITLE_NUMBER_PR),TITLE_NUMBER_PR_CHANGE)</f>
        <v/>
      </c>
      <c r="AH35" s="3462"/>
      <c r="AI35" s="3462"/>
      <c r="AJ35" s="3462"/>
      <c r="AK35" s="3462"/>
      <c r="AL35" s="3462"/>
      <c r="AM35" s="3462"/>
      <c r="AN35" s="3462"/>
      <c r="AO35" s="1537"/>
      <c r="AP35" s="1537"/>
      <c r="AQ35" s="1491"/>
      <c r="AR35" s="1579"/>
      <c r="AS35" s="1579"/>
      <c r="AT35" s="1579"/>
      <c r="AU35" s="1579"/>
      <c r="AV35" s="1579"/>
      <c r="AW35" s="1629">
        <v>0</v>
      </c>
    </row>
    <row s="67333" customFormat="1" customHeight="1" ht="18.75" hidden="1">
      <c r="A36" s="2459"/>
      <c r="B36" s="2459"/>
      <c r="C36" s="2459"/>
      <c r="D36" s="2459"/>
      <c r="E36" s="2459"/>
      <c r="F36" s="2459"/>
      <c r="G36" s="2459"/>
      <c r="H36" s="2459"/>
      <c r="I36" s="2459"/>
      <c r="J36" s="2459"/>
      <c r="K36" s="2459"/>
      <c r="L36" s="2459"/>
      <c r="M36" s="2591"/>
      <c r="N36" s="2459"/>
      <c r="O36" s="2459"/>
      <c r="P36" s="2459"/>
      <c r="U36" s="3461" t="s">
        <v>42</v>
      </c>
      <c r="V36" s="3461"/>
      <c r="W36" s="2583"/>
      <c r="X36" s="3462" t="str">
        <f>IF(TITLE_IST_PUB_CHANGE="",IF(TITLE_IST_PUB="","",TITLE_IST_PUB),TITLE_IST_PUB_CHANGE)</f>
        <v/>
      </c>
      <c r="Y36" s="3462"/>
      <c r="Z36" s="3462"/>
      <c r="AA36" s="3462"/>
      <c r="AB36" s="3462"/>
      <c r="AC36" s="3462"/>
      <c r="AD36" s="3462"/>
      <c r="AE36" s="3462"/>
      <c r="AF36" s="1537"/>
      <c r="AG36" s="3462" t="str">
        <f>IF(TITLE_IST_PUB_CHANGE="",IF(TITLE_IST_PUB="","",TITLE_IST_PUB),TITLE_IST_PUB_CHANGE)</f>
        <v/>
      </c>
      <c r="AH36" s="3462"/>
      <c r="AI36" s="3462"/>
      <c r="AJ36" s="3462"/>
      <c r="AK36" s="3462"/>
      <c r="AL36" s="3462"/>
      <c r="AM36" s="3462"/>
      <c r="AN36" s="3462"/>
      <c r="AO36" s="1537"/>
      <c r="AP36" s="1537"/>
      <c r="AQ36" s="1491"/>
      <c r="AR36" s="1579"/>
      <c r="AS36" s="1579"/>
      <c r="AT36" s="1579"/>
      <c r="AU36" s="1579"/>
      <c r="AV36" s="1579"/>
      <c r="AW36" s="1629">
        <v>0</v>
      </c>
    </row>
    <row customHeight="1" ht="14.25" hidden="1">
      <c r="R37" s="1587"/>
      <c r="S37" s="1587"/>
      <c r="T37" s="1587"/>
      <c r="U37" s="2486"/>
      <c r="V37" s="1574"/>
      <c r="W37" s="1574"/>
      <c r="X37" s="1533"/>
      <c r="Y37" s="1533"/>
      <c r="Z37" s="1533"/>
      <c r="AA37" s="1533"/>
      <c r="AB37" s="1533"/>
      <c r="AC37" s="1533"/>
      <c r="AD37" s="1533"/>
      <c r="AE37" s="1533"/>
      <c r="AF37" s="1533"/>
      <c r="AG37" s="1533"/>
      <c r="AH37" s="1533"/>
      <c r="AI37" s="1533"/>
      <c r="AJ37" s="1533"/>
      <c r="AK37" s="1533"/>
      <c r="AL37" s="1533"/>
      <c r="AM37" s="1533"/>
      <c r="AN37" s="1533"/>
      <c r="AO37" s="1533"/>
      <c r="AP37" s="1720"/>
      <c r="AW37" s="2366">
        <v>0</v>
      </c>
    </row>
    <row s="67333" customFormat="1" customHeight="1" ht="18.75" hidden="1">
      <c r="A38" s="2459"/>
      <c r="B38" s="2459"/>
      <c r="C38" s="2459"/>
      <c r="D38" s="2459"/>
      <c r="E38" s="2459"/>
      <c r="F38" s="2459"/>
      <c r="G38" s="2459"/>
      <c r="H38" s="2459"/>
      <c r="I38" s="2459"/>
      <c r="J38" s="2459"/>
      <c r="K38" s="2459"/>
      <c r="L38" s="2459"/>
      <c r="M38" s="2591"/>
      <c r="N38" s="2459"/>
      <c r="O38" s="2459"/>
      <c r="P38" s="2459"/>
      <c r="U38" s="3461" t="s">
        <v>443</v>
      </c>
      <c r="V38" s="3461"/>
      <c r="W38" s="2583"/>
      <c r="X38" s="3475" t="str">
        <f>IF(TITLE_DATE_PR_CHANGE="",IF(TITLE_DATE_PR="","",TITLE_DATE_PR),TITLE_DATE_PR_CHANGE)</f>
        <v/>
      </c>
      <c r="Y38" s="3475"/>
      <c r="Z38" s="3475"/>
      <c r="AA38" s="3475"/>
      <c r="AB38" s="3475"/>
      <c r="AC38" s="3475"/>
      <c r="AD38" s="3475"/>
      <c r="AE38" s="3475"/>
      <c r="AF38" s="1537"/>
      <c r="AG38" s="3475" t="str">
        <f>IF(TITLE_DATE_PR_CHANGE="",IF(TITLE_DATE_PR="","",TITLE_DATE_PR),TITLE_DATE_PR_CHANGE)</f>
        <v/>
      </c>
      <c r="AH38" s="3475"/>
      <c r="AI38" s="3475"/>
      <c r="AJ38" s="3475"/>
      <c r="AK38" s="3475"/>
      <c r="AL38" s="3475"/>
      <c r="AM38" s="3475"/>
      <c r="AN38" s="3475"/>
      <c r="AO38" s="1537"/>
      <c r="AP38" s="1537"/>
      <c r="AQ38" s="1491"/>
      <c r="AR38" s="1579"/>
      <c r="AS38" s="1579"/>
      <c r="AT38" s="1579"/>
      <c r="AU38" s="1579"/>
      <c r="AV38" s="1579"/>
      <c r="AW38" s="1629">
        <v>0</v>
      </c>
    </row>
    <row s="67333" customFormat="1" customHeight="1" ht="18.75" hidden="1">
      <c r="A39" s="2459"/>
      <c r="B39" s="2459"/>
      <c r="C39" s="2459"/>
      <c r="D39" s="2459"/>
      <c r="E39" s="2459"/>
      <c r="F39" s="2459"/>
      <c r="G39" s="2459"/>
      <c r="H39" s="2459"/>
      <c r="I39" s="2459"/>
      <c r="J39" s="2459"/>
      <c r="K39" s="2459"/>
      <c r="L39" s="2459"/>
      <c r="M39" s="2591"/>
      <c r="N39" s="2459"/>
      <c r="O39" s="2459"/>
      <c r="P39" s="2459"/>
      <c r="U39" s="3461" t="s">
        <v>444</v>
      </c>
      <c r="V39" s="3461"/>
      <c r="W39" s="2583"/>
      <c r="X39" s="3462" t="str">
        <f>IF(TITLE_NUMBER_PR_CHANGE="",IF(TITLE_NUMBER_PR="","",TITLE_NUMBER_PR),TITLE_NUMBER_PR_CHANGE)</f>
        <v/>
      </c>
      <c r="Y39" s="3462"/>
      <c r="Z39" s="3462"/>
      <c r="AA39" s="3462"/>
      <c r="AB39" s="3462"/>
      <c r="AC39" s="3462"/>
      <c r="AD39" s="3462"/>
      <c r="AE39" s="3462"/>
      <c r="AF39" s="1537"/>
      <c r="AG39" s="3462" t="str">
        <f>IF(TITLE_NUMBER_PR_CHANGE="",IF(TITLE_NUMBER_PR="","",TITLE_NUMBER_PR),TITLE_NUMBER_PR_CHANGE)</f>
        <v/>
      </c>
      <c r="AH39" s="3462"/>
      <c r="AI39" s="3462"/>
      <c r="AJ39" s="3462"/>
      <c r="AK39" s="3462"/>
      <c r="AL39" s="3462"/>
      <c r="AM39" s="3462"/>
      <c r="AN39" s="3462"/>
      <c r="AO39" s="1537"/>
      <c r="AP39" s="1537"/>
      <c r="AQ39" s="1491"/>
      <c r="AR39" s="1579"/>
      <c r="AS39" s="1579"/>
      <c r="AT39" s="1579"/>
      <c r="AU39" s="1579"/>
      <c r="AV39" s="1579"/>
      <c r="AW39" s="1629">
        <v>0</v>
      </c>
    </row>
    <row s="67333" customFormat="1" customHeight="1" ht="0">
      <c r="A40" s="2459"/>
      <c r="B40" s="2459"/>
      <c r="C40" s="2459"/>
      <c r="D40" s="2459"/>
      <c r="E40" s="2459"/>
      <c r="F40" s="2459"/>
      <c r="G40" s="2459"/>
      <c r="H40" s="2459"/>
      <c r="I40" s="2459"/>
      <c r="J40" s="2459"/>
      <c r="K40" s="2459"/>
      <c r="L40" s="2459"/>
      <c r="M40" s="2591"/>
      <c r="N40" s="2459"/>
      <c r="O40" s="2459"/>
      <c r="P40" s="2459"/>
      <c r="U40" s="1534"/>
      <c r="V40" s="1534"/>
      <c r="W40" s="2551"/>
      <c r="X40" s="1537"/>
      <c r="Y40" s="1537"/>
      <c r="Z40" s="1537"/>
      <c r="AA40" s="1537"/>
      <c r="AB40" s="1537"/>
      <c r="AC40" s="1537"/>
      <c r="AD40" s="1537"/>
      <c r="AE40" s="1537"/>
      <c r="AF40" s="1489" t="s">
        <v>445</v>
      </c>
      <c r="AG40" s="1537"/>
      <c r="AH40" s="1537"/>
      <c r="AI40" s="1537"/>
      <c r="AJ40" s="1537"/>
      <c r="AK40" s="1537"/>
      <c r="AL40" s="1537"/>
      <c r="AM40" s="1537"/>
      <c r="AN40" s="1537"/>
      <c r="AO40" s="1489" t="s">
        <v>445</v>
      </c>
      <c r="AR40" s="1579"/>
      <c r="AS40" s="1579"/>
      <c r="AT40" s="1579"/>
      <c r="AU40" s="1579"/>
      <c r="AV40" s="1579"/>
      <c r="AW40" s="1629">
        <v>0</v>
      </c>
    </row>
    <row customHeight="1" ht="14.699999999999998">
      <c r="R41" s="1587"/>
      <c r="S41" s="1587"/>
      <c r="T41" s="1587"/>
      <c r="U41" s="2486"/>
      <c r="V41" s="1574"/>
      <c r="W41" s="2455"/>
      <c r="X41" s="3463"/>
      <c r="Y41" s="3463"/>
      <c r="Z41" s="3463"/>
      <c r="AA41" s="3463"/>
      <c r="AB41" s="3463"/>
      <c r="AC41" s="3463"/>
      <c r="AD41" s="3463"/>
      <c r="AE41" s="3463"/>
      <c r="AF41" s="3463"/>
      <c r="AG41" s="3463"/>
      <c r="AH41" s="3463"/>
      <c r="AI41" s="3463"/>
      <c r="AJ41" s="3463"/>
      <c r="AK41" s="3463"/>
      <c r="AL41" s="3463"/>
      <c r="AM41" s="3463"/>
      <c r="AN41" s="3463"/>
      <c r="AO41" s="3463"/>
      <c r="AW41" s="2366">
        <v>14</v>
      </c>
    </row>
    <row customHeight="1" ht="14.699999999999998">
      <c r="R42" s="1587"/>
      <c r="S42" s="1587"/>
      <c r="T42" s="1587"/>
      <c r="U42" s="3338" t="s">
        <v>318</v>
      </c>
      <c r="V42" s="3338"/>
      <c r="W42" s="3338"/>
      <c r="X42" s="3338"/>
      <c r="Y42" s="3338"/>
      <c r="Z42" s="3338"/>
      <c r="AA42" s="3338"/>
      <c r="AB42" s="3338"/>
      <c r="AC42" s="3338"/>
      <c r="AD42" s="3338"/>
      <c r="AE42" s="3338"/>
      <c r="AF42" s="3338"/>
      <c r="AG42" s="3338"/>
      <c r="AH42" s="3338"/>
      <c r="AI42" s="3338"/>
      <c r="AJ42" s="3338"/>
      <c r="AK42" s="3338"/>
      <c r="AL42" s="3338"/>
      <c r="AM42" s="3338"/>
      <c r="AN42" s="3338"/>
      <c r="AO42" s="3338"/>
      <c r="AP42" s="3338"/>
      <c r="AQ42" s="3338" t="s">
        <v>319</v>
      </c>
      <c r="AW42" s="2366">
        <v>14</v>
      </c>
    </row>
    <row customHeight="1" ht="14.699999999999998">
      <c r="R43" s="1587"/>
      <c r="S43" s="1587"/>
      <c r="T43" s="1587"/>
      <c r="U43" s="3484" t="s">
        <v>88</v>
      </c>
      <c r="V43" s="3420" t="s">
        <v>446</v>
      </c>
      <c r="W43" s="1512"/>
      <c r="X43" s="3485" t="s">
        <v>447</v>
      </c>
      <c r="Y43" s="3502"/>
      <c r="Z43" s="3502"/>
      <c r="AA43" s="3502"/>
      <c r="AB43" s="3502"/>
      <c r="AC43" s="3486"/>
      <c r="AD43" s="3486"/>
      <c r="AE43" s="3487"/>
      <c r="AF43" s="3488" t="s">
        <v>448</v>
      </c>
      <c r="AG43" s="3485" t="s">
        <v>447</v>
      </c>
      <c r="AH43" s="3502"/>
      <c r="AI43" s="3502"/>
      <c r="AJ43" s="3502"/>
      <c r="AK43" s="3502"/>
      <c r="AL43" s="3486"/>
      <c r="AM43" s="3486"/>
      <c r="AN43" s="3487"/>
      <c r="AO43" s="3488" t="s">
        <v>449</v>
      </c>
      <c r="AP43" s="3491" t="s">
        <v>450</v>
      </c>
      <c r="AQ43" s="3338"/>
      <c r="AW43" s="2366">
        <v>14</v>
      </c>
    </row>
    <row customHeight="1" ht="35.699999999999996">
      <c r="R44" s="1587"/>
      <c r="S44" s="1587"/>
      <c r="T44" s="1587"/>
      <c r="U44" s="3484"/>
      <c r="V44" s="3420"/>
      <c r="W44" s="2242"/>
      <c r="X44" s="3505" t="s">
        <v>473</v>
      </c>
      <c r="Y44" s="3523" t="s">
        <v>474</v>
      </c>
      <c r="Z44" s="3523"/>
      <c r="AA44" s="3523"/>
      <c r="AB44" s="3523"/>
      <c r="AC44" s="3505" t="s">
        <v>454</v>
      </c>
      <c r="AD44" s="3822"/>
      <c r="AE44" s="3525"/>
      <c r="AF44" s="3489"/>
      <c r="AG44" s="3505" t="s">
        <v>473</v>
      </c>
      <c r="AH44" s="3523" t="s">
        <v>474</v>
      </c>
      <c r="AI44" s="3523"/>
      <c r="AJ44" s="3523"/>
      <c r="AK44" s="3523"/>
      <c r="AL44" s="3505" t="s">
        <v>454</v>
      </c>
      <c r="AM44" s="3822"/>
      <c r="AN44" s="3525"/>
      <c r="AO44" s="3489"/>
      <c r="AP44" s="3492"/>
      <c r="AQ44" s="3338"/>
      <c r="AW44" s="2366">
        <v>34</v>
      </c>
    </row>
    <row customHeight="1" ht="14.699999999999998">
      <c r="R45" s="1587"/>
      <c r="S45" s="1587"/>
      <c r="T45" s="1587"/>
      <c r="U45" s="3484"/>
      <c r="V45" s="3420"/>
      <c r="W45" s="2242"/>
      <c r="X45" s="3536"/>
      <c r="Y45" s="3528" t="s">
        <v>475</v>
      </c>
      <c r="Z45" s="3481" t="s">
        <v>476</v>
      </c>
      <c r="AA45" s="3531"/>
      <c r="AB45" s="3482"/>
      <c r="AC45" s="3506"/>
      <c r="AD45" s="3823"/>
      <c r="AE45" s="3527"/>
      <c r="AF45" s="3489"/>
      <c r="AG45" s="3536"/>
      <c r="AH45" s="3528" t="s">
        <v>475</v>
      </c>
      <c r="AI45" s="3481" t="s">
        <v>476</v>
      </c>
      <c r="AJ45" s="3531"/>
      <c r="AK45" s="3482"/>
      <c r="AL45" s="3506"/>
      <c r="AM45" s="3823"/>
      <c r="AN45" s="3527"/>
      <c r="AO45" s="3489"/>
      <c r="AP45" s="3492"/>
      <c r="AQ45" s="3338"/>
      <c r="AW45" s="2366">
        <v>14</v>
      </c>
    </row>
    <row customHeight="1" ht="27.299999999999997">
      <c r="R46" s="1587"/>
      <c r="S46" s="1587"/>
      <c r="T46" s="1587"/>
      <c r="U46" s="3484"/>
      <c r="V46" s="3420"/>
      <c r="W46" s="2242"/>
      <c r="X46" s="3536"/>
      <c r="Y46" s="3529"/>
      <c r="Z46" s="3528" t="s">
        <v>477</v>
      </c>
      <c r="AA46" s="3481" t="s">
        <v>478</v>
      </c>
      <c r="AB46" s="3482"/>
      <c r="AC46" s="3528" t="s">
        <v>464</v>
      </c>
      <c r="AD46" s="3532" t="s">
        <v>465</v>
      </c>
      <c r="AE46" s="3533"/>
      <c r="AF46" s="3489"/>
      <c r="AG46" s="3536"/>
      <c r="AH46" s="3529"/>
      <c r="AI46" s="3528" t="s">
        <v>477</v>
      </c>
      <c r="AJ46" s="3481" t="s">
        <v>478</v>
      </c>
      <c r="AK46" s="3482"/>
      <c r="AL46" s="3528" t="s">
        <v>464</v>
      </c>
      <c r="AM46" s="3532" t="s">
        <v>465</v>
      </c>
      <c r="AN46" s="3533"/>
      <c r="AO46" s="3489"/>
      <c r="AP46" s="3492"/>
      <c r="AQ46" s="3338"/>
      <c r="AW46" s="2366">
        <v>26</v>
      </c>
    </row>
    <row customHeight="1" ht="65.25">
      <c r="A47" s="2470"/>
      <c r="B47" s="2470" t="s">
        <v>155</v>
      </c>
      <c r="C47" s="2470" t="s">
        <v>156</v>
      </c>
      <c r="D47" s="2470" t="s">
        <v>157</v>
      </c>
      <c r="E47" s="2521" t="s">
        <v>455</v>
      </c>
      <c r="F47" s="2521" t="s">
        <v>456</v>
      </c>
      <c r="G47" s="2521" t="s">
        <v>457</v>
      </c>
      <c r="H47" s="2521" t="s">
        <v>458</v>
      </c>
      <c r="I47" s="2521" t="s">
        <v>459</v>
      </c>
      <c r="J47" s="2521" t="s">
        <v>460</v>
      </c>
      <c r="K47" s="2521" t="s">
        <v>461</v>
      </c>
      <c r="L47" s="2521" t="s">
        <v>479</v>
      </c>
      <c r="M47" s="2521" t="s">
        <v>436</v>
      </c>
      <c r="R47" s="1587"/>
      <c r="S47" s="1587"/>
      <c r="T47" s="1587"/>
      <c r="U47" s="3484"/>
      <c r="V47" s="3420"/>
      <c r="W47" s="1513"/>
      <c r="X47" s="3506"/>
      <c r="Y47" s="3530"/>
      <c r="Z47" s="3530"/>
      <c r="AA47" s="2433" t="s">
        <v>480</v>
      </c>
      <c r="AB47" s="2433" t="s">
        <v>481</v>
      </c>
      <c r="AC47" s="3530"/>
      <c r="AD47" s="3534"/>
      <c r="AE47" s="3535"/>
      <c r="AF47" s="3490"/>
      <c r="AG47" s="3506"/>
      <c r="AH47" s="3530"/>
      <c r="AI47" s="3530"/>
      <c r="AJ47" s="2433" t="s">
        <v>480</v>
      </c>
      <c r="AK47" s="2433" t="s">
        <v>481</v>
      </c>
      <c r="AL47" s="3530"/>
      <c r="AM47" s="3534"/>
      <c r="AN47" s="3535"/>
      <c r="AO47" s="3490"/>
      <c r="AP47" s="3493"/>
      <c r="AQ47" s="3338"/>
      <c r="AW47" s="2366">
        <v>62</v>
      </c>
    </row>
    <row s="65897" customFormat="1" customHeight="1" ht="11.25" hidden="1">
      <c r="A48" s="2470"/>
      <c r="B48" s="2470"/>
      <c r="C48" s="2470"/>
      <c r="D48" s="2470"/>
      <c r="E48" s="2470"/>
      <c r="F48" s="2470"/>
      <c r="G48" s="2470"/>
      <c r="H48" s="2470"/>
      <c r="I48" s="2470"/>
      <c r="J48" s="2470"/>
      <c r="K48" s="2470"/>
      <c r="L48" s="2470"/>
      <c r="M48" s="2521"/>
      <c r="N48" s="2539"/>
      <c r="O48" s="2539"/>
      <c r="P48" s="2539"/>
      <c r="Q48" s="2457"/>
      <c r="R48" s="2458"/>
      <c r="S48" s="2465">
        <v>1</v>
      </c>
      <c r="T48" s="2465"/>
      <c r="U48" s="2488" t="s">
        <v>99</v>
      </c>
      <c r="V48" s="2466" t="s">
        <v>102</v>
      </c>
      <c r="W48" s="2456" t="str">
        <f>OFFSET(W48,0,-1)</f>
        <v>2</v>
      </c>
      <c r="X48" s="2546">
        <f>OFFSET(X48,0,-1)+1</f>
        <v>3</v>
      </c>
      <c r="Y48" s="2552"/>
      <c r="Z48" s="2552"/>
      <c r="AA48" s="2552">
        <f>OFFSET(AA48,0,-1)+1</f>
        <v>1</v>
      </c>
      <c r="AB48" s="2552">
        <f>OFFSET(AB48,0,-1)+1</f>
        <v>2</v>
      </c>
      <c r="AC48" s="2546">
        <f>OFFSET(AC48,0,-1)+1</f>
        <v>3</v>
      </c>
      <c r="AD48" s="3483">
        <f>OFFSET(AD48,0,-1)+1</f>
        <v>4</v>
      </c>
      <c r="AE48" s="3483"/>
      <c r="AF48" s="2546">
        <f>OFFSET(AF48,0,-2)+1</f>
        <v>5</v>
      </c>
      <c r="AG48" s="2546">
        <f>OFFSET(AG48,0,-1)+1</f>
        <v>6</v>
      </c>
      <c r="AH48" s="2546"/>
      <c r="AI48" s="2546"/>
      <c r="AJ48" s="2546">
        <f>OFFSET(AJ48,0,-1)+1</f>
        <v>1</v>
      </c>
      <c r="AK48" s="2546">
        <f>OFFSET(AK48,0,-1)+1</f>
        <v>2</v>
      </c>
      <c r="AL48" s="2546">
        <f>OFFSET(AL48,0,-1)+1</f>
        <v>3</v>
      </c>
      <c r="AM48" s="3483">
        <f>OFFSET(AM48,0,-1)+1</f>
        <v>4</v>
      </c>
      <c r="AN48" s="3483"/>
      <c r="AO48" s="2546">
        <f>OFFSET(AO48,0,-2)+1</f>
        <v>5</v>
      </c>
      <c r="AP48" s="2456">
        <f>OFFSET(AP48,0,-1)</f>
        <v>5</v>
      </c>
      <c r="AQ48" s="2546">
        <f>OFFSET(AQ48,0,-1)+1</f>
        <v>6</v>
      </c>
      <c r="AR48" s="1722"/>
      <c r="AS48" s="1722"/>
      <c r="AT48" s="1722"/>
      <c r="AU48" s="1722"/>
      <c r="AV48" s="1722"/>
      <c r="AW48" s="1707">
        <v>0</v>
      </c>
    </row>
    <row customHeight="1" ht="22.049999999999997">
      <c r="A49" s="2478" t="s">
        <v>194</v>
      </c>
      <c r="B49" s="2478"/>
      <c r="C49" s="2478"/>
      <c r="D49" s="2478"/>
      <c r="E49" s="3500">
        <v>1</v>
      </c>
      <c r="F49" s="2478"/>
      <c r="G49" s="2478"/>
      <c r="H49" s="2478"/>
      <c r="I49" s="2478"/>
      <c r="J49" s="2478"/>
      <c r="K49" s="2478"/>
      <c r="L49" s="2478"/>
      <c r="M49" s="2521"/>
      <c r="N49" s="1899"/>
      <c r="O49" s="1899"/>
      <c r="P49" s="1899"/>
      <c r="Q49" s="1572"/>
      <c r="R49" s="1571"/>
      <c r="S49" s="1571"/>
      <c r="T49" s="1566"/>
      <c r="U49" s="2547">
        <f>INDEX(PT_DIFFERENTIATION_NUM_NTAR,MATCH(A49,PT_DIFFERENTIATION_NTAR_ID,0))</f>
        <v>0</v>
      </c>
      <c r="V49" s="1509" t="s">
        <v>143</v>
      </c>
      <c r="W49" s="1511"/>
      <c r="X49" s="3453"/>
      <c r="Y49" s="3454"/>
      <c r="Z49" s="3454"/>
      <c r="AA49" s="3454"/>
      <c r="AB49" s="3454"/>
      <c r="AC49" s="3454"/>
      <c r="AD49" s="3454"/>
      <c r="AE49" s="3454"/>
      <c r="AF49" s="3455"/>
      <c r="AG49" s="3453" t="str">
        <f>INDEX(PT_DIFFERENTIATION_NTAR,MATCH(A49,PT_DIFFERENTIATION_NTAR_ID,0))</f>
        <v/>
      </c>
      <c r="AH49" s="3454"/>
      <c r="AI49" s="3454"/>
      <c r="AJ49" s="3454"/>
      <c r="AK49" s="3454"/>
      <c r="AL49" s="3454"/>
      <c r="AM49" s="3454"/>
      <c r="AN49" s="3454"/>
      <c r="AO49" s="3454"/>
      <c r="AP49" s="3455"/>
      <c r="AQ49" s="24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1711"/>
      <c r="AT49" s="1711" t="str">
        <f>IF(V49="","",V49)</f>
        <v>Наименование тарифа</v>
      </c>
      <c r="AU49" s="1711"/>
      <c r="AV49" s="1711"/>
      <c r="AW49" s="2366">
        <v>21</v>
      </c>
    </row>
    <row customHeight="1" ht="22.049999999999997">
      <c r="A50" s="2478" t="s">
        <v>194</v>
      </c>
      <c r="B50" s="2478" t="s">
        <v>195</v>
      </c>
      <c r="C50" s="2478"/>
      <c r="D50" s="2478"/>
      <c r="E50" s="3501"/>
      <c r="F50" s="3500">
        <v>1</v>
      </c>
      <c r="G50" s="2478"/>
      <c r="H50" s="2478"/>
      <c r="I50" s="2478"/>
      <c r="J50" s="2478"/>
      <c r="K50" s="2478"/>
      <c r="L50" s="2478"/>
      <c r="M50" s="2521"/>
      <c r="N50" s="1899"/>
      <c r="O50" s="1899"/>
      <c r="P50" s="1899"/>
      <c r="Q50" s="2543"/>
      <c r="R50" s="1563"/>
      <c r="S50" s="1720"/>
      <c r="T50" s="1564"/>
      <c r="U50" s="2547" t="str">
        <f>INDEX(PT_DIFFERENTIATION_NUM_TER,MATCH(B50,PT_DIFFERENTIATION_TER_ID,0))</f>
        <v>.</v>
      </c>
      <c r="V50" s="1519" t="s">
        <v>415</v>
      </c>
      <c r="W50" s="1511"/>
      <c r="X50" s="3453"/>
      <c r="Y50" s="3454"/>
      <c r="Z50" s="3454"/>
      <c r="AA50" s="3454"/>
      <c r="AB50" s="3454"/>
      <c r="AC50" s="3454"/>
      <c r="AD50" s="3454"/>
      <c r="AE50" s="3454"/>
      <c r="AF50" s="3455"/>
      <c r="AG50" s="3453" t="str">
        <f>INDEX(PT_DIFFERENTIATION_TER,MATCH(B50,PT_DIFFERENTIATION_TER_ID,0))</f>
        <v/>
      </c>
      <c r="AH50" s="3454"/>
      <c r="AI50" s="3454"/>
      <c r="AJ50" s="3454"/>
      <c r="AK50" s="3454"/>
      <c r="AL50" s="3454"/>
      <c r="AM50" s="3454"/>
      <c r="AN50" s="3454"/>
      <c r="AO50" s="3454"/>
      <c r="AP50" s="3455"/>
      <c r="AQ50" s="2469" t="s">
        <v>416</v>
      </c>
      <c r="AS50" s="1711"/>
      <c r="AT50" s="1711" t="str">
        <f>IF(V50="","",V50)</f>
        <v>Территория действия тарифа</v>
      </c>
      <c r="AU50" s="1711"/>
      <c r="AV50" s="1711"/>
      <c r="AW50" s="2366">
        <v>21</v>
      </c>
    </row>
    <row customHeight="1" ht="24">
      <c r="A51" s="2478" t="s">
        <v>194</v>
      </c>
      <c r="B51" s="2478" t="s">
        <v>195</v>
      </c>
      <c r="C51" s="2478" t="s">
        <v>196</v>
      </c>
      <c r="D51" s="2478"/>
      <c r="E51" s="3501"/>
      <c r="F51" s="3501"/>
      <c r="G51" s="3500">
        <v>1</v>
      </c>
      <c r="H51" s="2478"/>
      <c r="I51" s="2478"/>
      <c r="J51" s="2478"/>
      <c r="K51" s="2478"/>
      <c r="L51" s="2478"/>
      <c r="M51" s="2521"/>
      <c r="N51" s="1899"/>
      <c r="O51" s="1899"/>
      <c r="P51" s="1899"/>
      <c r="Q51" s="1565"/>
      <c r="R51" s="1563"/>
      <c r="S51" s="1720"/>
      <c r="T51" s="1564"/>
      <c r="U51" s="2547" t="str">
        <f>INDEX(PT_DIFFERENTIATION_NUM_CS,MATCH(C51,PT_DIFFERENTIATION_CS_ID,0))</f>
        <v>..</v>
      </c>
      <c r="V51" s="1520" t="s">
        <v>417</v>
      </c>
      <c r="W51" s="1511"/>
      <c r="X51" s="3453"/>
      <c r="Y51" s="3454"/>
      <c r="Z51" s="3454"/>
      <c r="AA51" s="3454"/>
      <c r="AB51" s="3454"/>
      <c r="AC51" s="3454"/>
      <c r="AD51" s="3454"/>
      <c r="AE51" s="3454"/>
      <c r="AF51" s="3455"/>
      <c r="AG51" s="3453" t="str">
        <f>INDEX(PT_DIFFERENTIATION_CS,MATCH(C51,PT_DIFFERENTIATION_CS_ID,0))</f>
        <v/>
      </c>
      <c r="AH51" s="3454"/>
      <c r="AI51" s="3454"/>
      <c r="AJ51" s="3454"/>
      <c r="AK51" s="3454"/>
      <c r="AL51" s="3454"/>
      <c r="AM51" s="3454"/>
      <c r="AN51" s="3454"/>
      <c r="AO51" s="3454"/>
      <c r="AP51" s="3455"/>
      <c r="AQ51" s="2469" t="s">
        <v>418</v>
      </c>
      <c r="AS51" s="1711"/>
      <c r="AT51" s="1711" t="str">
        <f>IF(V51="","",V51)</f>
        <v>Наименование системы теплоснабжения </v>
      </c>
      <c r="AU51" s="1711"/>
      <c r="AV51" s="1711"/>
      <c r="AW51" s="2366">
        <v>23</v>
      </c>
    </row>
    <row customHeight="1" ht="22.049999999999997">
      <c r="A52" s="2478" t="s">
        <v>194</v>
      </c>
      <c r="B52" s="2478" t="s">
        <v>195</v>
      </c>
      <c r="C52" s="2478" t="s">
        <v>196</v>
      </c>
      <c r="D52" s="2478" t="s">
        <v>197</v>
      </c>
      <c r="E52" s="3501"/>
      <c r="F52" s="3501"/>
      <c r="G52" s="3501"/>
      <c r="H52" s="3521">
        <v>1</v>
      </c>
      <c r="I52" s="2478"/>
      <c r="J52" s="2478"/>
      <c r="K52" s="2478"/>
      <c r="L52" s="2478"/>
      <c r="M52" s="2521"/>
      <c r="N52" s="1899"/>
      <c r="O52" s="1899"/>
      <c r="P52" s="1899"/>
      <c r="Q52" s="1565"/>
      <c r="R52" s="1563"/>
      <c r="S52" s="1720"/>
      <c r="T52" s="1564"/>
      <c r="U52" s="2547" t="str">
        <f>INDEX(PT_DIFFERENTIATION_NUM_IST_TE,MATCH(D52,PT_DIFFERENTIATION_IST_TE_ID,0))</f>
        <v>...</v>
      </c>
      <c r="V52" s="1521" t="s">
        <v>419</v>
      </c>
      <c r="W52" s="1511"/>
      <c r="X52" s="3453"/>
      <c r="Y52" s="3454"/>
      <c r="Z52" s="3454"/>
      <c r="AA52" s="3454"/>
      <c r="AB52" s="3454"/>
      <c r="AC52" s="3454"/>
      <c r="AD52" s="3454"/>
      <c r="AE52" s="3454"/>
      <c r="AF52" s="3455"/>
      <c r="AG52" s="3453" t="str">
        <f>INDEX(PT_DIFFERENTIATION_IST_TE,MATCH(D52,PT_DIFFERENTIATION_IST_TE_ID,0))</f>
        <v/>
      </c>
      <c r="AH52" s="3454"/>
      <c r="AI52" s="3454"/>
      <c r="AJ52" s="3454"/>
      <c r="AK52" s="3454"/>
      <c r="AL52" s="3454"/>
      <c r="AM52" s="3454"/>
      <c r="AN52" s="3454"/>
      <c r="AO52" s="3454"/>
      <c r="AP52" s="3455"/>
      <c r="AQ52" s="2469" t="s">
        <v>420</v>
      </c>
      <c r="AS52" s="1711"/>
      <c r="AT52" s="1711" t="str">
        <f>IF(V52="","",V52)</f>
        <v>Источник тепловой энергии  </v>
      </c>
      <c r="AU52" s="1711"/>
      <c r="AV52" s="1711"/>
      <c r="AW52" s="2366">
        <v>21</v>
      </c>
    </row>
    <row s="65923" customFormat="1" customHeight="1" ht="0">
      <c r="A53" s="2586" t="s">
        <v>194</v>
      </c>
      <c r="B53" s="2586" t="s">
        <v>195</v>
      </c>
      <c r="C53" s="2586" t="s">
        <v>196</v>
      </c>
      <c r="D53" s="2586" t="s">
        <v>197</v>
      </c>
      <c r="E53" s="3501"/>
      <c r="F53" s="3501"/>
      <c r="G53" s="3501"/>
      <c r="H53" s="3522"/>
      <c r="I53" s="3338" t="str">
        <f>U52&amp;".1"</f>
        <v>....1</v>
      </c>
      <c r="J53" s="2586"/>
      <c r="K53" s="2586"/>
      <c r="L53" s="2586"/>
      <c r="M53" s="2592" t="s">
        <v>421</v>
      </c>
      <c r="N53" s="2457"/>
      <c r="O53" s="2457"/>
      <c r="P53" s="2457"/>
      <c r="Q53" s="3468">
        <v>1</v>
      </c>
      <c r="R53" s="2542"/>
      <c r="S53" s="2542"/>
      <c r="T53" s="1567"/>
      <c r="U53" s="2253"/>
      <c r="V53" s="2594"/>
      <c r="W53" s="2595"/>
      <c r="X53" s="3507"/>
      <c r="Y53" s="3508"/>
      <c r="Z53" s="3508"/>
      <c r="AA53" s="3508"/>
      <c r="AB53" s="3508"/>
      <c r="AC53" s="3508"/>
      <c r="AD53" s="3508"/>
      <c r="AE53" s="3508"/>
      <c r="AF53" s="3509"/>
      <c r="AG53" s="3507"/>
      <c r="AH53" s="3508"/>
      <c r="AI53" s="3508"/>
      <c r="AJ53" s="3508"/>
      <c r="AK53" s="3508"/>
      <c r="AL53" s="3508"/>
      <c r="AM53" s="3508"/>
      <c r="AN53" s="3508"/>
      <c r="AO53" s="3508"/>
      <c r="AP53" s="3509"/>
      <c r="AQ53" s="2596"/>
      <c r="AS53" s="1711"/>
      <c r="AT53" s="1711" t="str">
        <f>IF(V53="","",V53)</f>
        <v/>
      </c>
      <c r="AU53" s="1711"/>
      <c r="AV53" s="1711"/>
      <c r="AW53" s="1722">
        <v>0</v>
      </c>
    </row>
    <row customHeight="1" ht="22.049999999999997">
      <c r="A54" s="2478" t="s">
        <v>194</v>
      </c>
      <c r="B54" s="2478" t="s">
        <v>195</v>
      </c>
      <c r="C54" s="2478" t="s">
        <v>196</v>
      </c>
      <c r="D54" s="2478" t="s">
        <v>197</v>
      </c>
      <c r="E54" s="3501"/>
      <c r="F54" s="3501"/>
      <c r="G54" s="3501"/>
      <c r="H54" s="3522"/>
      <c r="I54" s="3312"/>
      <c r="J54" s="3338" t="str">
        <f>I53&amp;".1"</f>
        <v>....1.1</v>
      </c>
      <c r="K54" s="2478"/>
      <c r="L54" s="2478"/>
      <c r="M54" s="2521" t="s">
        <v>424</v>
      </c>
      <c r="Q54" s="3468"/>
      <c r="R54" s="3468">
        <v>1</v>
      </c>
      <c r="S54" s="1729"/>
      <c r="T54" s="1568"/>
      <c r="U54" s="2547" t="str">
        <f>$J54</f>
        <v>....1.1</v>
      </c>
      <c r="V54" s="1497" t="s">
        <v>425</v>
      </c>
      <c r="W54" s="1511"/>
      <c r="X54" s="3456"/>
      <c r="Y54" s="3457"/>
      <c r="Z54" s="3457"/>
      <c r="AA54" s="3457"/>
      <c r="AB54" s="3457"/>
      <c r="AC54" s="3446"/>
      <c r="AD54" s="3446"/>
      <c r="AE54" s="3446"/>
      <c r="AF54" s="3519"/>
      <c r="AG54" s="3456"/>
      <c r="AH54" s="3457"/>
      <c r="AI54" s="3457"/>
      <c r="AJ54" s="3457"/>
      <c r="AK54" s="3457"/>
      <c r="AL54" s="3457"/>
      <c r="AM54" s="3457"/>
      <c r="AN54" s="3457"/>
      <c r="AO54" s="3457"/>
      <c r="AP54" s="3458"/>
      <c r="AQ54" s="2469" t="s">
        <v>426</v>
      </c>
      <c r="AS54" s="1711"/>
      <c r="AT54" s="1711" t="str">
        <f>IF(V54="","",V54)</f>
        <v>Группа потребителей</v>
      </c>
      <c r="AU54" s="1711"/>
      <c r="AV54" s="1711"/>
      <c r="AW54" s="2366">
        <v>21</v>
      </c>
    </row>
    <row customHeight="1" ht="22.049999999999997">
      <c r="A55" s="2478" t="s">
        <v>194</v>
      </c>
      <c r="B55" s="2478" t="s">
        <v>195</v>
      </c>
      <c r="C55" s="2478" t="s">
        <v>196</v>
      </c>
      <c r="D55" s="2478" t="s">
        <v>197</v>
      </c>
      <c r="E55" s="3501"/>
      <c r="F55" s="3501"/>
      <c r="G55" s="3501"/>
      <c r="H55" s="3522"/>
      <c r="I55" s="3312"/>
      <c r="J55" s="3312"/>
      <c r="K55" s="3338" t="str">
        <f>J54&amp;".1"</f>
        <v>....1.1.1</v>
      </c>
      <c r="L55" s="1350"/>
      <c r="M55" s="2521" t="s">
        <v>427</v>
      </c>
      <c r="Q55" s="3468"/>
      <c r="R55" s="3468"/>
      <c r="S55" s="1729">
        <v>1</v>
      </c>
      <c r="T55" s="1568"/>
      <c r="U55" s="2547" t="str">
        <f>$K55</f>
        <v>....1.1.1</v>
      </c>
      <c r="V55" s="2558"/>
      <c r="W55" s="1511"/>
      <c r="X55" s="1962"/>
      <c r="Y55" s="1962"/>
      <c r="Z55" s="1962"/>
      <c r="AA55" s="1962"/>
      <c r="AB55" s="2616"/>
      <c r="AC55" s="3476"/>
      <c r="AD55" s="3318" t="s">
        <v>62</v>
      </c>
      <c r="AE55" s="3476"/>
      <c r="AF55" s="3318" t="s">
        <v>62</v>
      </c>
      <c r="AG55" s="2618"/>
      <c r="AH55" s="1962"/>
      <c r="AI55" s="1962"/>
      <c r="AJ55" s="1962"/>
      <c r="AK55" s="2468"/>
      <c r="AL55" s="3476"/>
      <c r="AM55" s="3318" t="s">
        <v>62</v>
      </c>
      <c r="AN55" s="3476"/>
      <c r="AO55" s="3318" t="s">
        <v>62</v>
      </c>
      <c r="AP55" s="2559"/>
      <c r="AQ55" s="2518" t="s">
        <v>470</v>
      </c>
      <c r="AR55" s="1722">
        <f>STRCHECKDATE(X57:AP57)</f>
      </c>
      <c r="AS55" s="1711"/>
      <c r="AT55" s="1711" t="str">
        <f>IF(V55="","",V55)</f>
        <v/>
      </c>
      <c r="AU55" s="1711"/>
      <c r="AV55" s="1711"/>
      <c r="AW55" s="2366">
        <v>21</v>
      </c>
    </row>
    <row customHeight="1" ht="11.549999999999999">
      <c r="A56" s="2478" t="s">
        <v>194</v>
      </c>
      <c r="B56" s="2478" t="s">
        <v>195</v>
      </c>
      <c r="C56" s="2478" t="s">
        <v>196</v>
      </c>
      <c r="D56" s="2478" t="s">
        <v>197</v>
      </c>
      <c r="E56" s="3501"/>
      <c r="F56" s="3501"/>
      <c r="G56" s="3501"/>
      <c r="H56" s="3522"/>
      <c r="I56" s="3312"/>
      <c r="J56" s="3312"/>
      <c r="K56" s="3312"/>
      <c r="L56" s="3338" t="str">
        <f>K55&amp;".1"</f>
        <v>....1.1.1.1</v>
      </c>
      <c r="M56" s="2521"/>
      <c r="Q56" s="3468"/>
      <c r="R56" s="3468"/>
      <c r="S56" s="1729">
        <v>1</v>
      </c>
      <c r="T56" s="1568"/>
      <c r="U56" s="2547" t="str">
        <f>$L56</f>
        <v>....1.1.1.1</v>
      </c>
      <c r="V56" s="2602"/>
      <c r="W56" s="1511"/>
      <c r="X56" s="1536"/>
      <c r="Y56" s="1962"/>
      <c r="Z56" s="1962"/>
      <c r="AA56" s="1962"/>
      <c r="AB56" s="2616"/>
      <c r="AC56" s="3520"/>
      <c r="AD56" s="3318"/>
      <c r="AE56" s="3520"/>
      <c r="AF56" s="3318"/>
      <c r="AG56" s="2618"/>
      <c r="AH56" s="1962"/>
      <c r="AI56" s="1962"/>
      <c r="AJ56" s="1962"/>
      <c r="AK56" s="2468"/>
      <c r="AL56" s="3520"/>
      <c r="AM56" s="3318"/>
      <c r="AN56" s="3520"/>
      <c r="AO56" s="3318"/>
      <c r="AP56" s="2559"/>
      <c r="AQ56" s="3464" t="s">
        <v>471</v>
      </c>
      <c r="AR56" s="1722">
        <f>STRCHECKDATE(X58:AP58)</f>
      </c>
      <c r="AS56" s="1711"/>
      <c r="AT56" s="1711" t="str">
        <f>IF(V56="","",V56)</f>
        <v/>
      </c>
      <c r="AU56" s="1711"/>
      <c r="AV56" s="1711"/>
      <c r="AW56" s="2366">
        <v>11</v>
      </c>
    </row>
    <row customHeight="1" ht="0">
      <c r="A57" s="2478" t="s">
        <v>194</v>
      </c>
      <c r="B57" s="2478" t="s">
        <v>195</v>
      </c>
      <c r="C57" s="2478" t="s">
        <v>196</v>
      </c>
      <c r="D57" s="2478" t="s">
        <v>197</v>
      </c>
      <c r="E57" s="3501"/>
      <c r="F57" s="3501"/>
      <c r="G57" s="3501"/>
      <c r="H57" s="3522"/>
      <c r="I57" s="3312"/>
      <c r="J57" s="3312"/>
      <c r="K57" s="3312"/>
      <c r="L57" s="3338"/>
      <c r="M57" s="2521"/>
      <c r="Q57" s="3468"/>
      <c r="R57" s="3468"/>
      <c r="S57" s="1729"/>
      <c r="T57" s="1568"/>
      <c r="U57" s="2553"/>
      <c r="V57" s="1511"/>
      <c r="W57" s="1511"/>
      <c r="X57" s="1536"/>
      <c r="Y57" s="1536"/>
      <c r="Z57" s="1536"/>
      <c r="AA57" s="1536"/>
      <c r="AB57" s="2617" t="str">
        <f>AC55&amp;"-"&amp;AE55</f>
        <v>-</v>
      </c>
      <c r="AC57" s="3520"/>
      <c r="AD57" s="3318"/>
      <c r="AE57" s="3520"/>
      <c r="AF57" s="3318"/>
      <c r="AG57" s="2593"/>
      <c r="AH57" s="1536"/>
      <c r="AI57" s="1536"/>
      <c r="AJ57" s="1536"/>
      <c r="AK57" s="1539" t="str">
        <f>AL55&amp;"-"&amp;AN55</f>
        <v>-</v>
      </c>
      <c r="AL57" s="3520"/>
      <c r="AM57" s="3318"/>
      <c r="AN57" s="3520"/>
      <c r="AO57" s="3318"/>
      <c r="AP57" s="2560"/>
      <c r="AQ57" s="3465"/>
      <c r="AS57" s="1711"/>
      <c r="AT57" s="1711" t="str">
        <f>IF(V57="","",V57)</f>
        <v/>
      </c>
      <c r="AU57" s="1711"/>
      <c r="AV57" s="1711"/>
      <c r="AW57" s="2366">
        <v>0</v>
      </c>
    </row>
    <row customHeight="1" ht="11.549999999999999">
      <c r="A58" s="2478" t="s">
        <v>194</v>
      </c>
      <c r="B58" s="2478" t="s">
        <v>195</v>
      </c>
      <c r="C58" s="2478" t="s">
        <v>196</v>
      </c>
      <c r="D58" s="2478" t="s">
        <v>197</v>
      </c>
      <c r="E58" s="3501"/>
      <c r="F58" s="3501"/>
      <c r="G58" s="3501"/>
      <c r="H58" s="3522"/>
      <c r="I58" s="3312"/>
      <c r="J58" s="3312"/>
      <c r="K58" s="3338"/>
      <c r="L58" s="2478"/>
      <c r="M58" s="2521"/>
      <c r="Q58" s="3468"/>
      <c r="R58" s="3468"/>
      <c r="S58" s="2542"/>
      <c r="T58" s="1567"/>
      <c r="U58" s="2489"/>
      <c r="V58" s="1499" t="s">
        <v>472</v>
      </c>
      <c r="W58" s="1578"/>
      <c r="X58" s="1578"/>
      <c r="Y58" s="1578"/>
      <c r="Z58" s="1578"/>
      <c r="AA58" s="1578"/>
      <c r="AB58" s="1578"/>
      <c r="AC58" s="3520"/>
      <c r="AD58" s="3318"/>
      <c r="AE58" s="3520"/>
      <c r="AF58" s="3318"/>
      <c r="AG58" s="1578"/>
      <c r="AH58" s="1578"/>
      <c r="AI58" s="1578"/>
      <c r="AJ58" s="1578"/>
      <c r="AK58" s="1578"/>
      <c r="AL58" s="3520"/>
      <c r="AM58" s="3318"/>
      <c r="AN58" s="3520"/>
      <c r="AO58" s="3318"/>
      <c r="AP58" s="1535"/>
      <c r="AQ58" s="3465"/>
      <c r="AS58" s="1711"/>
      <c r="AT58" s="1711" t="str">
        <f>IF(V58="","",V58)</f>
        <v>Добавить наименование поставщика</v>
      </c>
      <c r="AU58" s="1711"/>
      <c r="AV58" s="1711"/>
      <c r="AW58" s="2366">
        <v>11</v>
      </c>
    </row>
    <row customHeight="1" ht="11.549999999999999">
      <c r="A59" s="2478" t="s">
        <v>194</v>
      </c>
      <c r="B59" s="2478" t="s">
        <v>195</v>
      </c>
      <c r="C59" s="2478" t="s">
        <v>196</v>
      </c>
      <c r="D59" s="2478" t="s">
        <v>197</v>
      </c>
      <c r="E59" s="3501"/>
      <c r="F59" s="3501"/>
      <c r="G59" s="3501"/>
      <c r="H59" s="3522"/>
      <c r="I59" s="3312"/>
      <c r="J59" s="3338"/>
      <c r="K59" s="2478"/>
      <c r="L59" s="2478"/>
      <c r="M59" s="2521"/>
      <c r="Q59" s="3468"/>
      <c r="R59" s="3468"/>
      <c r="S59" s="2542"/>
      <c r="T59" s="1567"/>
      <c r="U59" s="2489"/>
      <c r="V59" s="1498" t="s">
        <v>429</v>
      </c>
      <c r="W59" s="1578"/>
      <c r="X59" s="1578"/>
      <c r="Y59" s="1578"/>
      <c r="Z59" s="1578"/>
      <c r="AA59" s="1578"/>
      <c r="AB59" s="1578"/>
      <c r="AC59" s="2619"/>
      <c r="AD59" s="2619"/>
      <c r="AE59" s="2619"/>
      <c r="AF59" s="2619"/>
      <c r="AG59" s="1578"/>
      <c r="AH59" s="1578"/>
      <c r="AI59" s="1578"/>
      <c r="AJ59" s="1578"/>
      <c r="AK59" s="1578"/>
      <c r="AL59" s="1578"/>
      <c r="AM59" s="1578"/>
      <c r="AN59" s="1578"/>
      <c r="AO59" s="1578"/>
      <c r="AP59" s="1535"/>
      <c r="AQ59" s="3466"/>
      <c r="AS59" s="1711"/>
      <c r="AT59" s="1711" t="str">
        <f>IF(V59="","",V59)</f>
        <v>Добавить вид теплоносителя (параметры теплоносителя)</v>
      </c>
      <c r="AU59" s="1711"/>
      <c r="AV59" s="1711"/>
      <c r="AW59" s="2366">
        <v>11</v>
      </c>
    </row>
    <row customHeight="1" ht="11.549999999999999">
      <c r="A60" s="2478" t="s">
        <v>194</v>
      </c>
      <c r="B60" s="2478" t="s">
        <v>195</v>
      </c>
      <c r="C60" s="2478" t="s">
        <v>196</v>
      </c>
      <c r="D60" s="2478" t="s">
        <v>197</v>
      </c>
      <c r="E60" s="3501"/>
      <c r="F60" s="3501"/>
      <c r="G60" s="3501"/>
      <c r="H60" s="3522"/>
      <c r="I60" s="3338"/>
      <c r="J60" s="2478"/>
      <c r="K60" s="2478"/>
      <c r="L60" s="2478"/>
      <c r="M60" s="2521"/>
      <c r="Q60" s="3468"/>
      <c r="R60" s="2542"/>
      <c r="S60" s="2542"/>
      <c r="T60" s="1567"/>
      <c r="U60" s="2489"/>
      <c r="V60" s="1576" t="s">
        <v>430</v>
      </c>
      <c r="W60" s="1578"/>
      <c r="X60" s="1578"/>
      <c r="Y60" s="1578"/>
      <c r="Z60" s="1578"/>
      <c r="AA60" s="1578"/>
      <c r="AB60" s="1578"/>
      <c r="AC60" s="1578"/>
      <c r="AD60" s="1578"/>
      <c r="AE60" s="1578"/>
      <c r="AF60" s="1577"/>
      <c r="AG60" s="1578"/>
      <c r="AH60" s="1578"/>
      <c r="AI60" s="1578"/>
      <c r="AJ60" s="1578"/>
      <c r="AK60" s="1578"/>
      <c r="AL60" s="1578"/>
      <c r="AM60" s="1578"/>
      <c r="AN60" s="1578"/>
      <c r="AO60" s="1577"/>
      <c r="AP60" s="1578"/>
      <c r="AQ60" s="1514"/>
      <c r="AS60" s="1711"/>
      <c r="AT60" s="1711" t="str">
        <f>IF(V60="","",V60)</f>
        <v>Добавить группу потребителей</v>
      </c>
      <c r="AU60" s="1711"/>
      <c r="AV60" s="1711"/>
      <c r="AW60" s="2366">
        <v>11</v>
      </c>
    </row>
    <row customHeight="1" ht="0">
      <c r="A61" s="2478" t="s">
        <v>194</v>
      </c>
      <c r="B61" s="2478" t="s">
        <v>195</v>
      </c>
      <c r="C61" s="2478" t="s">
        <v>196</v>
      </c>
      <c r="D61" s="2478" t="s">
        <v>197</v>
      </c>
      <c r="E61" s="3501"/>
      <c r="F61" s="3501"/>
      <c r="G61" s="3501"/>
      <c r="H61" s="3521"/>
      <c r="I61" s="2478"/>
      <c r="J61" s="2478"/>
      <c r="K61" s="2478"/>
      <c r="L61" s="2478"/>
      <c r="M61" s="2521"/>
      <c r="N61" s="1899"/>
      <c r="O61" s="1899"/>
      <c r="P61" s="1720"/>
      <c r="Q61" s="1571"/>
      <c r="R61" s="1586"/>
      <c r="S61" s="1566"/>
      <c r="T61" s="1571"/>
      <c r="U61" s="2597"/>
      <c r="V61" s="2598"/>
      <c r="W61" s="2599"/>
      <c r="X61" s="2599"/>
      <c r="Y61" s="2599"/>
      <c r="Z61" s="2599"/>
      <c r="AA61" s="2599"/>
      <c r="AB61" s="2599"/>
      <c r="AC61" s="2599"/>
      <c r="AD61" s="2599"/>
      <c r="AE61" s="2599"/>
      <c r="AF61" s="2599"/>
      <c r="AG61" s="2599"/>
      <c r="AH61" s="2599"/>
      <c r="AI61" s="2599"/>
      <c r="AJ61" s="2599"/>
      <c r="AK61" s="2599"/>
      <c r="AL61" s="2599"/>
      <c r="AM61" s="2599"/>
      <c r="AN61" s="2599"/>
      <c r="AO61" s="2599"/>
      <c r="AP61" s="2599"/>
      <c r="AQ61" s="2600"/>
      <c r="AS61" s="1711"/>
      <c r="AT61" s="1711" t="str">
        <f>IF(V61="","",V61)</f>
        <v/>
      </c>
      <c r="AU61" s="1711"/>
      <c r="AV61" s="1711"/>
      <c r="AW61" s="2366">
        <v>0</v>
      </c>
    </row>
    <row s="65923" customFormat="1" customHeight="1" ht="0">
      <c r="A62" s="2586" t="s">
        <v>194</v>
      </c>
      <c r="B62" s="2586" t="s">
        <v>195</v>
      </c>
      <c r="C62" s="2586" t="s">
        <v>196</v>
      </c>
      <c r="D62" s="2585"/>
      <c r="E62" s="3501"/>
      <c r="F62" s="3501"/>
      <c r="G62" s="3500"/>
      <c r="H62" s="2585"/>
      <c r="I62" s="2585"/>
      <c r="J62" s="2585"/>
      <c r="K62" s="2585"/>
      <c r="L62" s="2585"/>
      <c r="M62" s="2588"/>
      <c r="N62" s="2589"/>
      <c r="O62" s="2589"/>
      <c r="P62" s="1562"/>
      <c r="Q62" s="2527"/>
      <c r="R62" s="2528"/>
      <c r="S62" s="2527"/>
      <c r="T62" s="2527"/>
      <c r="U62" s="2533"/>
      <c r="V62" s="2536" t="s">
        <v>432</v>
      </c>
      <c r="W62" s="2535"/>
      <c r="X62" s="2535"/>
      <c r="Y62" s="2535"/>
      <c r="Z62" s="2535"/>
      <c r="AA62" s="2535"/>
      <c r="AB62" s="2535"/>
      <c r="AC62" s="2535"/>
      <c r="AD62" s="2535"/>
      <c r="AE62" s="2535"/>
      <c r="AF62" s="2535"/>
      <c r="AG62" s="2535"/>
      <c r="AH62" s="2535"/>
      <c r="AI62" s="2535"/>
      <c r="AJ62" s="2535"/>
      <c r="AK62" s="2535"/>
      <c r="AL62" s="2535"/>
      <c r="AM62" s="2535"/>
      <c r="AN62" s="2535"/>
      <c r="AO62" s="2535"/>
      <c r="AP62" s="2535"/>
      <c r="AQ62" s="2535"/>
      <c r="AS62" s="2000"/>
      <c r="AT62" s="2000" t="str">
        <f>IF(V62="","",V62)</f>
        <v>Добавить источник для дифференциации</v>
      </c>
      <c r="AU62" s="2000"/>
      <c r="AV62" s="2000"/>
      <c r="AW62" s="1729">
        <v>0</v>
      </c>
    </row>
    <row s="65923" customFormat="1" customHeight="1" ht="0">
      <c r="A63" s="2586" t="s">
        <v>194</v>
      </c>
      <c r="B63" s="2586" t="s">
        <v>195</v>
      </c>
      <c r="C63" s="2585"/>
      <c r="D63" s="2585"/>
      <c r="E63" s="3501"/>
      <c r="F63" s="3500"/>
      <c r="G63" s="2585"/>
      <c r="H63" s="2585"/>
      <c r="I63" s="2585"/>
      <c r="J63" s="2585"/>
      <c r="K63" s="2585"/>
      <c r="L63" s="2585"/>
      <c r="M63" s="2588"/>
      <c r="N63" s="2590"/>
      <c r="O63" s="2590"/>
      <c r="P63" s="1562"/>
      <c r="Q63" s="2527"/>
      <c r="R63" s="2528"/>
      <c r="S63" s="2527"/>
      <c r="T63" s="2527"/>
      <c r="U63" s="2533"/>
      <c r="V63" s="2536" t="s">
        <v>433</v>
      </c>
      <c r="W63" s="2535"/>
      <c r="X63" s="2535"/>
      <c r="Y63" s="2535"/>
      <c r="Z63" s="2535"/>
      <c r="AA63" s="2535"/>
      <c r="AB63" s="2535"/>
      <c r="AC63" s="2535"/>
      <c r="AD63" s="2535"/>
      <c r="AE63" s="2535"/>
      <c r="AF63" s="2535"/>
      <c r="AG63" s="2535"/>
      <c r="AH63" s="2535"/>
      <c r="AI63" s="2535"/>
      <c r="AJ63" s="2535"/>
      <c r="AK63" s="2535"/>
      <c r="AL63" s="2535"/>
      <c r="AM63" s="2535"/>
      <c r="AN63" s="2535"/>
      <c r="AO63" s="2535"/>
      <c r="AP63" s="2535"/>
      <c r="AQ63" s="2535"/>
      <c r="AS63" s="2000"/>
      <c r="AT63" s="2000" t="str">
        <f>IF(V63="","",V63)</f>
        <v>Добавить централизованную систему для дифференциации</v>
      </c>
      <c r="AU63" s="2000"/>
      <c r="AV63" s="2000"/>
      <c r="AW63" s="1729">
        <v>0</v>
      </c>
    </row>
    <row s="65923" customFormat="1" customHeight="1" ht="0">
      <c r="A64" s="2586" t="s">
        <v>194</v>
      </c>
      <c r="B64" s="2586"/>
      <c r="C64" s="2586"/>
      <c r="D64" s="2586"/>
      <c r="E64" s="3500"/>
      <c r="F64" s="2586"/>
      <c r="G64" s="2586"/>
      <c r="H64" s="2586"/>
      <c r="I64" s="2586"/>
      <c r="J64" s="2586"/>
      <c r="K64" s="2586"/>
      <c r="L64" s="2586"/>
      <c r="M64" s="2592"/>
      <c r="N64" s="2590"/>
      <c r="O64" s="2590"/>
      <c r="P64" s="1562"/>
      <c r="Q64" s="1591"/>
      <c r="R64" s="2555"/>
      <c r="S64" s="1591"/>
      <c r="T64" s="1591"/>
      <c r="U64" s="2533"/>
      <c r="V64" s="2536" t="s">
        <v>434</v>
      </c>
      <c r="W64" s="2535"/>
      <c r="X64" s="2535"/>
      <c r="Y64" s="2535"/>
      <c r="Z64" s="2535"/>
      <c r="AA64" s="2535"/>
      <c r="AB64" s="2535"/>
      <c r="AC64" s="2535"/>
      <c r="AD64" s="2535"/>
      <c r="AE64" s="2535"/>
      <c r="AF64" s="2535"/>
      <c r="AG64" s="2535"/>
      <c r="AH64" s="2535"/>
      <c r="AI64" s="2535"/>
      <c r="AJ64" s="2535"/>
      <c r="AK64" s="2535"/>
      <c r="AL64" s="2535"/>
      <c r="AM64" s="2535"/>
      <c r="AN64" s="2535"/>
      <c r="AO64" s="2535"/>
      <c r="AP64" s="2535"/>
      <c r="AQ64" s="2535"/>
      <c r="AS64" s="1711"/>
      <c r="AT64" s="1711" t="str">
        <f>IF(V64="","",V64)</f>
        <v>Добавить территорию для дифференциации</v>
      </c>
      <c r="AU64" s="1711"/>
      <c r="AV64" s="1711"/>
      <c r="AW64" s="1722">
        <v>0</v>
      </c>
    </row>
    <row s="65923" customFormat="1" customHeight="1" ht="4.2">
      <c r="A65" s="2585"/>
      <c r="B65" s="2585"/>
      <c r="C65" s="2585"/>
      <c r="D65" s="2585"/>
      <c r="E65" s="2586"/>
      <c r="F65" s="2585"/>
      <c r="G65" s="2585"/>
      <c r="H65" s="2585"/>
      <c r="I65" s="2585"/>
      <c r="J65" s="2585"/>
      <c r="K65" s="2585"/>
      <c r="L65" s="2585"/>
      <c r="M65" s="2588"/>
      <c r="N65" s="2590"/>
      <c r="O65" s="2590"/>
      <c r="P65" s="1562"/>
      <c r="Q65" s="2527"/>
      <c r="R65" s="2528"/>
      <c r="S65" s="2527"/>
      <c r="T65" s="2527"/>
      <c r="U65" s="2533"/>
      <c r="V65" s="2536" t="s">
        <v>466</v>
      </c>
      <c r="W65" s="2535"/>
      <c r="X65" s="2535"/>
      <c r="Y65" s="2535"/>
      <c r="Z65" s="2535"/>
      <c r="AA65" s="2535"/>
      <c r="AB65" s="2535"/>
      <c r="AC65" s="2535"/>
      <c r="AD65" s="2535"/>
      <c r="AE65" s="2535"/>
      <c r="AF65" s="2535"/>
      <c r="AG65" s="2535"/>
      <c r="AH65" s="2535"/>
      <c r="AI65" s="2535"/>
      <c r="AJ65" s="2535"/>
      <c r="AK65" s="2535"/>
      <c r="AL65" s="2535"/>
      <c r="AM65" s="2535"/>
      <c r="AN65" s="2535"/>
      <c r="AO65" s="2535"/>
      <c r="AP65" s="2535"/>
      <c r="AQ65" s="2535"/>
      <c r="AS65" s="2000"/>
      <c r="AT65" s="2000" t="str">
        <f>IF(V65="","",V65)</f>
        <v>Добавить наименование тарифа</v>
      </c>
      <c r="AU65" s="2000"/>
      <c r="AV65" s="2000"/>
      <c r="AW65" s="1729">
        <v>4</v>
      </c>
    </row>
    <row customHeight="1" ht="11.549999999999999">
      <c r="N66" s="2366"/>
      <c r="O66" s="2366"/>
      <c r="P66" s="1720"/>
      <c r="Q66" s="2366"/>
      <c r="R66" s="2366"/>
      <c r="S66" s="2366"/>
      <c r="T66" s="2366"/>
      <c r="U66" s="2366"/>
      <c r="AR66" s="2366"/>
      <c r="AS66" s="2366"/>
      <c r="AT66" s="2366"/>
      <c r="AU66" s="2366"/>
      <c r="AV66" s="2366"/>
      <c r="AW66" s="2366">
        <v>11</v>
      </c>
    </row>
    <row customHeight="1" ht="35.699999999999996">
      <c r="P67" s="1720"/>
      <c r="U67" s="2464"/>
      <c r="V67" s="3496"/>
      <c r="W67" s="3496"/>
      <c r="X67" s="3496"/>
      <c r="Y67" s="3496"/>
      <c r="Z67" s="3496"/>
      <c r="AA67" s="3496"/>
      <c r="AB67" s="3496"/>
      <c r="AC67" s="3496"/>
      <c r="AD67" s="3496"/>
      <c r="AE67" s="3496"/>
      <c r="AF67" s="3496"/>
      <c r="AG67" s="3496"/>
      <c r="AH67" s="3496"/>
      <c r="AI67" s="3496"/>
      <c r="AJ67" s="3496"/>
      <c r="AK67" s="3496"/>
      <c r="AL67" s="3496"/>
      <c r="AM67" s="3496"/>
      <c r="AN67" s="3496"/>
      <c r="AO67" s="3496"/>
      <c r="AP67" s="3496"/>
      <c r="AQ67" s="3496"/>
      <c r="AW67" s="2366">
        <v>34</v>
      </c>
    </row>
    <row customHeight="1" ht="21">
      <c r="P68" s="1720"/>
      <c r="V68" s="3496"/>
      <c r="W68" s="3496"/>
      <c r="X68" s="3496"/>
      <c r="Y68" s="3496"/>
      <c r="Z68" s="3496"/>
      <c r="AA68" s="3496"/>
      <c r="AB68" s="3496"/>
      <c r="AC68" s="3496"/>
      <c r="AD68" s="3496"/>
      <c r="AE68" s="3496"/>
      <c r="AF68" s="3496"/>
      <c r="AG68" s="3496"/>
      <c r="AH68" s="3496"/>
      <c r="AI68" s="3496"/>
      <c r="AJ68" s="3496"/>
      <c r="AK68" s="3496"/>
      <c r="AL68" s="3496"/>
      <c r="AM68" s="3496"/>
      <c r="AN68" s="3496"/>
      <c r="AO68" s="3496"/>
      <c r="AP68" s="3496"/>
      <c r="AQ68" s="3496"/>
      <c r="AW68" s="2366">
        <v>20</v>
      </c>
    </row>
    <row customHeight="1" ht="14.699999999999998">
      <c r="P69" s="1720"/>
      <c r="AW69" s="2366">
        <v>14</v>
      </c>
    </row>
    <row customHeight="1" ht="28.5">
      <c r="P70" s="1720"/>
      <c r="V70" s="3496"/>
      <c r="W70" s="3496"/>
      <c r="X70" s="3496"/>
      <c r="Y70" s="3496"/>
      <c r="Z70" s="3496"/>
      <c r="AA70" s="3496"/>
      <c r="AB70" s="3496"/>
      <c r="AC70" s="3496"/>
      <c r="AD70" s="3496"/>
      <c r="AE70" s="3496"/>
      <c r="AF70" s="3496"/>
      <c r="AG70" s="3496"/>
      <c r="AH70" s="3496"/>
      <c r="AI70" s="3496"/>
      <c r="AJ70" s="3496"/>
      <c r="AK70" s="3496"/>
      <c r="AL70" s="3496"/>
      <c r="AM70" s="3496"/>
      <c r="AN70" s="3496"/>
      <c r="AO70" s="3496"/>
      <c r="AP70" s="3496"/>
      <c r="AQ70" s="3496"/>
      <c r="AW70" s="2366">
        <v>27</v>
      </c>
    </row>
    <row customHeight="1" ht="18.75">
      <c r="P71" s="1720"/>
      <c r="V71" s="3496"/>
      <c r="W71" s="3496"/>
      <c r="X71" s="3496"/>
      <c r="Y71" s="3496"/>
      <c r="Z71" s="3496"/>
      <c r="AA71" s="3496"/>
      <c r="AB71" s="3496"/>
      <c r="AC71" s="3496"/>
      <c r="AD71" s="3496"/>
      <c r="AE71" s="3496"/>
      <c r="AF71" s="3496"/>
      <c r="AG71" s="3496"/>
      <c r="AH71" s="3496"/>
      <c r="AI71" s="3496"/>
      <c r="AJ71" s="3496"/>
      <c r="AK71" s="3496"/>
      <c r="AL71" s="3496"/>
      <c r="AM71" s="3496"/>
      <c r="AN71" s="3496"/>
      <c r="AO71" s="3496"/>
      <c r="AP71" s="3496"/>
      <c r="AQ71" s="3496"/>
      <c r="AW71" s="2366">
        <v>18</v>
      </c>
    </row>
    <row customHeight="1" ht="22.5" hidden="1">
      <c r="A72" s="2366" t="s">
        <v>82</v>
      </c>
      <c r="B72" s="2366">
        <v>0</v>
      </c>
      <c r="C72" s="2366">
        <v>0</v>
      </c>
      <c r="D72" s="2366">
        <v>0</v>
      </c>
      <c r="E72" s="2366">
        <v>0</v>
      </c>
      <c r="F72" s="2366">
        <v>0</v>
      </c>
      <c r="G72" s="2366">
        <v>0</v>
      </c>
      <c r="H72" s="2366">
        <v>0</v>
      </c>
      <c r="I72" s="2366">
        <v>0</v>
      </c>
      <c r="J72" s="2366">
        <v>0</v>
      </c>
      <c r="K72" s="2366">
        <v>0</v>
      </c>
      <c r="L72" s="2366">
        <v>0</v>
      </c>
      <c r="M72" s="2538">
        <v>0</v>
      </c>
      <c r="N72" s="2539">
        <v>0</v>
      </c>
      <c r="O72" s="2539">
        <v>0</v>
      </c>
      <c r="P72" s="2539">
        <v>0</v>
      </c>
      <c r="Q72" s="2539">
        <v>0</v>
      </c>
      <c r="R72" s="1555">
        <v>3</v>
      </c>
      <c r="S72" s="1555">
        <v>3</v>
      </c>
      <c r="T72" s="1555">
        <v>3</v>
      </c>
      <c r="U72" s="1792">
        <v>12</v>
      </c>
      <c r="V72" s="2366">
        <v>31</v>
      </c>
      <c r="W72" s="2366">
        <v>0</v>
      </c>
      <c r="X72" s="2366">
        <v>0</v>
      </c>
      <c r="Y72" s="2366">
        <v>0</v>
      </c>
      <c r="Z72" s="2366">
        <v>0</v>
      </c>
      <c r="AA72" s="2366">
        <v>0</v>
      </c>
      <c r="AB72" s="2366">
        <v>0</v>
      </c>
      <c r="AC72" s="2366">
        <v>0</v>
      </c>
      <c r="AD72" s="2366">
        <v>0</v>
      </c>
      <c r="AE72" s="2366">
        <v>0</v>
      </c>
      <c r="AF72" s="2366">
        <v>0</v>
      </c>
      <c r="AG72" s="2366">
        <v>21</v>
      </c>
      <c r="AH72" s="2366">
        <v>21</v>
      </c>
      <c r="AI72" s="2366">
        <v>21</v>
      </c>
      <c r="AJ72" s="2366">
        <v>21</v>
      </c>
      <c r="AK72" s="2366">
        <v>21</v>
      </c>
      <c r="AL72" s="2366">
        <v>11</v>
      </c>
      <c r="AM72" s="2366">
        <v>3</v>
      </c>
      <c r="AN72" s="2366">
        <v>11</v>
      </c>
      <c r="AO72" s="2366">
        <v>8</v>
      </c>
      <c r="AP72" s="2366">
        <v>4</v>
      </c>
      <c r="AQ72" s="2366">
        <v>115</v>
      </c>
      <c r="AR72" s="1722">
        <v>10</v>
      </c>
      <c r="AS72" s="1722">
        <v>10</v>
      </c>
      <c r="AT72" s="1722">
        <v>10</v>
      </c>
      <c r="AU72" s="1722">
        <v>10</v>
      </c>
      <c r="AV72" s="1722">
        <v>10</v>
      </c>
      <c r="AW72" s="236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F4568B9-A67E-7FF1-D51A-A3AF3EFA416B}" mc:Ignorable="x14ac xr xr2 xr3">
  <sheetPr>
    <tabColor rgb="FFCCCCFF"/>
  </sheetPr>
  <dimension ref="A1:Q79"/>
  <sheetViews>
    <sheetView topLeftCell="C1" showGridLines="0" zoomScale="90" workbookViewId="0">
      <selection activeCell="I60" sqref="I60"/>
    </sheetView>
  </sheetViews>
  <sheetFormatPr defaultColWidth="9.140625" customHeight="1" defaultRowHeight="11.25"/>
  <cols>
    <col min="1" max="1" style="64579" width="10.7109375" hidden="1" customWidth="1"/>
    <col min="2" max="2" style="65782" width="10.7109375" hidden="1" customWidth="1"/>
    <col min="3" max="3" style="64581" width="3.00390625" customWidth="1"/>
    <col min="4" max="4" style="66903" width="1.00390625" customWidth="1"/>
    <col min="5" max="6" style="66903" width="55.00390625" customWidth="1"/>
    <col min="7" max="7" style="67441" width="1.00390625" customWidth="1"/>
    <col min="8" max="8" style="66903" width="18.00390625" hidden="1" customWidth="1"/>
    <col min="9" max="9" style="64583" width="59.00390625" customWidth="1"/>
    <col min="10" max="10" style="66852" width="52.140625" hidden="1" customWidth="1"/>
    <col min="11" max="11" style="66903" width="8.00390625" customWidth="1"/>
    <col min="12" max="12" style="66903" width="77.00390625" customWidth="1"/>
    <col min="13" max="16" style="66903" width="8.00390625" customWidth="1"/>
    <col min="17" max="17" style="66903" width="12.00390625" hidden="1" customWidth="1"/>
  </cols>
  <sheetData>
    <row s="65913" customFormat="1" customHeight="1" ht="3">
      <c r="A1" s="1994"/>
      <c r="B1" s="1452"/>
      <c r="F1" s="1453" t="s">
        <v>13</v>
      </c>
      <c r="G1" s="1622"/>
      <c r="H1" s="1282"/>
      <c r="I1" s="1622"/>
      <c r="J1" s="2082"/>
      <c r="Q1" s="1453" t="s">
        <v>14</v>
      </c>
    </row>
    <row s="67156" customFormat="1" customHeight="1" ht="14.25">
      <c r="A2" s="1994"/>
      <c r="B2" s="1309"/>
      <c r="E2" s="2951" t="str">
        <f>code</f>
        <v>Код отчёта: PP110.OPEN.INFO.BALANCE.HEAT.EIAS</v>
      </c>
      <c r="F2" s="1480"/>
      <c r="G2" s="1456"/>
      <c r="H2" s="1456"/>
      <c r="I2" s="1456"/>
      <c r="J2" s="2083"/>
      <c r="K2" s="1456"/>
      <c r="Q2" s="1282">
        <v>14</v>
      </c>
    </row>
    <row customHeight="1" ht="14.699999999999998">
      <c r="E3" s="1457" t="str">
        <f>version</f>
        <v>Версия отчёта: 1.1.4</v>
      </c>
      <c r="F3" s="1480"/>
      <c r="G3" s="1981"/>
      <c r="H3" s="1981"/>
      <c r="I3" s="1981"/>
      <c r="J3" s="2084"/>
      <c r="K3" s="1299"/>
      <c r="Q3" s="1285">
        <v>14</v>
      </c>
    </row>
    <row s="65172" customFormat="1" customHeight="1" ht="6.3">
      <c r="A4" s="1995"/>
      <c r="B4" s="1443"/>
      <c r="C4" s="1444"/>
      <c r="D4" s="1445"/>
      <c r="E4" s="1454"/>
      <c r="F4" s="1455"/>
      <c r="G4" s="1982"/>
      <c r="H4" s="1620"/>
      <c r="I4" s="1622"/>
      <c r="J4" s="2085"/>
      <c r="Q4" s="1447">
        <v>6</v>
      </c>
    </row>
    <row customHeight="1" ht="39.75">
      <c r="D5" s="1286"/>
      <c r="E5" s="3306"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3307"/>
      <c r="G5" s="1983"/>
      <c r="J5" s="2086"/>
      <c r="Q5" s="1285">
        <v>38</v>
      </c>
    </row>
    <row s="65172" customFormat="1" customHeight="1" ht="6.3">
      <c r="A6" s="1995"/>
      <c r="B6" s="1443"/>
      <c r="C6" s="1444"/>
      <c r="D6" s="1445"/>
      <c r="E6" s="1448"/>
      <c r="F6" s="1449"/>
      <c r="G6" s="1983"/>
      <c r="H6" s="1620"/>
      <c r="I6" s="1622"/>
      <c r="J6" s="2085"/>
      <c r="Q6" s="1447">
        <v>6</v>
      </c>
    </row>
    <row customHeight="1" ht="21">
      <c r="D7" s="1286"/>
      <c r="E7" s="1602" t="s">
        <v>15</v>
      </c>
      <c r="F7" s="1426" t="s">
        <v>16</v>
      </c>
      <c r="G7" s="1983"/>
      <c r="Q7" s="1285">
        <v>20</v>
      </c>
    </row>
    <row s="65172" customFormat="1" customHeight="1" ht="6.3">
      <c r="A8" s="1996"/>
      <c r="B8" s="1443"/>
      <c r="C8" s="1444"/>
      <c r="D8" s="1450"/>
      <c r="E8" s="1448"/>
      <c r="F8" s="1451"/>
      <c r="G8" s="1288"/>
      <c r="H8" s="1620"/>
      <c r="I8" s="1622"/>
      <c r="J8" s="2088"/>
      <c r="Q8" s="1447">
        <v>6</v>
      </c>
    </row>
    <row s="66903" customFormat="1" customHeight="1" ht="19.5" hidden="1">
      <c r="A9" s="1995"/>
      <c r="B9" s="1309"/>
      <c r="C9" s="1619"/>
      <c r="D9" s="1621"/>
      <c r="E9" s="2376" t="s">
        <v>17</v>
      </c>
      <c r="F9" s="3132"/>
      <c r="G9" s="1983"/>
      <c r="I9" s="3111" t="str">
        <f>IF(TITLE_STRUCTURE_INFO_ROIV="","","раскрывается "&amp;INDEX(ROIV_INFO_COMMENT,MATCH(TITLE_STRUCTURE_INFO_ROIV,ROIV_INFO_LIST,0)))</f>
        <v/>
      </c>
      <c r="J9" s="2087"/>
      <c r="Q9" s="1620">
        <v>0</v>
      </c>
    </row>
    <row s="65172" customFormat="1" customHeight="1" ht="24" hidden="1">
      <c r="A10" s="1996"/>
      <c r="B10" s="1637"/>
      <c r="C10" s="1638"/>
      <c r="D10" s="1450"/>
      <c r="E10" s="2376" t="s">
        <v>18</v>
      </c>
      <c r="F10" s="3277" t="s">
        <v>19</v>
      </c>
      <c r="G10" s="1288"/>
      <c r="H10" s="1620"/>
      <c r="I10" s="1622"/>
      <c r="J10" s="2088"/>
      <c r="Q10" s="1641">
        <v>24</v>
      </c>
    </row>
    <row customHeight="1" ht="22.5" hidden="1">
      <c r="A11" s="3309" t="s">
        <v>20</v>
      </c>
      <c r="D11" s="1286"/>
      <c r="E11" s="2376" t="s">
        <v>21</v>
      </c>
      <c r="F11" s="2943" t="s">
        <v>22</v>
      </c>
      <c r="G11" s="1288"/>
      <c r="H11" s="1984" t="s">
        <v>23</v>
      </c>
      <c r="J11" s="2087" t="s">
        <v>24</v>
      </c>
      <c r="Q11" s="1285">
        <v>0</v>
      </c>
    </row>
    <row customHeight="1" ht="22.5" hidden="1">
      <c r="A12" s="3309"/>
      <c r="D12" s="1286"/>
      <c r="E12" s="2376" t="s">
        <v>25</v>
      </c>
      <c r="F12" s="2943"/>
      <c r="G12" s="1284"/>
      <c r="J12" s="2087" t="s">
        <v>26</v>
      </c>
      <c r="Q12" s="1285">
        <v>0</v>
      </c>
    </row>
    <row s="66903" customFormat="1" customHeight="1" ht="22.5" hidden="1">
      <c r="A13" s="1999" t="s">
        <v>27</v>
      </c>
      <c r="B13" s="1309"/>
      <c r="C13" s="1619"/>
      <c r="D13" s="1621"/>
      <c r="E13" s="2986" t="s">
        <v>28</v>
      </c>
      <c r="F13" s="2943" t="s">
        <v>22</v>
      </c>
      <c r="G13" s="1288"/>
      <c r="H13" s="1981"/>
      <c r="I13" s="1622"/>
      <c r="J13" s="2987" t="s">
        <v>29</v>
      </c>
      <c r="Q13" s="1620">
        <v>0</v>
      </c>
    </row>
    <row s="66903" customFormat="1" customHeight="1" ht="27">
      <c r="A14" s="1999" t="s">
        <v>30</v>
      </c>
      <c r="B14" s="1309"/>
      <c r="C14" s="1619"/>
      <c r="D14" s="1621"/>
      <c r="E14" s="2376" t="s">
        <v>31</v>
      </c>
      <c r="F14" s="6496">
        <v>2023</v>
      </c>
      <c r="G14" s="1288"/>
      <c r="H14" s="1981"/>
      <c r="I14" s="1622"/>
      <c r="J14" s="2087" t="s">
        <v>32</v>
      </c>
      <c r="Q14" s="1620">
        <v>0</v>
      </c>
    </row>
    <row s="66903" customFormat="1" customHeight="1" ht="19.5" hidden="1">
      <c r="A15" s="1999" t="s">
        <v>33</v>
      </c>
      <c r="B15" s="1309"/>
      <c r="C15" s="1619"/>
      <c r="D15" s="1621"/>
      <c r="E15" s="2376" t="s">
        <v>34</v>
      </c>
      <c r="F15" s="2978"/>
      <c r="G15" s="1288"/>
      <c r="H15" s="1981"/>
      <c r="I15" s="1622"/>
      <c r="J15" s="2087" t="s">
        <v>35</v>
      </c>
      <c r="Q15" s="1620">
        <v>0</v>
      </c>
    </row>
    <row s="65172" customFormat="1" customHeight="1" ht="6.3">
      <c r="A16" s="1996"/>
      <c r="B16" s="1443"/>
      <c r="C16" s="1444"/>
      <c r="D16" s="1450"/>
      <c r="E16" s="1448"/>
      <c r="F16" s="1451"/>
      <c r="G16" s="1288"/>
      <c r="H16" s="1620"/>
      <c r="I16" s="1622"/>
      <c r="J16" s="2085"/>
      <c r="Q16" s="1447">
        <v>6</v>
      </c>
    </row>
    <row customHeight="1" ht="21">
      <c r="D17" s="1286"/>
      <c r="E17" s="1602" t="s">
        <v>36</v>
      </c>
      <c r="F17" s="1427" t="s">
        <v>37</v>
      </c>
      <c r="G17" s="1284"/>
      <c r="H17" s="1984" t="s">
        <v>23</v>
      </c>
      <c r="Q17" s="1285">
        <v>20</v>
      </c>
    </row>
    <row customHeight="1" ht="25.5" hidden="1">
      <c r="D18" s="1286"/>
      <c r="E18" s="2986" t="s">
        <v>38</v>
      </c>
      <c r="F18" s="2944"/>
      <c r="G18" s="1284"/>
      <c r="I18" s="1985"/>
      <c r="J18" s="3308" t="s">
        <v>39</v>
      </c>
      <c r="Q18" s="1285">
        <v>0</v>
      </c>
    </row>
    <row customHeight="1" ht="25.5" hidden="1">
      <c r="D19" s="1286"/>
      <c r="E19" s="237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944"/>
      <c r="G19" s="1284"/>
      <c r="I19" s="1985"/>
      <c r="J19" s="3308"/>
      <c r="Q19" s="1285">
        <v>0</v>
      </c>
    </row>
    <row customHeight="1" ht="22.5" hidden="1">
      <c r="D20" s="1286"/>
      <c r="E20" s="1287"/>
      <c r="F20" s="1481" t="str">
        <f>"Первичное "&amp;IF(TEMPLATE_GROUP="P","установление тарифов","предложение по тарифам")</f>
        <v>Первичное предложение по тарифам</v>
      </c>
      <c r="G20" s="1284"/>
      <c r="I20" s="1605"/>
      <c r="J20" s="2086" t="s">
        <v>40</v>
      </c>
      <c r="Q20" s="1285">
        <v>0</v>
      </c>
    </row>
    <row customHeight="1" ht="19.5" hidden="1">
      <c r="D21" s="1286"/>
      <c r="E21" s="1602" t="str">
        <f>"Дата "&amp;IF(TEMPLATE_GROUP="P","документа","подачи заявления")&amp;" об утверждении тарифов"</f>
        <v>Дата подачи заявления об утверждении тарифов</v>
      </c>
      <c r="F21" s="2943"/>
      <c r="G21" s="1284"/>
      <c r="I21" s="1986"/>
      <c r="Q21" s="1285">
        <v>0</v>
      </c>
    </row>
    <row customHeight="1" ht="19.5" hidden="1">
      <c r="D22" s="1286"/>
      <c r="E22" s="1602" t="str">
        <f>"Номер "&amp;IF(TEMPLATE_GROUP="P","документа","подачи заявления")&amp;" об утверждении тарифов"</f>
        <v>Номер подачи заявления об утверждении тарифов</v>
      </c>
      <c r="F22" s="1427"/>
      <c r="G22" s="1284"/>
      <c r="I22" s="1986"/>
      <c r="Q22" s="1285">
        <v>0</v>
      </c>
    </row>
    <row customHeight="1" ht="22.5" hidden="1">
      <c r="D23" s="1286"/>
      <c r="E23" s="1602" t="s">
        <v>41</v>
      </c>
      <c r="F23" s="1427"/>
      <c r="G23" s="1284"/>
      <c r="Q23" s="1285">
        <v>0</v>
      </c>
    </row>
    <row customHeight="1" ht="19.5" hidden="1">
      <c r="D24" s="1286"/>
      <c r="E24" s="1602" t="s">
        <v>42</v>
      </c>
      <c r="F24" s="1427"/>
      <c r="G24" s="1284"/>
      <c r="Q24" s="1285">
        <v>0</v>
      </c>
    </row>
    <row customHeight="1" ht="22.5" hidden="1">
      <c r="D25" s="1286"/>
      <c r="E25" s="1287"/>
      <c r="F25" s="1481" t="str">
        <f>"Изменение "&amp;IF(TEMPLATE_GROUP="P","тарифов","предложения по тарифам")</f>
        <v>Изменение предложения по тарифам</v>
      </c>
      <c r="G25" s="1284"/>
      <c r="J25" s="2086" t="s">
        <v>43</v>
      </c>
      <c r="Q25" s="1285">
        <v>0</v>
      </c>
    </row>
    <row customHeight="1" ht="19.5" hidden="1">
      <c r="D26" s="1286"/>
      <c r="E26" s="1602" t="str">
        <f>"Дата "&amp;IF(TEMPLATE_GROUP="P","принятия решения","подачи заявления")&amp;" об изменении тарифов"</f>
        <v>Дата подачи заявления об изменении тарифов</v>
      </c>
      <c r="F26" s="2944"/>
      <c r="G26" s="1284"/>
      <c r="Q26" s="1285">
        <v>0</v>
      </c>
    </row>
    <row customHeight="1" ht="19.5" hidden="1">
      <c r="D27" s="1286"/>
      <c r="E27" s="2376" t="str">
        <f>"Номер "&amp;IF(TEMPLATE_GROUP="P","принятия решения","заявления")&amp;" об изменении тарифов"</f>
        <v>Номер заявления об изменении тарифов</v>
      </c>
      <c r="F27" s="1429"/>
      <c r="G27" s="1284"/>
      <c r="Q27" s="1285">
        <v>0</v>
      </c>
    </row>
    <row customHeight="1" ht="24.75" hidden="1">
      <c r="D28" s="1286"/>
      <c r="E28" s="1602" t="s">
        <v>44</v>
      </c>
      <c r="F28" s="1429"/>
      <c r="G28" s="1284"/>
      <c r="Q28" s="1285">
        <v>0</v>
      </c>
    </row>
    <row customHeight="1" ht="19.5" hidden="1">
      <c r="D29" s="1286"/>
      <c r="E29" s="1602" t="s">
        <v>42</v>
      </c>
      <c r="F29" s="1429"/>
      <c r="G29" s="1284"/>
      <c r="Q29" s="1285">
        <v>0</v>
      </c>
    </row>
    <row s="65172" customFormat="1" customHeight="1" ht="6.3">
      <c r="A30" s="1996"/>
      <c r="B30" s="1443"/>
      <c r="C30" s="1444"/>
      <c r="D30" s="1450"/>
      <c r="E30" s="1448"/>
      <c r="F30" s="1451"/>
      <c r="G30" s="1288"/>
      <c r="H30" s="1620"/>
      <c r="I30" s="1622"/>
      <c r="J30" s="2085"/>
      <c r="Q30" s="1447">
        <v>6</v>
      </c>
    </row>
    <row customHeight="1" ht="21">
      <c r="C31" s="1289"/>
      <c r="D31" s="1290"/>
      <c r="E31" s="1602" t="str">
        <f>"Наименование "&amp;IF(TEMPLATE_GROUP="ROIV","органа тарифного регулирования","ЮЛ / ИП")</f>
        <v>Наименование ЮЛ / ИП</v>
      </c>
      <c r="F31" s="1428" t="s">
        <v>45</v>
      </c>
      <c r="G31" s="1987"/>
      <c r="Q31" s="1285">
        <v>20</v>
      </c>
    </row>
    <row customHeight="1" ht="21" hidden="1">
      <c r="C32" s="1289"/>
      <c r="D32" s="1290"/>
      <c r="E32" s="1603" t="s">
        <v>46</v>
      </c>
      <c r="F32" s="1428"/>
      <c r="G32" s="1987"/>
      <c r="Q32" s="1285">
        <v>20</v>
      </c>
    </row>
    <row customHeight="1" ht="21">
      <c r="C33" s="1289"/>
      <c r="D33" s="1290"/>
      <c r="E33" s="1602" t="s">
        <v>47</v>
      </c>
      <c r="F33" s="1428" t="s">
        <v>48</v>
      </c>
      <c r="G33" s="1987"/>
      <c r="Q33" s="1285">
        <v>20</v>
      </c>
    </row>
    <row customHeight="1" ht="21">
      <c r="C34" s="1289"/>
      <c r="D34" s="1290"/>
      <c r="E34" s="1602" t="s">
        <v>49</v>
      </c>
      <c r="F34" s="1428" t="s">
        <v>50</v>
      </c>
      <c r="G34" s="1987"/>
      <c r="H34" s="1291"/>
      <c r="Q34" s="1285">
        <v>20</v>
      </c>
    </row>
    <row s="65172" customFormat="1" customHeight="1" ht="11.549999999999999">
      <c r="A35" s="1996"/>
      <c r="B35" s="1443"/>
      <c r="C35" s="1444"/>
      <c r="D35" s="1450"/>
      <c r="E35" s="1448"/>
      <c r="F35" s="1451"/>
      <c r="G35" s="1288"/>
      <c r="H35" s="1620"/>
      <c r="I35" s="1622"/>
      <c r="J35" s="2085"/>
      <c r="Q35" s="1447">
        <v>11</v>
      </c>
    </row>
    <row customHeight="1" ht="19.5">
      <c r="A36" s="2090"/>
      <c r="D36" s="1290"/>
      <c r="E36" s="1602" t="s">
        <v>51</v>
      </c>
      <c r="F36" s="6514" t="s">
        <v>52</v>
      </c>
      <c r="G36" s="1288"/>
      <c r="Q36" s="1285">
        <v>0</v>
      </c>
    </row>
    <row customHeight="1" ht="21">
      <c r="A37" s="2090"/>
      <c r="D37" s="1290"/>
      <c r="E37" s="1602" t="s">
        <v>53</v>
      </c>
      <c r="F37" s="6514" t="s">
        <v>54</v>
      </c>
      <c r="G37" s="1288"/>
      <c r="Q37" s="1285">
        <v>20</v>
      </c>
    </row>
    <row s="65172" customFormat="1" customHeight="1" ht="6.3">
      <c r="A38" s="1996"/>
      <c r="B38" s="1443"/>
      <c r="C38" s="1444"/>
      <c r="D38" s="1445"/>
      <c r="E38" s="1446"/>
      <c r="F38" s="2264"/>
      <c r="G38" s="1284"/>
      <c r="H38" s="1620"/>
      <c r="I38" s="1622"/>
      <c r="J38" s="2087"/>
      <c r="Q38" s="1447">
        <v>6</v>
      </c>
    </row>
    <row customHeight="1" ht="36.75">
      <c r="A39" s="1996"/>
      <c r="D39" s="1286"/>
      <c r="E39" s="1602" t="s">
        <v>55</v>
      </c>
      <c r="F39" s="1921" t="s">
        <v>19</v>
      </c>
      <c r="G39" s="1284"/>
      <c r="H39" s="1984" t="s">
        <v>23</v>
      </c>
      <c r="Q39" s="1285">
        <v>35</v>
      </c>
    </row>
    <row s="65172" customFormat="1" customHeight="1" ht="6" hidden="1">
      <c r="A40" s="1995"/>
      <c r="B40" s="1637"/>
      <c r="C40" s="1638"/>
      <c r="D40" s="1639"/>
      <c r="E40" s="1640"/>
      <c r="F40" s="2264"/>
      <c r="G40" s="1284"/>
      <c r="H40" s="1620"/>
      <c r="I40" s="1622"/>
      <c r="J40" s="2087"/>
      <c r="Q40" s="1641">
        <v>6</v>
      </c>
    </row>
    <row s="66903" customFormat="1" customHeight="1" ht="26.25" hidden="1">
      <c r="A41" s="1999" t="s">
        <v>27</v>
      </c>
      <c r="B41" s="1624"/>
      <c r="C41" s="1619"/>
      <c r="D41" s="1621"/>
      <c r="E41" s="160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1921" t="s">
        <v>19</v>
      </c>
      <c r="G41" s="1284"/>
      <c r="I41" s="1622"/>
      <c r="J41" s="2087"/>
      <c r="Q41" s="1620">
        <v>0</v>
      </c>
    </row>
    <row s="65172" customFormat="1" customHeight="1" ht="6" hidden="1">
      <c r="A42" s="1995"/>
      <c r="B42" s="1637"/>
      <c r="C42" s="1638"/>
      <c r="D42" s="1639"/>
      <c r="E42" s="1640"/>
      <c r="F42" s="2264"/>
      <c r="G42" s="1284"/>
      <c r="H42" s="1620"/>
      <c r="I42" s="1622"/>
      <c r="J42" s="2085"/>
      <c r="Q42" s="1641">
        <v>0</v>
      </c>
    </row>
    <row s="66903" customFormat="1" customHeight="1" ht="27" hidden="1">
      <c r="A43" s="1995"/>
      <c r="B43" s="1624"/>
      <c r="C43" s="1619"/>
      <c r="D43" s="1621"/>
      <c r="E43" s="1602" t="s">
        <v>56</v>
      </c>
      <c r="F43" s="1921" t="s">
        <v>19</v>
      </c>
      <c r="G43" s="1284"/>
      <c r="I43" s="1622"/>
      <c r="J43" s="2087"/>
      <c r="Q43" s="1620">
        <v>0</v>
      </c>
    </row>
    <row s="66903" customFormat="1" customHeight="1" ht="27" hidden="1">
      <c r="A44" s="1995"/>
      <c r="B44" s="1624"/>
      <c r="C44" s="1619"/>
      <c r="D44" s="1621"/>
      <c r="E44" s="2376" t="s">
        <v>57</v>
      </c>
      <c r="F44" s="3099"/>
      <c r="G44" s="1284"/>
      <c r="I44" s="1622"/>
      <c r="J44" s="2087"/>
      <c r="Q44" s="1620">
        <v>0</v>
      </c>
    </row>
    <row s="65172" customFormat="1" customHeight="1" ht="6" hidden="1">
      <c r="A45" s="1995"/>
      <c r="B45" s="1637"/>
      <c r="C45" s="1638"/>
      <c r="D45" s="1639"/>
      <c r="E45" s="1640"/>
      <c r="F45" s="2264"/>
      <c r="G45" s="1284"/>
      <c r="H45" s="1620"/>
      <c r="I45" s="1622"/>
      <c r="J45" s="2087"/>
      <c r="Q45" s="1641">
        <v>0</v>
      </c>
    </row>
    <row s="65172" customFormat="1" customHeight="1" ht="24.75" hidden="1">
      <c r="A46" s="1995"/>
      <c r="B46" s="1637"/>
      <c r="C46" s="1638"/>
      <c r="D46" s="1639"/>
      <c r="E46" s="2376" t="s">
        <v>58</v>
      </c>
      <c r="F46" s="1921" t="s">
        <v>19</v>
      </c>
      <c r="G46" s="1284"/>
      <c r="H46" s="1620"/>
      <c r="I46" s="1622"/>
      <c r="J46" s="2087"/>
      <c r="Q46" s="1641">
        <v>0</v>
      </c>
    </row>
    <row s="66903" customFormat="1" customHeight="1" ht="24.75" hidden="1">
      <c r="A47" s="1995"/>
      <c r="B47" s="1624"/>
      <c r="C47" s="1619"/>
      <c r="D47" s="1621"/>
      <c r="E47" s="2376" t="s">
        <v>59</v>
      </c>
      <c r="F47" s="1921" t="s">
        <v>19</v>
      </c>
      <c r="G47" s="1284"/>
      <c r="I47" s="1622"/>
      <c r="J47" s="2087"/>
      <c r="Q47" s="1620">
        <v>0</v>
      </c>
    </row>
    <row s="65172" customFormat="1" customHeight="1" ht="6" hidden="1">
      <c r="A48" s="1995"/>
      <c r="B48" s="1443"/>
      <c r="C48" s="1444"/>
      <c r="D48" s="1445"/>
      <c r="E48" s="1446"/>
      <c r="F48" s="2264"/>
      <c r="G48" s="1284"/>
      <c r="H48" s="1620"/>
      <c r="I48" s="1622"/>
      <c r="J48" s="2087"/>
      <c r="Q48" s="1447">
        <v>0</v>
      </c>
    </row>
    <row customHeight="1" ht="29.25" hidden="1">
      <c r="B49" s="1359"/>
      <c r="D49" s="1286"/>
      <c r="E49" s="160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1921"/>
      <c r="G49" s="1284"/>
      <c r="Q49" s="1285">
        <v>0</v>
      </c>
    </row>
    <row s="65172" customFormat="1" customHeight="1" ht="6">
      <c r="A50" s="1996"/>
      <c r="B50" s="1637"/>
      <c r="C50" s="1638"/>
      <c r="D50" s="1450"/>
      <c r="E50" s="1448"/>
      <c r="F50" s="1451"/>
      <c r="G50" s="1288"/>
      <c r="H50" s="1620"/>
      <c r="I50" s="1622"/>
      <c r="J50" s="2087"/>
      <c r="Q50" s="1641">
        <v>0</v>
      </c>
    </row>
    <row s="66903" customFormat="1" customHeight="1" ht="28.5">
      <c r="A51" s="1997"/>
      <c r="B51" s="1624"/>
      <c r="C51" s="1741"/>
      <c r="D51" s="1742"/>
      <c r="E51" s="1602" t="s">
        <v>60</v>
      </c>
      <c r="F51" s="1921" t="s">
        <v>19</v>
      </c>
      <c r="G51" s="1743"/>
      <c r="I51" s="1745"/>
      <c r="J51" s="2089"/>
      <c r="P51" s="1746"/>
      <c r="Q51" s="1744">
        <v>0</v>
      </c>
    </row>
    <row s="65172" customFormat="1" customHeight="1" ht="6">
      <c r="A52" s="1996"/>
      <c r="B52" s="1637"/>
      <c r="C52" s="1638"/>
      <c r="D52" s="1450"/>
      <c r="E52" s="1448"/>
      <c r="F52" s="1451"/>
      <c r="G52" s="1288"/>
      <c r="H52" s="1620"/>
      <c r="I52" s="1622"/>
      <c r="J52" s="2085"/>
      <c r="Q52" s="1641">
        <v>0</v>
      </c>
    </row>
    <row s="66903" customFormat="1" customHeight="1" ht="27">
      <c r="A53" s="1997"/>
      <c r="B53" s="1624"/>
      <c r="C53" s="1741"/>
      <c r="D53" s="1742"/>
      <c r="E53" s="1602" t="s">
        <v>61</v>
      </c>
      <c r="F53" s="2259" t="s">
        <v>62</v>
      </c>
      <c r="G53" s="1743"/>
      <c r="I53" s="1745"/>
      <c r="J53" s="2089"/>
      <c r="P53" s="1746"/>
      <c r="Q53" s="1744">
        <v>0</v>
      </c>
    </row>
    <row s="66903" customFormat="1" customHeight="1" ht="27">
      <c r="A54" s="1997"/>
      <c r="B54" s="1624"/>
      <c r="C54" s="1741"/>
      <c r="D54" s="1742"/>
      <c r="E54" s="1602" t="s">
        <v>63</v>
      </c>
      <c r="F54" s="6532">
        <v>45380</v>
      </c>
      <c r="G54" s="1743"/>
      <c r="I54" s="1745"/>
      <c r="J54" s="2089"/>
      <c r="P54" s="1746"/>
      <c r="Q54" s="1744">
        <v>0</v>
      </c>
    </row>
    <row s="65172" customFormat="1" customHeight="1" ht="6">
      <c r="A55" s="1996"/>
      <c r="B55" s="1637"/>
      <c r="C55" s="1638"/>
      <c r="D55" s="1450"/>
      <c r="E55" s="1448"/>
      <c r="F55" s="1451"/>
      <c r="G55" s="1288"/>
      <c r="H55" s="1620"/>
      <c r="I55" s="1622"/>
      <c r="J55" s="2085"/>
      <c r="Q55" s="1641">
        <v>0</v>
      </c>
    </row>
    <row s="66903" customFormat="1" customHeight="1" ht="25.5">
      <c r="A56" s="1997"/>
      <c r="B56" s="1624"/>
      <c r="C56" s="1741"/>
      <c r="D56" s="1742"/>
      <c r="E56" s="1602" t="s">
        <v>64</v>
      </c>
      <c r="F56" s="2259" t="s">
        <v>62</v>
      </c>
      <c r="G56" s="1743"/>
      <c r="I56" s="1745"/>
      <c r="J56" s="2089"/>
      <c r="P56" s="1746"/>
      <c r="Q56" s="1744">
        <v>0</v>
      </c>
    </row>
    <row s="65172" customFormat="1" customHeight="1" ht="6">
      <c r="A57" s="1996"/>
      <c r="B57" s="1637"/>
      <c r="C57" s="1638"/>
      <c r="D57" s="1450"/>
      <c r="E57" s="1448"/>
      <c r="F57" s="1451"/>
      <c r="G57" s="1288"/>
      <c r="H57" s="1620"/>
      <c r="I57" s="1622"/>
      <c r="J57" s="2085"/>
      <c r="Q57" s="1641">
        <v>0</v>
      </c>
    </row>
    <row s="66903" customFormat="1" customHeight="1" ht="15">
      <c r="A58" s="1997"/>
      <c r="B58" s="1624"/>
      <c r="C58" s="1741"/>
      <c r="D58" s="1742"/>
      <c r="E58" s="1602" t="s">
        <v>65</v>
      </c>
      <c r="F58" s="2259" t="s">
        <v>62</v>
      </c>
      <c r="G58" s="1743"/>
      <c r="I58" s="1745"/>
      <c r="J58" s="2089"/>
      <c r="P58" s="1746"/>
      <c r="Q58" s="1744">
        <v>0</v>
      </c>
    </row>
    <row s="66903" customFormat="1" customHeight="1" ht="75">
      <c r="A59" s="1997"/>
      <c r="B59" s="1624"/>
      <c r="C59" s="1741"/>
      <c r="D59" s="1742"/>
      <c r="E59" s="160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2400" t="s">
        <v>62</v>
      </c>
      <c r="G59" s="1743"/>
      <c r="I59" s="1745"/>
      <c r="J59" s="2089"/>
      <c r="P59" s="1746"/>
      <c r="Q59" s="1744">
        <v>0</v>
      </c>
    </row>
    <row s="66903" customFormat="1" customHeight="1" ht="15">
      <c r="A60" s="1997"/>
      <c r="B60" s="1624"/>
      <c r="C60" s="1741"/>
      <c r="D60" s="1742"/>
      <c r="E60" s="2376" t="s">
        <v>66</v>
      </c>
      <c r="F60" s="6514" t="s">
        <v>67</v>
      </c>
      <c r="G60" s="1743"/>
      <c r="I60" s="1745"/>
      <c r="J60" s="2089"/>
      <c r="P60" s="1746"/>
      <c r="Q60" s="1744">
        <v>0</v>
      </c>
    </row>
    <row s="65172" customFormat="1" customHeight="1" ht="6" hidden="1">
      <c r="A61" s="1996"/>
      <c r="B61" s="1637"/>
      <c r="C61" s="1638"/>
      <c r="D61" s="1639"/>
      <c r="E61" s="1640"/>
      <c r="F61" s="2264"/>
      <c r="G61" s="1284"/>
      <c r="H61" s="1620"/>
      <c r="I61" s="1622"/>
      <c r="J61" s="2087"/>
      <c r="Q61" s="1641">
        <v>0</v>
      </c>
    </row>
    <row s="66903" customFormat="1" customHeight="1" ht="33.75" hidden="1">
      <c r="A62" s="1996"/>
      <c r="B62" s="1309"/>
      <c r="C62" s="1619"/>
      <c r="D62" s="1621"/>
      <c r="E62" s="2376" t="s">
        <v>68</v>
      </c>
      <c r="F62" s="2882" t="s">
        <v>62</v>
      </c>
      <c r="G62" s="1284"/>
      <c r="H62" s="1984" t="s">
        <v>23</v>
      </c>
      <c r="I62" s="1622"/>
      <c r="J62" s="2087"/>
      <c r="Q62" s="1620">
        <v>0</v>
      </c>
    </row>
    <row s="65172" customFormat="1" customHeight="1" ht="6.3">
      <c r="A63" s="1996"/>
      <c r="B63" s="1443"/>
      <c r="C63" s="1444"/>
      <c r="D63" s="1450"/>
      <c r="E63" s="1448"/>
      <c r="F63" s="1451"/>
      <c r="G63" s="1288"/>
      <c r="H63" s="1620"/>
      <c r="I63" s="1622"/>
      <c r="J63" s="2085"/>
      <c r="Q63" s="1447">
        <v>6</v>
      </c>
    </row>
    <row customHeight="1" ht="21">
      <c r="A64" s="1998"/>
      <c r="B64" s="1310"/>
      <c r="D64" s="1293"/>
      <c r="E64" s="1602" t="s">
        <v>69</v>
      </c>
      <c r="F64" s="1427" t="s">
        <v>70</v>
      </c>
      <c r="G64" s="1288"/>
      <c r="Q64" s="1285">
        <v>20</v>
      </c>
    </row>
    <row customHeight="1" ht="21">
      <c r="A65" s="1998"/>
      <c r="B65" s="1310"/>
      <c r="D65" s="1293"/>
      <c r="E65" s="1602" t="s">
        <v>71</v>
      </c>
      <c r="F65" s="1427" t="s">
        <v>72</v>
      </c>
      <c r="G65" s="1288"/>
      <c r="Q65" s="1285">
        <v>20</v>
      </c>
    </row>
    <row customHeight="1" ht="36.75">
      <c r="D66" s="1286"/>
      <c r="E66" s="1604" t="s">
        <v>73</v>
      </c>
      <c r="F66" s="2265"/>
      <c r="G66" s="1284"/>
      <c r="Q66" s="1285">
        <v>35</v>
      </c>
    </row>
    <row customHeight="1" ht="21">
      <c r="A67" s="1998"/>
      <c r="D67" s="1621"/>
      <c r="E67" s="1602" t="s">
        <v>74</v>
      </c>
      <c r="F67" s="1482" t="s">
        <v>75</v>
      </c>
      <c r="G67" s="1288"/>
      <c r="Q67" s="1285">
        <v>20</v>
      </c>
    </row>
    <row customHeight="1" ht="21">
      <c r="A68" s="1998"/>
      <c r="B68" s="1310"/>
      <c r="D68" s="1293"/>
      <c r="E68" s="1602" t="s">
        <v>76</v>
      </c>
      <c r="F68" s="1482" t="s">
        <v>77</v>
      </c>
      <c r="G68" s="1288"/>
      <c r="Q68" s="1285">
        <v>20</v>
      </c>
    </row>
    <row customHeight="1" ht="21">
      <c r="A69" s="1998"/>
      <c r="B69" s="1310"/>
      <c r="D69" s="1293"/>
      <c r="E69" s="1602" t="s">
        <v>78</v>
      </c>
      <c r="F69" s="1482" t="s">
        <v>79</v>
      </c>
      <c r="G69" s="1288"/>
      <c r="Q69" s="1285">
        <v>20</v>
      </c>
    </row>
    <row customHeight="1" ht="21">
      <c r="D70" s="1621"/>
      <c r="E70" s="1602" t="s">
        <v>80</v>
      </c>
      <c r="F70" s="1482" t="s">
        <v>81</v>
      </c>
      <c r="G70" s="1284"/>
      <c r="Q70" s="1285">
        <v>20</v>
      </c>
    </row>
    <row customHeight="1" ht="21">
      <c r="A71" s="1998"/>
      <c r="D71" s="1284"/>
      <c r="F71" s="1344"/>
      <c r="G71" s="1288"/>
      <c r="Q71" s="1285">
        <v>20</v>
      </c>
    </row>
    <row customHeight="1" ht="21">
      <c r="A72" s="1998"/>
      <c r="B72" s="1310"/>
      <c r="D72" s="1293"/>
      <c r="E72" s="1292"/>
      <c r="F72" s="2244" t="s">
        <v>13</v>
      </c>
      <c r="G72" s="1288"/>
      <c r="Q72" s="1285">
        <v>20</v>
      </c>
    </row>
    <row customHeight="1" ht="21">
      <c r="A73" s="1998"/>
      <c r="B73" s="1310"/>
      <c r="D73" s="1293"/>
      <c r="E73" s="1292"/>
      <c r="F73" s="1345"/>
      <c r="G73" s="1288"/>
      <c r="Q73" s="1285">
        <v>20</v>
      </c>
    </row>
    <row customHeight="1" ht="21">
      <c r="A74" s="1998"/>
      <c r="B74" s="1310"/>
      <c r="D74" s="1293"/>
      <c r="E74" s="1297"/>
      <c r="F74" s="1345"/>
      <c r="G74" s="1288"/>
      <c r="Q74" s="1285">
        <v>20</v>
      </c>
    </row>
    <row customHeight="1" ht="21">
      <c r="A75" s="1998"/>
      <c r="B75" s="1310"/>
      <c r="D75" s="1293"/>
      <c r="E75" s="1292"/>
      <c r="F75" s="1345"/>
      <c r="G75" s="1288"/>
      <c r="Q75" s="1285">
        <v>20</v>
      </c>
    </row>
    <row customHeight="1" ht="11.549999999999999">
      <c r="Q76" s="1285">
        <v>11</v>
      </c>
    </row>
    <row customHeight="1" ht="11.549999999999999">
      <c r="Q77" s="1285">
        <v>11</v>
      </c>
    </row>
    <row customHeight="1" ht="11.549999999999999">
      <c r="E78" s="1601"/>
      <c r="F78" s="1601"/>
      <c r="G78" s="1601"/>
      <c r="H78" s="1601"/>
      <c r="I78" s="1601"/>
      <c r="Q78" s="1285">
        <v>11</v>
      </c>
    </row>
    <row customHeight="1" ht="11.25" hidden="1">
      <c r="A79" s="1995" t="s">
        <v>82</v>
      </c>
      <c r="B79" s="1309">
        <v>0</v>
      </c>
      <c r="C79" s="1283">
        <v>3</v>
      </c>
      <c r="D79" s="1285">
        <v>1</v>
      </c>
      <c r="E79" s="1285">
        <v>55</v>
      </c>
      <c r="F79" s="1285">
        <v>54</v>
      </c>
      <c r="G79" s="1982">
        <v>1</v>
      </c>
      <c r="H79" s="1620">
        <v>0</v>
      </c>
      <c r="I79" s="1622">
        <v>59</v>
      </c>
      <c r="J79" s="2087">
        <v>0</v>
      </c>
      <c r="K79" s="1285">
        <v>8</v>
      </c>
      <c r="L79" s="1285">
        <v>77</v>
      </c>
      <c r="M79" s="1285">
        <v>8</v>
      </c>
      <c r="N79" s="1285">
        <v>8</v>
      </c>
      <c r="O79" s="1285">
        <v>8</v>
      </c>
      <c r="P79" s="1285">
        <v>8</v>
      </c>
      <c r="Q79" s="128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FFF2F2A-5FBE-74E6-125E-ACA23A395047}"/>
    <hyperlink ref="H17" location="Титульный!H9" display="Как заполнить?" tooltip="Помощь по работе с полями отчётной формы" xr:uid="{B9425818-D81A-AD65-8F4E-F70AB3541739}"/>
    <hyperlink ref="H39" location="Титульный!H9" display="Как заполнить?" tooltip="Помощь по работе с полями отчётной формы" xr:uid="{F0563BA5-7DC6-7924-09D3-16D37826A765}"/>
    <hyperlink ref="H62" location="Титульный!H9" display="Как заполнить?" tooltip="Помощь по работе с полями отчётной формы" xr:uid="{7932AF46-F283-1AE7-0DA7-0752D784EDE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3C4AA-E5FD-4737-A34F-E6A7E89B7B3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5490" width="3.00390625" customWidth="1"/>
    <col min="17" max="17" style="65556" width="3.00390625" customWidth="1"/>
    <col min="18" max="18" style="66873" width="3.00390625" customWidth="1"/>
    <col min="19" max="19" style="67434" width="12.00390625" customWidth="1"/>
    <col min="20" max="20" style="66903" width="31.00390625" customWidth="1"/>
    <col min="21" max="21" style="66903" width="0.140625" customWidth="1"/>
    <col min="22" max="23" style="66903" width="21.7109375" hidden="1" customWidth="1"/>
    <col min="24" max="24" style="66903" width="11.7109375" hidden="1" customWidth="1"/>
    <col min="25" max="25" style="66903" width="3.7109375" hidden="1" customWidth="1"/>
    <col min="26" max="26" style="66903" width="11.7109375" hidden="1" customWidth="1"/>
    <col min="27" max="27" style="66903" width="8.57421875" hidden="1" customWidth="1"/>
    <col min="28" max="28" style="66903" width="5.421875" customWidth="1"/>
    <col min="29" max="30" style="66903" width="3.00390625" customWidth="1"/>
    <col min="31" max="31" style="66903" width="24.00390625" customWidth="1"/>
    <col min="32" max="32" style="66903" width="3.7109375" customWidth="1"/>
    <col min="33" max="34" style="66903" width="3.00390625" customWidth="1"/>
    <col min="35" max="35" style="66903" width="24.00390625" customWidth="1"/>
    <col min="36" max="36" style="66903" width="3.7109375" customWidth="1"/>
    <col min="37" max="38" style="66903" width="3.00390625" customWidth="1"/>
    <col min="39" max="39" style="66903" width="18.00390625" customWidth="1"/>
    <col min="40" max="41" style="66903" width="21.00390625" customWidth="1"/>
    <col min="42" max="42" style="66903" width="11.00390625" customWidth="1"/>
    <col min="43" max="43" style="66903" width="3.7109375" customWidth="1"/>
    <col min="44" max="44" style="66903" width="11.00390625" customWidth="1"/>
    <col min="45" max="45" style="66903" width="8.57421875" hidden="1" customWidth="1"/>
    <col min="46" max="46" style="66903" width="4.00390625" customWidth="1"/>
    <col min="47" max="47" style="66903" width="115.00390625" customWidth="1"/>
    <col min="48" max="52" style="65923" width="10.00390625" customWidth="1"/>
    <col min="53" max="53" style="66903" width="10.57421875" hidden="1"/>
  </cols>
  <sheetData>
    <row customHeight="1" ht="22.5" hidden="1">
      <c r="W1" s="1538"/>
      <c r="X1" s="1538"/>
      <c r="AO1" s="1538"/>
      <c r="AP1" s="1538"/>
      <c r="BA1" s="2366" t="s">
        <v>14</v>
      </c>
    </row>
    <row customHeight="1" ht="21" hidden="1">
      <c r="A2" s="2574"/>
      <c r="B2" s="2574"/>
      <c r="C2" s="2574"/>
      <c r="D2" s="2574"/>
      <c r="E2" s="3469">
        <v>1</v>
      </c>
      <c r="F2" s="2574"/>
      <c r="G2" s="2574"/>
      <c r="H2" s="2574"/>
      <c r="I2" s="2574"/>
      <c r="J2" s="2574"/>
      <c r="K2" s="2574"/>
      <c r="L2" s="2575"/>
      <c r="M2" s="2576"/>
      <c r="N2" s="2576"/>
      <c r="O2" s="2576"/>
      <c r="P2" s="2620"/>
      <c r="Q2" s="2084"/>
      <c r="R2" s="1566"/>
      <c r="S2" s="2547">
        <f>INDEX(PT_DIFFERENTIATION_NUM_NTAR,MATCH(A2,PT_DIFFERENTIATION_NTAR_ID,0))</f>
      </c>
      <c r="T2" s="1509" t="s">
        <v>143</v>
      </c>
      <c r="U2" s="1511"/>
      <c r="V2" s="3454"/>
      <c r="W2" s="3454"/>
      <c r="X2" s="3454"/>
      <c r="Y2" s="3454"/>
      <c r="Z2" s="3454"/>
      <c r="AA2" s="3455"/>
      <c r="AB2" s="3453">
        <f>INDEX(PT_DIFFERENTIATION_NTAR,MATCH(A2,PT_DIFFERENTIATION_NTAR_ID,0))</f>
      </c>
      <c r="AC2" s="3454"/>
      <c r="AD2" s="3454"/>
      <c r="AE2" s="3454"/>
      <c r="AF2" s="3454"/>
      <c r="AG2" s="3454"/>
      <c r="AH2" s="3454"/>
      <c r="AI2" s="3454"/>
      <c r="AJ2" s="3454"/>
      <c r="AK2" s="3454"/>
      <c r="AL2" s="3454"/>
      <c r="AM2" s="3454"/>
      <c r="AN2" s="3454"/>
      <c r="AO2" s="3454"/>
      <c r="AP2" s="3454"/>
      <c r="AQ2" s="3454"/>
      <c r="AR2" s="3454"/>
      <c r="AS2" s="3454"/>
      <c r="AT2" s="3455"/>
      <c r="AU2" s="2469" t="s">
        <v>414</v>
      </c>
      <c r="AW2" s="1711"/>
      <c r="AX2" s="1711" t="str">
        <f>IF(T2="","",T2)</f>
        <v>Наименование тарифа</v>
      </c>
      <c r="AY2" s="1711"/>
      <c r="AZ2" s="1711"/>
      <c r="BA2" s="2366">
        <v>0</v>
      </c>
    </row>
    <row customHeight="1" ht="21" hidden="1">
      <c r="A3" s="2574"/>
      <c r="B3" s="2574"/>
      <c r="C3" s="2574"/>
      <c r="D3" s="2574"/>
      <c r="E3" s="3470"/>
      <c r="F3" s="3469">
        <v>1</v>
      </c>
      <c r="G3" s="2574"/>
      <c r="H3" s="2574"/>
      <c r="I3" s="2574"/>
      <c r="J3" s="2574"/>
      <c r="K3" s="2574"/>
      <c r="L3" s="2575"/>
      <c r="M3" s="2576"/>
      <c r="N3" s="2576"/>
      <c r="O3" s="2576"/>
      <c r="P3" s="2621"/>
      <c r="Q3" s="2622"/>
      <c r="R3" s="1564"/>
      <c r="S3" s="2547">
        <f>INDEX(PT_DIFFERENTIATION_NUM_TER,MATCH(B3,PT_DIFFERENTIATION_TER_ID,0))</f>
      </c>
      <c r="T3" s="1519" t="s">
        <v>415</v>
      </c>
      <c r="U3" s="1511"/>
      <c r="V3" s="3454"/>
      <c r="W3" s="3454"/>
      <c r="X3" s="3454"/>
      <c r="Y3" s="3454"/>
      <c r="Z3" s="3454"/>
      <c r="AA3" s="3455"/>
      <c r="AB3" s="3453">
        <f>INDEX(PT_DIFFERENTIATION_TER,MATCH(B3,PT_DIFFERENTIATION_TER_ID,0))</f>
      </c>
      <c r="AC3" s="3454"/>
      <c r="AD3" s="3454"/>
      <c r="AE3" s="3454"/>
      <c r="AF3" s="3454"/>
      <c r="AG3" s="3454"/>
      <c r="AH3" s="3454"/>
      <c r="AI3" s="3454"/>
      <c r="AJ3" s="3454"/>
      <c r="AK3" s="3454"/>
      <c r="AL3" s="3454"/>
      <c r="AM3" s="3454"/>
      <c r="AN3" s="3454"/>
      <c r="AO3" s="3454"/>
      <c r="AP3" s="3454"/>
      <c r="AQ3" s="3454"/>
      <c r="AR3" s="3454"/>
      <c r="AS3" s="3454"/>
      <c r="AT3" s="3455"/>
      <c r="AU3" s="2469" t="s">
        <v>416</v>
      </c>
      <c r="AW3" s="1711"/>
      <c r="AX3" s="1711" t="str">
        <f>IF(T3="","",T3)</f>
        <v>Территория действия тарифа</v>
      </c>
      <c r="AY3" s="1711"/>
      <c r="AZ3" s="1711"/>
      <c r="BA3" s="2366">
        <v>0</v>
      </c>
    </row>
    <row customHeight="1" ht="22.5" hidden="1">
      <c r="A4" s="2574"/>
      <c r="B4" s="2574"/>
      <c r="C4" s="2574"/>
      <c r="D4" s="2574"/>
      <c r="E4" s="3470"/>
      <c r="F4" s="3470"/>
      <c r="G4" s="3469">
        <v>1</v>
      </c>
      <c r="H4" s="2574"/>
      <c r="I4" s="2574"/>
      <c r="J4" s="2574"/>
      <c r="K4" s="2574"/>
      <c r="L4" s="2575"/>
      <c r="M4" s="2576"/>
      <c r="N4" s="2576"/>
      <c r="O4" s="2576"/>
      <c r="P4" s="2623"/>
      <c r="Q4" s="2622"/>
      <c r="R4" s="1564"/>
      <c r="S4" s="2547">
        <f>INDEX(PT_DIFFERENTIATION_NUM_CS,MATCH(C4,PT_DIFFERENTIATION_CS_ID,0))</f>
      </c>
      <c r="T4" s="1520" t="s">
        <v>417</v>
      </c>
      <c r="U4" s="1511"/>
      <c r="V4" s="3454"/>
      <c r="W4" s="3454"/>
      <c r="X4" s="3454"/>
      <c r="Y4" s="3454"/>
      <c r="Z4" s="3454"/>
      <c r="AA4" s="3455"/>
      <c r="AB4" s="3453">
        <f>INDEX(PT_DIFFERENTIATION_CS,MATCH(C4,PT_DIFFERENTIATION_CS_ID,0))</f>
      </c>
      <c r="AC4" s="3454"/>
      <c r="AD4" s="3454"/>
      <c r="AE4" s="3454"/>
      <c r="AF4" s="3454"/>
      <c r="AG4" s="3454"/>
      <c r="AH4" s="3454"/>
      <c r="AI4" s="3454"/>
      <c r="AJ4" s="3454"/>
      <c r="AK4" s="3454"/>
      <c r="AL4" s="3454"/>
      <c r="AM4" s="3454"/>
      <c r="AN4" s="3454"/>
      <c r="AO4" s="3454"/>
      <c r="AP4" s="3454"/>
      <c r="AQ4" s="3454"/>
      <c r="AR4" s="3454"/>
      <c r="AS4" s="3454"/>
      <c r="AT4" s="3455"/>
      <c r="AU4" s="2469" t="s">
        <v>418</v>
      </c>
      <c r="AW4" s="1711"/>
      <c r="AX4" s="1711" t="str">
        <f>IF(T4="","",T4)</f>
        <v>Наименование системы теплоснабжения </v>
      </c>
      <c r="AY4" s="1711"/>
      <c r="AZ4" s="1711"/>
      <c r="BA4" s="2366">
        <v>0</v>
      </c>
    </row>
    <row customHeight="1" ht="21" hidden="1">
      <c r="A5" s="2574"/>
      <c r="B5" s="2574"/>
      <c r="C5" s="2574"/>
      <c r="D5" s="2574"/>
      <c r="E5" s="3470"/>
      <c r="F5" s="3470"/>
      <c r="G5" s="3470"/>
      <c r="H5" s="3469">
        <v>1</v>
      </c>
      <c r="I5" s="2574"/>
      <c r="J5" s="2574"/>
      <c r="K5" s="2574"/>
      <c r="L5" s="2575"/>
      <c r="M5" s="2576"/>
      <c r="N5" s="2576"/>
      <c r="O5" s="2576"/>
      <c r="P5" s="2623"/>
      <c r="Q5" s="2622"/>
      <c r="R5" s="1564"/>
      <c r="S5" s="2547">
        <f>INDEX(PT_DIFFERENTIATION_NUM_IST_TE,MATCH(D5,PT_DIFFERENTIATION_IST_TE_ID,0))</f>
      </c>
      <c r="T5" s="1521" t="s">
        <v>419</v>
      </c>
      <c r="U5" s="1511"/>
      <c r="V5" s="3454"/>
      <c r="W5" s="3454"/>
      <c r="X5" s="3454"/>
      <c r="Y5" s="3454"/>
      <c r="Z5" s="3454"/>
      <c r="AA5" s="3455"/>
      <c r="AB5" s="3453">
        <f>INDEX(PT_DIFFERENTIATION_IST_TE,MATCH(D5,PT_DIFFERENTIATION_IST_TE_ID,0))</f>
      </c>
      <c r="AC5" s="3454"/>
      <c r="AD5" s="3454"/>
      <c r="AE5" s="3454"/>
      <c r="AF5" s="3454"/>
      <c r="AG5" s="3454"/>
      <c r="AH5" s="3454"/>
      <c r="AI5" s="3454"/>
      <c r="AJ5" s="3454"/>
      <c r="AK5" s="3454"/>
      <c r="AL5" s="3454"/>
      <c r="AM5" s="3454"/>
      <c r="AN5" s="3454"/>
      <c r="AO5" s="3454"/>
      <c r="AP5" s="3454"/>
      <c r="AQ5" s="3454"/>
      <c r="AR5" s="3454"/>
      <c r="AS5" s="3454"/>
      <c r="AT5" s="3455"/>
      <c r="AU5" s="2469" t="s">
        <v>420</v>
      </c>
      <c r="AW5" s="1711"/>
      <c r="AX5" s="1711" t="str">
        <f>IF(T5="","",T5)</f>
        <v>Источник тепловой энергии  </v>
      </c>
      <c r="AY5" s="1711"/>
      <c r="AZ5" s="1711"/>
      <c r="BA5" s="2366">
        <v>0</v>
      </c>
    </row>
    <row s="65923" customFormat="1" customHeight="1" ht="0.75" hidden="1">
      <c r="A6" s="2554"/>
      <c r="B6" s="2554"/>
      <c r="C6" s="2554"/>
      <c r="D6" s="2554"/>
      <c r="E6" s="3470"/>
      <c r="F6" s="3470"/>
      <c r="G6" s="3470"/>
      <c r="H6" s="3470"/>
      <c r="I6" s="3467">
        <f>S5&amp;".1"</f>
      </c>
      <c r="J6" s="2554"/>
      <c r="K6" s="2554"/>
      <c r="L6" s="2557" t="s">
        <v>421</v>
      </c>
      <c r="M6" s="1721"/>
      <c r="N6" s="1721"/>
      <c r="O6" s="1721"/>
      <c r="P6" s="3468">
        <v>1</v>
      </c>
      <c r="Q6" s="2542"/>
      <c r="R6" s="1567"/>
      <c r="S6" s="2253"/>
      <c r="T6" s="2594"/>
      <c r="U6" s="2595"/>
      <c r="V6" s="3508"/>
      <c r="W6" s="3508"/>
      <c r="X6" s="3508"/>
      <c r="Y6" s="3508"/>
      <c r="Z6" s="3508"/>
      <c r="AA6" s="3509"/>
      <c r="AB6" s="3507"/>
      <c r="AC6" s="3508"/>
      <c r="AD6" s="3508"/>
      <c r="AE6" s="3508"/>
      <c r="AF6" s="3508"/>
      <c r="AG6" s="3508"/>
      <c r="AH6" s="3508"/>
      <c r="AI6" s="3508"/>
      <c r="AJ6" s="3508"/>
      <c r="AK6" s="3508"/>
      <c r="AL6" s="3508"/>
      <c r="AM6" s="3508"/>
      <c r="AN6" s="3508"/>
      <c r="AO6" s="3508"/>
      <c r="AP6" s="3508"/>
      <c r="AQ6" s="3508"/>
      <c r="AR6" s="3508"/>
      <c r="AS6" s="3508"/>
      <c r="AT6" s="3509"/>
      <c r="AU6" s="2596"/>
      <c r="AW6" s="1711"/>
      <c r="AX6" s="1711" t="str">
        <f>IF(T6="","",T6)</f>
        <v/>
      </c>
      <c r="AY6" s="1711"/>
      <c r="AZ6" s="1711"/>
      <c r="BA6" s="1722">
        <v>0</v>
      </c>
    </row>
    <row s="65923" customFormat="1" customHeight="1" ht="0.75" hidden="1">
      <c r="A7" s="2554"/>
      <c r="B7" s="2554"/>
      <c r="C7" s="2554"/>
      <c r="D7" s="2554"/>
      <c r="E7" s="3470"/>
      <c r="F7" s="3470"/>
      <c r="G7" s="3470"/>
      <c r="H7" s="3470"/>
      <c r="I7" s="3497"/>
      <c r="J7" s="3467">
        <f>S5&amp;".1"</f>
      </c>
      <c r="K7" s="2554"/>
      <c r="L7" s="2557"/>
      <c r="M7" s="1721"/>
      <c r="N7" s="1721"/>
      <c r="O7" s="1721"/>
      <c r="P7" s="3468"/>
      <c r="Q7" s="3468">
        <v>1</v>
      </c>
      <c r="R7" s="1568"/>
      <c r="S7" s="2253"/>
      <c r="T7" s="2610"/>
      <c r="U7" s="2595"/>
      <c r="V7" s="3508"/>
      <c r="W7" s="3508"/>
      <c r="X7" s="3508"/>
      <c r="Y7" s="3508"/>
      <c r="Z7" s="3508"/>
      <c r="AA7" s="3509"/>
      <c r="AB7" s="3507"/>
      <c r="AC7" s="3508"/>
      <c r="AD7" s="3508"/>
      <c r="AE7" s="3508"/>
      <c r="AF7" s="3508"/>
      <c r="AG7" s="3508"/>
      <c r="AH7" s="3508"/>
      <c r="AI7" s="3508"/>
      <c r="AJ7" s="3508"/>
      <c r="AK7" s="3508"/>
      <c r="AL7" s="3508"/>
      <c r="AM7" s="3508"/>
      <c r="AN7" s="3508"/>
      <c r="AO7" s="3508"/>
      <c r="AP7" s="3508"/>
      <c r="AQ7" s="3508"/>
      <c r="AR7" s="3508"/>
      <c r="AS7" s="3508"/>
      <c r="AT7" s="3509"/>
      <c r="AU7" s="2596"/>
      <c r="AW7" s="1711"/>
      <c r="AX7" s="1711" t="str">
        <f>IF(T7="","",T7)</f>
        <v/>
      </c>
      <c r="AY7" s="1711"/>
      <c r="AZ7" s="1711"/>
      <c r="BA7" s="1722">
        <v>0</v>
      </c>
    </row>
    <row customHeight="1" ht="21" hidden="1">
      <c r="A8" s="2574"/>
      <c r="B8" s="2574"/>
      <c r="C8" s="2574"/>
      <c r="D8" s="2574"/>
      <c r="E8" s="3470"/>
      <c r="F8" s="3470"/>
      <c r="G8" s="3470"/>
      <c r="H8" s="3470"/>
      <c r="I8" s="3497"/>
      <c r="J8" s="3497"/>
      <c r="K8" s="3467">
        <f>S5&amp;".1"</f>
      </c>
      <c r="L8" s="2575"/>
      <c r="P8" s="3468"/>
      <c r="Q8" s="3468"/>
      <c r="R8" s="3558">
        <v>1</v>
      </c>
      <c r="S8" s="3552">
        <f>$K8</f>
      </c>
      <c r="T8" s="3555"/>
      <c r="U8" s="1511"/>
      <c r="V8" s="1962"/>
      <c r="W8" s="2468"/>
      <c r="X8" s="3476"/>
      <c r="Y8" s="3318" t="s">
        <v>62</v>
      </c>
      <c r="Z8" s="3476"/>
      <c r="AA8" s="3318" t="s">
        <v>62</v>
      </c>
      <c r="AB8" s="3318" t="s">
        <v>19</v>
      </c>
      <c r="AC8" s="3537"/>
      <c r="AD8" s="3416">
        <v>1</v>
      </c>
      <c r="AE8" s="3538"/>
      <c r="AF8" s="3318" t="s">
        <v>19</v>
      </c>
      <c r="AG8" s="3537"/>
      <c r="AH8" s="3416">
        <v>1</v>
      </c>
      <c r="AI8" s="3538"/>
      <c r="AJ8" s="3318" t="s">
        <v>19</v>
      </c>
      <c r="AK8" s="1522"/>
      <c r="AL8" s="2548">
        <v>1</v>
      </c>
      <c r="AM8" s="2609"/>
      <c r="AN8" s="1962"/>
      <c r="AO8" s="2468"/>
      <c r="AP8" s="2945"/>
      <c r="AQ8" s="2670" t="s">
        <v>62</v>
      </c>
      <c r="AR8" s="2945"/>
      <c r="AS8" s="2670" t="s">
        <v>62</v>
      </c>
      <c r="AT8" s="2559"/>
      <c r="AU8" s="3464" t="s">
        <v>482</v>
      </c>
      <c r="AV8" s="1722">
        <f>STRCHECKDATE(V11:AT11)</f>
      </c>
      <c r="AW8" s="1711"/>
      <c r="AX8" s="1711" t="str">
        <f>IF(T8="","",T8)</f>
        <v/>
      </c>
      <c r="AY8" s="1711"/>
      <c r="AZ8" s="1711"/>
      <c r="BA8" s="2366">
        <v>0</v>
      </c>
    </row>
    <row customHeight="1" ht="11.25" hidden="1">
      <c r="A9" s="2574"/>
      <c r="B9" s="2574"/>
      <c r="C9" s="2574"/>
      <c r="D9" s="2574"/>
      <c r="E9" s="3470"/>
      <c r="F9" s="3470"/>
      <c r="G9" s="3470"/>
      <c r="H9" s="3470"/>
      <c r="I9" s="3497"/>
      <c r="J9" s="3497"/>
      <c r="K9" s="3467"/>
      <c r="L9" s="2575"/>
      <c r="P9" s="3468"/>
      <c r="Q9" s="3468"/>
      <c r="R9" s="3558"/>
      <c r="S9" s="3553"/>
      <c r="T9" s="3556"/>
      <c r="U9" s="1511"/>
      <c r="V9" s="2604"/>
      <c r="W9" s="2608"/>
      <c r="X9" s="3476"/>
      <c r="Y9" s="3318"/>
      <c r="Z9" s="3476"/>
      <c r="AA9" s="3318"/>
      <c r="AB9" s="3318"/>
      <c r="AC9" s="3537"/>
      <c r="AD9" s="3416"/>
      <c r="AE9" s="3538"/>
      <c r="AF9" s="3318"/>
      <c r="AG9" s="3537"/>
      <c r="AH9" s="3416"/>
      <c r="AI9" s="3538"/>
      <c r="AJ9" s="3318"/>
      <c r="AK9" s="1527"/>
      <c r="AL9" s="1627"/>
      <c r="AM9" s="1626" t="s">
        <v>483</v>
      </c>
      <c r="AN9" s="2604"/>
      <c r="AO9" s="2707"/>
      <c r="AP9" s="2604"/>
      <c r="AQ9" s="2604"/>
      <c r="AR9" s="2604"/>
      <c r="AS9" s="2604"/>
      <c r="AT9" s="2601"/>
      <c r="AU9" s="3465"/>
      <c r="AW9" s="1711"/>
      <c r="AX9" s="1711"/>
      <c r="AY9" s="1711"/>
      <c r="AZ9" s="1711"/>
      <c r="BA9" s="2366">
        <v>0</v>
      </c>
    </row>
    <row customHeight="1" ht="11.25" hidden="1">
      <c r="A10" s="2574"/>
      <c r="B10" s="2574"/>
      <c r="C10" s="2574"/>
      <c r="D10" s="2574"/>
      <c r="E10" s="3470"/>
      <c r="F10" s="3470"/>
      <c r="G10" s="3470"/>
      <c r="H10" s="3470"/>
      <c r="I10" s="3497"/>
      <c r="J10" s="3497"/>
      <c r="K10" s="3467"/>
      <c r="L10" s="2575"/>
      <c r="P10" s="3468"/>
      <c r="Q10" s="3468"/>
      <c r="R10" s="3558"/>
      <c r="S10" s="3553"/>
      <c r="T10" s="3556"/>
      <c r="U10" s="1511"/>
      <c r="V10" s="2604"/>
      <c r="W10" s="2608"/>
      <c r="X10" s="3476"/>
      <c r="Y10" s="3318"/>
      <c r="Z10" s="3476"/>
      <c r="AA10" s="3318"/>
      <c r="AB10" s="3318"/>
      <c r="AC10" s="3537"/>
      <c r="AD10" s="3416"/>
      <c r="AE10" s="3538"/>
      <c r="AF10" s="3318"/>
      <c r="AG10" s="1505"/>
      <c r="AH10" s="1626"/>
      <c r="AI10" s="1626" t="s">
        <v>484</v>
      </c>
      <c r="AJ10" s="2604"/>
      <c r="AK10" s="2604"/>
      <c r="AL10" s="2604"/>
      <c r="AM10" s="2604"/>
      <c r="AN10" s="2604"/>
      <c r="AO10" s="2707"/>
      <c r="AP10" s="2604"/>
      <c r="AQ10" s="2604"/>
      <c r="AR10" s="2604"/>
      <c r="AS10" s="2604"/>
      <c r="AT10" s="2601"/>
      <c r="AU10" s="3465"/>
      <c r="AW10" s="1711"/>
      <c r="AX10" s="1711"/>
      <c r="AY10" s="1711"/>
      <c r="AZ10" s="1711"/>
      <c r="BA10" s="2366">
        <v>0</v>
      </c>
    </row>
    <row customHeight="1" ht="11.25" hidden="1">
      <c r="A11" s="2574"/>
      <c r="B11" s="2574"/>
      <c r="C11" s="2574"/>
      <c r="D11" s="2574"/>
      <c r="E11" s="3470"/>
      <c r="F11" s="3470"/>
      <c r="G11" s="3470"/>
      <c r="H11" s="3470"/>
      <c r="I11" s="3497"/>
      <c r="J11" s="3497"/>
      <c r="K11" s="3467"/>
      <c r="L11" s="2575"/>
      <c r="P11" s="3468"/>
      <c r="Q11" s="3468"/>
      <c r="R11" s="3558"/>
      <c r="S11" s="3554"/>
      <c r="T11" s="3557"/>
      <c r="U11" s="1511"/>
      <c r="V11" s="2604"/>
      <c r="W11" s="2607" t="str">
        <f>X8&amp;"-"&amp;Z8</f>
        <v>-</v>
      </c>
      <c r="X11" s="3477"/>
      <c r="Y11" s="3318"/>
      <c r="Z11" s="3477"/>
      <c r="AA11" s="3318"/>
      <c r="AB11" s="3318"/>
      <c r="AC11" s="1523"/>
      <c r="AD11" s="1525"/>
      <c r="AE11" s="1626" t="s">
        <v>485</v>
      </c>
      <c r="AF11" s="2604"/>
      <c r="AG11" s="2604"/>
      <c r="AH11" s="2604"/>
      <c r="AI11" s="2604"/>
      <c r="AJ11" s="2604"/>
      <c r="AK11" s="2604"/>
      <c r="AL11" s="2604"/>
      <c r="AM11" s="2604"/>
      <c r="AN11" s="2604"/>
      <c r="AO11" s="2605" t="str">
        <f>AP8&amp;"-"&amp;AR8</f>
        <v>-</v>
      </c>
      <c r="AP11" s="2604"/>
      <c r="AQ11" s="2604"/>
      <c r="AR11" s="2604"/>
      <c r="AS11" s="2604"/>
      <c r="AT11" s="2560"/>
      <c r="AU11" s="3465"/>
      <c r="AW11" s="1711"/>
      <c r="AX11" s="1711" t="str">
        <f>IF(T11="","",T11)</f>
        <v/>
      </c>
      <c r="AY11" s="1711"/>
      <c r="AZ11" s="1711"/>
      <c r="BA11" s="2366">
        <v>0</v>
      </c>
    </row>
    <row customHeight="1" ht="11.25" hidden="1">
      <c r="A12" s="2574"/>
      <c r="B12" s="2574"/>
      <c r="C12" s="2574"/>
      <c r="D12" s="2574"/>
      <c r="E12" s="3470"/>
      <c r="F12" s="3470"/>
      <c r="G12" s="3470"/>
      <c r="H12" s="3470"/>
      <c r="I12" s="3497"/>
      <c r="J12" s="3467"/>
      <c r="K12" s="2574"/>
      <c r="L12" s="2575"/>
      <c r="P12" s="3468"/>
      <c r="Q12" s="3468"/>
      <c r="R12" s="1567"/>
      <c r="S12" s="2489"/>
      <c r="T12" s="1498" t="s">
        <v>486</v>
      </c>
      <c r="U12" s="1578"/>
      <c r="V12" s="1578"/>
      <c r="W12" s="1578"/>
      <c r="X12" s="1578"/>
      <c r="Y12" s="1578"/>
      <c r="Z12" s="1578"/>
      <c r="AA12" s="1578"/>
      <c r="AB12" s="1578"/>
      <c r="AC12" s="1578"/>
      <c r="AD12" s="1578"/>
      <c r="AE12" s="1578"/>
      <c r="AF12" s="1578"/>
      <c r="AG12" s="1578"/>
      <c r="AH12" s="1578"/>
      <c r="AI12" s="1578"/>
      <c r="AJ12" s="1578"/>
      <c r="AK12" s="1578"/>
      <c r="AL12" s="1578"/>
      <c r="AM12" s="1578"/>
      <c r="AN12" s="1578"/>
      <c r="AO12" s="1578"/>
      <c r="AP12" s="1578"/>
      <c r="AQ12" s="1578"/>
      <c r="AR12" s="1578"/>
      <c r="AS12" s="1578"/>
      <c r="AT12" s="1535"/>
      <c r="AU12" s="3466"/>
      <c r="AW12" s="1711"/>
      <c r="AX12" s="1711" t="str">
        <f>IF(T12="","",T12)</f>
        <v>Добавить строку</v>
      </c>
      <c r="AY12" s="1711"/>
      <c r="AZ12" s="1711"/>
      <c r="BA12" s="2366">
        <v>0</v>
      </c>
    </row>
    <row s="65923" customFormat="1" customHeight="1" ht="0.75" hidden="1">
      <c r="A13" s="2554"/>
      <c r="B13" s="2554"/>
      <c r="C13" s="2554"/>
      <c r="D13" s="2554"/>
      <c r="E13" s="3470"/>
      <c r="F13" s="3470"/>
      <c r="G13" s="3470"/>
      <c r="H13" s="3470"/>
      <c r="I13" s="3467"/>
      <c r="J13" s="2554"/>
      <c r="K13" s="2554"/>
      <c r="L13" s="2557"/>
      <c r="M13" s="1721"/>
      <c r="N13" s="1721"/>
      <c r="O13" s="1721"/>
      <c r="P13" s="3468"/>
      <c r="Q13" s="2542"/>
      <c r="R13" s="1567"/>
      <c r="S13" s="2597"/>
      <c r="T13" s="2598"/>
      <c r="U13" s="2599"/>
      <c r="V13" s="2599"/>
      <c r="W13" s="2599"/>
      <c r="X13" s="2599"/>
      <c r="Y13" s="2599"/>
      <c r="Z13" s="2599"/>
      <c r="AA13" s="2599"/>
      <c r="AB13" s="2599"/>
      <c r="AC13" s="2599"/>
      <c r="AD13" s="2599"/>
      <c r="AE13" s="2599"/>
      <c r="AF13" s="2599"/>
      <c r="AG13" s="2599"/>
      <c r="AH13" s="2599"/>
      <c r="AI13" s="2599"/>
      <c r="AJ13" s="2599"/>
      <c r="AK13" s="2599"/>
      <c r="AL13" s="2599"/>
      <c r="AM13" s="2599"/>
      <c r="AN13" s="2599"/>
      <c r="AO13" s="2599"/>
      <c r="AP13" s="2599"/>
      <c r="AQ13" s="2599"/>
      <c r="AR13" s="2599"/>
      <c r="AS13" s="2599"/>
      <c r="AT13" s="2599"/>
      <c r="AU13" s="2600"/>
      <c r="AW13" s="1711"/>
      <c r="AX13" s="1711" t="str">
        <f>IF(T13="","",T13)</f>
        <v/>
      </c>
      <c r="AY13" s="1711"/>
      <c r="AZ13" s="1711"/>
      <c r="BA13" s="1722">
        <v>0</v>
      </c>
    </row>
    <row s="65923" customFormat="1" customHeight="1" ht="0.75" hidden="1">
      <c r="A14" s="2554"/>
      <c r="B14" s="2554"/>
      <c r="C14" s="2554"/>
      <c r="D14" s="2554"/>
      <c r="E14" s="3470"/>
      <c r="F14" s="3470"/>
      <c r="G14" s="3470"/>
      <c r="H14" s="3469"/>
      <c r="I14" s="2554"/>
      <c r="J14" s="2554"/>
      <c r="K14" s="2554"/>
      <c r="L14" s="2557"/>
      <c r="M14" s="2526"/>
      <c r="N14" s="2526"/>
      <c r="O14" s="1729"/>
      <c r="P14" s="1591"/>
      <c r="Q14" s="2555"/>
      <c r="R14" s="2612"/>
      <c r="S14" s="2597"/>
      <c r="T14" s="2598"/>
      <c r="U14" s="2599"/>
      <c r="V14" s="2599"/>
      <c r="W14" s="2599"/>
      <c r="X14" s="2599"/>
      <c r="Y14" s="2599"/>
      <c r="Z14" s="2599"/>
      <c r="AA14" s="2599"/>
      <c r="AB14" s="2599"/>
      <c r="AC14" s="2599"/>
      <c r="AD14" s="2599"/>
      <c r="AE14" s="2599"/>
      <c r="AF14" s="2599"/>
      <c r="AG14" s="2599"/>
      <c r="AH14" s="2599"/>
      <c r="AI14" s="2599"/>
      <c r="AJ14" s="2599"/>
      <c r="AK14" s="2599"/>
      <c r="AL14" s="2599"/>
      <c r="AM14" s="2599"/>
      <c r="AN14" s="2599"/>
      <c r="AO14" s="2599"/>
      <c r="AP14" s="2599"/>
      <c r="AQ14" s="2599"/>
      <c r="AR14" s="2599"/>
      <c r="AS14" s="2599"/>
      <c r="AT14" s="2599"/>
      <c r="AU14" s="2600"/>
      <c r="AW14" s="1711"/>
      <c r="AX14" s="1711" t="str">
        <f>IF(T14="","",T14)</f>
        <v/>
      </c>
      <c r="AY14" s="1711"/>
      <c r="AZ14" s="1711"/>
      <c r="BA14" s="1722">
        <v>0</v>
      </c>
    </row>
    <row s="65923" customFormat="1" customHeight="1" ht="0.75" hidden="1">
      <c r="A15" s="2554"/>
      <c r="B15" s="2554"/>
      <c r="C15" s="2554"/>
      <c r="D15" s="2525"/>
      <c r="E15" s="3470"/>
      <c r="F15" s="3470"/>
      <c r="G15" s="3469"/>
      <c r="H15" s="2525"/>
      <c r="I15" s="2525"/>
      <c r="J15" s="2525"/>
      <c r="K15" s="2525"/>
      <c r="L15" s="2550"/>
      <c r="M15" s="2526"/>
      <c r="N15" s="2526"/>
      <c r="P15" s="2527"/>
      <c r="Q15" s="2528"/>
      <c r="R15" s="2527"/>
      <c r="S15" s="2533"/>
      <c r="T15" s="2536" t="s">
        <v>432</v>
      </c>
      <c r="U15" s="2535"/>
      <c r="V15" s="2535"/>
      <c r="W15" s="2535"/>
      <c r="X15" s="2535"/>
      <c r="Y15" s="2535"/>
      <c r="Z15" s="2535"/>
      <c r="AA15" s="2535"/>
      <c r="AB15" s="2535"/>
      <c r="AC15" s="2535"/>
      <c r="AD15" s="2535"/>
      <c r="AE15" s="2535"/>
      <c r="AF15" s="2535"/>
      <c r="AG15" s="2535"/>
      <c r="AH15" s="2535"/>
      <c r="AI15" s="2535"/>
      <c r="AJ15" s="2535"/>
      <c r="AK15" s="2535"/>
      <c r="AL15" s="2535"/>
      <c r="AM15" s="2535"/>
      <c r="AN15" s="2535"/>
      <c r="AO15" s="2535"/>
      <c r="AP15" s="2535"/>
      <c r="AQ15" s="2535"/>
      <c r="AR15" s="2535"/>
      <c r="AS15" s="2535"/>
      <c r="AT15" s="2535"/>
      <c r="AU15" s="2535"/>
      <c r="AW15" s="2000"/>
      <c r="AX15" s="2000" t="str">
        <f>IF(T15="","",T15)</f>
        <v>Добавить источник для дифференциации</v>
      </c>
      <c r="AY15" s="2000"/>
      <c r="AZ15" s="2000"/>
      <c r="BA15" s="1729">
        <v>0</v>
      </c>
    </row>
    <row s="65923" customFormat="1" customHeight="1" ht="0.75" hidden="1">
      <c r="A16" s="2554"/>
      <c r="B16" s="2554"/>
      <c r="C16" s="2525"/>
      <c r="D16" s="2525"/>
      <c r="E16" s="3470"/>
      <c r="F16" s="3469"/>
      <c r="G16" s="2525"/>
      <c r="H16" s="2525"/>
      <c r="I16" s="2525"/>
      <c r="J16" s="2525"/>
      <c r="K16" s="2525"/>
      <c r="L16" s="2550"/>
      <c r="M16" s="2532"/>
      <c r="N16" s="2532"/>
      <c r="P16" s="2527"/>
      <c r="Q16" s="2528"/>
      <c r="R16" s="2527"/>
      <c r="S16" s="2533"/>
      <c r="T16" s="2536" t="s">
        <v>433</v>
      </c>
      <c r="U16" s="2535"/>
      <c r="V16" s="2535"/>
      <c r="W16" s="2535"/>
      <c r="X16" s="2535"/>
      <c r="Y16" s="2535"/>
      <c r="Z16" s="2535"/>
      <c r="AA16" s="2535"/>
      <c r="AB16" s="2535"/>
      <c r="AC16" s="2535"/>
      <c r="AD16" s="2535"/>
      <c r="AE16" s="2535"/>
      <c r="AF16" s="2535"/>
      <c r="AG16" s="2535"/>
      <c r="AH16" s="2535"/>
      <c r="AI16" s="2535"/>
      <c r="AJ16" s="2535"/>
      <c r="AK16" s="2535"/>
      <c r="AL16" s="2535"/>
      <c r="AM16" s="2535"/>
      <c r="AN16" s="2535"/>
      <c r="AO16" s="2535"/>
      <c r="AP16" s="2535"/>
      <c r="AQ16" s="2535"/>
      <c r="AR16" s="2535"/>
      <c r="AS16" s="2535"/>
      <c r="AT16" s="2535"/>
      <c r="AU16" s="2535"/>
      <c r="AW16" s="2000"/>
      <c r="AX16" s="2000" t="str">
        <f>IF(T16="","",T16)</f>
        <v>Добавить централизованную систему для дифференциации</v>
      </c>
      <c r="AY16" s="2000"/>
      <c r="AZ16" s="2000"/>
      <c r="BA16" s="1729">
        <v>0</v>
      </c>
    </row>
    <row s="65923" customFormat="1" customHeight="1" ht="0.75" hidden="1">
      <c r="A17" s="2554"/>
      <c r="B17" s="2554"/>
      <c r="C17" s="2554"/>
      <c r="D17" s="2554"/>
      <c r="E17" s="3469"/>
      <c r="F17" s="2554"/>
      <c r="G17" s="2554"/>
      <c r="H17" s="2554"/>
      <c r="I17" s="2554"/>
      <c r="J17" s="2554"/>
      <c r="K17" s="2554"/>
      <c r="L17" s="2557"/>
      <c r="M17" s="2532"/>
      <c r="N17" s="2532"/>
      <c r="O17" s="1729"/>
      <c r="P17" s="1591"/>
      <c r="Q17" s="2555"/>
      <c r="R17" s="1591"/>
      <c r="S17" s="2533"/>
      <c r="T17" s="2536" t="s">
        <v>434</v>
      </c>
      <c r="U17" s="2535"/>
      <c r="V17" s="2535"/>
      <c r="W17" s="2535"/>
      <c r="X17" s="2535"/>
      <c r="Y17" s="2535"/>
      <c r="Z17" s="2535"/>
      <c r="AA17" s="2535"/>
      <c r="AB17" s="2535"/>
      <c r="AC17" s="2535"/>
      <c r="AD17" s="2535"/>
      <c r="AE17" s="2535"/>
      <c r="AF17" s="2535"/>
      <c r="AG17" s="2535"/>
      <c r="AH17" s="2535"/>
      <c r="AI17" s="2535"/>
      <c r="AJ17" s="2535"/>
      <c r="AK17" s="2535"/>
      <c r="AL17" s="2535"/>
      <c r="AM17" s="2535"/>
      <c r="AN17" s="2535"/>
      <c r="AO17" s="2535"/>
      <c r="AP17" s="2535"/>
      <c r="AQ17" s="2535"/>
      <c r="AR17" s="2535"/>
      <c r="AS17" s="2535"/>
      <c r="AT17" s="2535"/>
      <c r="AU17" s="2535"/>
      <c r="AW17" s="1711"/>
      <c r="AX17" s="1711" t="str">
        <f>IF(T17="","",T17)</f>
        <v>Добавить территорию для дифференциации</v>
      </c>
      <c r="AY17" s="1711"/>
      <c r="AZ17" s="1711"/>
      <c r="BA17" s="1722">
        <v>0</v>
      </c>
    </row>
    <row customHeight="1" ht="14.25" hidden="1">
      <c r="AA18" s="1538"/>
      <c r="AS18" s="1538"/>
      <c r="BA18" s="2366">
        <v>0</v>
      </c>
    </row>
    <row customHeight="1" ht="14.25" hidden="1">
      <c r="AB19" s="2535" t="s">
        <v>19</v>
      </c>
      <c r="AC19" s="2712"/>
      <c r="AD19" s="1759">
        <v>1</v>
      </c>
      <c r="AE19" s="2713"/>
      <c r="AF19" s="2535" t="s">
        <v>19</v>
      </c>
      <c r="AG19" s="2712"/>
      <c r="AH19" s="1759">
        <v>1</v>
      </c>
      <c r="AI19" s="2713"/>
      <c r="AJ19" s="2535" t="s">
        <v>19</v>
      </c>
      <c r="AK19" s="2714"/>
      <c r="AL19" s="1759">
        <v>1</v>
      </c>
      <c r="AM19" s="2717"/>
      <c r="AN19" s="2614"/>
      <c r="AO19" s="2615"/>
      <c r="AP19" s="2947"/>
      <c r="AQ19" s="2671" t="s">
        <v>62</v>
      </c>
      <c r="AR19" s="2947"/>
      <c r="AS19" s="2671" t="s">
        <v>62</v>
      </c>
      <c r="BA19" s="2366">
        <v>0</v>
      </c>
    </row>
    <row customHeight="1" ht="14.25" hidden="1">
      <c r="AV20" s="1707"/>
      <c r="AW20" s="1707"/>
      <c r="AX20" s="1707"/>
      <c r="AY20" s="1707"/>
      <c r="AZ20" s="1707"/>
      <c r="BA20" s="2366">
        <v>0</v>
      </c>
    </row>
    <row customHeight="1" ht="14.25" hidden="1">
      <c r="O21" s="2578" t="s">
        <v>435</v>
      </c>
      <c r="X21" s="2556"/>
      <c r="Z21" s="2556"/>
      <c r="AA21" s="1538"/>
      <c r="AP21" s="2556"/>
      <c r="AR21" s="2556"/>
      <c r="AS21" s="1538"/>
      <c r="AV21" s="1707"/>
      <c r="AW21" s="1707"/>
      <c r="AX21" s="1707"/>
      <c r="AY21" s="1707"/>
      <c r="AZ21" s="1707"/>
      <c r="BA21" s="2366">
        <v>0</v>
      </c>
    </row>
    <row customHeight="1" ht="14.25" hidden="1">
      <c r="AA22" s="1538"/>
      <c r="AS22" s="1538"/>
      <c r="AV22" s="1707"/>
      <c r="AW22" s="1707"/>
      <c r="AX22" s="1707"/>
      <c r="AY22" s="1707"/>
      <c r="AZ22" s="1707"/>
      <c r="BA22" s="2366">
        <v>0</v>
      </c>
    </row>
    <row s="65531" customFormat="1" customHeight="1" ht="14.25" hidden="1">
      <c r="M23" s="2719"/>
      <c r="N23" s="2719"/>
      <c r="O23" s="2720" t="s">
        <v>436</v>
      </c>
      <c r="P23" s="2719"/>
      <c r="Q23" s="2721"/>
      <c r="R23" s="2721"/>
      <c r="Y23" s="2718" t="s">
        <v>438</v>
      </c>
      <c r="AA23" s="2718" t="s">
        <v>439</v>
      </c>
      <c r="AB23" s="2718" t="s">
        <v>487</v>
      </c>
      <c r="AE23" s="2718" t="s">
        <v>488</v>
      </c>
      <c r="AF23" s="2718" t="s">
        <v>487</v>
      </c>
      <c r="AI23" s="2718" t="s">
        <v>489</v>
      </c>
      <c r="AJ23" s="2718" t="s">
        <v>487</v>
      </c>
      <c r="AM23" s="2718" t="s">
        <v>490</v>
      </c>
      <c r="AQ23" s="2718" t="s">
        <v>438</v>
      </c>
      <c r="AS23" s="2718" t="s">
        <v>439</v>
      </c>
      <c r="AV23" s="2722"/>
      <c r="AW23" s="2722"/>
      <c r="AX23" s="2722"/>
      <c r="AY23" s="2722"/>
      <c r="AZ23" s="2722"/>
      <c r="BA23" s="2718">
        <v>0</v>
      </c>
    </row>
    <row customHeight="1" ht="14.25" hidden="1">
      <c r="O24" s="2575"/>
      <c r="AV24" s="1707"/>
      <c r="AW24" s="1707"/>
      <c r="AX24" s="1707"/>
      <c r="AY24" s="1707"/>
      <c r="AZ24" s="1707"/>
      <c r="BA24" s="2366">
        <v>0</v>
      </c>
    </row>
    <row customHeight="1" ht="14.25" hidden="1">
      <c r="O25" s="2575"/>
      <c r="AV25" s="1707"/>
      <c r="AW25" s="1707"/>
      <c r="AX25" s="1707"/>
      <c r="AY25" s="1707"/>
      <c r="AZ25" s="1707"/>
      <c r="BA25" s="2366">
        <v>0</v>
      </c>
    </row>
    <row customHeight="1" ht="14.699999999999998">
      <c r="Q26" s="1502"/>
      <c r="R26" s="1587"/>
      <c r="S26" s="2486"/>
      <c r="T26" s="1574"/>
      <c r="U26" s="1574"/>
      <c r="V26" s="1720"/>
      <c r="W26" s="1720"/>
      <c r="X26" s="1720"/>
      <c r="Y26" s="1720"/>
      <c r="Z26" s="1720"/>
      <c r="AA26" s="1720"/>
      <c r="AB26" s="1720"/>
      <c r="AC26" s="1720"/>
      <c r="AD26" s="1720"/>
      <c r="AE26" s="1720"/>
      <c r="AF26" s="1720"/>
      <c r="AG26" s="1720"/>
      <c r="AH26" s="1720"/>
      <c r="AI26" s="1720"/>
      <c r="AJ26" s="1720"/>
      <c r="AK26" s="1720"/>
      <c r="AL26" s="1720"/>
      <c r="AM26" s="1720"/>
      <c r="AN26" s="1720"/>
      <c r="AO26" s="1720"/>
      <c r="AP26" s="1720"/>
      <c r="AQ26" s="1720"/>
      <c r="AR26" s="1720"/>
      <c r="AS26" s="1720"/>
      <c r="BA26" s="2366">
        <v>14</v>
      </c>
    </row>
    <row customHeight="1" ht="27.299999999999997">
      <c r="Q27" s="1502"/>
      <c r="R27" s="1587"/>
      <c r="S27" s="345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3459"/>
      <c r="U27" s="3459"/>
      <c r="V27" s="3459"/>
      <c r="W27" s="3459"/>
      <c r="X27" s="3459"/>
      <c r="Y27" s="3459"/>
      <c r="Z27" s="3459"/>
      <c r="AA27" s="3459"/>
      <c r="AB27" s="3459"/>
      <c r="AC27" s="3459"/>
      <c r="AD27" s="3459"/>
      <c r="AE27" s="3459"/>
      <c r="AF27" s="3459"/>
      <c r="AG27" s="3459"/>
      <c r="AH27" s="3459"/>
      <c r="AI27" s="3459"/>
      <c r="AJ27" s="3459"/>
      <c r="AK27" s="3459"/>
      <c r="AL27" s="3459"/>
      <c r="AM27" s="3459"/>
      <c r="AN27" s="3459"/>
      <c r="AO27" s="3459"/>
      <c r="AP27" s="3459"/>
      <c r="AQ27" s="3459"/>
      <c r="AR27" s="3459"/>
      <c r="AS27" s="2454"/>
      <c r="BA27" s="2366">
        <v>26</v>
      </c>
    </row>
    <row customHeight="1" ht="14.699999999999998">
      <c r="Q28" s="1502"/>
      <c r="R28" s="1587"/>
      <c r="S28" s="3460" t="str">
        <f>IF(org=0,"Не определено",org)</f>
        <v>ПАО "ТГК-2"</v>
      </c>
      <c r="T28" s="3460"/>
      <c r="U28" s="3460"/>
      <c r="V28" s="3460"/>
      <c r="W28" s="3460"/>
      <c r="X28" s="3460"/>
      <c r="Y28" s="3460"/>
      <c r="Z28" s="3460"/>
      <c r="AA28" s="3460"/>
      <c r="AB28" s="3460"/>
      <c r="AC28" s="3460"/>
      <c r="AD28" s="3460"/>
      <c r="AE28" s="3460"/>
      <c r="AF28" s="3460"/>
      <c r="AG28" s="3460"/>
      <c r="AH28" s="3460"/>
      <c r="AI28" s="3460"/>
      <c r="AJ28" s="3460"/>
      <c r="AK28" s="3460"/>
      <c r="AL28" s="3460"/>
      <c r="AM28" s="3460"/>
      <c r="AN28" s="3460"/>
      <c r="AO28" s="3460"/>
      <c r="AP28" s="3460"/>
      <c r="AQ28" s="3460"/>
      <c r="AR28" s="3460"/>
      <c r="AS28" s="2454"/>
      <c r="BA28" s="2366">
        <v>14</v>
      </c>
    </row>
    <row customHeight="1" ht="14.25" hidden="1">
      <c r="Q29" s="1502"/>
      <c r="R29" s="1587"/>
      <c r="S29" s="2486"/>
      <c r="T29" s="1574"/>
      <c r="U29" s="1574"/>
      <c r="V29" s="1533"/>
      <c r="W29" s="1533"/>
      <c r="X29" s="1533"/>
      <c r="Y29" s="1533"/>
      <c r="Z29" s="1533"/>
      <c r="AA29" s="1533"/>
      <c r="AB29" s="1533"/>
      <c r="AC29" s="1533"/>
      <c r="AD29" s="1533"/>
      <c r="AE29" s="1533"/>
      <c r="AF29" s="1533"/>
      <c r="AG29" s="1533"/>
      <c r="AH29" s="1533"/>
      <c r="AI29" s="1533"/>
      <c r="AJ29" s="1533"/>
      <c r="AK29" s="1533"/>
      <c r="AL29" s="1533"/>
      <c r="AM29" s="1533"/>
      <c r="AN29" s="1533"/>
      <c r="AO29" s="1533"/>
      <c r="AP29" s="1533"/>
      <c r="AQ29" s="1533"/>
      <c r="AR29" s="1533"/>
      <c r="AS29" s="1533"/>
      <c r="AT29" s="1720"/>
      <c r="BA29" s="2366">
        <v>0</v>
      </c>
    </row>
    <row s="67333" customFormat="1" customHeight="1" ht="25.5" hidden="1">
      <c r="A30" s="2579"/>
      <c r="B30" s="2579"/>
      <c r="C30" s="2579"/>
      <c r="D30" s="2579"/>
      <c r="E30" s="2579"/>
      <c r="F30" s="2579"/>
      <c r="G30" s="2579"/>
      <c r="H30" s="2579"/>
      <c r="I30" s="2579"/>
      <c r="J30" s="2579"/>
      <c r="K30" s="2579"/>
      <c r="L30" s="2580"/>
      <c r="M30" s="2579"/>
      <c r="N30" s="2579"/>
      <c r="O30" s="2579"/>
      <c r="P30" s="2579"/>
      <c r="Q30" s="2579"/>
      <c r="S30" s="3461" t="s">
        <v>41</v>
      </c>
      <c r="T30" s="3461"/>
      <c r="U30" s="2583"/>
      <c r="V30" s="3462" t="str">
        <f>IF(TITLE_NAME_OR_PR_CHANGE="",IF(TITLE_NAME_OR_PR="","",TITLE_NAME_OR_PR),TITLE_NAME_OR_PR_CHANGE)</f>
        <v/>
      </c>
      <c r="W30" s="3462"/>
      <c r="X30" s="3462"/>
      <c r="Y30" s="3462"/>
      <c r="Z30" s="3462"/>
      <c r="AA30" s="1537"/>
      <c r="AB30" s="3462" t="str">
        <f>IF(TITLE_NAME_OR_PR_CHANGE="",IF(TITLE_NAME_OR_PR="","",TITLE_NAME_OR_PR),TITLE_NAME_OR_PR_CHANGE)</f>
        <v/>
      </c>
      <c r="AC30" s="3462"/>
      <c r="AD30" s="3462"/>
      <c r="AE30" s="3462"/>
      <c r="AF30" s="3462"/>
      <c r="AG30" s="3462"/>
      <c r="AH30" s="3462"/>
      <c r="AI30" s="3462"/>
      <c r="AJ30" s="3462"/>
      <c r="AK30" s="3462"/>
      <c r="AL30" s="3462"/>
      <c r="AM30" s="3462"/>
      <c r="AN30" s="3462"/>
      <c r="AO30" s="3462"/>
      <c r="AP30" s="3462"/>
      <c r="AQ30" s="3462"/>
      <c r="AR30" s="3462"/>
      <c r="AS30" s="1537"/>
      <c r="AT30" s="1537"/>
      <c r="AU30" s="1491"/>
      <c r="AV30" s="1579"/>
      <c r="AW30" s="1579"/>
      <c r="AX30" s="1579"/>
      <c r="AY30" s="1579"/>
      <c r="AZ30" s="1579"/>
      <c r="BA30" s="1629">
        <v>0</v>
      </c>
    </row>
    <row s="67333" customFormat="1" customHeight="1" ht="18.75" hidden="1">
      <c r="A31" s="2579"/>
      <c r="B31" s="2579"/>
      <c r="C31" s="2579"/>
      <c r="D31" s="2579"/>
      <c r="E31" s="2579"/>
      <c r="F31" s="2579"/>
      <c r="G31" s="2579"/>
      <c r="H31" s="2579"/>
      <c r="I31" s="2579"/>
      <c r="J31" s="2579"/>
      <c r="K31" s="2579"/>
      <c r="L31" s="2580"/>
      <c r="M31" s="2579"/>
      <c r="N31" s="2579"/>
      <c r="O31" s="2579"/>
      <c r="P31" s="2579"/>
      <c r="Q31" s="2579"/>
      <c r="S31" s="3461" t="s">
        <v>441</v>
      </c>
      <c r="T31" s="3461"/>
      <c r="U31" s="2583"/>
      <c r="V31" s="3475" t="str">
        <f>IF(TITLE_DATE_PR_CHANGE="",IF(TITLE_DATE_PR="","",TITLE_DATE_PR),TITLE_DATE_PR_CHANGE)</f>
        <v/>
      </c>
      <c r="W31" s="3475"/>
      <c r="X31" s="3475"/>
      <c r="Y31" s="3475"/>
      <c r="Z31" s="3475"/>
      <c r="AA31" s="1537"/>
      <c r="AB31" s="3475" t="str">
        <f>IF(TITLE_DATE_PR_CHANGE="",IF(TITLE_DATE_PR="","",TITLE_DATE_PR),TITLE_DATE_PR_CHANGE)</f>
        <v/>
      </c>
      <c r="AC31" s="3475"/>
      <c r="AD31" s="3475"/>
      <c r="AE31" s="3475"/>
      <c r="AF31" s="3475"/>
      <c r="AG31" s="3475"/>
      <c r="AH31" s="3475"/>
      <c r="AI31" s="3475"/>
      <c r="AJ31" s="3475"/>
      <c r="AK31" s="3475"/>
      <c r="AL31" s="3475"/>
      <c r="AM31" s="3475"/>
      <c r="AN31" s="3475"/>
      <c r="AO31" s="3475"/>
      <c r="AP31" s="3475"/>
      <c r="AQ31" s="3475"/>
      <c r="AR31" s="3475"/>
      <c r="AS31" s="1537"/>
      <c r="AT31" s="1537"/>
      <c r="AU31" s="1491"/>
      <c r="AV31" s="1579"/>
      <c r="AW31" s="1579"/>
      <c r="AX31" s="1579"/>
      <c r="AY31" s="1579"/>
      <c r="AZ31" s="1579"/>
      <c r="BA31" s="1629">
        <v>0</v>
      </c>
    </row>
    <row s="67333" customFormat="1" customHeight="1" ht="18.75" hidden="1">
      <c r="A32" s="2579"/>
      <c r="B32" s="2579"/>
      <c r="C32" s="2579"/>
      <c r="D32" s="2579"/>
      <c r="E32" s="2579"/>
      <c r="F32" s="2579"/>
      <c r="G32" s="2579"/>
      <c r="H32" s="2579"/>
      <c r="I32" s="2579"/>
      <c r="J32" s="2579"/>
      <c r="K32" s="2579"/>
      <c r="L32" s="2580"/>
      <c r="M32" s="2579"/>
      <c r="N32" s="2579"/>
      <c r="O32" s="2579"/>
      <c r="P32" s="2579"/>
      <c r="Q32" s="2579"/>
      <c r="S32" s="3461" t="s">
        <v>442</v>
      </c>
      <c r="T32" s="3461"/>
      <c r="U32" s="2583"/>
      <c r="V32" s="3462" t="str">
        <f>IF(TITLE_NUMBER_PR_CHANGE="",IF(TITLE_NUMBER_PR="","",TITLE_NUMBER_PR),TITLE_NUMBER_PR_CHANGE)</f>
        <v/>
      </c>
      <c r="W32" s="3462"/>
      <c r="X32" s="3462"/>
      <c r="Y32" s="3462"/>
      <c r="Z32" s="3462"/>
      <c r="AA32" s="1537"/>
      <c r="AB32" s="3462" t="str">
        <f>IF(TITLE_NUMBER_PR_CHANGE="",IF(TITLE_NUMBER_PR="","",TITLE_NUMBER_PR),TITLE_NUMBER_PR_CHANGE)</f>
        <v/>
      </c>
      <c r="AC32" s="3462"/>
      <c r="AD32" s="3462"/>
      <c r="AE32" s="3462"/>
      <c r="AF32" s="3462"/>
      <c r="AG32" s="3462"/>
      <c r="AH32" s="3462"/>
      <c r="AI32" s="3462"/>
      <c r="AJ32" s="3462"/>
      <c r="AK32" s="3462"/>
      <c r="AL32" s="3462"/>
      <c r="AM32" s="3462"/>
      <c r="AN32" s="3462"/>
      <c r="AO32" s="3462"/>
      <c r="AP32" s="3462"/>
      <c r="AQ32" s="3462"/>
      <c r="AR32" s="3462"/>
      <c r="AS32" s="1537"/>
      <c r="AT32" s="1537"/>
      <c r="AU32" s="1491"/>
      <c r="AV32" s="1579"/>
      <c r="AW32" s="1579"/>
      <c r="AX32" s="1579"/>
      <c r="AY32" s="1579"/>
      <c r="AZ32" s="1579"/>
      <c r="BA32" s="1629">
        <v>0</v>
      </c>
    </row>
    <row s="67333" customFormat="1" customHeight="1" ht="18.75" hidden="1">
      <c r="A33" s="2579"/>
      <c r="B33" s="2579"/>
      <c r="C33" s="2579"/>
      <c r="D33" s="2579"/>
      <c r="E33" s="2579"/>
      <c r="F33" s="2579"/>
      <c r="G33" s="2579"/>
      <c r="H33" s="2579"/>
      <c r="I33" s="2579"/>
      <c r="J33" s="2579"/>
      <c r="K33" s="2579"/>
      <c r="L33" s="2580"/>
      <c r="M33" s="2579"/>
      <c r="N33" s="2579"/>
      <c r="O33" s="2579"/>
      <c r="P33" s="2579"/>
      <c r="Q33" s="2579"/>
      <c r="S33" s="3461" t="s">
        <v>42</v>
      </c>
      <c r="T33" s="3461"/>
      <c r="U33" s="2583"/>
      <c r="V33" s="3462" t="str">
        <f>IF(TITLE_IST_PUB_CHANGE="",IF(TITLE_IST_PUB="","",TITLE_IST_PUB),TITLE_IST_PUB_CHANGE)</f>
        <v/>
      </c>
      <c r="W33" s="3462"/>
      <c r="X33" s="3462"/>
      <c r="Y33" s="3462"/>
      <c r="Z33" s="3462"/>
      <c r="AA33" s="1537"/>
      <c r="AB33" s="3462" t="str">
        <f>IF(TITLE_IST_PUB_CHANGE="",IF(TITLE_IST_PUB="","",TITLE_IST_PUB),TITLE_IST_PUB_CHANGE)</f>
        <v/>
      </c>
      <c r="AC33" s="3462"/>
      <c r="AD33" s="3462"/>
      <c r="AE33" s="3462"/>
      <c r="AF33" s="3462"/>
      <c r="AG33" s="3462"/>
      <c r="AH33" s="3462"/>
      <c r="AI33" s="3462"/>
      <c r="AJ33" s="3462"/>
      <c r="AK33" s="3462"/>
      <c r="AL33" s="3462"/>
      <c r="AM33" s="3462"/>
      <c r="AN33" s="3462"/>
      <c r="AO33" s="3462"/>
      <c r="AP33" s="3462"/>
      <c r="AQ33" s="3462"/>
      <c r="AR33" s="3462"/>
      <c r="AS33" s="1537"/>
      <c r="AT33" s="1537"/>
      <c r="AU33" s="1491"/>
      <c r="AV33" s="1579"/>
      <c r="AW33" s="1579"/>
      <c r="AX33" s="1579"/>
      <c r="AY33" s="1579"/>
      <c r="AZ33" s="1579"/>
      <c r="BA33" s="1629">
        <v>0</v>
      </c>
    </row>
    <row customHeight="1" ht="14.25" hidden="1">
      <c r="Q34" s="1502"/>
      <c r="R34" s="1587"/>
      <c r="S34" s="2486"/>
      <c r="T34" s="1574"/>
      <c r="U34" s="1574"/>
      <c r="V34" s="1533"/>
      <c r="W34" s="1533"/>
      <c r="X34" s="1533"/>
      <c r="Y34" s="1533"/>
      <c r="Z34" s="1533"/>
      <c r="AA34" s="1533"/>
      <c r="AB34" s="1533"/>
      <c r="AC34" s="1533"/>
      <c r="AD34" s="1533"/>
      <c r="AE34" s="1533"/>
      <c r="AF34" s="1533"/>
      <c r="AG34" s="1533"/>
      <c r="AH34" s="1533"/>
      <c r="AI34" s="1533"/>
      <c r="AJ34" s="1533"/>
      <c r="AK34" s="1533"/>
      <c r="AL34" s="1533"/>
      <c r="AM34" s="1533"/>
      <c r="AN34" s="1533"/>
      <c r="AO34" s="1533"/>
      <c r="AP34" s="1533"/>
      <c r="AQ34" s="1533"/>
      <c r="AR34" s="1533"/>
      <c r="AS34" s="1533"/>
      <c r="AT34" s="1720"/>
      <c r="BA34" s="2366">
        <v>0</v>
      </c>
    </row>
    <row s="67333" customFormat="1" customHeight="1" ht="18.75" hidden="1">
      <c r="A35" s="2579"/>
      <c r="B35" s="2579"/>
      <c r="C35" s="2579"/>
      <c r="D35" s="2579"/>
      <c r="E35" s="2579"/>
      <c r="F35" s="2579"/>
      <c r="G35" s="2579"/>
      <c r="H35" s="2579"/>
      <c r="I35" s="2579"/>
      <c r="J35" s="2579"/>
      <c r="K35" s="2579"/>
      <c r="L35" s="2580"/>
      <c r="M35" s="2579"/>
      <c r="N35" s="2579"/>
      <c r="O35" s="2579"/>
      <c r="P35" s="2579"/>
      <c r="Q35" s="2579"/>
      <c r="S35" s="3461" t="s">
        <v>441</v>
      </c>
      <c r="T35" s="3461"/>
      <c r="U35" s="2583"/>
      <c r="V35" s="3475" t="str">
        <f>IF(TITLE_DATE_PR_CHANGE="",IF(TITLE_DATE_PR="","",TITLE_DATE_PR),TITLE_DATE_PR_CHANGE)</f>
        <v/>
      </c>
      <c r="W35" s="3475"/>
      <c r="X35" s="3475"/>
      <c r="Y35" s="3475"/>
      <c r="Z35" s="3475"/>
      <c r="AA35" s="1537"/>
      <c r="AB35" s="3475" t="str">
        <f>IF(TITLE_DATE_PR_CHANGE="",IF(TITLE_DATE_PR="","",TITLE_DATE_PR),TITLE_DATE_PR_CHANGE)</f>
        <v/>
      </c>
      <c r="AC35" s="3475"/>
      <c r="AD35" s="3475"/>
      <c r="AE35" s="3475"/>
      <c r="AF35" s="3475"/>
      <c r="AG35" s="3475"/>
      <c r="AH35" s="3475"/>
      <c r="AI35" s="3475"/>
      <c r="AJ35" s="3475"/>
      <c r="AK35" s="3475"/>
      <c r="AL35" s="3475"/>
      <c r="AM35" s="3475"/>
      <c r="AN35" s="3475"/>
      <c r="AO35" s="3475"/>
      <c r="AP35" s="3475"/>
      <c r="AQ35" s="3475"/>
      <c r="AR35" s="3475"/>
      <c r="AS35" s="1537"/>
      <c r="AT35" s="1537"/>
      <c r="AU35" s="1491"/>
      <c r="AV35" s="1579"/>
      <c r="AW35" s="1579"/>
      <c r="AX35" s="1579"/>
      <c r="AY35" s="1579"/>
      <c r="AZ35" s="1579"/>
      <c r="BA35" s="1629">
        <v>0</v>
      </c>
    </row>
    <row s="67333" customFormat="1" customHeight="1" ht="18" hidden="1">
      <c r="A36" s="2579"/>
      <c r="B36" s="2579"/>
      <c r="C36" s="2579"/>
      <c r="D36" s="2579"/>
      <c r="E36" s="2579"/>
      <c r="F36" s="2579"/>
      <c r="G36" s="2579"/>
      <c r="H36" s="2579"/>
      <c r="I36" s="2579"/>
      <c r="J36" s="2579"/>
      <c r="K36" s="2579"/>
      <c r="L36" s="2580"/>
      <c r="M36" s="2579"/>
      <c r="N36" s="2579"/>
      <c r="O36" s="2579"/>
      <c r="P36" s="2579"/>
      <c r="Q36" s="2579"/>
      <c r="S36" s="3461" t="s">
        <v>442</v>
      </c>
      <c r="T36" s="3461"/>
      <c r="U36" s="2583"/>
      <c r="V36" s="3462" t="str">
        <f>IF(TITLE_NUMBER_PR_CHANGE="",IF(TITLE_NUMBER_PR="","",TITLE_NUMBER_PR),TITLE_NUMBER_PR_CHANGE)</f>
        <v/>
      </c>
      <c r="W36" s="3462"/>
      <c r="X36" s="3462"/>
      <c r="Y36" s="3462"/>
      <c r="Z36" s="3462"/>
      <c r="AA36" s="1537"/>
      <c r="AB36" s="3462" t="str">
        <f>IF(TITLE_NUMBER_PR_CHANGE="",IF(TITLE_NUMBER_PR="","",TITLE_NUMBER_PR),TITLE_NUMBER_PR_CHANGE)</f>
        <v/>
      </c>
      <c r="AC36" s="3462"/>
      <c r="AD36" s="3462"/>
      <c r="AE36" s="3462"/>
      <c r="AF36" s="3462"/>
      <c r="AG36" s="3462"/>
      <c r="AH36" s="3462"/>
      <c r="AI36" s="3462"/>
      <c r="AJ36" s="3462"/>
      <c r="AK36" s="3462"/>
      <c r="AL36" s="3462"/>
      <c r="AM36" s="3462"/>
      <c r="AN36" s="3462"/>
      <c r="AO36" s="3462"/>
      <c r="AP36" s="3462"/>
      <c r="AQ36" s="3462"/>
      <c r="AR36" s="3462"/>
      <c r="AS36" s="1537"/>
      <c r="AT36" s="1537"/>
      <c r="AU36" s="1491"/>
      <c r="AV36" s="1579"/>
      <c r="AW36" s="1579"/>
      <c r="AX36" s="1579"/>
      <c r="AY36" s="1579"/>
      <c r="AZ36" s="1579"/>
      <c r="BA36" s="1629">
        <v>0</v>
      </c>
    </row>
    <row s="67333" customFormat="1" customHeight="1" ht="1.05">
      <c r="A37" s="2579"/>
      <c r="B37" s="2579"/>
      <c r="C37" s="2579"/>
      <c r="D37" s="2579"/>
      <c r="E37" s="2579"/>
      <c r="F37" s="2579"/>
      <c r="G37" s="2579"/>
      <c r="H37" s="2579"/>
      <c r="I37" s="2579"/>
      <c r="J37" s="2579"/>
      <c r="K37" s="2579"/>
      <c r="L37" s="2580"/>
      <c r="M37" s="2579"/>
      <c r="N37" s="2579"/>
      <c r="O37" s="2579"/>
      <c r="P37" s="2579"/>
      <c r="Q37" s="2579"/>
      <c r="S37" s="1534"/>
      <c r="T37" s="1534"/>
      <c r="U37" s="2551"/>
      <c r="V37" s="1537"/>
      <c r="W37" s="1537"/>
      <c r="X37" s="1537"/>
      <c r="Y37" s="1537"/>
      <c r="Z37" s="1537"/>
      <c r="AA37" s="1489" t="s">
        <v>445</v>
      </c>
      <c r="AB37" s="1537"/>
      <c r="AC37" s="1537"/>
      <c r="AD37" s="1537"/>
      <c r="AE37" s="1537"/>
      <c r="AF37" s="1537"/>
      <c r="AG37" s="1537"/>
      <c r="AH37" s="1537"/>
      <c r="AI37" s="1537"/>
      <c r="AJ37" s="1537"/>
      <c r="AK37" s="1537"/>
      <c r="AL37" s="1537"/>
      <c r="AM37" s="1537"/>
      <c r="AN37" s="1537"/>
      <c r="AO37" s="1537"/>
      <c r="AP37" s="1537"/>
      <c r="AQ37" s="1537"/>
      <c r="AR37" s="1537"/>
      <c r="AS37" s="1489" t="s">
        <v>445</v>
      </c>
      <c r="AV37" s="1579"/>
      <c r="AW37" s="1579"/>
      <c r="AX37" s="1579"/>
      <c r="AY37" s="1579"/>
      <c r="AZ37" s="1579"/>
      <c r="BA37" s="1629">
        <v>1</v>
      </c>
    </row>
    <row customHeight="1" ht="14.699999999999998">
      <c r="Q38" s="1502"/>
      <c r="R38" s="1587"/>
      <c r="S38" s="2486"/>
      <c r="T38" s="1574"/>
      <c r="U38" s="2455"/>
      <c r="V38" s="3463"/>
      <c r="W38" s="3463"/>
      <c r="X38" s="3463"/>
      <c r="Y38" s="3463"/>
      <c r="Z38" s="3463"/>
      <c r="AA38" s="3463"/>
      <c r="AB38" s="3463"/>
      <c r="AC38" s="3463"/>
      <c r="AD38" s="3463"/>
      <c r="AE38" s="3463"/>
      <c r="AF38" s="3463"/>
      <c r="AG38" s="3463"/>
      <c r="AH38" s="3463"/>
      <c r="AI38" s="3463"/>
      <c r="AJ38" s="3463"/>
      <c r="AK38" s="3463"/>
      <c r="AL38" s="3463"/>
      <c r="AM38" s="3463"/>
      <c r="AN38" s="3463"/>
      <c r="AO38" s="3463"/>
      <c r="AP38" s="3463"/>
      <c r="AQ38" s="3463"/>
      <c r="AR38" s="3463"/>
      <c r="AS38" s="3463"/>
      <c r="BA38" s="2366">
        <v>14</v>
      </c>
    </row>
    <row customHeight="1" ht="14.699999999999998">
      <c r="Q39" s="1502"/>
      <c r="R39" s="1587"/>
      <c r="S39" s="3338" t="s">
        <v>318</v>
      </c>
      <c r="T39" s="3338"/>
      <c r="U39" s="3338"/>
      <c r="V39" s="3338"/>
      <c r="W39" s="3338"/>
      <c r="X39" s="3338"/>
      <c r="Y39" s="3338"/>
      <c r="Z39" s="3338"/>
      <c r="AA39" s="3338"/>
      <c r="AB39" s="3386"/>
      <c r="AC39" s="3386"/>
      <c r="AD39" s="3386"/>
      <c r="AE39" s="3386"/>
      <c r="AF39" s="3338"/>
      <c r="AG39" s="3338"/>
      <c r="AH39" s="3338"/>
      <c r="AI39" s="3338"/>
      <c r="AJ39" s="3338"/>
      <c r="AK39" s="3338"/>
      <c r="AL39" s="3338"/>
      <c r="AM39" s="3338"/>
      <c r="AN39" s="3338"/>
      <c r="AO39" s="3338"/>
      <c r="AP39" s="3338"/>
      <c r="AQ39" s="3338"/>
      <c r="AR39" s="3338"/>
      <c r="AS39" s="3338"/>
      <c r="AT39" s="3338"/>
      <c r="AU39" s="3338" t="s">
        <v>319</v>
      </c>
      <c r="BA39" s="2366">
        <v>14</v>
      </c>
    </row>
    <row customHeight="1" ht="14.699999999999998">
      <c r="Q40" s="1502"/>
      <c r="R40" s="1587"/>
      <c r="S40" s="3484" t="s">
        <v>88</v>
      </c>
      <c r="T40" s="3420" t="s">
        <v>491</v>
      </c>
      <c r="U40" s="1512"/>
      <c r="V40" s="3486"/>
      <c r="W40" s="3486"/>
      <c r="X40" s="3486"/>
      <c r="Y40" s="3486"/>
      <c r="Z40" s="3487"/>
      <c r="AA40" s="3547" t="s">
        <v>448</v>
      </c>
      <c r="AB40" s="3539" t="s">
        <v>492</v>
      </c>
      <c r="AC40" s="3502"/>
      <c r="AD40" s="3502"/>
      <c r="AE40" s="3540"/>
      <c r="AF40" s="3502" t="s">
        <v>493</v>
      </c>
      <c r="AG40" s="3502"/>
      <c r="AH40" s="3502"/>
      <c r="AI40" s="3540"/>
      <c r="AJ40" s="3539" t="s">
        <v>494</v>
      </c>
      <c r="AK40" s="3502"/>
      <c r="AL40" s="3502"/>
      <c r="AM40" s="3540"/>
      <c r="AN40" s="3539" t="s">
        <v>447</v>
      </c>
      <c r="AO40" s="3502"/>
      <c r="AP40" s="3486"/>
      <c r="AQ40" s="3486"/>
      <c r="AR40" s="3487"/>
      <c r="AS40" s="3488" t="s">
        <v>448</v>
      </c>
      <c r="AT40" s="3491" t="s">
        <v>450</v>
      </c>
      <c r="AU40" s="3338"/>
      <c r="BA40" s="2366">
        <v>14</v>
      </c>
    </row>
    <row customHeight="1" ht="35.699999999999996">
      <c r="Q41" s="1502"/>
      <c r="R41" s="1587"/>
      <c r="S41" s="3484"/>
      <c r="T41" s="3420"/>
      <c r="U41" s="2242"/>
      <c r="V41" s="3338" t="s">
        <v>495</v>
      </c>
      <c r="W41" s="3338"/>
      <c r="X41" s="3505" t="s">
        <v>454</v>
      </c>
      <c r="Y41" s="3524"/>
      <c r="Z41" s="3525"/>
      <c r="AA41" s="3548"/>
      <c r="AB41" s="3541"/>
      <c r="AC41" s="3542"/>
      <c r="AD41" s="3542"/>
      <c r="AE41" s="3543"/>
      <c r="AF41" s="3542"/>
      <c r="AG41" s="3542"/>
      <c r="AH41" s="3542"/>
      <c r="AI41" s="3543"/>
      <c r="AJ41" s="3541"/>
      <c r="AK41" s="3542"/>
      <c r="AL41" s="3542"/>
      <c r="AM41" s="3542"/>
      <c r="AN41" s="3338" t="s">
        <v>495</v>
      </c>
      <c r="AO41" s="3338"/>
      <c r="AP41" s="3524" t="s">
        <v>454</v>
      </c>
      <c r="AQ41" s="3524"/>
      <c r="AR41" s="3525"/>
      <c r="AS41" s="3489"/>
      <c r="AT41" s="3492"/>
      <c r="AU41" s="3338"/>
      <c r="BA41" s="2366">
        <v>34</v>
      </c>
    </row>
    <row customHeight="1" ht="14.699999999999998">
      <c r="Q42" s="1502"/>
      <c r="R42" s="1587"/>
      <c r="S42" s="3484"/>
      <c r="T42" s="3420"/>
      <c r="U42" s="2242"/>
      <c r="V42" s="3551" t="str">
        <f>IF($AN$42&lt;&gt;"",$AN$42,"")</f>
        <v/>
      </c>
      <c r="W42" s="3551"/>
      <c r="X42" s="3506"/>
      <c r="Y42" s="3526"/>
      <c r="Z42" s="3527"/>
      <c r="AA42" s="3548"/>
      <c r="AB42" s="3541"/>
      <c r="AC42" s="3542"/>
      <c r="AD42" s="3542"/>
      <c r="AE42" s="3543"/>
      <c r="AF42" s="3542"/>
      <c r="AG42" s="3542"/>
      <c r="AH42" s="3542"/>
      <c r="AI42" s="3543"/>
      <c r="AJ42" s="3541"/>
      <c r="AK42" s="3542"/>
      <c r="AL42" s="3542"/>
      <c r="AM42" s="3542"/>
      <c r="AN42" s="3550"/>
      <c r="AO42" s="3550"/>
      <c r="AP42" s="3526"/>
      <c r="AQ42" s="3526"/>
      <c r="AR42" s="3527"/>
      <c r="AS42" s="3489"/>
      <c r="AT42" s="3492"/>
      <c r="AU42" s="3338"/>
      <c r="BA42" s="2366">
        <v>14</v>
      </c>
    </row>
    <row customHeight="1" ht="14.699999999999998">
      <c r="A43" s="2581"/>
      <c r="B43" s="2581" t="s">
        <v>155</v>
      </c>
      <c r="C43" s="2581" t="s">
        <v>156</v>
      </c>
      <c r="D43" s="2581" t="s">
        <v>157</v>
      </c>
      <c r="E43" s="2575" t="s">
        <v>455</v>
      </c>
      <c r="F43" s="2575" t="s">
        <v>456</v>
      </c>
      <c r="G43" s="2575" t="s">
        <v>457</v>
      </c>
      <c r="H43" s="2575" t="s">
        <v>458</v>
      </c>
      <c r="I43" s="2575" t="s">
        <v>459</v>
      </c>
      <c r="J43" s="2575" t="s">
        <v>460</v>
      </c>
      <c r="K43" s="2575" t="s">
        <v>461</v>
      </c>
      <c r="L43" s="2575" t="s">
        <v>436</v>
      </c>
      <c r="Q43" s="1502"/>
      <c r="R43" s="1587"/>
      <c r="S43" s="3484"/>
      <c r="T43" s="3420"/>
      <c r="U43" s="1513"/>
      <c r="V43" s="2541" t="s">
        <v>496</v>
      </c>
      <c r="W43" s="2541" t="s">
        <v>497</v>
      </c>
      <c r="X43" s="2549" t="s">
        <v>464</v>
      </c>
      <c r="Y43" s="3481" t="s">
        <v>465</v>
      </c>
      <c r="Z43" s="3482"/>
      <c r="AA43" s="3549"/>
      <c r="AB43" s="3544"/>
      <c r="AC43" s="3545"/>
      <c r="AD43" s="3545"/>
      <c r="AE43" s="3546"/>
      <c r="AF43" s="3545"/>
      <c r="AG43" s="3545"/>
      <c r="AH43" s="3545"/>
      <c r="AI43" s="3546"/>
      <c r="AJ43" s="3544"/>
      <c r="AK43" s="3545"/>
      <c r="AL43" s="3545"/>
      <c r="AM43" s="3546"/>
      <c r="AN43" s="3071" t="s">
        <v>496</v>
      </c>
      <c r="AO43" s="3071" t="s">
        <v>497</v>
      </c>
      <c r="AP43" s="2549" t="s">
        <v>464</v>
      </c>
      <c r="AQ43" s="3481" t="s">
        <v>465</v>
      </c>
      <c r="AR43" s="3482"/>
      <c r="AS43" s="3490"/>
      <c r="AT43" s="3493"/>
      <c r="AU43" s="3338"/>
      <c r="BA43" s="2366">
        <v>14</v>
      </c>
    </row>
    <row s="65897" customFormat="1" customHeight="1" ht="11.25" hidden="1">
      <c r="A44" s="2581"/>
      <c r="B44" s="2581"/>
      <c r="C44" s="2581"/>
      <c r="D44" s="2581"/>
      <c r="E44" s="2581"/>
      <c r="F44" s="2581"/>
      <c r="G44" s="2581"/>
      <c r="H44" s="2581"/>
      <c r="I44" s="2581"/>
      <c r="J44" s="2581"/>
      <c r="K44" s="2581"/>
      <c r="L44" s="2575"/>
      <c r="M44" s="2573"/>
      <c r="N44" s="2573"/>
      <c r="O44" s="2573"/>
      <c r="P44" s="1721"/>
      <c r="Q44" s="2465"/>
      <c r="R44" s="2465">
        <v>1</v>
      </c>
      <c r="S44" s="2488" t="s">
        <v>99</v>
      </c>
      <c r="T44" s="2466" t="s">
        <v>102</v>
      </c>
      <c r="U44" s="2456" t="str">
        <f>OFFSET(U44,0,-1)</f>
        <v>2</v>
      </c>
      <c r="V44" s="2546">
        <f>OFFSET(V44,0,-1)+1</f>
        <v>3</v>
      </c>
      <c r="W44" s="2546">
        <f>OFFSET(W44,0,-1)+1</f>
        <v>4</v>
      </c>
      <c r="X44" s="2546">
        <f>OFFSET(X44,0,-1)+1</f>
        <v>5</v>
      </c>
      <c r="Y44" s="3483">
        <f>OFFSET(Y44,0,-1)+1</f>
        <v>6</v>
      </c>
      <c r="Z44" s="3483"/>
      <c r="AA44" s="2546">
        <f>OFFSET(AA44,0,-2)+1</f>
        <v>7</v>
      </c>
      <c r="AB44" s="2552">
        <f>OFFSET(AB44,0,-1)+1</f>
        <v>8</v>
      </c>
      <c r="AC44" s="2552"/>
      <c r="AD44" s="2552"/>
      <c r="AE44" s="2552"/>
      <c r="AF44" s="2546"/>
      <c r="AG44" s="2546"/>
      <c r="AH44" s="2546"/>
      <c r="AI44" s="2546"/>
      <c r="AJ44" s="2546"/>
      <c r="AK44" s="2546"/>
      <c r="AL44" s="2546"/>
      <c r="AM44" s="2546"/>
      <c r="AN44" s="2546">
        <f>OFFSET(AN44,0,-1)+1</f>
        <v>1</v>
      </c>
      <c r="AO44" s="2546">
        <f>OFFSET(AO44,0,-1)+1</f>
        <v>2</v>
      </c>
      <c r="AP44" s="2546">
        <f>OFFSET(AP44,0,-1)+1</f>
        <v>3</v>
      </c>
      <c r="AQ44" s="3483">
        <f>OFFSET(AQ44,0,-1)+1</f>
        <v>4</v>
      </c>
      <c r="AR44" s="3483"/>
      <c r="AS44" s="2546">
        <f>OFFSET(AS44,0,-2)+1</f>
        <v>5</v>
      </c>
      <c r="AT44" s="2456">
        <f>OFFSET(AT44,0,-1)</f>
        <v>5</v>
      </c>
      <c r="AU44" s="2546">
        <f>OFFSET(AU44,0,-1)+1</f>
        <v>6</v>
      </c>
      <c r="AV44" s="1722"/>
      <c r="AW44" s="1722"/>
      <c r="AX44" s="1722"/>
      <c r="AY44" s="1722"/>
      <c r="AZ44" s="1722"/>
      <c r="BA44" s="1707">
        <v>0</v>
      </c>
    </row>
    <row customHeight="1" ht="107.25">
      <c r="A45" s="2574" t="s">
        <v>218</v>
      </c>
      <c r="B45" s="2574"/>
      <c r="C45" s="2574"/>
      <c r="D45" s="2574"/>
      <c r="E45" s="3469">
        <v>1</v>
      </c>
      <c r="F45" s="2574"/>
      <c r="G45" s="2574"/>
      <c r="H45" s="2574"/>
      <c r="I45" s="2574"/>
      <c r="J45" s="2574"/>
      <c r="K45" s="2574"/>
      <c r="L45" s="2575"/>
      <c r="M45" s="2576"/>
      <c r="N45" s="2576"/>
      <c r="O45" s="2576"/>
      <c r="P45" s="2620"/>
      <c r="Q45" s="2084"/>
      <c r="R45" s="1566"/>
      <c r="S45" s="2547">
        <f>INDEX(PT_DIFFERENTIATION_NUM_NTAR,MATCH(A45,PT_DIFFERENTIATION_NTAR_ID,0))</f>
        <v>0</v>
      </c>
      <c r="T45" s="1509" t="s">
        <v>143</v>
      </c>
      <c r="U45" s="1511"/>
      <c r="V45" s="3454"/>
      <c r="W45" s="3454"/>
      <c r="X45" s="3454"/>
      <c r="Y45" s="3454"/>
      <c r="Z45" s="3454"/>
      <c r="AA45" s="3455"/>
      <c r="AB45" s="3453" t="str">
        <f>INDEX(PT_DIFFERENTIATION_NTAR,MATCH(A45,PT_DIFFERENTIATION_NTAR_ID,0))</f>
        <v/>
      </c>
      <c r="AC45" s="3454"/>
      <c r="AD45" s="3454"/>
      <c r="AE45" s="3454"/>
      <c r="AF45" s="3454"/>
      <c r="AG45" s="3454"/>
      <c r="AH45" s="3454"/>
      <c r="AI45" s="3454"/>
      <c r="AJ45" s="3454"/>
      <c r="AK45" s="3454"/>
      <c r="AL45" s="3454"/>
      <c r="AM45" s="3454"/>
      <c r="AN45" s="3454"/>
      <c r="AO45" s="3454"/>
      <c r="AP45" s="3454"/>
      <c r="AQ45" s="3454"/>
      <c r="AR45" s="3454"/>
      <c r="AS45" s="3454"/>
      <c r="AT45" s="3455"/>
      <c r="AU45" s="24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1711"/>
      <c r="AX45" s="1711" t="str">
        <f>IF(T45="","",T45)</f>
        <v>Наименование тарифа</v>
      </c>
      <c r="AY45" s="1711"/>
      <c r="AZ45" s="1711"/>
      <c r="BA45" s="2366">
        <v>102</v>
      </c>
    </row>
    <row customHeight="1" ht="22.049999999999997">
      <c r="A46" s="2574" t="s">
        <v>218</v>
      </c>
      <c r="B46" s="2574" t="s">
        <v>219</v>
      </c>
      <c r="C46" s="2574"/>
      <c r="D46" s="2574"/>
      <c r="E46" s="3470"/>
      <c r="F46" s="3469">
        <v>1</v>
      </c>
      <c r="G46" s="2574"/>
      <c r="H46" s="2574"/>
      <c r="I46" s="2574"/>
      <c r="J46" s="2574"/>
      <c r="K46" s="2574"/>
      <c r="L46" s="2575"/>
      <c r="M46" s="2576"/>
      <c r="N46" s="2576"/>
      <c r="O46" s="2576"/>
      <c r="P46" s="2621"/>
      <c r="Q46" s="2622"/>
      <c r="R46" s="1564"/>
      <c r="S46" s="2547" t="str">
        <f>INDEX(PT_DIFFERENTIATION_NUM_TER,MATCH(B46,PT_DIFFERENTIATION_TER_ID,0))</f>
        <v>.</v>
      </c>
      <c r="T46" s="1519" t="s">
        <v>415</v>
      </c>
      <c r="U46" s="1511"/>
      <c r="V46" s="3454"/>
      <c r="W46" s="3454"/>
      <c r="X46" s="3454"/>
      <c r="Y46" s="3454"/>
      <c r="Z46" s="3454"/>
      <c r="AA46" s="3455"/>
      <c r="AB46" s="3453" t="str">
        <f>INDEX(PT_DIFFERENTIATION_TER,MATCH(B46,PT_DIFFERENTIATION_TER_ID,0))</f>
        <v/>
      </c>
      <c r="AC46" s="3454"/>
      <c r="AD46" s="3454"/>
      <c r="AE46" s="3454"/>
      <c r="AF46" s="3454"/>
      <c r="AG46" s="3454"/>
      <c r="AH46" s="3454"/>
      <c r="AI46" s="3454"/>
      <c r="AJ46" s="3454"/>
      <c r="AK46" s="3454"/>
      <c r="AL46" s="3454"/>
      <c r="AM46" s="3454"/>
      <c r="AN46" s="3454"/>
      <c r="AO46" s="3454"/>
      <c r="AP46" s="3454"/>
      <c r="AQ46" s="3454"/>
      <c r="AR46" s="3454"/>
      <c r="AS46" s="3454"/>
      <c r="AT46" s="3455"/>
      <c r="AU46" s="2469" t="s">
        <v>416</v>
      </c>
      <c r="AW46" s="1711"/>
      <c r="AX46" s="1711" t="str">
        <f>IF(T46="","",T46)</f>
        <v>Территория действия тарифа</v>
      </c>
      <c r="AY46" s="1711"/>
      <c r="AZ46" s="1711"/>
      <c r="BA46" s="2366">
        <v>21</v>
      </c>
    </row>
    <row customHeight="1" ht="24">
      <c r="A47" s="2574" t="s">
        <v>218</v>
      </c>
      <c r="B47" s="2574" t="s">
        <v>219</v>
      </c>
      <c r="C47" s="2574" t="s">
        <v>220</v>
      </c>
      <c r="D47" s="2574"/>
      <c r="E47" s="3470"/>
      <c r="F47" s="3470"/>
      <c r="G47" s="3469">
        <v>1</v>
      </c>
      <c r="H47" s="2574"/>
      <c r="I47" s="2574"/>
      <c r="J47" s="2574"/>
      <c r="K47" s="2574"/>
      <c r="L47" s="2575"/>
      <c r="M47" s="2576"/>
      <c r="N47" s="2576"/>
      <c r="O47" s="2576"/>
      <c r="P47" s="2623"/>
      <c r="Q47" s="2622"/>
      <c r="R47" s="1564"/>
      <c r="S47" s="2547" t="str">
        <f>INDEX(PT_DIFFERENTIATION_NUM_CS,MATCH(C47,PT_DIFFERENTIATION_CS_ID,0))</f>
        <v>..</v>
      </c>
      <c r="T47" s="1520" t="s">
        <v>417</v>
      </c>
      <c r="U47" s="1511"/>
      <c r="V47" s="3454"/>
      <c r="W47" s="3454"/>
      <c r="X47" s="3454"/>
      <c r="Y47" s="3454"/>
      <c r="Z47" s="3454"/>
      <c r="AA47" s="3455"/>
      <c r="AB47" s="3453" t="str">
        <f>INDEX(PT_DIFFERENTIATION_CS,MATCH(C47,PT_DIFFERENTIATION_CS_ID,0))</f>
        <v/>
      </c>
      <c r="AC47" s="3454"/>
      <c r="AD47" s="3454"/>
      <c r="AE47" s="3454"/>
      <c r="AF47" s="3454"/>
      <c r="AG47" s="3454"/>
      <c r="AH47" s="3454"/>
      <c r="AI47" s="3454"/>
      <c r="AJ47" s="3454"/>
      <c r="AK47" s="3454"/>
      <c r="AL47" s="3454"/>
      <c r="AM47" s="3454"/>
      <c r="AN47" s="3454"/>
      <c r="AO47" s="3454"/>
      <c r="AP47" s="3454"/>
      <c r="AQ47" s="3454"/>
      <c r="AR47" s="3454"/>
      <c r="AS47" s="3454"/>
      <c r="AT47" s="3455"/>
      <c r="AU47" s="2469" t="s">
        <v>418</v>
      </c>
      <c r="AW47" s="1711"/>
      <c r="AX47" s="1711" t="str">
        <f>IF(T47="","",T47)</f>
        <v>Наименование системы теплоснабжения </v>
      </c>
      <c r="AY47" s="1711"/>
      <c r="AZ47" s="1711"/>
      <c r="BA47" s="2366">
        <v>23</v>
      </c>
    </row>
    <row customHeight="1" ht="21">
      <c r="A48" s="2574" t="s">
        <v>218</v>
      </c>
      <c r="B48" s="2574" t="s">
        <v>219</v>
      </c>
      <c r="C48" s="2574" t="s">
        <v>220</v>
      </c>
      <c r="D48" s="2574" t="s">
        <v>221</v>
      </c>
      <c r="E48" s="3470"/>
      <c r="F48" s="3470"/>
      <c r="G48" s="3470"/>
      <c r="H48" s="3469">
        <v>1</v>
      </c>
      <c r="I48" s="2574"/>
      <c r="J48" s="2574"/>
      <c r="K48" s="2574"/>
      <c r="L48" s="2575"/>
      <c r="M48" s="2576"/>
      <c r="N48" s="2576"/>
      <c r="O48" s="2576"/>
      <c r="P48" s="2623"/>
      <c r="Q48" s="2622"/>
      <c r="R48" s="1564"/>
      <c r="S48" s="2547" t="str">
        <f>INDEX(PT_DIFFERENTIATION_NUM_IST_TE,MATCH(D48,PT_DIFFERENTIATION_IST_TE_ID,0))</f>
        <v>...</v>
      </c>
      <c r="T48" s="1521" t="s">
        <v>419</v>
      </c>
      <c r="U48" s="1511"/>
      <c r="V48" s="3454"/>
      <c r="W48" s="3454"/>
      <c r="X48" s="3454"/>
      <c r="Y48" s="3454"/>
      <c r="Z48" s="3454"/>
      <c r="AA48" s="3455"/>
      <c r="AB48" s="3453" t="str">
        <f>INDEX(PT_DIFFERENTIATION_IST_TE,MATCH(D48,PT_DIFFERENTIATION_IST_TE_ID,0))</f>
        <v/>
      </c>
      <c r="AC48" s="3454"/>
      <c r="AD48" s="3454"/>
      <c r="AE48" s="3454"/>
      <c r="AF48" s="3454"/>
      <c r="AG48" s="3454"/>
      <c r="AH48" s="3454"/>
      <c r="AI48" s="3454"/>
      <c r="AJ48" s="3454"/>
      <c r="AK48" s="3454"/>
      <c r="AL48" s="3454"/>
      <c r="AM48" s="3454"/>
      <c r="AN48" s="3454"/>
      <c r="AO48" s="3454"/>
      <c r="AP48" s="3454"/>
      <c r="AQ48" s="3454"/>
      <c r="AR48" s="3454"/>
      <c r="AS48" s="3454"/>
      <c r="AT48" s="3455"/>
      <c r="AU48" s="2469" t="s">
        <v>420</v>
      </c>
      <c r="AW48" s="1711"/>
      <c r="AX48" s="1711" t="str">
        <f>IF(T48="","",T48)</f>
        <v>Источник тепловой энергии  </v>
      </c>
      <c r="AY48" s="1711"/>
      <c r="AZ48" s="1711"/>
      <c r="BA48" s="2366">
        <v>20</v>
      </c>
    </row>
    <row s="65923" customFormat="1" customHeight="1" ht="1.05">
      <c r="A49" s="2554" t="s">
        <v>218</v>
      </c>
      <c r="B49" s="2554" t="s">
        <v>219</v>
      </c>
      <c r="C49" s="2554" t="s">
        <v>220</v>
      </c>
      <c r="D49" s="2554" t="s">
        <v>221</v>
      </c>
      <c r="E49" s="3470"/>
      <c r="F49" s="3470"/>
      <c r="G49" s="3470"/>
      <c r="H49" s="3470"/>
      <c r="I49" s="3467" t="str">
        <f>S48&amp;".1"</f>
        <v>....1</v>
      </c>
      <c r="J49" s="2554"/>
      <c r="K49" s="2554"/>
      <c r="L49" s="2557" t="s">
        <v>421</v>
      </c>
      <c r="M49" s="1721"/>
      <c r="N49" s="1721"/>
      <c r="O49" s="1721"/>
      <c r="P49" s="3468">
        <v>1</v>
      </c>
      <c r="Q49" s="2542"/>
      <c r="R49" s="1567"/>
      <c r="S49" s="2253"/>
      <c r="T49" s="2594"/>
      <c r="U49" s="2595"/>
      <c r="V49" s="3508"/>
      <c r="W49" s="3508"/>
      <c r="X49" s="3508"/>
      <c r="Y49" s="3508"/>
      <c r="Z49" s="3508"/>
      <c r="AA49" s="3509"/>
      <c r="AB49" s="3507"/>
      <c r="AC49" s="3508"/>
      <c r="AD49" s="3508"/>
      <c r="AE49" s="3508"/>
      <c r="AF49" s="3508"/>
      <c r="AG49" s="3508"/>
      <c r="AH49" s="3508"/>
      <c r="AI49" s="3508"/>
      <c r="AJ49" s="3508"/>
      <c r="AK49" s="3508"/>
      <c r="AL49" s="3508"/>
      <c r="AM49" s="3508"/>
      <c r="AN49" s="3508"/>
      <c r="AO49" s="3508"/>
      <c r="AP49" s="3508"/>
      <c r="AQ49" s="3508"/>
      <c r="AR49" s="3508"/>
      <c r="AS49" s="3508"/>
      <c r="AT49" s="3509"/>
      <c r="AU49" s="2596"/>
      <c r="AW49" s="1711"/>
      <c r="AX49" s="1711" t="str">
        <f>IF(T49="","",T49)</f>
        <v/>
      </c>
      <c r="AY49" s="1711"/>
      <c r="AZ49" s="1711"/>
      <c r="BA49" s="1722">
        <v>1</v>
      </c>
    </row>
    <row s="65923" customFormat="1" customHeight="1" ht="1.05">
      <c r="A50" s="2554" t="s">
        <v>218</v>
      </c>
      <c r="B50" s="2554" t="s">
        <v>219</v>
      </c>
      <c r="C50" s="2554" t="s">
        <v>220</v>
      </c>
      <c r="D50" s="2554" t="s">
        <v>221</v>
      </c>
      <c r="E50" s="3470"/>
      <c r="F50" s="3470"/>
      <c r="G50" s="3470"/>
      <c r="H50" s="3470"/>
      <c r="I50" s="3497"/>
      <c r="J50" s="3467" t="str">
        <f>S48&amp;".1"</f>
        <v>....1</v>
      </c>
      <c r="K50" s="2554"/>
      <c r="L50" s="2557"/>
      <c r="M50" s="1721"/>
      <c r="N50" s="1721"/>
      <c r="O50" s="1721"/>
      <c r="P50" s="3468"/>
      <c r="Q50" s="3468">
        <v>1</v>
      </c>
      <c r="R50" s="1568"/>
      <c r="S50" s="2253"/>
      <c r="T50" s="2610"/>
      <c r="U50" s="2595"/>
      <c r="V50" s="3508"/>
      <c r="W50" s="3508"/>
      <c r="X50" s="3508"/>
      <c r="Y50" s="3508"/>
      <c r="Z50" s="3508"/>
      <c r="AA50" s="3509"/>
      <c r="AB50" s="3507"/>
      <c r="AC50" s="3508"/>
      <c r="AD50" s="3508"/>
      <c r="AE50" s="3508"/>
      <c r="AF50" s="3508"/>
      <c r="AG50" s="3508"/>
      <c r="AH50" s="3508"/>
      <c r="AI50" s="3508"/>
      <c r="AJ50" s="3508"/>
      <c r="AK50" s="3508"/>
      <c r="AL50" s="3508"/>
      <c r="AM50" s="3508"/>
      <c r="AN50" s="3508"/>
      <c r="AO50" s="3508"/>
      <c r="AP50" s="3508"/>
      <c r="AQ50" s="3508"/>
      <c r="AR50" s="3508"/>
      <c r="AS50" s="3508"/>
      <c r="AT50" s="3509"/>
      <c r="AU50" s="2596"/>
      <c r="AW50" s="1711"/>
      <c r="AX50" s="1711" t="str">
        <f>IF(T50="","",T50)</f>
        <v/>
      </c>
      <c r="AY50" s="1711"/>
      <c r="AZ50" s="1711"/>
      <c r="BA50" s="1722">
        <v>1</v>
      </c>
    </row>
    <row customHeight="1" ht="22.049999999999997">
      <c r="A51" s="2574" t="s">
        <v>218</v>
      </c>
      <c r="B51" s="2574" t="s">
        <v>219</v>
      </c>
      <c r="C51" s="2574" t="s">
        <v>220</v>
      </c>
      <c r="D51" s="2574" t="s">
        <v>221</v>
      </c>
      <c r="E51" s="3470"/>
      <c r="F51" s="3470"/>
      <c r="G51" s="3470"/>
      <c r="H51" s="3470"/>
      <c r="I51" s="3497"/>
      <c r="J51" s="3497"/>
      <c r="K51" s="3467" t="str">
        <f>S48&amp;".1"</f>
        <v>....1</v>
      </c>
      <c r="L51" s="2575"/>
      <c r="P51" s="3468"/>
      <c r="Q51" s="3468"/>
      <c r="R51" s="1568">
        <v>1</v>
      </c>
      <c r="S51" s="3552" t="str">
        <f>$K51</f>
        <v>....1</v>
      </c>
      <c r="T51" s="3555"/>
      <c r="U51" s="1511"/>
      <c r="V51" s="1962"/>
      <c r="W51" s="2468"/>
      <c r="X51" s="2945"/>
      <c r="Y51" s="2670" t="s">
        <v>62</v>
      </c>
      <c r="Z51" s="2945"/>
      <c r="AA51" s="2670" t="s">
        <v>62</v>
      </c>
      <c r="AB51" s="3318" t="s">
        <v>19</v>
      </c>
      <c r="AC51" s="3537"/>
      <c r="AD51" s="3416">
        <v>1</v>
      </c>
      <c r="AE51" s="3559" t="s">
        <v>22</v>
      </c>
      <c r="AF51" s="3318" t="s">
        <v>19</v>
      </c>
      <c r="AG51" s="3537"/>
      <c r="AH51" s="3416">
        <v>1</v>
      </c>
      <c r="AI51" s="3559" t="s">
        <v>22</v>
      </c>
      <c r="AJ51" s="3318" t="s">
        <v>19</v>
      </c>
      <c r="AK51" s="1522"/>
      <c r="AL51" s="2548">
        <v>1</v>
      </c>
      <c r="AM51" s="2613"/>
      <c r="AN51" s="1962"/>
      <c r="AO51" s="2468"/>
      <c r="AP51" s="2945"/>
      <c r="AQ51" s="2670" t="s">
        <v>62</v>
      </c>
      <c r="AR51" s="2945"/>
      <c r="AS51" s="2670" t="s">
        <v>62</v>
      </c>
      <c r="AT51" s="2559"/>
      <c r="AU51" s="3464" t="s">
        <v>498</v>
      </c>
      <c r="AV51" s="1722">
        <f>STRCHECKDATE(V54:AT54)</f>
      </c>
      <c r="AW51" s="1711"/>
      <c r="AX51" s="1711" t="str">
        <f>IF(T51="","",T51)</f>
        <v/>
      </c>
      <c r="AY51" s="1711"/>
      <c r="AZ51" s="1711"/>
      <c r="BA51" s="2366">
        <v>21</v>
      </c>
    </row>
    <row customHeight="1" ht="11.549999999999999">
      <c r="A52" s="2574" t="s">
        <v>218</v>
      </c>
      <c r="B52" s="2574"/>
      <c r="C52" s="2574"/>
      <c r="D52" s="2574"/>
      <c r="E52" s="3470"/>
      <c r="F52" s="3470"/>
      <c r="G52" s="3470"/>
      <c r="H52" s="3470"/>
      <c r="I52" s="3497"/>
      <c r="J52" s="3497"/>
      <c r="K52" s="3467"/>
      <c r="L52" s="2575"/>
      <c r="P52" s="3468"/>
      <c r="Q52" s="3468"/>
      <c r="R52" s="1568"/>
      <c r="S52" s="3553"/>
      <c r="T52" s="3556"/>
      <c r="U52" s="1511"/>
      <c r="V52" s="2604"/>
      <c r="W52" s="2707"/>
      <c r="X52" s="2604"/>
      <c r="Y52" s="2604"/>
      <c r="Z52" s="2604"/>
      <c r="AA52" s="2604"/>
      <c r="AB52" s="3318"/>
      <c r="AC52" s="3537"/>
      <c r="AD52" s="3416"/>
      <c r="AE52" s="3559"/>
      <c r="AF52" s="3318"/>
      <c r="AG52" s="3537"/>
      <c r="AH52" s="3416"/>
      <c r="AI52" s="3559"/>
      <c r="AJ52" s="3318"/>
      <c r="AK52" s="1527"/>
      <c r="AL52" s="1627"/>
      <c r="AM52" s="1626" t="s">
        <v>483</v>
      </c>
      <c r="AN52" s="2604"/>
      <c r="AO52" s="2707"/>
      <c r="AP52" s="2604"/>
      <c r="AQ52" s="2604"/>
      <c r="AR52" s="2604"/>
      <c r="AS52" s="2604"/>
      <c r="AT52" s="2601"/>
      <c r="AU52" s="3465"/>
      <c r="AW52" s="1711"/>
      <c r="AX52" s="1711"/>
      <c r="AY52" s="1711"/>
      <c r="AZ52" s="1711"/>
      <c r="BA52" s="2366">
        <v>11</v>
      </c>
    </row>
    <row customHeight="1" ht="11.549999999999999">
      <c r="A53" s="2574" t="s">
        <v>218</v>
      </c>
      <c r="B53" s="2574"/>
      <c r="C53" s="2574"/>
      <c r="D53" s="2574"/>
      <c r="E53" s="3470"/>
      <c r="F53" s="3470"/>
      <c r="G53" s="3470"/>
      <c r="H53" s="3470"/>
      <c r="I53" s="3497"/>
      <c r="J53" s="3497"/>
      <c r="K53" s="3467"/>
      <c r="L53" s="2575"/>
      <c r="P53" s="3468"/>
      <c r="Q53" s="3468"/>
      <c r="R53" s="1568"/>
      <c r="S53" s="3553"/>
      <c r="T53" s="3556"/>
      <c r="U53" s="1511"/>
      <c r="V53" s="2604"/>
      <c r="W53" s="2707"/>
      <c r="X53" s="2604"/>
      <c r="Y53" s="2604"/>
      <c r="Z53" s="2604"/>
      <c r="AA53" s="2604"/>
      <c r="AB53" s="3318"/>
      <c r="AC53" s="3537"/>
      <c r="AD53" s="3416"/>
      <c r="AE53" s="3559"/>
      <c r="AF53" s="3318"/>
      <c r="AG53" s="1505"/>
      <c r="AH53" s="1626"/>
      <c r="AI53" s="1626" t="s">
        <v>484</v>
      </c>
      <c r="AJ53" s="2604"/>
      <c r="AK53" s="2604"/>
      <c r="AL53" s="2604"/>
      <c r="AM53" s="2604"/>
      <c r="AN53" s="2604"/>
      <c r="AO53" s="2707"/>
      <c r="AP53" s="2604"/>
      <c r="AQ53" s="2604"/>
      <c r="AR53" s="2604"/>
      <c r="AS53" s="2604"/>
      <c r="AT53" s="2601"/>
      <c r="AU53" s="3465"/>
      <c r="AW53" s="1711"/>
      <c r="AX53" s="1711"/>
      <c r="AY53" s="1711"/>
      <c r="AZ53" s="1711"/>
      <c r="BA53" s="2366">
        <v>11</v>
      </c>
    </row>
    <row customHeight="1" ht="11.549999999999999">
      <c r="A54" s="2574" t="s">
        <v>218</v>
      </c>
      <c r="B54" s="2574" t="s">
        <v>219</v>
      </c>
      <c r="C54" s="2574" t="s">
        <v>220</v>
      </c>
      <c r="D54" s="2574" t="s">
        <v>221</v>
      </c>
      <c r="E54" s="3470"/>
      <c r="F54" s="3470"/>
      <c r="G54" s="3470"/>
      <c r="H54" s="3470"/>
      <c r="I54" s="3497"/>
      <c r="J54" s="3497"/>
      <c r="K54" s="3467"/>
      <c r="L54" s="2575"/>
      <c r="P54" s="3468"/>
      <c r="Q54" s="3468"/>
      <c r="R54" s="1568"/>
      <c r="S54" s="3554"/>
      <c r="T54" s="3557"/>
      <c r="U54" s="1511"/>
      <c r="V54" s="2604"/>
      <c r="W54" s="2605" t="str">
        <f>X51&amp;"-"&amp;Z51</f>
        <v>-</v>
      </c>
      <c r="X54" s="2604"/>
      <c r="Y54" s="2604"/>
      <c r="Z54" s="2604"/>
      <c r="AA54" s="2604"/>
      <c r="AB54" s="3318"/>
      <c r="AC54" s="1523"/>
      <c r="AD54" s="1525"/>
      <c r="AE54" s="1626" t="s">
        <v>485</v>
      </c>
      <c r="AF54" s="2604"/>
      <c r="AG54" s="2604"/>
      <c r="AH54" s="2604"/>
      <c r="AI54" s="2604"/>
      <c r="AJ54" s="2604"/>
      <c r="AK54" s="2604"/>
      <c r="AL54" s="2604"/>
      <c r="AM54" s="2604"/>
      <c r="AN54" s="2604"/>
      <c r="AO54" s="2605" t="str">
        <f>AP51&amp;"-"&amp;AR51</f>
        <v>-</v>
      </c>
      <c r="AP54" s="2604"/>
      <c r="AQ54" s="2604"/>
      <c r="AR54" s="2604"/>
      <c r="AS54" s="2604"/>
      <c r="AT54" s="2560"/>
      <c r="AU54" s="3465"/>
      <c r="AW54" s="1711"/>
      <c r="AX54" s="1711" t="str">
        <f>IF(T54="","",T54)</f>
        <v/>
      </c>
      <c r="AY54" s="1711"/>
      <c r="AZ54" s="1711"/>
      <c r="BA54" s="2366">
        <v>11</v>
      </c>
    </row>
    <row customHeight="1" ht="11.549999999999999">
      <c r="A55" s="2574" t="s">
        <v>218</v>
      </c>
      <c r="B55" s="2574" t="s">
        <v>219</v>
      </c>
      <c r="C55" s="2574" t="s">
        <v>220</v>
      </c>
      <c r="D55" s="2574" t="s">
        <v>221</v>
      </c>
      <c r="E55" s="3470"/>
      <c r="F55" s="3470"/>
      <c r="G55" s="3470"/>
      <c r="H55" s="3470"/>
      <c r="I55" s="3497"/>
      <c r="J55" s="3467"/>
      <c r="K55" s="2574"/>
      <c r="L55" s="2575"/>
      <c r="P55" s="3468"/>
      <c r="Q55" s="3468"/>
      <c r="R55" s="1567"/>
      <c r="S55" s="2489"/>
      <c r="T55" s="1498" t="s">
        <v>486</v>
      </c>
      <c r="U55" s="1578"/>
      <c r="V55" s="1578"/>
      <c r="W55" s="1578"/>
      <c r="X55" s="1578"/>
      <c r="Y55" s="1578"/>
      <c r="Z55" s="1578"/>
      <c r="AA55" s="1535"/>
      <c r="AB55" s="2716"/>
      <c r="AC55" s="1578"/>
      <c r="AD55" s="1578"/>
      <c r="AE55" s="1578"/>
      <c r="AF55" s="1578"/>
      <c r="AG55" s="1578"/>
      <c r="AH55" s="1578"/>
      <c r="AI55" s="1578"/>
      <c r="AJ55" s="1578"/>
      <c r="AK55" s="1578"/>
      <c r="AL55" s="1578"/>
      <c r="AM55" s="1578"/>
      <c r="AN55" s="1578"/>
      <c r="AO55" s="1578"/>
      <c r="AP55" s="1578"/>
      <c r="AQ55" s="1578"/>
      <c r="AR55" s="1578"/>
      <c r="AS55" s="1578"/>
      <c r="AT55" s="1535"/>
      <c r="AU55" s="3466"/>
      <c r="AW55" s="1711"/>
      <c r="AX55" s="1711" t="str">
        <f>IF(T55="","",T55)</f>
        <v>Добавить строку</v>
      </c>
      <c r="AY55" s="1711"/>
      <c r="AZ55" s="1711"/>
      <c r="BA55" s="2366">
        <v>11</v>
      </c>
    </row>
    <row s="65923" customFormat="1" customHeight="1" ht="1.05">
      <c r="A56" s="2554" t="s">
        <v>218</v>
      </c>
      <c r="B56" s="2554" t="s">
        <v>219</v>
      </c>
      <c r="C56" s="2554" t="s">
        <v>220</v>
      </c>
      <c r="D56" s="2554" t="s">
        <v>221</v>
      </c>
      <c r="E56" s="3470"/>
      <c r="F56" s="3470"/>
      <c r="G56" s="3470"/>
      <c r="H56" s="3470"/>
      <c r="I56" s="3467"/>
      <c r="J56" s="2554"/>
      <c r="K56" s="2554"/>
      <c r="L56" s="2557"/>
      <c r="M56" s="1721"/>
      <c r="N56" s="1721"/>
      <c r="O56" s="1721"/>
      <c r="P56" s="3468"/>
      <c r="Q56" s="2542"/>
      <c r="R56" s="1567"/>
      <c r="S56" s="2597"/>
      <c r="T56" s="2598" t="s">
        <v>430</v>
      </c>
      <c r="U56" s="2599"/>
      <c r="V56" s="2599"/>
      <c r="W56" s="2599"/>
      <c r="X56" s="2599"/>
      <c r="Y56" s="2599"/>
      <c r="Z56" s="2599"/>
      <c r="AA56" s="2599"/>
      <c r="AB56" s="2599"/>
      <c r="AC56" s="2599"/>
      <c r="AD56" s="2599"/>
      <c r="AE56" s="2599"/>
      <c r="AF56" s="2599"/>
      <c r="AG56" s="2599"/>
      <c r="AH56" s="2599"/>
      <c r="AI56" s="2599"/>
      <c r="AJ56" s="2599"/>
      <c r="AK56" s="2599"/>
      <c r="AL56" s="2599"/>
      <c r="AM56" s="2599"/>
      <c r="AN56" s="2599"/>
      <c r="AO56" s="2599"/>
      <c r="AP56" s="2599"/>
      <c r="AQ56" s="2599"/>
      <c r="AR56" s="2599"/>
      <c r="AS56" s="2599"/>
      <c r="AT56" s="2599"/>
      <c r="AU56" s="2600"/>
      <c r="AW56" s="1711"/>
      <c r="AX56" s="1711" t="str">
        <f>IF(T56="","",T56)</f>
        <v>Добавить группу потребителей</v>
      </c>
      <c r="AY56" s="1711"/>
      <c r="AZ56" s="1711"/>
      <c r="BA56" s="1722">
        <v>1</v>
      </c>
    </row>
    <row s="65897" customFormat="1" customHeight="1" ht="1.05">
      <c r="A57" s="2554" t="s">
        <v>218</v>
      </c>
      <c r="B57" s="2554" t="s">
        <v>219</v>
      </c>
      <c r="C57" s="2554" t="s">
        <v>220</v>
      </c>
      <c r="D57" s="2554" t="s">
        <v>221</v>
      </c>
      <c r="E57" s="3470"/>
      <c r="F57" s="3470"/>
      <c r="G57" s="3470"/>
      <c r="H57" s="3469"/>
      <c r="I57" s="2554"/>
      <c r="J57" s="2554"/>
      <c r="K57" s="2554"/>
      <c r="L57" s="2557"/>
      <c r="M57" s="2526"/>
      <c r="N57" s="2526"/>
      <c r="O57" s="1729"/>
      <c r="P57" s="1591"/>
      <c r="Q57" s="2555"/>
      <c r="R57" s="2611"/>
      <c r="S57" s="2597"/>
      <c r="T57" s="2598"/>
      <c r="U57" s="2599"/>
      <c r="V57" s="2599"/>
      <c r="W57" s="2599"/>
      <c r="X57" s="2599"/>
      <c r="Y57" s="2599"/>
      <c r="Z57" s="2599"/>
      <c r="AA57" s="2599"/>
      <c r="AB57" s="2599"/>
      <c r="AC57" s="2599"/>
      <c r="AD57" s="2599"/>
      <c r="AE57" s="2599"/>
      <c r="AF57" s="2599"/>
      <c r="AG57" s="2599"/>
      <c r="AH57" s="2599"/>
      <c r="AI57" s="2599"/>
      <c r="AJ57" s="2599"/>
      <c r="AK57" s="2599"/>
      <c r="AL57" s="2599"/>
      <c r="AM57" s="2599"/>
      <c r="AN57" s="2599"/>
      <c r="AO57" s="2599"/>
      <c r="AP57" s="2599"/>
      <c r="AQ57" s="2599"/>
      <c r="AR57" s="2599"/>
      <c r="AS57" s="2599"/>
      <c r="AT57" s="2599"/>
      <c r="AU57" s="2600"/>
      <c r="AV57" s="1722"/>
      <c r="AW57" s="1711"/>
      <c r="AX57" s="1711" t="str">
        <f>IF(T57="","",T57)</f>
        <v/>
      </c>
      <c r="AY57" s="1711"/>
      <c r="AZ57" s="1711"/>
      <c r="BA57" s="1707">
        <v>1</v>
      </c>
    </row>
    <row s="65923" customFormat="1" customHeight="1" ht="1.05">
      <c r="A58" s="2554" t="s">
        <v>218</v>
      </c>
      <c r="B58" s="2554" t="s">
        <v>219</v>
      </c>
      <c r="C58" s="2554" t="s">
        <v>220</v>
      </c>
      <c r="D58" s="2525"/>
      <c r="E58" s="3470"/>
      <c r="F58" s="3470"/>
      <c r="G58" s="3469"/>
      <c r="H58" s="2525"/>
      <c r="I58" s="2525"/>
      <c r="J58" s="2525"/>
      <c r="K58" s="2525"/>
      <c r="L58" s="2550"/>
      <c r="M58" s="2526"/>
      <c r="N58" s="2526"/>
      <c r="P58" s="2527"/>
      <c r="Q58" s="2528"/>
      <c r="R58" s="2527"/>
      <c r="S58" s="2533"/>
      <c r="T58" s="2536" t="s">
        <v>432</v>
      </c>
      <c r="U58" s="2535"/>
      <c r="V58" s="2535"/>
      <c r="W58" s="2535"/>
      <c r="X58" s="2535"/>
      <c r="Y58" s="2535"/>
      <c r="Z58" s="2535"/>
      <c r="AA58" s="2535"/>
      <c r="AB58" s="2535"/>
      <c r="AC58" s="2535"/>
      <c r="AD58" s="2535"/>
      <c r="AE58" s="2535"/>
      <c r="AF58" s="2535"/>
      <c r="AG58" s="2535"/>
      <c r="AH58" s="2535"/>
      <c r="AI58" s="2535"/>
      <c r="AJ58" s="2535"/>
      <c r="AK58" s="2535"/>
      <c r="AL58" s="2535"/>
      <c r="AM58" s="2535"/>
      <c r="AN58" s="2535"/>
      <c r="AO58" s="2535"/>
      <c r="AP58" s="2535"/>
      <c r="AQ58" s="2535"/>
      <c r="AR58" s="2535"/>
      <c r="AS58" s="2535"/>
      <c r="AT58" s="2535"/>
      <c r="AU58" s="2535"/>
      <c r="AW58" s="2000"/>
      <c r="AX58" s="2000" t="str">
        <f>IF(T58="","",T58)</f>
        <v>Добавить источник для дифференциации</v>
      </c>
      <c r="AY58" s="2000"/>
      <c r="AZ58" s="2000"/>
      <c r="BA58" s="1729">
        <v>1</v>
      </c>
    </row>
    <row s="65923" customFormat="1" customHeight="1" ht="1.05">
      <c r="A59" s="2554" t="s">
        <v>218</v>
      </c>
      <c r="B59" s="2554" t="s">
        <v>219</v>
      </c>
      <c r="C59" s="2525"/>
      <c r="D59" s="2525"/>
      <c r="E59" s="3470"/>
      <c r="F59" s="3469"/>
      <c r="G59" s="2525"/>
      <c r="H59" s="2525"/>
      <c r="I59" s="2525"/>
      <c r="J59" s="2525"/>
      <c r="K59" s="2525"/>
      <c r="L59" s="2550"/>
      <c r="M59" s="2532"/>
      <c r="N59" s="2532"/>
      <c r="P59" s="2527"/>
      <c r="Q59" s="2528"/>
      <c r="R59" s="2527"/>
      <c r="S59" s="2533"/>
      <c r="T59" s="2536" t="s">
        <v>433</v>
      </c>
      <c r="U59" s="2535"/>
      <c r="V59" s="2535"/>
      <c r="W59" s="2535"/>
      <c r="X59" s="2535"/>
      <c r="Y59" s="2535"/>
      <c r="Z59" s="2535"/>
      <c r="AA59" s="2535"/>
      <c r="AB59" s="2535"/>
      <c r="AC59" s="2535"/>
      <c r="AD59" s="2535"/>
      <c r="AE59" s="2535"/>
      <c r="AF59" s="2535"/>
      <c r="AG59" s="2535"/>
      <c r="AH59" s="2535"/>
      <c r="AI59" s="2535"/>
      <c r="AJ59" s="2535"/>
      <c r="AK59" s="2535"/>
      <c r="AL59" s="2535"/>
      <c r="AM59" s="2535"/>
      <c r="AN59" s="2535"/>
      <c r="AO59" s="2535"/>
      <c r="AP59" s="2535"/>
      <c r="AQ59" s="2535"/>
      <c r="AR59" s="2535"/>
      <c r="AS59" s="2535"/>
      <c r="AT59" s="2535"/>
      <c r="AU59" s="2535"/>
      <c r="AW59" s="2000"/>
      <c r="AX59" s="2000" t="str">
        <f>IF(T59="","",T59)</f>
        <v>Добавить централизованную систему для дифференциации</v>
      </c>
      <c r="AY59" s="2000"/>
      <c r="AZ59" s="2000"/>
      <c r="BA59" s="1729">
        <v>1</v>
      </c>
    </row>
    <row s="65923" customFormat="1" customHeight="1" ht="1.05">
      <c r="A60" s="2554" t="s">
        <v>218</v>
      </c>
      <c r="B60" s="2554"/>
      <c r="C60" s="2554"/>
      <c r="D60" s="2554"/>
      <c r="E60" s="3470"/>
      <c r="F60" s="2554"/>
      <c r="G60" s="2554"/>
      <c r="H60" s="2554"/>
      <c r="I60" s="2554"/>
      <c r="J60" s="2554"/>
      <c r="K60" s="2554"/>
      <c r="L60" s="2557"/>
      <c r="M60" s="2532"/>
      <c r="N60" s="2532"/>
      <c r="O60" s="1729"/>
      <c r="P60" s="1591"/>
      <c r="Q60" s="2555"/>
      <c r="R60" s="1591"/>
      <c r="S60" s="2533"/>
      <c r="T60" s="2536" t="s">
        <v>434</v>
      </c>
      <c r="U60" s="2535"/>
      <c r="V60" s="2535"/>
      <c r="W60" s="2535"/>
      <c r="X60" s="2535"/>
      <c r="Y60" s="2535"/>
      <c r="Z60" s="2535"/>
      <c r="AA60" s="2535"/>
      <c r="AB60" s="2535"/>
      <c r="AC60" s="2535"/>
      <c r="AD60" s="2535"/>
      <c r="AE60" s="2535"/>
      <c r="AF60" s="2535"/>
      <c r="AG60" s="2535"/>
      <c r="AH60" s="2535"/>
      <c r="AI60" s="2535"/>
      <c r="AJ60" s="2535"/>
      <c r="AK60" s="2535"/>
      <c r="AL60" s="2535"/>
      <c r="AM60" s="2535"/>
      <c r="AN60" s="2535"/>
      <c r="AO60" s="2535"/>
      <c r="AP60" s="2535"/>
      <c r="AQ60" s="2535"/>
      <c r="AR60" s="2535"/>
      <c r="AS60" s="2535"/>
      <c r="AT60" s="2535"/>
      <c r="AU60" s="2535"/>
      <c r="AW60" s="1711"/>
      <c r="AX60" s="1711" t="str">
        <f>IF(T60="","",T60)</f>
        <v>Добавить территорию для дифференциации</v>
      </c>
      <c r="AY60" s="1711"/>
      <c r="AZ60" s="1711"/>
      <c r="BA60" s="1722">
        <v>1</v>
      </c>
    </row>
    <row s="65923" customFormat="1" customHeight="1" ht="1.05">
      <c r="A61" s="2554" t="s">
        <v>218</v>
      </c>
      <c r="B61" s="2554"/>
      <c r="C61" s="2554"/>
      <c r="D61" s="2554"/>
      <c r="E61" s="3469"/>
      <c r="F61" s="2554"/>
      <c r="G61" s="2554"/>
      <c r="H61" s="2554"/>
      <c r="I61" s="2554"/>
      <c r="J61" s="2554"/>
      <c r="K61" s="2554"/>
      <c r="L61" s="2557"/>
      <c r="M61" s="2532"/>
      <c r="N61" s="2532"/>
      <c r="O61" s="1729"/>
      <c r="P61" s="1591"/>
      <c r="Q61" s="2555"/>
      <c r="R61" s="1591"/>
      <c r="S61" s="2533"/>
      <c r="T61" s="2536" t="s">
        <v>434</v>
      </c>
      <c r="U61" s="2535"/>
      <c r="V61" s="2535"/>
      <c r="W61" s="2535"/>
      <c r="X61" s="2535"/>
      <c r="Y61" s="2535"/>
      <c r="Z61" s="2535"/>
      <c r="AA61" s="2535"/>
      <c r="AB61" s="2535"/>
      <c r="AC61" s="2535"/>
      <c r="AD61" s="2535"/>
      <c r="AE61" s="2535"/>
      <c r="AF61" s="2535"/>
      <c r="AG61" s="2535"/>
      <c r="AH61" s="2535"/>
      <c r="AI61" s="2535"/>
      <c r="AJ61" s="2535"/>
      <c r="AK61" s="2535"/>
      <c r="AL61" s="2535"/>
      <c r="AM61" s="2535"/>
      <c r="AN61" s="2535"/>
      <c r="AO61" s="2535"/>
      <c r="AP61" s="2535"/>
      <c r="AQ61" s="2535"/>
      <c r="AR61" s="2535"/>
      <c r="AS61" s="2535"/>
      <c r="AT61" s="2535"/>
      <c r="AU61" s="2535"/>
      <c r="AW61" s="1711"/>
      <c r="AX61" s="1711" t="str">
        <f>IF(T61="","",T61)</f>
        <v>Добавить территорию для дифференциации</v>
      </c>
      <c r="AY61" s="1711"/>
      <c r="AZ61" s="1711"/>
      <c r="BA61" s="1722">
        <v>1</v>
      </c>
    </row>
    <row s="65923" customFormat="1" customHeight="1" ht="1.05">
      <c r="A62" s="2525"/>
      <c r="B62" s="2525"/>
      <c r="C62" s="2525"/>
      <c r="D62" s="2525"/>
      <c r="E62" s="2554"/>
      <c r="F62" s="2525"/>
      <c r="G62" s="2525"/>
      <c r="H62" s="2525"/>
      <c r="I62" s="2525"/>
      <c r="J62" s="2525"/>
      <c r="K62" s="2525"/>
      <c r="L62" s="2550"/>
      <c r="M62" s="2532"/>
      <c r="N62" s="2532"/>
      <c r="P62" s="2527"/>
      <c r="Q62" s="2528"/>
      <c r="R62" s="2527"/>
      <c r="S62" s="2533"/>
      <c r="T62" s="2536" t="s">
        <v>466</v>
      </c>
      <c r="U62" s="2535"/>
      <c r="V62" s="2535"/>
      <c r="W62" s="2535"/>
      <c r="X62" s="2535"/>
      <c r="Y62" s="2535"/>
      <c r="Z62" s="2535"/>
      <c r="AA62" s="2535"/>
      <c r="AB62" s="2535"/>
      <c r="AC62" s="2535"/>
      <c r="AD62" s="2535"/>
      <c r="AE62" s="2535"/>
      <c r="AF62" s="2535"/>
      <c r="AG62" s="2535"/>
      <c r="AH62" s="2535"/>
      <c r="AI62" s="2535"/>
      <c r="AJ62" s="2535"/>
      <c r="AK62" s="2535"/>
      <c r="AL62" s="2535"/>
      <c r="AM62" s="2535"/>
      <c r="AN62" s="2535"/>
      <c r="AO62" s="2535"/>
      <c r="AP62" s="2535"/>
      <c r="AQ62" s="2535"/>
      <c r="AR62" s="2535"/>
      <c r="AS62" s="2535"/>
      <c r="AT62" s="2535"/>
      <c r="AU62" s="2535"/>
      <c r="AW62" s="2000"/>
      <c r="AX62" s="2000" t="str">
        <f>IF(T62="","",T62)</f>
        <v>Добавить наименование тарифа</v>
      </c>
      <c r="AY62" s="2000"/>
      <c r="AZ62" s="2000"/>
      <c r="BA62" s="1729">
        <v>1</v>
      </c>
    </row>
    <row customHeight="1" ht="11.549999999999999">
      <c r="M63" s="2371"/>
      <c r="N63" s="2371"/>
      <c r="O63" s="1748"/>
      <c r="P63" s="2371"/>
      <c r="Q63" s="2371"/>
      <c r="R63" s="2366"/>
      <c r="S63" s="2366"/>
      <c r="AV63" s="2366"/>
      <c r="AW63" s="2366"/>
      <c r="AX63" s="2366"/>
      <c r="AY63" s="2366"/>
      <c r="AZ63" s="2366"/>
      <c r="BA63" s="2366">
        <v>11</v>
      </c>
    </row>
    <row customHeight="1" ht="19.95">
      <c r="O64" s="1748"/>
      <c r="S64" s="2464"/>
      <c r="T64" s="3496"/>
      <c r="U64" s="3496"/>
      <c r="V64" s="3496"/>
      <c r="W64" s="3496"/>
      <c r="X64" s="3496"/>
      <c r="Y64" s="3496"/>
      <c r="Z64" s="3496"/>
      <c r="AA64" s="3496"/>
      <c r="AB64" s="3496"/>
      <c r="AC64" s="3496"/>
      <c r="AD64" s="3496"/>
      <c r="AE64" s="3496"/>
      <c r="AF64" s="3496"/>
      <c r="AG64" s="3496"/>
      <c r="AH64" s="3496"/>
      <c r="AI64" s="3496"/>
      <c r="AJ64" s="3496"/>
      <c r="AK64" s="3496"/>
      <c r="AL64" s="3496"/>
      <c r="AM64" s="3496"/>
      <c r="AN64" s="3496"/>
      <c r="AO64" s="3496"/>
      <c r="AP64" s="3496"/>
      <c r="AQ64" s="3496"/>
      <c r="AR64" s="3496"/>
      <c r="AS64" s="3496"/>
      <c r="AT64" s="3496"/>
      <c r="AU64" s="3496"/>
      <c r="BA64" s="2366">
        <v>19</v>
      </c>
    </row>
    <row customHeight="1" ht="21">
      <c r="O65" s="1748"/>
      <c r="T65" s="3496"/>
      <c r="U65" s="3496"/>
      <c r="V65" s="3496"/>
      <c r="W65" s="3496"/>
      <c r="X65" s="3496"/>
      <c r="Y65" s="3496"/>
      <c r="Z65" s="3496"/>
      <c r="AA65" s="3496"/>
      <c r="AB65" s="3496"/>
      <c r="AC65" s="3496"/>
      <c r="AD65" s="3496"/>
      <c r="AE65" s="3496"/>
      <c r="AF65" s="3496"/>
      <c r="AG65" s="3496"/>
      <c r="AH65" s="3496"/>
      <c r="AI65" s="3496"/>
      <c r="AJ65" s="3496"/>
      <c r="AK65" s="3496"/>
      <c r="AL65" s="3496"/>
      <c r="AM65" s="3496"/>
      <c r="AN65" s="3496"/>
      <c r="AO65" s="3496"/>
      <c r="AP65" s="3496"/>
      <c r="AQ65" s="3496"/>
      <c r="AR65" s="3496"/>
      <c r="AS65" s="3496"/>
      <c r="AT65" s="3496"/>
      <c r="AU65" s="3496"/>
      <c r="BA65" s="2366">
        <v>20</v>
      </c>
    </row>
    <row customHeight="1" ht="14.699999999999998">
      <c r="O66" s="1748"/>
      <c r="T66" s="2544"/>
      <c r="U66" s="2544"/>
      <c r="V66" s="2544"/>
      <c r="W66" s="2544"/>
      <c r="X66" s="2544"/>
      <c r="Y66" s="2544"/>
      <c r="Z66" s="2544"/>
      <c r="AA66" s="2544"/>
      <c r="AB66" s="2544"/>
      <c r="AC66" s="2544"/>
      <c r="AD66" s="2544"/>
      <c r="AE66" s="2544"/>
      <c r="AF66" s="2544"/>
      <c r="AG66" s="2544"/>
      <c r="AH66" s="2544"/>
      <c r="AI66" s="2544"/>
      <c r="AJ66" s="2544"/>
      <c r="AK66" s="2544"/>
      <c r="AL66" s="2544"/>
      <c r="AM66" s="2544"/>
      <c r="AN66" s="2544"/>
      <c r="AO66" s="2544"/>
      <c r="AP66" s="2544"/>
      <c r="AQ66" s="2544"/>
      <c r="AR66" s="2544"/>
      <c r="AS66" s="2544"/>
      <c r="AT66" s="2544"/>
      <c r="AU66" s="2544"/>
      <c r="BA66" s="2366">
        <v>14</v>
      </c>
    </row>
    <row customHeight="1" ht="19.95">
      <c r="O67" s="1748"/>
      <c r="T67" s="3496"/>
      <c r="U67" s="3496"/>
      <c r="V67" s="3496"/>
      <c r="W67" s="3496"/>
      <c r="X67" s="3496"/>
      <c r="Y67" s="3496"/>
      <c r="Z67" s="3496"/>
      <c r="AA67" s="3496"/>
      <c r="AB67" s="3496"/>
      <c r="AC67" s="3496"/>
      <c r="AD67" s="3496"/>
      <c r="AE67" s="3496"/>
      <c r="AF67" s="3496"/>
      <c r="AG67" s="3496"/>
      <c r="AH67" s="3496"/>
      <c r="AI67" s="3496"/>
      <c r="AJ67" s="3496"/>
      <c r="AK67" s="3496"/>
      <c r="AL67" s="3496"/>
      <c r="AM67" s="3496"/>
      <c r="AN67" s="3496"/>
      <c r="AO67" s="3496"/>
      <c r="AP67" s="3496"/>
      <c r="AQ67" s="3496"/>
      <c r="AR67" s="3496"/>
      <c r="AS67" s="3496"/>
      <c r="AT67" s="3496"/>
      <c r="AU67" s="3496"/>
      <c r="BA67" s="2366">
        <v>19</v>
      </c>
    </row>
    <row customHeight="1" ht="16.8">
      <c r="O68" s="1748"/>
      <c r="T68" s="3496"/>
      <c r="U68" s="3496"/>
      <c r="V68" s="3496"/>
      <c r="W68" s="3496"/>
      <c r="X68" s="3496"/>
      <c r="Y68" s="3496"/>
      <c r="Z68" s="3496"/>
      <c r="AA68" s="3496"/>
      <c r="AB68" s="3496"/>
      <c r="AC68" s="3496"/>
      <c r="AD68" s="3496"/>
      <c r="AE68" s="3496"/>
      <c r="AF68" s="3496"/>
      <c r="AG68" s="3496"/>
      <c r="AH68" s="3496"/>
      <c r="AI68" s="3496"/>
      <c r="AJ68" s="3496"/>
      <c r="AK68" s="3496"/>
      <c r="AL68" s="3496"/>
      <c r="AM68" s="3496"/>
      <c r="AN68" s="3496"/>
      <c r="AO68" s="3496"/>
      <c r="AP68" s="3496"/>
      <c r="AQ68" s="3496"/>
      <c r="AR68" s="3496"/>
      <c r="AS68" s="3496"/>
      <c r="AT68" s="3496"/>
      <c r="AU68" s="3496"/>
      <c r="BA68" s="2366">
        <v>16</v>
      </c>
    </row>
    <row customHeight="1" ht="14.699999999999998">
      <c r="O69" s="1748"/>
      <c r="BA69" s="2366">
        <v>14</v>
      </c>
    </row>
    <row customHeight="1" ht="22.5" hidden="1">
      <c r="A70" s="2371" t="s">
        <v>82</v>
      </c>
      <c r="B70" s="2371">
        <v>0</v>
      </c>
      <c r="C70" s="2371">
        <v>0</v>
      </c>
      <c r="D70" s="2371">
        <v>0</v>
      </c>
      <c r="E70" s="2371">
        <v>0</v>
      </c>
      <c r="F70" s="2371">
        <v>0</v>
      </c>
      <c r="G70" s="2371">
        <v>0</v>
      </c>
      <c r="H70" s="2371">
        <v>0</v>
      </c>
      <c r="I70" s="2371">
        <v>0</v>
      </c>
      <c r="J70" s="2371">
        <v>0</v>
      </c>
      <c r="K70" s="2371">
        <v>0</v>
      </c>
      <c r="L70" s="2540">
        <v>0</v>
      </c>
      <c r="M70" s="2573">
        <v>0</v>
      </c>
      <c r="N70" s="2573">
        <v>0</v>
      </c>
      <c r="O70" s="2573">
        <v>0</v>
      </c>
      <c r="P70" s="2573">
        <v>3</v>
      </c>
      <c r="Q70" s="2582">
        <v>3</v>
      </c>
      <c r="R70" s="1555">
        <v>3</v>
      </c>
      <c r="S70" s="1792">
        <v>12</v>
      </c>
      <c r="T70" s="2366">
        <v>31</v>
      </c>
      <c r="U70" s="2366">
        <v>0</v>
      </c>
      <c r="V70" s="2366">
        <v>0</v>
      </c>
      <c r="W70" s="2366">
        <v>0</v>
      </c>
      <c r="X70" s="2366">
        <v>0</v>
      </c>
      <c r="Y70" s="2366">
        <v>0</v>
      </c>
      <c r="Z70" s="2366">
        <v>0</v>
      </c>
      <c r="AA70" s="2366">
        <v>0</v>
      </c>
      <c r="AB70" s="2366">
        <v>5</v>
      </c>
      <c r="AC70" s="2366">
        <v>3</v>
      </c>
      <c r="AD70" s="2366">
        <v>3</v>
      </c>
      <c r="AE70" s="2366">
        <v>24</v>
      </c>
      <c r="AF70" s="2366">
        <v>3</v>
      </c>
      <c r="AG70" s="2366">
        <v>3</v>
      </c>
      <c r="AH70" s="2366">
        <v>3</v>
      </c>
      <c r="AI70" s="2366">
        <v>24</v>
      </c>
      <c r="AJ70" s="2366">
        <v>3</v>
      </c>
      <c r="AK70" s="2366">
        <v>3</v>
      </c>
      <c r="AL70" s="2366">
        <v>3</v>
      </c>
      <c r="AM70" s="2366">
        <v>18</v>
      </c>
      <c r="AN70" s="2366">
        <v>21</v>
      </c>
      <c r="AO70" s="2366">
        <v>21</v>
      </c>
      <c r="AP70" s="2366">
        <v>11</v>
      </c>
      <c r="AQ70" s="2366">
        <v>3</v>
      </c>
      <c r="AR70" s="2366">
        <v>11</v>
      </c>
      <c r="AS70" s="2366">
        <v>8</v>
      </c>
      <c r="AT70" s="2366">
        <v>4</v>
      </c>
      <c r="AU70" s="2366">
        <v>115</v>
      </c>
      <c r="AV70" s="1722">
        <v>10</v>
      </c>
      <c r="AW70" s="1722">
        <v>10</v>
      </c>
      <c r="AX70" s="1722">
        <v>10</v>
      </c>
      <c r="AY70" s="1722">
        <v>10</v>
      </c>
      <c r="AZ70" s="1722">
        <v>10</v>
      </c>
      <c r="BA70" s="236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61255-8C77-A22B-C393-92C2B34FEAE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4" style="66903" width="24.7109375" hidden="1" customWidth="1"/>
    <col min="25" max="25" style="66903" width="11.7109375" hidden="1" customWidth="1"/>
    <col min="26" max="26" style="66903" width="3.7109375" hidden="1" customWidth="1"/>
    <col min="27" max="27" style="66903" width="11.7109375" hidden="1" customWidth="1"/>
    <col min="28" max="28" style="66903" width="8.57421875" hidden="1" customWidth="1"/>
    <col min="29" max="29" style="66903" width="24.7109375" customWidth="1"/>
    <col min="30" max="31" style="66903" width="24.00390625" customWidth="1"/>
    <col min="32" max="32" style="66903" width="11.00390625" customWidth="1"/>
    <col min="33" max="33" style="66903" width="3.7109375" customWidth="1"/>
    <col min="34" max="34" style="66903" width="11.00390625" customWidth="1"/>
    <col min="35" max="35" style="66903" width="8.57421875" hidden="1" customWidth="1"/>
    <col min="36" max="36" style="66903" width="4.00390625" customWidth="1"/>
    <col min="37" max="37" style="66903" width="115.00390625" customWidth="1"/>
    <col min="38" max="42" style="65923" width="10.00390625" customWidth="1"/>
    <col min="43" max="43" style="66903" width="10.57421875" hidden="1"/>
  </cols>
  <sheetData>
    <row customHeight="1" ht="22.5" hidden="1">
      <c r="X1" s="1538"/>
      <c r="Y1" s="1538"/>
      <c r="AE1" s="1538"/>
      <c r="AF1" s="1538"/>
      <c r="AQ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636">
        <f>INDEX(PT_DIFFERENTIATION_NUM_NTAR,MATCH(A2,PT_DIFFERENTIATION_NTAR_ID,0))</f>
      </c>
      <c r="T2" s="1509" t="s">
        <v>143</v>
      </c>
      <c r="U2" s="1511"/>
      <c r="V2" s="3453"/>
      <c r="W2" s="3454"/>
      <c r="X2" s="3454"/>
      <c r="Y2" s="3454"/>
      <c r="Z2" s="3454"/>
      <c r="AA2" s="3454"/>
      <c r="AB2" s="3455"/>
      <c r="AC2" s="3453">
        <f>INDEX(PT_DIFFERENTIATION_NTAR,MATCH(A2,PT_DIFFERENTIATION_NTAR_ID,0))</f>
      </c>
      <c r="AD2" s="3454"/>
      <c r="AE2" s="3454"/>
      <c r="AF2" s="3454"/>
      <c r="AG2" s="3454"/>
      <c r="AH2" s="3454"/>
      <c r="AI2" s="3454"/>
      <c r="AJ2" s="3455"/>
      <c r="AK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711"/>
      <c r="AN2" s="1711" t="str">
        <f>IF(T2="","",T2)</f>
        <v>Наименование тарифа</v>
      </c>
      <c r="AO2" s="1711"/>
      <c r="AP2" s="1711"/>
      <c r="AQ2" s="2366">
        <v>0</v>
      </c>
    </row>
    <row customHeight="1" ht="23.25" hidden="1">
      <c r="A3" s="2574"/>
      <c r="B3" s="2574"/>
      <c r="C3" s="2574"/>
      <c r="D3" s="2574"/>
      <c r="E3" s="3470"/>
      <c r="F3" s="3469">
        <v>1</v>
      </c>
      <c r="G3" s="2574"/>
      <c r="H3" s="2574"/>
      <c r="I3" s="2574"/>
      <c r="J3" s="2574"/>
      <c r="K3" s="2574"/>
      <c r="L3" s="2575"/>
      <c r="M3" s="2576"/>
      <c r="N3" s="2576"/>
      <c r="O3" s="2576"/>
      <c r="P3" s="2634"/>
      <c r="Q3" s="1563"/>
      <c r="R3" s="1564"/>
      <c r="S3" s="2636">
        <f>INDEX(PT_DIFFERENTIATION_NUM_TER,MATCH(B3,PT_DIFFERENTIATION_TER_ID,0))</f>
      </c>
      <c r="T3" s="1519" t="s">
        <v>415</v>
      </c>
      <c r="U3" s="1511"/>
      <c r="V3" s="3453"/>
      <c r="W3" s="3454"/>
      <c r="X3" s="3454"/>
      <c r="Y3" s="3454"/>
      <c r="Z3" s="3454"/>
      <c r="AA3" s="3454"/>
      <c r="AB3" s="3455"/>
      <c r="AC3" s="3453">
        <f>INDEX(PT_DIFFERENTIATION_TER,MATCH(B3,PT_DIFFERENTIATION_TER_ID,0))</f>
      </c>
      <c r="AD3" s="3454"/>
      <c r="AE3" s="3454"/>
      <c r="AF3" s="3454"/>
      <c r="AG3" s="3454"/>
      <c r="AH3" s="3454"/>
      <c r="AI3" s="3454"/>
      <c r="AJ3" s="3455"/>
      <c r="AK3" s="2469" t="s">
        <v>416</v>
      </c>
      <c r="AM3" s="1711"/>
      <c r="AN3" s="1711" t="str">
        <f>IF(T3="","",T3)</f>
        <v>Территория действия тарифа</v>
      </c>
      <c r="AO3" s="1711"/>
      <c r="AP3" s="1711"/>
      <c r="AQ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636">
        <f>INDEX(PT_DIFFERENTIATION_NUM_CS,MATCH(C4,PT_DIFFERENTIATION_CS_ID,0))</f>
      </c>
      <c r="T4" s="1520" t="s">
        <v>499</v>
      </c>
      <c r="U4" s="1511"/>
      <c r="V4" s="3453"/>
      <c r="W4" s="3454"/>
      <c r="X4" s="3454"/>
      <c r="Y4" s="3454"/>
      <c r="Z4" s="3454"/>
      <c r="AA4" s="3454"/>
      <c r="AB4" s="3455"/>
      <c r="AC4" s="3453">
        <f>INDEX(PT_DIFFERENTIATION_CS,MATCH(C4,PT_DIFFERENTIATION_CS_ID,0))</f>
      </c>
      <c r="AD4" s="3454"/>
      <c r="AE4" s="3454"/>
      <c r="AF4" s="3454"/>
      <c r="AG4" s="3454"/>
      <c r="AH4" s="3454"/>
      <c r="AI4" s="3454"/>
      <c r="AJ4" s="3455"/>
      <c r="AK4" s="2469" t="s">
        <v>500</v>
      </c>
      <c r="AM4" s="1711"/>
      <c r="AN4" s="1711" t="str">
        <f>IF(T4="","",T4)</f>
        <v>Наименование централизованной системы холодного водоснабжения</v>
      </c>
      <c r="AO4" s="1711"/>
      <c r="AP4" s="1711"/>
      <c r="AQ4" s="2366">
        <v>0</v>
      </c>
    </row>
    <row customHeight="1" ht="23.25" hidden="1">
      <c r="A5" s="2574"/>
      <c r="B5" s="2574"/>
      <c r="C5" s="2574"/>
      <c r="D5" s="2574"/>
      <c r="E5" s="3470"/>
      <c r="F5" s="3470"/>
      <c r="G5" s="3470"/>
      <c r="H5" s="3470"/>
      <c r="I5" s="3467">
        <f>S4&amp;".1"</f>
      </c>
      <c r="J5" s="2574"/>
      <c r="K5" s="2574"/>
      <c r="L5" s="2575"/>
      <c r="P5" s="3468">
        <v>1</v>
      </c>
      <c r="Q5" s="2633"/>
      <c r="R5" s="1567"/>
      <c r="S5" s="2636">
        <f>$I5</f>
      </c>
      <c r="T5" s="1496" t="s">
        <v>501</v>
      </c>
      <c r="U5" s="1511"/>
      <c r="V5" s="3561"/>
      <c r="W5" s="3562"/>
      <c r="X5" s="3562"/>
      <c r="Y5" s="3562"/>
      <c r="Z5" s="3562"/>
      <c r="AA5" s="3562"/>
      <c r="AB5" s="3563"/>
      <c r="AC5" s="3564"/>
      <c r="AD5" s="3565"/>
      <c r="AE5" s="3565"/>
      <c r="AF5" s="3565"/>
      <c r="AG5" s="3565"/>
      <c r="AH5" s="3565"/>
      <c r="AI5" s="3565"/>
      <c r="AJ5" s="3566"/>
      <c r="AK5" s="2469" t="s">
        <v>502</v>
      </c>
      <c r="AM5" s="1711"/>
      <c r="AN5" s="1711" t="str">
        <f>IF(T5="","",T5)</f>
        <v>Наименование признака дифференциации</v>
      </c>
      <c r="AO5" s="1711"/>
      <c r="AP5" s="1711"/>
      <c r="AQ5" s="2366">
        <v>0</v>
      </c>
    </row>
    <row customHeight="1" ht="23.25" hidden="1">
      <c r="A6" s="2574"/>
      <c r="B6" s="2574"/>
      <c r="C6" s="2574"/>
      <c r="D6" s="2574"/>
      <c r="E6" s="3470"/>
      <c r="F6" s="3470"/>
      <c r="G6" s="3470"/>
      <c r="H6" s="3470"/>
      <c r="I6" s="3497"/>
      <c r="J6" s="3467">
        <f>I5&amp;".1"</f>
      </c>
      <c r="K6" s="2574"/>
      <c r="L6" s="2575" t="s">
        <v>424</v>
      </c>
      <c r="P6" s="3468"/>
      <c r="Q6" s="3468">
        <v>1</v>
      </c>
      <c r="R6" s="1568"/>
      <c r="S6" s="2636">
        <f>$J6</f>
      </c>
      <c r="T6" s="1497" t="s">
        <v>425</v>
      </c>
      <c r="U6" s="1511"/>
      <c r="V6" s="3456"/>
      <c r="W6" s="3457"/>
      <c r="X6" s="3457"/>
      <c r="Y6" s="3457"/>
      <c r="Z6" s="3457"/>
      <c r="AA6" s="3457"/>
      <c r="AB6" s="3458"/>
      <c r="AC6" s="3456"/>
      <c r="AD6" s="3457"/>
      <c r="AE6" s="3457"/>
      <c r="AF6" s="3457"/>
      <c r="AG6" s="3457"/>
      <c r="AH6" s="3457"/>
      <c r="AI6" s="3457"/>
      <c r="AJ6" s="3458"/>
      <c r="AK6" s="2518" t="s">
        <v>503</v>
      </c>
      <c r="AM6" s="1711"/>
      <c r="AN6" s="1711" t="str">
        <f>IF(T6="","",T6)</f>
        <v>Группа потребителей</v>
      </c>
      <c r="AO6" s="1711"/>
      <c r="AP6" s="1711"/>
      <c r="AQ6" s="2366">
        <v>0</v>
      </c>
    </row>
    <row customHeight="1" ht="23.25" hidden="1">
      <c r="A7" s="2574"/>
      <c r="B7" s="2574"/>
      <c r="C7" s="2574"/>
      <c r="D7" s="2574"/>
      <c r="E7" s="3470"/>
      <c r="F7" s="3470"/>
      <c r="G7" s="3470"/>
      <c r="H7" s="3470"/>
      <c r="I7" s="3497"/>
      <c r="J7" s="3497"/>
      <c r="K7" s="3467">
        <f>J6&amp;".1"</f>
      </c>
      <c r="L7" s="2575"/>
      <c r="P7" s="3468"/>
      <c r="Q7" s="3468"/>
      <c r="R7" s="1568">
        <v>1</v>
      </c>
      <c r="S7" s="2636">
        <f>$K7</f>
      </c>
      <c r="T7" s="2648"/>
      <c r="U7" s="1511"/>
      <c r="V7" s="1962"/>
      <c r="W7" s="1962"/>
      <c r="X7" s="2468"/>
      <c r="Y7" s="3476"/>
      <c r="Z7" s="3318" t="s">
        <v>62</v>
      </c>
      <c r="AA7" s="3476"/>
      <c r="AB7" s="3318" t="s">
        <v>62</v>
      </c>
      <c r="AC7" s="1962"/>
      <c r="AD7" s="1962"/>
      <c r="AE7" s="2468"/>
      <c r="AF7" s="3476"/>
      <c r="AG7" s="3318" t="s">
        <v>62</v>
      </c>
      <c r="AH7" s="3498"/>
      <c r="AI7" s="3318" t="s">
        <v>62</v>
      </c>
      <c r="AJ7" s="2649"/>
      <c r="AK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1722">
        <f>STRCHECKDATE(V8:AJ8)</f>
      </c>
      <c r="AM7" s="1711"/>
      <c r="AN7" s="1711" t="str">
        <f>IF(T7="","",T7)</f>
        <v/>
      </c>
      <c r="AO7" s="1711"/>
      <c r="AP7" s="1711"/>
      <c r="AQ7" s="2366">
        <v>0</v>
      </c>
    </row>
    <row customHeight="1" ht="14.25" hidden="1">
      <c r="A8" s="2574"/>
      <c r="B8" s="2574"/>
      <c r="C8" s="2574"/>
      <c r="D8" s="2574"/>
      <c r="E8" s="3470"/>
      <c r="F8" s="3470"/>
      <c r="G8" s="3470"/>
      <c r="H8" s="3470"/>
      <c r="I8" s="3497"/>
      <c r="J8" s="3497"/>
      <c r="K8" s="3467"/>
      <c r="L8" s="2575"/>
      <c r="P8" s="3468"/>
      <c r="Q8" s="3468"/>
      <c r="R8" s="1568"/>
      <c r="S8" s="2635"/>
      <c r="T8" s="1511"/>
      <c r="U8" s="1511"/>
      <c r="V8" s="1536"/>
      <c r="W8" s="1536"/>
      <c r="X8" s="1539" t="str">
        <f>Y7&amp;"-"&amp;AA7</f>
        <v>-</v>
      </c>
      <c r="Y8" s="3477"/>
      <c r="Z8" s="3318"/>
      <c r="AA8" s="3477"/>
      <c r="AB8" s="3318"/>
      <c r="AC8" s="1536"/>
      <c r="AD8" s="1536"/>
      <c r="AE8" s="1539" t="str">
        <f>AF7&amp;"-"&amp;AH7</f>
        <v>-</v>
      </c>
      <c r="AF8" s="3477"/>
      <c r="AG8" s="3318"/>
      <c r="AH8" s="3499"/>
      <c r="AI8" s="3318"/>
      <c r="AJ8" s="2650"/>
      <c r="AK8" s="3560"/>
      <c r="AM8" s="1711"/>
      <c r="AN8" s="1711" t="str">
        <f>IF(T8="","",T8)</f>
        <v/>
      </c>
      <c r="AO8" s="1711"/>
      <c r="AP8" s="1711"/>
      <c r="AQ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578"/>
      <c r="X9" s="1578"/>
      <c r="Y9" s="1578"/>
      <c r="Z9" s="1578"/>
      <c r="AA9" s="1578"/>
      <c r="AB9" s="1578"/>
      <c r="AC9" s="1578"/>
      <c r="AD9" s="1578"/>
      <c r="AE9" s="1578"/>
      <c r="AF9" s="1578"/>
      <c r="AG9" s="1578"/>
      <c r="AH9" s="1578"/>
      <c r="AI9" s="1578"/>
      <c r="AJ9" s="1578"/>
      <c r="AK9" s="2469" t="s">
        <v>505</v>
      </c>
      <c r="AM9" s="1711"/>
      <c r="AN9" s="1711" t="str">
        <f>IF(T9="","",T9)</f>
        <v>Добавить значение признака дифференциации</v>
      </c>
      <c r="AO9" s="1711"/>
      <c r="AP9" s="1711"/>
      <c r="AQ9" s="2366">
        <v>0</v>
      </c>
    </row>
    <row customHeight="1" ht="21" hidden="1">
      <c r="A10" s="2574"/>
      <c r="B10" s="2574"/>
      <c r="C10" s="2574"/>
      <c r="D10" s="2574"/>
      <c r="E10" s="3470"/>
      <c r="F10" s="3470"/>
      <c r="G10" s="3470"/>
      <c r="H10" s="3470"/>
      <c r="I10" s="3467"/>
      <c r="J10" s="2574"/>
      <c r="K10" s="2574"/>
      <c r="L10" s="2575"/>
      <c r="P10" s="3468"/>
      <c r="Q10" s="2633"/>
      <c r="R10" s="1567"/>
      <c r="S10" s="2489"/>
      <c r="T10" s="1576" t="s">
        <v>430</v>
      </c>
      <c r="U10" s="1578"/>
      <c r="V10" s="1578"/>
      <c r="W10" s="1578"/>
      <c r="X10" s="1578"/>
      <c r="Y10" s="1578"/>
      <c r="Z10" s="1578"/>
      <c r="AA10" s="1578"/>
      <c r="AB10" s="1577"/>
      <c r="AC10" s="1578"/>
      <c r="AD10" s="1578"/>
      <c r="AE10" s="1578"/>
      <c r="AF10" s="1578"/>
      <c r="AG10" s="1578"/>
      <c r="AH10" s="1578"/>
      <c r="AI10" s="1577"/>
      <c r="AJ10" s="1578"/>
      <c r="AK10" s="2651"/>
      <c r="AM10" s="1711"/>
      <c r="AN10" s="1711" t="str">
        <f>IF(T10="","",T10)</f>
        <v>Добавить группу потребителей</v>
      </c>
      <c r="AO10" s="1711"/>
      <c r="AP10" s="1711"/>
      <c r="AQ10" s="2366">
        <v>0</v>
      </c>
    </row>
    <row customHeight="1" ht="14.25"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578"/>
      <c r="X11" s="1578"/>
      <c r="Y11" s="1578"/>
      <c r="Z11" s="1578"/>
      <c r="AA11" s="1578"/>
      <c r="AB11" s="1577"/>
      <c r="AC11" s="1578"/>
      <c r="AD11" s="1578"/>
      <c r="AE11" s="1578"/>
      <c r="AF11" s="1578"/>
      <c r="AG11" s="1578"/>
      <c r="AH11" s="1578"/>
      <c r="AI11" s="1577"/>
      <c r="AJ11" s="1578"/>
      <c r="AK11" s="1514"/>
      <c r="AM11" s="1711"/>
      <c r="AN11" s="1711" t="str">
        <f>IF(T11="","",T11)</f>
        <v>Добавить наименование признака дифференциации</v>
      </c>
      <c r="AO11" s="1711"/>
      <c r="AP11" s="1711"/>
      <c r="AQ11" s="2366">
        <v>0</v>
      </c>
    </row>
    <row s="65923" customFormat="1" customHeight="1" ht="14.25" hidden="1">
      <c r="A12" s="2554"/>
      <c r="B12" s="2554"/>
      <c r="C12" s="2525"/>
      <c r="D12" s="2525"/>
      <c r="E12" s="3470"/>
      <c r="F12" s="3469"/>
      <c r="G12" s="2525"/>
      <c r="H12" s="2525"/>
      <c r="I12" s="2525"/>
      <c r="J12" s="2525"/>
      <c r="K12" s="2525"/>
      <c r="L12" s="2637"/>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M12" s="2000"/>
      <c r="AN12" s="2000" t="str">
        <f>IF(T12="","",T12)</f>
        <v>Добавить централизованную систему для дифференциации</v>
      </c>
      <c r="AO12" s="2000"/>
      <c r="AP12" s="2000"/>
      <c r="AQ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M13" s="1711"/>
      <c r="AN13" s="1711" t="str">
        <f>IF(T13="","",T13)</f>
        <v>Добавить территорию для дифференциации</v>
      </c>
      <c r="AO13" s="1711"/>
      <c r="AP13" s="1711"/>
      <c r="AQ13" s="1722">
        <v>0</v>
      </c>
    </row>
    <row customHeight="1" ht="14.25" hidden="1">
      <c r="AB14" s="1538"/>
      <c r="AI14" s="1538"/>
      <c r="AQ14" s="2366">
        <v>0</v>
      </c>
    </row>
    <row customHeight="1" ht="14.25" hidden="1">
      <c r="AC15" s="2571"/>
      <c r="AD15" s="2571"/>
      <c r="AE15" s="2572"/>
      <c r="AF15" s="3478"/>
      <c r="AG15" s="3479" t="s">
        <v>62</v>
      </c>
      <c r="AH15" s="3478"/>
      <c r="AI15" s="3479" t="s">
        <v>62</v>
      </c>
      <c r="AQ15" s="2366">
        <v>0</v>
      </c>
    </row>
    <row customHeight="1" ht="14.25" hidden="1">
      <c r="AC16" s="2571"/>
      <c r="AD16" s="2571"/>
      <c r="AE16" s="1539" t="str">
        <f>AF15&amp;"-"&amp;AH15</f>
        <v>-</v>
      </c>
      <c r="AF16" s="3479"/>
      <c r="AG16" s="3479"/>
      <c r="AH16" s="3479"/>
      <c r="AI16" s="3479"/>
      <c r="AQ16" s="2366">
        <v>0</v>
      </c>
    </row>
    <row customHeight="1" ht="14.25" hidden="1">
      <c r="AI17" s="1538"/>
      <c r="AQ17" s="2366">
        <v>0</v>
      </c>
    </row>
    <row s="66852" customFormat="1" customHeight="1" ht="22.5" hidden="1">
      <c r="L18" s="2632"/>
      <c r="M18" s="2573"/>
      <c r="N18" s="2573"/>
      <c r="O18" s="2578" t="s">
        <v>435</v>
      </c>
      <c r="P18" s="2573"/>
      <c r="Q18" s="2582"/>
      <c r="R18" s="2582"/>
      <c r="S18" s="1940"/>
      <c r="Y18" s="2578"/>
      <c r="AA18" s="2578"/>
      <c r="AB18" s="2577"/>
      <c r="AF18" s="2578"/>
      <c r="AH18" s="2578"/>
      <c r="AI18" s="2577"/>
      <c r="AL18" s="1722"/>
      <c r="AM18" s="1722"/>
      <c r="AN18" s="1722"/>
      <c r="AO18" s="1722"/>
      <c r="AP18" s="1722"/>
      <c r="AQ18" s="2371">
        <v>0</v>
      </c>
    </row>
    <row s="66852" customFormat="1" customHeight="1" ht="14.25" hidden="1">
      <c r="L19" s="2632"/>
      <c r="M19" s="2573"/>
      <c r="N19" s="2573"/>
      <c r="O19" s="2573"/>
      <c r="P19" s="2573"/>
      <c r="Q19" s="2582"/>
      <c r="R19" s="2582"/>
      <c r="S19" s="1940"/>
      <c r="AB19" s="2577"/>
      <c r="AI19" s="2577"/>
      <c r="AL19" s="1722"/>
      <c r="AM19" s="1722"/>
      <c r="AN19" s="1722"/>
      <c r="AO19" s="1722"/>
      <c r="AP19" s="1722"/>
      <c r="AQ19" s="2371">
        <v>0</v>
      </c>
    </row>
    <row s="66852" customFormat="1" customHeight="1" ht="12" hidden="1">
      <c r="L20" s="2632"/>
      <c r="M20" s="2573"/>
      <c r="N20" s="2573"/>
      <c r="O20" s="2575" t="s">
        <v>436</v>
      </c>
      <c r="P20" s="2573"/>
      <c r="Q20" s="2653"/>
      <c r="R20" s="2653"/>
      <c r="S20" s="1940"/>
      <c r="T20" s="2371" t="s">
        <v>437</v>
      </c>
      <c r="Z20" s="1397" t="s">
        <v>438</v>
      </c>
      <c r="AB20" s="1397" t="s">
        <v>439</v>
      </c>
      <c r="AC20" s="2371" t="s">
        <v>437</v>
      </c>
      <c r="AG20" s="1397" t="s">
        <v>440</v>
      </c>
      <c r="AI20" s="1397" t="s">
        <v>439</v>
      </c>
      <c r="AQ20" s="2371">
        <v>0</v>
      </c>
    </row>
    <row customHeight="1" ht="14.25" hidden="1">
      <c r="O21" s="2575"/>
      <c r="AQ21" s="2366">
        <v>0</v>
      </c>
    </row>
    <row customHeight="1" ht="14.25" hidden="1">
      <c r="O22" s="2575"/>
      <c r="AQ22" s="2366">
        <v>0</v>
      </c>
    </row>
    <row customHeight="1" ht="14.699999999999998">
      <c r="Q23" s="1587"/>
      <c r="R23" s="1587"/>
      <c r="S23" s="2486"/>
      <c r="T23" s="1574"/>
      <c r="U23" s="1574"/>
      <c r="V23" s="1720"/>
      <c r="W23" s="1720"/>
      <c r="X23" s="1720"/>
      <c r="Y23" s="1720"/>
      <c r="Z23" s="1720"/>
      <c r="AA23" s="1720"/>
      <c r="AB23" s="1720"/>
      <c r="AC23" s="1720"/>
      <c r="AD23" s="1720"/>
      <c r="AE23" s="1720"/>
      <c r="AF23" s="1720"/>
      <c r="AG23" s="1720"/>
      <c r="AH23" s="1720"/>
      <c r="AI23" s="1720"/>
      <c r="AQ23" s="2366">
        <v>14</v>
      </c>
    </row>
    <row customHeight="1" ht="14.699999999999998">
      <c r="Q24" s="1587"/>
      <c r="R24" s="1587"/>
      <c r="S24" s="34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3459"/>
      <c r="U24" s="3459"/>
      <c r="V24" s="3459"/>
      <c r="W24" s="3459"/>
      <c r="X24" s="3459"/>
      <c r="Y24" s="3459"/>
      <c r="Z24" s="3459"/>
      <c r="AA24" s="3459"/>
      <c r="AB24" s="3459"/>
      <c r="AC24" s="3459"/>
      <c r="AD24" s="3459"/>
      <c r="AE24" s="3459"/>
      <c r="AF24" s="3459"/>
      <c r="AG24" s="3459"/>
      <c r="AH24" s="3459"/>
      <c r="AI24" s="2454"/>
      <c r="AQ24" s="2366">
        <v>14</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2454"/>
      <c r="AQ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720"/>
      <c r="AQ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1537"/>
      <c r="AC27" s="3462" t="str">
        <f>IF(TITLE_NAME_OR_PR_CHANGE="",IF(TITLE_NAME_OR_PR="","",TITLE_NAME_OR_PR),TITLE_NAME_OR_PR_CHANGE)</f>
        <v/>
      </c>
      <c r="AD27" s="3462"/>
      <c r="AE27" s="3462"/>
      <c r="AF27" s="3462"/>
      <c r="AG27" s="3462"/>
      <c r="AH27" s="3462"/>
      <c r="AI27" s="1537"/>
      <c r="AJ27" s="1537"/>
      <c r="AK27" s="1491"/>
      <c r="AL27" s="1579"/>
      <c r="AM27" s="1579"/>
      <c r="AN27" s="1579"/>
      <c r="AO27" s="1579"/>
      <c r="AP27" s="1579"/>
      <c r="AQ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1537"/>
      <c r="AC28" s="3475" t="str">
        <f>IF(TITLE_DATE_PR_CHANGE="",IF(TITLE_DATE_PR="","",TITLE_DATE_PR),TITLE_DATE_PR_CHANGE)</f>
        <v/>
      </c>
      <c r="AD28" s="3475"/>
      <c r="AE28" s="3475"/>
      <c r="AF28" s="3475"/>
      <c r="AG28" s="3475"/>
      <c r="AH28" s="3475"/>
      <c r="AI28" s="1537"/>
      <c r="AJ28" s="1537"/>
      <c r="AK28" s="1491"/>
      <c r="AL28" s="1579"/>
      <c r="AM28" s="1579"/>
      <c r="AN28" s="1579"/>
      <c r="AO28" s="1579"/>
      <c r="AP28" s="1579"/>
      <c r="AQ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1537"/>
      <c r="AC29" s="3462" t="str">
        <f>IF(TITLE_NUMBER_PR_CHANGE="",IF(TITLE_NUMBER_PR="","",TITLE_NUMBER_PR),TITLE_NUMBER_PR_CHANGE)</f>
        <v/>
      </c>
      <c r="AD29" s="3462"/>
      <c r="AE29" s="3462"/>
      <c r="AF29" s="3462"/>
      <c r="AG29" s="3462"/>
      <c r="AH29" s="3462"/>
      <c r="AI29" s="1537"/>
      <c r="AJ29" s="1537"/>
      <c r="AK29" s="1491"/>
      <c r="AL29" s="1579"/>
      <c r="AM29" s="1579"/>
      <c r="AN29" s="1579"/>
      <c r="AO29" s="1579"/>
      <c r="AP29" s="1579"/>
      <c r="AQ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1537"/>
      <c r="AC30" s="3462" t="str">
        <f>IF(TITLE_IST_PUB_CHANGE="",IF(TITLE_IST_PUB="","",TITLE_IST_PUB),TITLE_IST_PUB_CHANGE)</f>
        <v/>
      </c>
      <c r="AD30" s="3462"/>
      <c r="AE30" s="3462"/>
      <c r="AF30" s="3462"/>
      <c r="AG30" s="3462"/>
      <c r="AH30" s="3462"/>
      <c r="AI30" s="1537"/>
      <c r="AJ30" s="1537"/>
      <c r="AK30" s="1491"/>
      <c r="AL30" s="1579"/>
      <c r="AM30" s="1579"/>
      <c r="AN30" s="1579"/>
      <c r="AO30" s="1579"/>
      <c r="AP30" s="1579"/>
      <c r="AQ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720"/>
      <c r="AQ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1537"/>
      <c r="AC32" s="3475" t="str">
        <f>IF(TITLE_DATE_PR_CHANGE="",IF(TITLE_DATE_PR="","",TITLE_DATE_PR),TITLE_DATE_PR_CHANGE)</f>
        <v/>
      </c>
      <c r="AD32" s="3475"/>
      <c r="AE32" s="3475"/>
      <c r="AF32" s="3475"/>
      <c r="AG32" s="3475"/>
      <c r="AH32" s="3475"/>
      <c r="AI32" s="1537"/>
      <c r="AJ32" s="1537"/>
      <c r="AK32" s="1491"/>
      <c r="AL32" s="1579"/>
      <c r="AM32" s="1579"/>
      <c r="AN32" s="1579"/>
      <c r="AO32" s="1579"/>
      <c r="AP32" s="1579"/>
      <c r="AQ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1537"/>
      <c r="AC33" s="3462" t="str">
        <f>IF(TITLE_NUMBER_PR_CHANGE="",IF(TITLE_NUMBER_PR="","",TITLE_NUMBER_PR),TITLE_NUMBER_PR_CHANGE)</f>
        <v/>
      </c>
      <c r="AD33" s="3462"/>
      <c r="AE33" s="3462"/>
      <c r="AF33" s="3462"/>
      <c r="AG33" s="3462"/>
      <c r="AH33" s="3462"/>
      <c r="AI33" s="1537"/>
      <c r="AJ33" s="1537"/>
      <c r="AK33" s="1491"/>
      <c r="AL33" s="1579"/>
      <c r="AM33" s="1579"/>
      <c r="AN33" s="1579"/>
      <c r="AO33" s="1579"/>
      <c r="AP33" s="1579"/>
      <c r="AQ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566"/>
      <c r="V34" s="1537"/>
      <c r="W34" s="1537"/>
      <c r="X34" s="1537"/>
      <c r="Y34" s="1537"/>
      <c r="Z34" s="1537"/>
      <c r="AA34" s="1537"/>
      <c r="AB34" s="1489" t="s">
        <v>445</v>
      </c>
      <c r="AC34" s="1537"/>
      <c r="AD34" s="1537"/>
      <c r="AE34" s="1537"/>
      <c r="AF34" s="1537"/>
      <c r="AG34" s="1537"/>
      <c r="AH34" s="1537"/>
      <c r="AI34" s="1489" t="s">
        <v>445</v>
      </c>
      <c r="AL34" s="1579"/>
      <c r="AM34" s="1579"/>
      <c r="AN34" s="1579"/>
      <c r="AO34" s="1579"/>
      <c r="AP34" s="1579"/>
      <c r="AQ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Q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t="s">
        <v>319</v>
      </c>
      <c r="AQ36" s="2366">
        <v>14</v>
      </c>
    </row>
    <row customHeight="1" ht="14.699999999999998">
      <c r="Q37" s="1587"/>
      <c r="R37" s="1587"/>
      <c r="S37" s="3484" t="s">
        <v>88</v>
      </c>
      <c r="T37" s="3420" t="s">
        <v>446</v>
      </c>
      <c r="U37" s="1512"/>
      <c r="V37" s="3485" t="s">
        <v>447</v>
      </c>
      <c r="W37" s="3486"/>
      <c r="X37" s="3486"/>
      <c r="Y37" s="3486"/>
      <c r="Z37" s="3486"/>
      <c r="AA37" s="3487"/>
      <c r="AB37" s="3488" t="s">
        <v>448</v>
      </c>
      <c r="AC37" s="3485" t="s">
        <v>447</v>
      </c>
      <c r="AD37" s="3486"/>
      <c r="AE37" s="3486"/>
      <c r="AF37" s="3486"/>
      <c r="AG37" s="3486"/>
      <c r="AH37" s="3487"/>
      <c r="AI37" s="3488" t="s">
        <v>449</v>
      </c>
      <c r="AJ37" s="3491" t="s">
        <v>450</v>
      </c>
      <c r="AK37" s="3338"/>
      <c r="AQ37" s="2366">
        <v>14</v>
      </c>
    </row>
    <row customHeight="1" ht="35.699999999999996">
      <c r="Q38" s="1587"/>
      <c r="R38" s="1587"/>
      <c r="S38" s="3484"/>
      <c r="T38" s="3420"/>
      <c r="U38" s="2242"/>
      <c r="V38" s="2563" t="s">
        <v>507</v>
      </c>
      <c r="W38" s="3473" t="s">
        <v>453</v>
      </c>
      <c r="X38" s="3474"/>
      <c r="Y38" s="3473" t="s">
        <v>454</v>
      </c>
      <c r="Z38" s="3480"/>
      <c r="AA38" s="3474"/>
      <c r="AB38" s="3489"/>
      <c r="AC38" s="2563" t="s">
        <v>507</v>
      </c>
      <c r="AD38" s="3473" t="s">
        <v>453</v>
      </c>
      <c r="AE38" s="3474"/>
      <c r="AF38" s="3473" t="s">
        <v>454</v>
      </c>
      <c r="AG38" s="3480"/>
      <c r="AH38" s="3474"/>
      <c r="AI38" s="3489"/>
      <c r="AJ38" s="3492"/>
      <c r="AK38" s="3338"/>
      <c r="AQ38" s="2366">
        <v>34</v>
      </c>
    </row>
    <row customHeight="1" ht="35.699999999999996">
      <c r="A39" s="2581"/>
      <c r="B39" s="2581" t="s">
        <v>155</v>
      </c>
      <c r="C39" s="2581" t="s">
        <v>156</v>
      </c>
      <c r="D39" s="2581" t="s">
        <v>157</v>
      </c>
      <c r="E39" s="2575" t="s">
        <v>455</v>
      </c>
      <c r="F39" s="2575" t="s">
        <v>456</v>
      </c>
      <c r="G39" s="2575" t="s">
        <v>457</v>
      </c>
      <c r="H39" s="2575"/>
      <c r="I39" s="2575" t="s">
        <v>508</v>
      </c>
      <c r="J39" s="2575" t="s">
        <v>460</v>
      </c>
      <c r="K39" s="2575" t="s">
        <v>509</v>
      </c>
      <c r="L39" s="2575" t="s">
        <v>436</v>
      </c>
      <c r="Q39" s="1587"/>
      <c r="R39" s="1587"/>
      <c r="S39" s="3484"/>
      <c r="T39" s="3420"/>
      <c r="U39" s="1513"/>
      <c r="V39" s="2563" t="s">
        <v>510</v>
      </c>
      <c r="W39" s="2433" t="s">
        <v>511</v>
      </c>
      <c r="X39" s="2433" t="s">
        <v>512</v>
      </c>
      <c r="Y39" s="2568" t="s">
        <v>464</v>
      </c>
      <c r="Z39" s="3481" t="s">
        <v>465</v>
      </c>
      <c r="AA39" s="3482"/>
      <c r="AB39" s="3490"/>
      <c r="AC39" s="2563" t="s">
        <v>510</v>
      </c>
      <c r="AD39" s="2433" t="s">
        <v>511</v>
      </c>
      <c r="AE39" s="2433" t="s">
        <v>512</v>
      </c>
      <c r="AF39" s="2568" t="s">
        <v>464</v>
      </c>
      <c r="AG39" s="3481" t="s">
        <v>465</v>
      </c>
      <c r="AH39" s="3482"/>
      <c r="AI39" s="3490"/>
      <c r="AJ39" s="3493"/>
      <c r="AK39" s="3338"/>
      <c r="AQ39" s="2366">
        <v>34</v>
      </c>
    </row>
    <row s="65897" customFormat="1" customHeight="1" ht="11.25" hidden="1">
      <c r="A40" s="2581"/>
      <c r="B40" s="2581"/>
      <c r="C40" s="2581"/>
      <c r="D40" s="2581"/>
      <c r="E40" s="2581"/>
      <c r="F40" s="2581"/>
      <c r="G40" s="2581"/>
      <c r="H40" s="2581"/>
      <c r="I40" s="2581"/>
      <c r="J40" s="2581"/>
      <c r="K40" s="2581"/>
      <c r="L40" s="2575"/>
      <c r="M40" s="2573"/>
      <c r="N40" s="2573"/>
      <c r="O40" s="2573"/>
      <c r="P40" s="2457"/>
      <c r="Q40" s="2458"/>
      <c r="R40" s="2465">
        <v>1</v>
      </c>
      <c r="S40" s="2488" t="s">
        <v>99</v>
      </c>
      <c r="T40" s="2466" t="s">
        <v>102</v>
      </c>
      <c r="U40" s="2456" t="str">
        <f>OFFSET(U40,0,-1)</f>
        <v>2</v>
      </c>
      <c r="V40" s="2564">
        <f>OFFSET(V40,0,-1)+1</f>
        <v>3</v>
      </c>
      <c r="W40" s="2564">
        <f>OFFSET(W40,0,-1)+1</f>
        <v>4</v>
      </c>
      <c r="X40" s="2564">
        <f>OFFSET(X40,0,-1)+1</f>
        <v>5</v>
      </c>
      <c r="Y40" s="2564">
        <f>OFFSET(Y40,0,-1)+1</f>
        <v>6</v>
      </c>
      <c r="Z40" s="3483">
        <f>OFFSET(Z40,0,-1)+1</f>
        <v>7</v>
      </c>
      <c r="AA40" s="3483"/>
      <c r="AB40" s="2564">
        <f>OFFSET(AB40,0,-2)+1</f>
        <v>8</v>
      </c>
      <c r="AC40" s="2564">
        <f>OFFSET(AC40,0,-1)+1</f>
        <v>9</v>
      </c>
      <c r="AD40" s="2564">
        <f>OFFSET(AD40,0,-1)+1</f>
        <v>10</v>
      </c>
      <c r="AE40" s="2564">
        <f>OFFSET(AE40,0,-1)+1</f>
        <v>11</v>
      </c>
      <c r="AF40" s="2564">
        <f>OFFSET(AF40,0,-1)+1</f>
        <v>12</v>
      </c>
      <c r="AG40" s="3483">
        <f>OFFSET(AG40,0,-1)+1</f>
        <v>13</v>
      </c>
      <c r="AH40" s="3483"/>
      <c r="AI40" s="2564">
        <f>OFFSET(AI40,0,-2)+1</f>
        <v>14</v>
      </c>
      <c r="AJ40" s="2456">
        <f>OFFSET(AJ40,0,-1)</f>
        <v>14</v>
      </c>
      <c r="AK40" s="2564">
        <f>OFFSET(AK40,0,-1)+1</f>
        <v>15</v>
      </c>
      <c r="AL40" s="1722"/>
      <c r="AM40" s="1722"/>
      <c r="AN40" s="1722"/>
      <c r="AO40" s="1722"/>
      <c r="AP40" s="1722"/>
      <c r="AQ40" s="1707">
        <v>0</v>
      </c>
    </row>
    <row customHeight="1" ht="24">
      <c r="A41" s="2574" t="s">
        <v>244</v>
      </c>
      <c r="B41" s="2574"/>
      <c r="C41" s="2574"/>
      <c r="D41" s="2574"/>
      <c r="E41" s="3469">
        <v>1</v>
      </c>
      <c r="F41" s="2574"/>
      <c r="G41" s="2574"/>
      <c r="H41" s="2574"/>
      <c r="I41" s="2574"/>
      <c r="J41" s="2574"/>
      <c r="K41" s="2574"/>
      <c r="L41" s="2575"/>
      <c r="M41" s="2576"/>
      <c r="N41" s="2576"/>
      <c r="O41" s="2576"/>
      <c r="P41" s="1572"/>
      <c r="Q41" s="1571"/>
      <c r="R41" s="1566"/>
      <c r="S41" s="2569">
        <f>INDEX(PT_DIFFERENTIATION_NUM_NTAR,MATCH(A41,PT_DIFFERENTIATION_NTAR_ID,0))</f>
        <v>0</v>
      </c>
      <c r="T41" s="1509" t="s">
        <v>143</v>
      </c>
      <c r="U41" s="1511"/>
      <c r="V41" s="3453"/>
      <c r="W41" s="3454"/>
      <c r="X41" s="3454"/>
      <c r="Y41" s="3454"/>
      <c r="Z41" s="3454"/>
      <c r="AA41" s="3454"/>
      <c r="AB41" s="3455"/>
      <c r="AC41" s="3453" t="str">
        <f>INDEX(PT_DIFFERENTIATION_NTAR,MATCH(A41,PT_DIFFERENTIATION_NTAR_ID,0))</f>
        <v/>
      </c>
      <c r="AD41" s="3454"/>
      <c r="AE41" s="3454"/>
      <c r="AF41" s="3454"/>
      <c r="AG41" s="3454"/>
      <c r="AH41" s="3454"/>
      <c r="AI41" s="3454"/>
      <c r="AJ41" s="3455"/>
      <c r="AK41"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711"/>
      <c r="AN41" s="1711" t="str">
        <f>IF(T41="","",T41)</f>
        <v>Наименование тарифа</v>
      </c>
      <c r="AO41" s="1711"/>
      <c r="AP41" s="1711"/>
      <c r="AQ41" s="2366">
        <v>23</v>
      </c>
    </row>
    <row customHeight="1" ht="24">
      <c r="A42" s="2574" t="s">
        <v>244</v>
      </c>
      <c r="B42" s="2574" t="s">
        <v>245</v>
      </c>
      <c r="C42" s="2574"/>
      <c r="D42" s="2574"/>
      <c r="E42" s="3470"/>
      <c r="F42" s="3469">
        <v>1</v>
      </c>
      <c r="G42" s="2574"/>
      <c r="H42" s="2574"/>
      <c r="I42" s="2574"/>
      <c r="J42" s="2574"/>
      <c r="K42" s="2574"/>
      <c r="L42" s="2575"/>
      <c r="M42" s="2576"/>
      <c r="N42" s="2576"/>
      <c r="O42" s="2576"/>
      <c r="P42" s="2567"/>
      <c r="Q42" s="1563"/>
      <c r="R42" s="1564"/>
      <c r="S42" s="2569" t="str">
        <f>INDEX(PT_DIFFERENTIATION_NUM_TER,MATCH(B42,PT_DIFFERENTIATION_TER_ID,0))</f>
        <v>.</v>
      </c>
      <c r="T42" s="1519" t="s">
        <v>415</v>
      </c>
      <c r="U42" s="1511"/>
      <c r="V42" s="3453"/>
      <c r="W42" s="3454"/>
      <c r="X42" s="3454"/>
      <c r="Y42" s="3454"/>
      <c r="Z42" s="3454"/>
      <c r="AA42" s="3454"/>
      <c r="AB42" s="3455"/>
      <c r="AC42" s="3453" t="str">
        <f>INDEX(PT_DIFFERENTIATION_TER,MATCH(B42,PT_DIFFERENTIATION_TER_ID,0))</f>
        <v/>
      </c>
      <c r="AD42" s="3454"/>
      <c r="AE42" s="3454"/>
      <c r="AF42" s="3454"/>
      <c r="AG42" s="3454"/>
      <c r="AH42" s="3454"/>
      <c r="AI42" s="3454"/>
      <c r="AJ42" s="3455"/>
      <c r="AK42" s="2469" t="s">
        <v>416</v>
      </c>
      <c r="AM42" s="1711"/>
      <c r="AN42" s="1711" t="str">
        <f>IF(T42="","",T42)</f>
        <v>Территория действия тарифа</v>
      </c>
      <c r="AO42" s="1711"/>
      <c r="AP42" s="1711"/>
      <c r="AQ42" s="2366">
        <v>23</v>
      </c>
    </row>
    <row customHeight="1" ht="24">
      <c r="A43" s="2574" t="s">
        <v>244</v>
      </c>
      <c r="B43" s="2574" t="s">
        <v>245</v>
      </c>
      <c r="C43" s="2574" t="s">
        <v>246</v>
      </c>
      <c r="D43" s="2574"/>
      <c r="E43" s="3470"/>
      <c r="F43" s="3470"/>
      <c r="G43" s="3469">
        <v>1</v>
      </c>
      <c r="H43" s="2574"/>
      <c r="I43" s="2574"/>
      <c r="J43" s="2574"/>
      <c r="K43" s="2574"/>
      <c r="L43" s="2575"/>
      <c r="M43" s="2576"/>
      <c r="N43" s="2576"/>
      <c r="O43" s="2576"/>
      <c r="P43" s="1565"/>
      <c r="Q43" s="1563"/>
      <c r="R43" s="1564"/>
      <c r="S43" s="2569" t="str">
        <f>INDEX(PT_DIFFERENTIATION_NUM_CS,MATCH(C43,PT_DIFFERENTIATION_CS_ID,0))</f>
        <v>..</v>
      </c>
      <c r="T43" s="1520" t="s">
        <v>499</v>
      </c>
      <c r="U43" s="1511"/>
      <c r="V43" s="3453"/>
      <c r="W43" s="3454"/>
      <c r="X43" s="3454"/>
      <c r="Y43" s="3454"/>
      <c r="Z43" s="3454"/>
      <c r="AA43" s="3454"/>
      <c r="AB43" s="3455"/>
      <c r="AC43" s="3453" t="str">
        <f>INDEX(PT_DIFFERENTIATION_CS,MATCH(C43,PT_DIFFERENTIATION_CS_ID,0))</f>
        <v/>
      </c>
      <c r="AD43" s="3454"/>
      <c r="AE43" s="3454"/>
      <c r="AF43" s="3454"/>
      <c r="AG43" s="3454"/>
      <c r="AH43" s="3454"/>
      <c r="AI43" s="3454"/>
      <c r="AJ43" s="3455"/>
      <c r="AK43" s="2469" t="s">
        <v>500</v>
      </c>
      <c r="AM43" s="1711"/>
      <c r="AN43" s="1711" t="str">
        <f>IF(T43="","",T43)</f>
        <v>Наименование централизованной системы холодного водоснабжения</v>
      </c>
      <c r="AO43" s="1711"/>
      <c r="AP43" s="1711"/>
      <c r="AQ43" s="2366">
        <v>23</v>
      </c>
    </row>
    <row customHeight="1" ht="24">
      <c r="A44" s="2574" t="s">
        <v>244</v>
      </c>
      <c r="B44" s="2574" t="s">
        <v>245</v>
      </c>
      <c r="C44" s="2574" t="s">
        <v>246</v>
      </c>
      <c r="D44" s="2574" t="s">
        <v>513</v>
      </c>
      <c r="E44" s="3470"/>
      <c r="F44" s="3470"/>
      <c r="G44" s="3470"/>
      <c r="H44" s="3470"/>
      <c r="I44" s="3467" t="str">
        <f>S43&amp;".1"</f>
        <v>...1</v>
      </c>
      <c r="J44" s="2574"/>
      <c r="K44" s="2574"/>
      <c r="L44" s="2575"/>
      <c r="P44" s="3468">
        <v>1</v>
      </c>
      <c r="Q44" s="2565"/>
      <c r="R44" s="1567"/>
      <c r="S44" s="2569" t="str">
        <f>$I44</f>
        <v>...1</v>
      </c>
      <c r="T44" s="1496" t="s">
        <v>501</v>
      </c>
      <c r="U44" s="1511"/>
      <c r="V44" s="3561"/>
      <c r="W44" s="3562"/>
      <c r="X44" s="3562"/>
      <c r="Y44" s="3562"/>
      <c r="Z44" s="3562"/>
      <c r="AA44" s="3562"/>
      <c r="AB44" s="3563"/>
      <c r="AC44" s="3564"/>
      <c r="AD44" s="3565"/>
      <c r="AE44" s="3565"/>
      <c r="AF44" s="3565"/>
      <c r="AG44" s="3565"/>
      <c r="AH44" s="3565"/>
      <c r="AI44" s="3565"/>
      <c r="AJ44" s="3566"/>
      <c r="AK44" s="2469" t="s">
        <v>502</v>
      </c>
      <c r="AM44" s="1711"/>
      <c r="AN44" s="1711" t="str">
        <f>IF(T44="","",T44)</f>
        <v>Наименование признака дифференциации</v>
      </c>
      <c r="AO44" s="1711"/>
      <c r="AP44" s="1711"/>
      <c r="AQ44" s="2366">
        <v>23</v>
      </c>
    </row>
    <row customHeight="1" ht="24">
      <c r="A45" s="2574" t="s">
        <v>244</v>
      </c>
      <c r="B45" s="2574" t="s">
        <v>245</v>
      </c>
      <c r="C45" s="2574" t="s">
        <v>246</v>
      </c>
      <c r="D45" s="2574" t="s">
        <v>513</v>
      </c>
      <c r="E45" s="3470"/>
      <c r="F45" s="3470"/>
      <c r="G45" s="3470"/>
      <c r="H45" s="3470"/>
      <c r="I45" s="3497"/>
      <c r="J45" s="3467" t="str">
        <f>I44&amp;".1"</f>
        <v>...1.1</v>
      </c>
      <c r="K45" s="2574"/>
      <c r="L45" s="2575" t="s">
        <v>424</v>
      </c>
      <c r="P45" s="3468"/>
      <c r="Q45" s="3468">
        <v>1</v>
      </c>
      <c r="R45" s="1568"/>
      <c r="S45" s="2569" t="str">
        <f>$J45</f>
        <v>...1.1</v>
      </c>
      <c r="T45" s="1497" t="s">
        <v>425</v>
      </c>
      <c r="U45" s="1511"/>
      <c r="V45" s="3456"/>
      <c r="W45" s="3457"/>
      <c r="X45" s="3457"/>
      <c r="Y45" s="3457"/>
      <c r="Z45" s="3457"/>
      <c r="AA45" s="3457"/>
      <c r="AB45" s="3458"/>
      <c r="AC45" s="3456"/>
      <c r="AD45" s="3457"/>
      <c r="AE45" s="3457"/>
      <c r="AF45" s="3457"/>
      <c r="AG45" s="3457"/>
      <c r="AH45" s="3457"/>
      <c r="AI45" s="3457"/>
      <c r="AJ45" s="3458"/>
      <c r="AK45" s="2518" t="s">
        <v>503</v>
      </c>
      <c r="AM45" s="1711"/>
      <c r="AN45" s="1711" t="str">
        <f>IF(T45="","",T45)</f>
        <v>Группа потребителей</v>
      </c>
      <c r="AO45" s="1711"/>
      <c r="AP45" s="1711"/>
      <c r="AQ45" s="2366">
        <v>23</v>
      </c>
    </row>
    <row customHeight="1" ht="24">
      <c r="A46" s="2574" t="s">
        <v>244</v>
      </c>
      <c r="B46" s="2574" t="s">
        <v>245</v>
      </c>
      <c r="C46" s="2574" t="s">
        <v>246</v>
      </c>
      <c r="D46" s="2574" t="s">
        <v>513</v>
      </c>
      <c r="E46" s="3470"/>
      <c r="F46" s="3470"/>
      <c r="G46" s="3470"/>
      <c r="H46" s="3470"/>
      <c r="I46" s="3497"/>
      <c r="J46" s="3497"/>
      <c r="K46" s="3467" t="str">
        <f>J45&amp;".1"</f>
        <v>...1.1.1</v>
      </c>
      <c r="L46" s="2575"/>
      <c r="P46" s="3468"/>
      <c r="Q46" s="3468"/>
      <c r="R46" s="1568">
        <v>1</v>
      </c>
      <c r="S46" s="2569" t="str">
        <f>$K46</f>
        <v>...1.1.1</v>
      </c>
      <c r="T46" s="2648"/>
      <c r="U46" s="1511"/>
      <c r="V46" s="2571"/>
      <c r="W46" s="2571"/>
      <c r="X46" s="2572"/>
      <c r="Y46" s="3478"/>
      <c r="Z46" s="3479" t="s">
        <v>62</v>
      </c>
      <c r="AA46" s="3478"/>
      <c r="AB46" s="3479" t="s">
        <v>62</v>
      </c>
      <c r="AC46" s="1962"/>
      <c r="AD46" s="1962"/>
      <c r="AE46" s="2468"/>
      <c r="AF46" s="3476"/>
      <c r="AG46" s="3318" t="s">
        <v>62</v>
      </c>
      <c r="AH46" s="3498"/>
      <c r="AI46" s="3318" t="s">
        <v>19</v>
      </c>
      <c r="AJ46" s="2649"/>
      <c r="AK46"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1722">
        <f>STRCHECKDATE(V47:AJ47)</f>
      </c>
      <c r="AM46" s="1711"/>
      <c r="AN46" s="1711" t="str">
        <f>IF(T46="","",T46)</f>
        <v/>
      </c>
      <c r="AO46" s="1711"/>
      <c r="AP46" s="1711"/>
      <c r="AQ46" s="2366">
        <v>23</v>
      </c>
    </row>
    <row customHeight="1" ht="0">
      <c r="A47" s="2574" t="s">
        <v>244</v>
      </c>
      <c r="B47" s="2574" t="s">
        <v>245</v>
      </c>
      <c r="C47" s="2574" t="s">
        <v>246</v>
      </c>
      <c r="D47" s="2574" t="s">
        <v>513</v>
      </c>
      <c r="E47" s="3470"/>
      <c r="F47" s="3470"/>
      <c r="G47" s="3470"/>
      <c r="H47" s="3470"/>
      <c r="I47" s="3497"/>
      <c r="J47" s="3497"/>
      <c r="K47" s="3467"/>
      <c r="L47" s="2575"/>
      <c r="P47" s="3468"/>
      <c r="Q47" s="3468"/>
      <c r="R47" s="1568"/>
      <c r="S47" s="2570"/>
      <c r="T47" s="1511"/>
      <c r="U47" s="1511"/>
      <c r="V47" s="2571"/>
      <c r="W47" s="2571"/>
      <c r="X47" s="1539" t="str">
        <f>Y46&amp;"-"&amp;AA46</f>
        <v>-</v>
      </c>
      <c r="Y47" s="3479"/>
      <c r="Z47" s="3479"/>
      <c r="AA47" s="3479"/>
      <c r="AB47" s="3479"/>
      <c r="AC47" s="1536"/>
      <c r="AD47" s="1536"/>
      <c r="AE47" s="1539" t="str">
        <f>AF46&amp;"-"&amp;AH46</f>
        <v>-</v>
      </c>
      <c r="AF47" s="3477"/>
      <c r="AG47" s="3318"/>
      <c r="AH47" s="3499"/>
      <c r="AI47" s="3318"/>
      <c r="AJ47" s="2650"/>
      <c r="AK47" s="3560"/>
      <c r="AM47" s="1711"/>
      <c r="AN47" s="1711" t="str">
        <f>IF(T47="","",T47)</f>
        <v/>
      </c>
      <c r="AO47" s="1711"/>
      <c r="AP47" s="1711"/>
      <c r="AQ47" s="2366">
        <v>0</v>
      </c>
    </row>
    <row customHeight="1" ht="21">
      <c r="A48" s="2574" t="s">
        <v>244</v>
      </c>
      <c r="B48" s="2574" t="s">
        <v>245</v>
      </c>
      <c r="C48" s="2574" t="s">
        <v>246</v>
      </c>
      <c r="D48" s="2574" t="s">
        <v>513</v>
      </c>
      <c r="E48" s="3470"/>
      <c r="F48" s="3470"/>
      <c r="G48" s="3470"/>
      <c r="H48" s="3470"/>
      <c r="I48" s="3497"/>
      <c r="J48" s="3467"/>
      <c r="K48" s="2574"/>
      <c r="L48" s="2575"/>
      <c r="P48" s="3468"/>
      <c r="Q48" s="3468"/>
      <c r="R48" s="1567"/>
      <c r="S48" s="2489"/>
      <c r="T48" s="1498" t="s">
        <v>504</v>
      </c>
      <c r="U48" s="1578"/>
      <c r="V48" s="1578"/>
      <c r="W48" s="1578"/>
      <c r="X48" s="1578"/>
      <c r="Y48" s="1578"/>
      <c r="Z48" s="1578"/>
      <c r="AA48" s="1578"/>
      <c r="AB48" s="1578"/>
      <c r="AC48" s="1578"/>
      <c r="AD48" s="1578"/>
      <c r="AE48" s="1578"/>
      <c r="AF48" s="1578"/>
      <c r="AG48" s="1578"/>
      <c r="AH48" s="1578"/>
      <c r="AI48" s="1578"/>
      <c r="AJ48" s="1578"/>
      <c r="AK48" s="2469" t="s">
        <v>505</v>
      </c>
      <c r="AM48" s="1711"/>
      <c r="AN48" s="1711" t="str">
        <f>IF(T48="","",T48)</f>
        <v>Добавить значение признака дифференциации</v>
      </c>
      <c r="AO48" s="1711"/>
      <c r="AP48" s="1711"/>
      <c r="AQ48" s="2366">
        <v>20</v>
      </c>
    </row>
    <row customHeight="1" ht="22.049999999999997">
      <c r="A49" s="2574" t="s">
        <v>244</v>
      </c>
      <c r="B49" s="2574" t="s">
        <v>245</v>
      </c>
      <c r="C49" s="2574" t="s">
        <v>246</v>
      </c>
      <c r="D49" s="2574" t="s">
        <v>513</v>
      </c>
      <c r="E49" s="3470"/>
      <c r="F49" s="3470"/>
      <c r="G49" s="3470"/>
      <c r="H49" s="3470"/>
      <c r="I49" s="3467"/>
      <c r="J49" s="2574"/>
      <c r="K49" s="2574"/>
      <c r="L49" s="2575"/>
      <c r="P49" s="3468"/>
      <c r="Q49" s="2565"/>
      <c r="R49" s="1567"/>
      <c r="S49" s="2489"/>
      <c r="T49" s="1576" t="s">
        <v>430</v>
      </c>
      <c r="U49" s="1578"/>
      <c r="V49" s="1578"/>
      <c r="W49" s="1578"/>
      <c r="X49" s="1578"/>
      <c r="Y49" s="1578"/>
      <c r="Z49" s="1578"/>
      <c r="AA49" s="1578"/>
      <c r="AB49" s="1577"/>
      <c r="AC49" s="1578"/>
      <c r="AD49" s="1578"/>
      <c r="AE49" s="1578"/>
      <c r="AF49" s="1578"/>
      <c r="AG49" s="1578"/>
      <c r="AH49" s="1578"/>
      <c r="AI49" s="1577"/>
      <c r="AJ49" s="1578"/>
      <c r="AK49" s="2651"/>
      <c r="AM49" s="1711"/>
      <c r="AN49" s="1711" t="str">
        <f>IF(T49="","",T49)</f>
        <v>Добавить группу потребителей</v>
      </c>
      <c r="AO49" s="1711"/>
      <c r="AP49" s="1711"/>
      <c r="AQ49" s="2366">
        <v>21</v>
      </c>
    </row>
    <row customHeight="1" ht="22.049999999999997">
      <c r="A50" s="2574" t="s">
        <v>244</v>
      </c>
      <c r="B50" s="2574" t="s">
        <v>245</v>
      </c>
      <c r="C50" s="2574" t="s">
        <v>246</v>
      </c>
      <c r="D50" s="2574" t="s">
        <v>513</v>
      </c>
      <c r="E50" s="3470"/>
      <c r="F50" s="3470"/>
      <c r="G50" s="3470"/>
      <c r="H50" s="3469"/>
      <c r="I50" s="2574"/>
      <c r="J50" s="2574"/>
      <c r="K50" s="2574"/>
      <c r="L50" s="2575"/>
      <c r="M50" s="2576"/>
      <c r="N50" s="2576"/>
      <c r="O50" s="1748"/>
      <c r="P50" s="1571"/>
      <c r="Q50" s="1586"/>
      <c r="R50" s="1566"/>
      <c r="S50" s="2489"/>
      <c r="T50" s="1583" t="s">
        <v>506</v>
      </c>
      <c r="U50" s="1578"/>
      <c r="V50" s="1578"/>
      <c r="W50" s="1578"/>
      <c r="X50" s="1578"/>
      <c r="Y50" s="1578"/>
      <c r="Z50" s="1578"/>
      <c r="AA50" s="1578"/>
      <c r="AB50" s="1577"/>
      <c r="AC50" s="1578"/>
      <c r="AD50" s="1578"/>
      <c r="AE50" s="1578"/>
      <c r="AF50" s="1578"/>
      <c r="AG50" s="1578"/>
      <c r="AH50" s="1578"/>
      <c r="AI50" s="1577"/>
      <c r="AJ50" s="1578"/>
      <c r="AK50" s="1514"/>
      <c r="AM50" s="1711"/>
      <c r="AN50" s="1711" t="str">
        <f>IF(T50="","",T50)</f>
        <v>Добавить наименование признака дифференциации</v>
      </c>
      <c r="AO50" s="1711"/>
      <c r="AP50" s="1711"/>
      <c r="AQ50" s="2366">
        <v>21</v>
      </c>
    </row>
    <row s="65923" customFormat="1" customHeight="1" ht="0">
      <c r="A51" s="2554" t="s">
        <v>244</v>
      </c>
      <c r="B51" s="2554" t="s">
        <v>245</v>
      </c>
      <c r="C51" s="2525"/>
      <c r="D51" s="2525"/>
      <c r="E51" s="3470"/>
      <c r="F51" s="3469"/>
      <c r="G51" s="2525"/>
      <c r="H51" s="2525"/>
      <c r="I51" s="2525"/>
      <c r="J51" s="2525"/>
      <c r="K51" s="2525"/>
      <c r="L51" s="2637"/>
      <c r="M51" s="2532"/>
      <c r="N51" s="2532"/>
      <c r="P51" s="2527"/>
      <c r="Q51" s="2528"/>
      <c r="R51" s="2527"/>
      <c r="S51" s="2533"/>
      <c r="T51" s="2536" t="s">
        <v>433</v>
      </c>
      <c r="U51" s="2535"/>
      <c r="V51" s="2535"/>
      <c r="W51" s="2535"/>
      <c r="X51" s="2535"/>
      <c r="Y51" s="2535"/>
      <c r="Z51" s="2535"/>
      <c r="AA51" s="2535"/>
      <c r="AB51" s="2535"/>
      <c r="AC51" s="2535"/>
      <c r="AD51" s="2535"/>
      <c r="AE51" s="2535"/>
      <c r="AF51" s="2535"/>
      <c r="AG51" s="2535"/>
      <c r="AH51" s="2535"/>
      <c r="AI51" s="2535"/>
      <c r="AJ51" s="2535"/>
      <c r="AK51" s="2535"/>
      <c r="AM51" s="2000"/>
      <c r="AN51" s="2000" t="str">
        <f>IF(T51="","",T51)</f>
        <v>Добавить централизованную систему для дифференциации</v>
      </c>
      <c r="AO51" s="2000"/>
      <c r="AP51" s="2000"/>
      <c r="AQ51" s="1729">
        <v>0</v>
      </c>
    </row>
    <row s="65923" customFormat="1" customHeight="1" ht="0">
      <c r="A52" s="2554" t="s">
        <v>244</v>
      </c>
      <c r="B52" s="2554"/>
      <c r="C52" s="2554"/>
      <c r="D52" s="2554"/>
      <c r="E52" s="3469"/>
      <c r="F52" s="2554"/>
      <c r="G52" s="2554"/>
      <c r="H52" s="2554"/>
      <c r="I52" s="2554"/>
      <c r="J52" s="2554"/>
      <c r="K52" s="2554"/>
      <c r="L52" s="2557"/>
      <c r="M52" s="2532"/>
      <c r="N52" s="2532"/>
      <c r="O52" s="1729"/>
      <c r="P52" s="1591"/>
      <c r="Q52" s="2555"/>
      <c r="R52" s="1591"/>
      <c r="S52" s="2533"/>
      <c r="T52" s="2536" t="s">
        <v>434</v>
      </c>
      <c r="U52" s="2535"/>
      <c r="V52" s="2535"/>
      <c r="W52" s="2535"/>
      <c r="X52" s="2535"/>
      <c r="Y52" s="2535"/>
      <c r="Z52" s="2535"/>
      <c r="AA52" s="2535"/>
      <c r="AB52" s="2535"/>
      <c r="AC52" s="2535"/>
      <c r="AD52" s="2535"/>
      <c r="AE52" s="2535"/>
      <c r="AF52" s="2535"/>
      <c r="AG52" s="2535"/>
      <c r="AH52" s="2535"/>
      <c r="AI52" s="2535"/>
      <c r="AJ52" s="2535"/>
      <c r="AK52" s="2535"/>
      <c r="AM52" s="1711"/>
      <c r="AN52" s="1711" t="str">
        <f>IF(T52="","",T52)</f>
        <v>Добавить территорию для дифференциации</v>
      </c>
      <c r="AO52" s="1711"/>
      <c r="AP52" s="1711"/>
      <c r="AQ52" s="1722">
        <v>0</v>
      </c>
    </row>
    <row s="65923" customFormat="1" customHeight="1" ht="0">
      <c r="A53" s="2525"/>
      <c r="B53" s="2525"/>
      <c r="C53" s="2525"/>
      <c r="D53" s="2525"/>
      <c r="E53" s="2554"/>
      <c r="F53" s="2525"/>
      <c r="G53" s="2525"/>
      <c r="H53" s="2525"/>
      <c r="I53" s="2525"/>
      <c r="J53" s="2525"/>
      <c r="K53" s="2525"/>
      <c r="L53" s="2637"/>
      <c r="M53" s="2532"/>
      <c r="N53" s="2532"/>
      <c r="P53" s="2527"/>
      <c r="Q53" s="2528"/>
      <c r="R53" s="2527"/>
      <c r="S53" s="2533"/>
      <c r="T53" s="2536" t="s">
        <v>466</v>
      </c>
      <c r="U53" s="2535"/>
      <c r="V53" s="2535"/>
      <c r="W53" s="2535"/>
      <c r="X53" s="2535"/>
      <c r="Y53" s="2535"/>
      <c r="Z53" s="2535"/>
      <c r="AA53" s="2535"/>
      <c r="AB53" s="2535"/>
      <c r="AC53" s="2535"/>
      <c r="AD53" s="2535"/>
      <c r="AE53" s="2535"/>
      <c r="AF53" s="2535"/>
      <c r="AG53" s="2535"/>
      <c r="AH53" s="2535"/>
      <c r="AI53" s="2535"/>
      <c r="AJ53" s="2535"/>
      <c r="AK53" s="2535"/>
      <c r="AM53" s="2000"/>
      <c r="AN53" s="2000" t="str">
        <f>IF(T53="","",T53)</f>
        <v>Добавить наименование тарифа</v>
      </c>
      <c r="AO53" s="2000"/>
      <c r="AP53" s="2000"/>
      <c r="AQ53" s="1729">
        <v>0</v>
      </c>
    </row>
    <row customHeight="1" ht="11.549999999999999">
      <c r="M54" s="2371"/>
      <c r="N54" s="2371"/>
      <c r="O54" s="1748"/>
      <c r="P54" s="2366"/>
      <c r="Q54" s="2366"/>
      <c r="R54" s="2366"/>
      <c r="S54" s="2366"/>
      <c r="AL54" s="2366"/>
      <c r="AM54" s="2366"/>
      <c r="AN54" s="2366"/>
      <c r="AO54" s="2366"/>
      <c r="AP54" s="2366"/>
      <c r="AQ54" s="2366">
        <v>11</v>
      </c>
    </row>
    <row customHeight="1" ht="14.699999999999998">
      <c r="O55" s="1748"/>
      <c r="S55" s="2464"/>
      <c r="T55" s="3496"/>
      <c r="U55" s="3496"/>
      <c r="V55" s="3496"/>
      <c r="W55" s="3496"/>
      <c r="X55" s="3496"/>
      <c r="Y55" s="3496"/>
      <c r="Z55" s="3496"/>
      <c r="AA55" s="3496"/>
      <c r="AB55" s="3496"/>
      <c r="AC55" s="3496"/>
      <c r="AD55" s="3496"/>
      <c r="AE55" s="3496"/>
      <c r="AF55" s="3496"/>
      <c r="AG55" s="3496"/>
      <c r="AH55" s="3496"/>
      <c r="AI55" s="3496"/>
      <c r="AJ55" s="3496"/>
      <c r="AK55" s="3496"/>
      <c r="AQ55" s="2366">
        <v>14</v>
      </c>
    </row>
    <row customHeight="1" ht="14.699999999999998">
      <c r="O56" s="1748"/>
      <c r="AQ56" s="2366">
        <v>14</v>
      </c>
    </row>
    <row customHeight="1" ht="14.699999999999998">
      <c r="O57" s="1748"/>
      <c r="S57" s="2464"/>
      <c r="T57" s="3496"/>
      <c r="U57" s="3496"/>
      <c r="V57" s="3496"/>
      <c r="W57" s="3496"/>
      <c r="X57" s="3496"/>
      <c r="Y57" s="3496"/>
      <c r="Z57" s="3496"/>
      <c r="AA57" s="3496"/>
      <c r="AB57" s="3496"/>
      <c r="AC57" s="3496"/>
      <c r="AD57" s="3496"/>
      <c r="AE57" s="3496"/>
      <c r="AF57" s="3496"/>
      <c r="AG57" s="3496"/>
      <c r="AH57" s="3496"/>
      <c r="AI57" s="3496"/>
      <c r="AJ57" s="3496"/>
      <c r="AK57" s="3496"/>
      <c r="AQ57" s="2366">
        <v>14</v>
      </c>
    </row>
    <row customHeight="1" ht="22.5" hidden="1">
      <c r="A58" s="2371" t="s">
        <v>82</v>
      </c>
      <c r="B58" s="2371">
        <v>0</v>
      </c>
      <c r="C58" s="2371">
        <v>0</v>
      </c>
      <c r="D58" s="2371">
        <v>0</v>
      </c>
      <c r="E58" s="2371">
        <v>0</v>
      </c>
      <c r="F58" s="2371">
        <v>0</v>
      </c>
      <c r="G58" s="2371">
        <v>0</v>
      </c>
      <c r="H58" s="2371">
        <v>0</v>
      </c>
      <c r="I58" s="2371">
        <v>0</v>
      </c>
      <c r="J58" s="2371">
        <v>0</v>
      </c>
      <c r="K58" s="2371">
        <v>0</v>
      </c>
      <c r="L58" s="2632">
        <v>0</v>
      </c>
      <c r="M58" s="2573">
        <v>0</v>
      </c>
      <c r="N58" s="2573">
        <v>0</v>
      </c>
      <c r="O58" s="2573">
        <v>0</v>
      </c>
      <c r="P58" s="2562">
        <v>3</v>
      </c>
      <c r="Q58" s="1555">
        <v>3</v>
      </c>
      <c r="R58" s="1555">
        <v>3</v>
      </c>
      <c r="S58" s="1792">
        <v>12</v>
      </c>
      <c r="T58" s="2366">
        <v>35</v>
      </c>
      <c r="U58" s="2366">
        <v>0</v>
      </c>
      <c r="V58" s="2366">
        <v>0</v>
      </c>
      <c r="W58" s="2366">
        <v>0</v>
      </c>
      <c r="X58" s="2366">
        <v>0</v>
      </c>
      <c r="Y58" s="2366">
        <v>0</v>
      </c>
      <c r="Z58" s="2366">
        <v>0</v>
      </c>
      <c r="AA58" s="2366">
        <v>0</v>
      </c>
      <c r="AB58" s="2366">
        <v>0</v>
      </c>
      <c r="AC58" s="2366">
        <v>24</v>
      </c>
      <c r="AD58" s="2366">
        <v>24</v>
      </c>
      <c r="AE58" s="2366">
        <v>24</v>
      </c>
      <c r="AF58" s="2366">
        <v>11</v>
      </c>
      <c r="AG58" s="2366">
        <v>3</v>
      </c>
      <c r="AH58" s="2366">
        <v>11</v>
      </c>
      <c r="AI58" s="2366">
        <v>0</v>
      </c>
      <c r="AJ58" s="2366">
        <v>4</v>
      </c>
      <c r="AK58" s="2366">
        <v>115</v>
      </c>
      <c r="AL58" s="1722">
        <v>10</v>
      </c>
      <c r="AM58" s="1722">
        <v>10</v>
      </c>
      <c r="AN58" s="1722">
        <v>10</v>
      </c>
      <c r="AO58" s="1722">
        <v>10</v>
      </c>
      <c r="AP58" s="1722">
        <v>10</v>
      </c>
      <c r="AQ58" s="236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6C64AA-DC96-4F3C-CB0E-330C12835C2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4" style="66903" width="24.7109375" hidden="1" customWidth="1"/>
    <col min="25" max="25" style="66903" width="11.7109375" hidden="1" customWidth="1"/>
    <col min="26" max="26" style="66903" width="3.7109375" hidden="1" customWidth="1"/>
    <col min="27" max="27" style="66903" width="11.7109375" hidden="1" customWidth="1"/>
    <col min="28" max="28" style="66903" width="8.57421875" hidden="1" customWidth="1"/>
    <col min="29" max="29" style="66903" width="24.7109375" customWidth="1"/>
    <col min="30" max="31" style="66903" width="24.00390625" customWidth="1"/>
    <col min="32" max="32" style="66903" width="11.00390625" customWidth="1"/>
    <col min="33" max="33" style="66903" width="3.7109375" customWidth="1"/>
    <col min="34" max="34" style="66903" width="11.00390625" customWidth="1"/>
    <col min="35" max="35" style="66903" width="8.57421875" hidden="1" customWidth="1"/>
    <col min="36" max="36" style="66903" width="4.00390625" customWidth="1"/>
    <col min="37" max="37" style="66903" width="115.00390625" customWidth="1"/>
    <col min="38" max="42" style="65923" width="10.00390625" customWidth="1"/>
    <col min="43" max="43" style="66903" width="10.57421875" hidden="1"/>
  </cols>
  <sheetData>
    <row customHeight="1" ht="22.5" hidden="1">
      <c r="X1" s="1538"/>
      <c r="Y1" s="1538"/>
      <c r="AE1" s="1538"/>
      <c r="AF1" s="1538"/>
      <c r="AQ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668">
        <f>INDEX(PT_DIFFERENTIATION_NUM_NTAR,MATCH(A2,PT_DIFFERENTIATION_NTAR_ID,0))</f>
      </c>
      <c r="T2" s="1509" t="s">
        <v>143</v>
      </c>
      <c r="U2" s="1511"/>
      <c r="V2" s="3453"/>
      <c r="W2" s="3454"/>
      <c r="X2" s="3454"/>
      <c r="Y2" s="3454"/>
      <c r="Z2" s="3454"/>
      <c r="AA2" s="3454"/>
      <c r="AB2" s="3455"/>
      <c r="AC2" s="3453">
        <f>INDEX(PT_DIFFERENTIATION_NTAR,MATCH(A2,PT_DIFFERENTIATION_NTAR_ID,0))</f>
      </c>
      <c r="AD2" s="3454"/>
      <c r="AE2" s="3454"/>
      <c r="AF2" s="3454"/>
      <c r="AG2" s="3454"/>
      <c r="AH2" s="3454"/>
      <c r="AI2" s="3454"/>
      <c r="AJ2" s="3455"/>
      <c r="AK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711"/>
      <c r="AN2" s="1711" t="str">
        <f>IF(T2="","",T2)</f>
        <v>Наименование тарифа</v>
      </c>
      <c r="AO2" s="1711"/>
      <c r="AP2" s="1711"/>
      <c r="AQ2" s="2366">
        <v>0</v>
      </c>
    </row>
    <row customHeight="1" ht="23.25" hidden="1">
      <c r="A3" s="2574"/>
      <c r="B3" s="2574"/>
      <c r="C3" s="2574"/>
      <c r="D3" s="2574"/>
      <c r="E3" s="3470"/>
      <c r="F3" s="3469">
        <v>1</v>
      </c>
      <c r="G3" s="2574"/>
      <c r="H3" s="2574"/>
      <c r="I3" s="2574"/>
      <c r="J3" s="2574"/>
      <c r="K3" s="2574"/>
      <c r="L3" s="2575"/>
      <c r="M3" s="2576"/>
      <c r="N3" s="2576"/>
      <c r="O3" s="2576"/>
      <c r="P3" s="2664"/>
      <c r="Q3" s="1563"/>
      <c r="R3" s="1564"/>
      <c r="S3" s="2668">
        <f>INDEX(PT_DIFFERENTIATION_NUM_TER,MATCH(B3,PT_DIFFERENTIATION_TER_ID,0))</f>
      </c>
      <c r="T3" s="1519" t="s">
        <v>415</v>
      </c>
      <c r="U3" s="1511"/>
      <c r="V3" s="3453"/>
      <c r="W3" s="3454"/>
      <c r="X3" s="3454"/>
      <c r="Y3" s="3454"/>
      <c r="Z3" s="3454"/>
      <c r="AA3" s="3454"/>
      <c r="AB3" s="3455"/>
      <c r="AC3" s="3453">
        <f>INDEX(PT_DIFFERENTIATION_TER,MATCH(B3,PT_DIFFERENTIATION_TER_ID,0))</f>
      </c>
      <c r="AD3" s="3454"/>
      <c r="AE3" s="3454"/>
      <c r="AF3" s="3454"/>
      <c r="AG3" s="3454"/>
      <c r="AH3" s="3454"/>
      <c r="AI3" s="3454"/>
      <c r="AJ3" s="3455"/>
      <c r="AK3" s="2469" t="s">
        <v>416</v>
      </c>
      <c r="AM3" s="1711"/>
      <c r="AN3" s="1711" t="str">
        <f>IF(T3="","",T3)</f>
        <v>Территория действия тарифа</v>
      </c>
      <c r="AO3" s="1711"/>
      <c r="AP3" s="1711"/>
      <c r="AQ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668">
        <f>INDEX(PT_DIFFERENTIATION_NUM_CS,MATCH(C4,PT_DIFFERENTIATION_CS_ID,0))</f>
      </c>
      <c r="T4" s="1520" t="s">
        <v>499</v>
      </c>
      <c r="U4" s="1511"/>
      <c r="V4" s="3453"/>
      <c r="W4" s="3454"/>
      <c r="X4" s="3454"/>
      <c r="Y4" s="3454"/>
      <c r="Z4" s="3454"/>
      <c r="AA4" s="3454"/>
      <c r="AB4" s="3455"/>
      <c r="AC4" s="3453">
        <f>INDEX(PT_DIFFERENTIATION_CS,MATCH(C4,PT_DIFFERENTIATION_CS_ID,0))</f>
      </c>
      <c r="AD4" s="3454"/>
      <c r="AE4" s="3454"/>
      <c r="AF4" s="3454"/>
      <c r="AG4" s="3454"/>
      <c r="AH4" s="3454"/>
      <c r="AI4" s="3454"/>
      <c r="AJ4" s="3455"/>
      <c r="AK4" s="2469" t="s">
        <v>500</v>
      </c>
      <c r="AM4" s="1711"/>
      <c r="AN4" s="1711" t="str">
        <f>IF(T4="","",T4)</f>
        <v>Наименование централизованной системы холодного водоснабжения</v>
      </c>
      <c r="AO4" s="1711"/>
      <c r="AP4" s="1711"/>
      <c r="AQ4" s="2366">
        <v>0</v>
      </c>
    </row>
    <row customHeight="1" ht="23.25" hidden="1">
      <c r="A5" s="2574"/>
      <c r="B5" s="2574"/>
      <c r="C5" s="2574"/>
      <c r="D5" s="2574"/>
      <c r="E5" s="3470"/>
      <c r="F5" s="3470"/>
      <c r="G5" s="3470"/>
      <c r="H5" s="3470"/>
      <c r="I5" s="3467">
        <f>S4&amp;".1"</f>
      </c>
      <c r="J5" s="2574"/>
      <c r="K5" s="2574"/>
      <c r="L5" s="2575"/>
      <c r="P5" s="3468">
        <v>1</v>
      </c>
      <c r="Q5" s="2661"/>
      <c r="R5" s="1567"/>
      <c r="S5" s="2668">
        <f>$I5</f>
      </c>
      <c r="T5" s="1496" t="s">
        <v>501</v>
      </c>
      <c r="U5" s="1511"/>
      <c r="V5" s="3561"/>
      <c r="W5" s="3562"/>
      <c r="X5" s="3562"/>
      <c r="Y5" s="3562"/>
      <c r="Z5" s="3562"/>
      <c r="AA5" s="3562"/>
      <c r="AB5" s="3563"/>
      <c r="AC5" s="3564"/>
      <c r="AD5" s="3565"/>
      <c r="AE5" s="3565"/>
      <c r="AF5" s="3565"/>
      <c r="AG5" s="3565"/>
      <c r="AH5" s="3565"/>
      <c r="AI5" s="3565"/>
      <c r="AJ5" s="3566"/>
      <c r="AK5" s="2469" t="s">
        <v>502</v>
      </c>
      <c r="AM5" s="1711"/>
      <c r="AN5" s="1711" t="str">
        <f>IF(T5="","",T5)</f>
        <v>Наименование признака дифференциации</v>
      </c>
      <c r="AO5" s="1711"/>
      <c r="AP5" s="1711"/>
      <c r="AQ5" s="2366">
        <v>0</v>
      </c>
    </row>
    <row customHeight="1" ht="23.25" hidden="1">
      <c r="A6" s="2574"/>
      <c r="B6" s="2574"/>
      <c r="C6" s="2574"/>
      <c r="D6" s="2574"/>
      <c r="E6" s="3470"/>
      <c r="F6" s="3470"/>
      <c r="G6" s="3470"/>
      <c r="H6" s="3470"/>
      <c r="I6" s="3497"/>
      <c r="J6" s="3467">
        <f>I5&amp;".1"</f>
      </c>
      <c r="K6" s="2574"/>
      <c r="L6" s="2575" t="s">
        <v>424</v>
      </c>
      <c r="P6" s="3468"/>
      <c r="Q6" s="3468">
        <v>1</v>
      </c>
      <c r="R6" s="1568"/>
      <c r="S6" s="2668">
        <f>$J6</f>
      </c>
      <c r="T6" s="1497" t="s">
        <v>425</v>
      </c>
      <c r="U6" s="1511"/>
      <c r="V6" s="3456"/>
      <c r="W6" s="3457"/>
      <c r="X6" s="3457"/>
      <c r="Y6" s="3457"/>
      <c r="Z6" s="3457"/>
      <c r="AA6" s="3457"/>
      <c r="AB6" s="3458"/>
      <c r="AC6" s="3456"/>
      <c r="AD6" s="3457"/>
      <c r="AE6" s="3457"/>
      <c r="AF6" s="3457"/>
      <c r="AG6" s="3457"/>
      <c r="AH6" s="3457"/>
      <c r="AI6" s="3457"/>
      <c r="AJ6" s="3458"/>
      <c r="AK6" s="2518" t="s">
        <v>503</v>
      </c>
      <c r="AM6" s="1711"/>
      <c r="AN6" s="1711" t="str">
        <f>IF(T6="","",T6)</f>
        <v>Группа потребителей</v>
      </c>
      <c r="AO6" s="1711"/>
      <c r="AP6" s="1711"/>
      <c r="AQ6" s="2366">
        <v>0</v>
      </c>
    </row>
    <row customHeight="1" ht="23.25" hidden="1">
      <c r="A7" s="2574"/>
      <c r="B7" s="2574"/>
      <c r="C7" s="2574"/>
      <c r="D7" s="2574"/>
      <c r="E7" s="3470"/>
      <c r="F7" s="3470"/>
      <c r="G7" s="3470"/>
      <c r="H7" s="3470"/>
      <c r="I7" s="3497"/>
      <c r="J7" s="3497"/>
      <c r="K7" s="3467">
        <f>J6&amp;".1"</f>
      </c>
      <c r="L7" s="2575"/>
      <c r="P7" s="3468"/>
      <c r="Q7" s="3468"/>
      <c r="R7" s="1568">
        <v>1</v>
      </c>
      <c r="S7" s="2668">
        <f>$K7</f>
      </c>
      <c r="T7" s="2648"/>
      <c r="U7" s="1511"/>
      <c r="V7" s="1962"/>
      <c r="W7" s="1962"/>
      <c r="X7" s="2468"/>
      <c r="Y7" s="3476"/>
      <c r="Z7" s="3318" t="s">
        <v>62</v>
      </c>
      <c r="AA7" s="3476"/>
      <c r="AB7" s="3318" t="s">
        <v>62</v>
      </c>
      <c r="AC7" s="1962"/>
      <c r="AD7" s="1962"/>
      <c r="AE7" s="2468"/>
      <c r="AF7" s="3476"/>
      <c r="AG7" s="3318" t="s">
        <v>62</v>
      </c>
      <c r="AH7" s="3498"/>
      <c r="AI7" s="3318" t="s">
        <v>62</v>
      </c>
      <c r="AJ7" s="2649"/>
      <c r="AK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1722">
        <f>STRCHECKDATE(V8:AJ8)</f>
      </c>
      <c r="AM7" s="1711"/>
      <c r="AN7" s="1711" t="str">
        <f>IF(T7="","",T7)</f>
        <v/>
      </c>
      <c r="AO7" s="1711"/>
      <c r="AP7" s="1711"/>
      <c r="AQ7" s="2366">
        <v>0</v>
      </c>
    </row>
    <row customHeight="1" ht="14.25" hidden="1">
      <c r="A8" s="2574"/>
      <c r="B8" s="2574"/>
      <c r="C8" s="2574"/>
      <c r="D8" s="2574"/>
      <c r="E8" s="3470"/>
      <c r="F8" s="3470"/>
      <c r="G8" s="3470"/>
      <c r="H8" s="3470"/>
      <c r="I8" s="3497"/>
      <c r="J8" s="3497"/>
      <c r="K8" s="3467"/>
      <c r="L8" s="2575"/>
      <c r="P8" s="3468"/>
      <c r="Q8" s="3468"/>
      <c r="R8" s="1568"/>
      <c r="S8" s="2667"/>
      <c r="T8" s="1511"/>
      <c r="U8" s="1511"/>
      <c r="V8" s="1536"/>
      <c r="W8" s="1536"/>
      <c r="X8" s="1539" t="str">
        <f>Y7&amp;"-"&amp;AA7</f>
        <v>-</v>
      </c>
      <c r="Y8" s="3477"/>
      <c r="Z8" s="3318"/>
      <c r="AA8" s="3477"/>
      <c r="AB8" s="3318"/>
      <c r="AC8" s="1536"/>
      <c r="AD8" s="1536"/>
      <c r="AE8" s="1539" t="str">
        <f>AF7&amp;"-"&amp;AH7</f>
        <v>-</v>
      </c>
      <c r="AF8" s="3477"/>
      <c r="AG8" s="3318"/>
      <c r="AH8" s="3499"/>
      <c r="AI8" s="3318"/>
      <c r="AJ8" s="2650"/>
      <c r="AK8" s="3560"/>
      <c r="AM8" s="1711"/>
      <c r="AN8" s="1711" t="str">
        <f>IF(T8="","",T8)</f>
        <v/>
      </c>
      <c r="AO8" s="1711"/>
      <c r="AP8" s="1711"/>
      <c r="AQ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578"/>
      <c r="X9" s="1578"/>
      <c r="Y9" s="1578"/>
      <c r="Z9" s="1578"/>
      <c r="AA9" s="1578"/>
      <c r="AB9" s="1578"/>
      <c r="AC9" s="1578"/>
      <c r="AD9" s="1578"/>
      <c r="AE9" s="1578"/>
      <c r="AF9" s="1578"/>
      <c r="AG9" s="1578"/>
      <c r="AH9" s="1578"/>
      <c r="AI9" s="1578"/>
      <c r="AJ9" s="1578"/>
      <c r="AK9" s="2469" t="s">
        <v>505</v>
      </c>
      <c r="AM9" s="1711"/>
      <c r="AN9" s="1711" t="str">
        <f>IF(T9="","",T9)</f>
        <v>Добавить значение признака дифференциации</v>
      </c>
      <c r="AO9" s="1711"/>
      <c r="AP9" s="1711"/>
      <c r="AQ9" s="2366">
        <v>0</v>
      </c>
    </row>
    <row customHeight="1" ht="21" hidden="1">
      <c r="A10" s="2574"/>
      <c r="B10" s="2574"/>
      <c r="C10" s="2574"/>
      <c r="D10" s="2574"/>
      <c r="E10" s="3470"/>
      <c r="F10" s="3470"/>
      <c r="G10" s="3470"/>
      <c r="H10" s="3470"/>
      <c r="I10" s="3467"/>
      <c r="J10" s="2574"/>
      <c r="K10" s="2574"/>
      <c r="L10" s="2575"/>
      <c r="P10" s="3468"/>
      <c r="Q10" s="2661"/>
      <c r="R10" s="1567"/>
      <c r="S10" s="2489"/>
      <c r="T10" s="1576" t="s">
        <v>430</v>
      </c>
      <c r="U10" s="1578"/>
      <c r="V10" s="1578"/>
      <c r="W10" s="1578"/>
      <c r="X10" s="1578"/>
      <c r="Y10" s="1578"/>
      <c r="Z10" s="1578"/>
      <c r="AA10" s="1578"/>
      <c r="AB10" s="1577"/>
      <c r="AC10" s="1578"/>
      <c r="AD10" s="1578"/>
      <c r="AE10" s="1578"/>
      <c r="AF10" s="1578"/>
      <c r="AG10" s="1578"/>
      <c r="AH10" s="1578"/>
      <c r="AI10" s="1577"/>
      <c r="AJ10" s="1578"/>
      <c r="AK10" s="2651"/>
      <c r="AM10" s="1711"/>
      <c r="AN10" s="1711" t="str">
        <f>IF(T10="","",T10)</f>
        <v>Добавить группу потребителей</v>
      </c>
      <c r="AO10" s="1711"/>
      <c r="AP10" s="1711"/>
      <c r="AQ10" s="2366">
        <v>0</v>
      </c>
    </row>
    <row customHeight="1" ht="21"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578"/>
      <c r="X11" s="1578"/>
      <c r="Y11" s="1578"/>
      <c r="Z11" s="1578"/>
      <c r="AA11" s="1578"/>
      <c r="AB11" s="1577"/>
      <c r="AC11" s="1578"/>
      <c r="AD11" s="1578"/>
      <c r="AE11" s="1578"/>
      <c r="AF11" s="1578"/>
      <c r="AG11" s="1578"/>
      <c r="AH11" s="1578"/>
      <c r="AI11" s="1577"/>
      <c r="AJ11" s="1578"/>
      <c r="AK11" s="1514"/>
      <c r="AM11" s="1711"/>
      <c r="AN11" s="1711" t="str">
        <f>IF(T11="","",T11)</f>
        <v>Добавить наименование признака дифференциации</v>
      </c>
      <c r="AO11" s="1711"/>
      <c r="AP11" s="1711"/>
      <c r="AQ11" s="2366">
        <v>0</v>
      </c>
    </row>
    <row s="65923" customFormat="1" customHeight="1" ht="14.25" hidden="1">
      <c r="A12" s="2554"/>
      <c r="B12" s="2554"/>
      <c r="C12" s="2525"/>
      <c r="D12" s="2525"/>
      <c r="E12" s="3470"/>
      <c r="F12" s="3469"/>
      <c r="G12" s="2525"/>
      <c r="H12" s="2525"/>
      <c r="I12" s="2525"/>
      <c r="J12" s="2525"/>
      <c r="K12" s="2525"/>
      <c r="L12" s="2669"/>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M12" s="2000"/>
      <c r="AN12" s="2000" t="str">
        <f>IF(T12="","",T12)</f>
        <v>Добавить централизованную систему для дифференциации</v>
      </c>
      <c r="AO12" s="2000"/>
      <c r="AP12" s="2000"/>
      <c r="AQ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M13" s="1711"/>
      <c r="AN13" s="1711" t="str">
        <f>IF(T13="","",T13)</f>
        <v>Добавить территорию для дифференциации</v>
      </c>
      <c r="AO13" s="1711"/>
      <c r="AP13" s="1711"/>
      <c r="AQ13" s="1722">
        <v>0</v>
      </c>
    </row>
    <row customHeight="1" ht="14.25" hidden="1">
      <c r="AB14" s="1538"/>
      <c r="AI14" s="1538"/>
      <c r="AQ14" s="2366">
        <v>0</v>
      </c>
    </row>
    <row customHeight="1" ht="14.25" hidden="1">
      <c r="AC15" s="2571"/>
      <c r="AD15" s="2571"/>
      <c r="AE15" s="2572"/>
      <c r="AF15" s="3478"/>
      <c r="AG15" s="3479" t="s">
        <v>62</v>
      </c>
      <c r="AH15" s="3478"/>
      <c r="AI15" s="3479" t="s">
        <v>62</v>
      </c>
      <c r="AQ15" s="2366">
        <v>0</v>
      </c>
    </row>
    <row customHeight="1" ht="14.25" hidden="1">
      <c r="AC16" s="2571"/>
      <c r="AD16" s="2571"/>
      <c r="AE16" s="1539" t="str">
        <f>AF15&amp;"-"&amp;AH15</f>
        <v>-</v>
      </c>
      <c r="AF16" s="3479"/>
      <c r="AG16" s="3479"/>
      <c r="AH16" s="3479"/>
      <c r="AI16" s="3479"/>
      <c r="AQ16" s="2366">
        <v>0</v>
      </c>
    </row>
    <row customHeight="1" ht="14.25" hidden="1">
      <c r="AI17" s="1538"/>
      <c r="AQ17" s="2366">
        <v>0</v>
      </c>
    </row>
    <row s="66852" customFormat="1" customHeight="1" ht="22.5" hidden="1">
      <c r="L18" s="2658"/>
      <c r="M18" s="2573"/>
      <c r="N18" s="2573"/>
      <c r="O18" s="2578" t="s">
        <v>435</v>
      </c>
      <c r="P18" s="2573"/>
      <c r="Q18" s="2582"/>
      <c r="R18" s="2582"/>
      <c r="S18" s="1940"/>
      <c r="Y18" s="2578"/>
      <c r="AA18" s="2578"/>
      <c r="AB18" s="2577"/>
      <c r="AF18" s="2578"/>
      <c r="AH18" s="2578"/>
      <c r="AI18" s="2577"/>
      <c r="AL18" s="1722"/>
      <c r="AM18" s="1722"/>
      <c r="AN18" s="1722"/>
      <c r="AO18" s="1722"/>
      <c r="AP18" s="1722"/>
      <c r="AQ18" s="2371">
        <v>0</v>
      </c>
    </row>
    <row s="66852" customFormat="1" customHeight="1" ht="14.25" hidden="1">
      <c r="L19" s="2658"/>
      <c r="M19" s="2573"/>
      <c r="N19" s="2573"/>
      <c r="O19" s="2573"/>
      <c r="P19" s="2573"/>
      <c r="Q19" s="2582"/>
      <c r="R19" s="2582"/>
      <c r="S19" s="1940"/>
      <c r="AB19" s="2577"/>
      <c r="AI19" s="2577"/>
      <c r="AL19" s="1722"/>
      <c r="AM19" s="1722"/>
      <c r="AN19" s="1722"/>
      <c r="AO19" s="1722"/>
      <c r="AP19" s="1722"/>
      <c r="AQ19" s="2371">
        <v>0</v>
      </c>
    </row>
    <row s="66852" customFormat="1" customHeight="1" ht="12" hidden="1">
      <c r="L20" s="2658"/>
      <c r="M20" s="2573"/>
      <c r="N20" s="2573"/>
      <c r="O20" s="2575" t="s">
        <v>436</v>
      </c>
      <c r="P20" s="2573"/>
      <c r="Q20" s="2653"/>
      <c r="R20" s="2653"/>
      <c r="S20" s="1940"/>
      <c r="T20" s="2371" t="s">
        <v>437</v>
      </c>
      <c r="Z20" s="1397" t="s">
        <v>438</v>
      </c>
      <c r="AB20" s="1397" t="s">
        <v>439</v>
      </c>
      <c r="AC20" s="2371" t="s">
        <v>437</v>
      </c>
      <c r="AG20" s="1397" t="s">
        <v>440</v>
      </c>
      <c r="AI20" s="1397" t="s">
        <v>439</v>
      </c>
      <c r="AQ20" s="2371">
        <v>0</v>
      </c>
    </row>
    <row customHeight="1" ht="14.25" hidden="1">
      <c r="O21" s="2575"/>
      <c r="AQ21" s="2366">
        <v>0</v>
      </c>
    </row>
    <row customHeight="1" ht="14.25" hidden="1">
      <c r="O22" s="2575"/>
      <c r="AQ22" s="2366">
        <v>0</v>
      </c>
    </row>
    <row customHeight="1" ht="14.699999999999998">
      <c r="Q23" s="1587"/>
      <c r="R23" s="1587"/>
      <c r="S23" s="2486"/>
      <c r="T23" s="1574"/>
      <c r="U23" s="1574"/>
      <c r="V23" s="1720"/>
      <c r="W23" s="1720"/>
      <c r="X23" s="1720"/>
      <c r="Y23" s="1720"/>
      <c r="Z23" s="1720"/>
      <c r="AA23" s="1720"/>
      <c r="AB23" s="1720"/>
      <c r="AC23" s="1720"/>
      <c r="AD23" s="1720"/>
      <c r="AE23" s="1720"/>
      <c r="AF23" s="1720"/>
      <c r="AG23" s="1720"/>
      <c r="AH23" s="1720"/>
      <c r="AI23" s="1720"/>
      <c r="AQ23" s="2366">
        <v>14</v>
      </c>
    </row>
    <row customHeight="1" ht="14.699999999999998">
      <c r="Q24" s="1587"/>
      <c r="R24" s="1587"/>
      <c r="S24" s="34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3459"/>
      <c r="U24" s="3459"/>
      <c r="V24" s="3459"/>
      <c r="W24" s="3459"/>
      <c r="X24" s="3459"/>
      <c r="Y24" s="3459"/>
      <c r="Z24" s="3459"/>
      <c r="AA24" s="3459"/>
      <c r="AB24" s="3459"/>
      <c r="AC24" s="3459"/>
      <c r="AD24" s="3459"/>
      <c r="AE24" s="3459"/>
      <c r="AF24" s="3459"/>
      <c r="AG24" s="3459"/>
      <c r="AH24" s="3459"/>
      <c r="AI24" s="2454"/>
      <c r="AQ24" s="2366">
        <v>14</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2454"/>
      <c r="AQ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720"/>
      <c r="AQ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1537"/>
      <c r="AC27" s="3462" t="str">
        <f>IF(TITLE_NAME_OR_PR_CHANGE="",IF(TITLE_NAME_OR_PR="","",TITLE_NAME_OR_PR),TITLE_NAME_OR_PR_CHANGE)</f>
        <v/>
      </c>
      <c r="AD27" s="3462"/>
      <c r="AE27" s="3462"/>
      <c r="AF27" s="3462"/>
      <c r="AG27" s="3462"/>
      <c r="AH27" s="3462"/>
      <c r="AI27" s="1537"/>
      <c r="AJ27" s="1537"/>
      <c r="AK27" s="1491"/>
      <c r="AL27" s="1579"/>
      <c r="AM27" s="1579"/>
      <c r="AN27" s="1579"/>
      <c r="AO27" s="1579"/>
      <c r="AP27" s="1579"/>
      <c r="AQ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1537"/>
      <c r="AC28" s="3475" t="str">
        <f>IF(TITLE_DATE_PR_CHANGE="",IF(TITLE_DATE_PR="","",TITLE_DATE_PR),TITLE_DATE_PR_CHANGE)</f>
        <v/>
      </c>
      <c r="AD28" s="3475"/>
      <c r="AE28" s="3475"/>
      <c r="AF28" s="3475"/>
      <c r="AG28" s="3475"/>
      <c r="AH28" s="3475"/>
      <c r="AI28" s="1537"/>
      <c r="AJ28" s="1537"/>
      <c r="AK28" s="1491"/>
      <c r="AL28" s="1579"/>
      <c r="AM28" s="1579"/>
      <c r="AN28" s="1579"/>
      <c r="AO28" s="1579"/>
      <c r="AP28" s="1579"/>
      <c r="AQ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1537"/>
      <c r="AC29" s="3462" t="str">
        <f>IF(TITLE_NUMBER_PR_CHANGE="",IF(TITLE_NUMBER_PR="","",TITLE_NUMBER_PR),TITLE_NUMBER_PR_CHANGE)</f>
        <v/>
      </c>
      <c r="AD29" s="3462"/>
      <c r="AE29" s="3462"/>
      <c r="AF29" s="3462"/>
      <c r="AG29" s="3462"/>
      <c r="AH29" s="3462"/>
      <c r="AI29" s="1537"/>
      <c r="AJ29" s="1537"/>
      <c r="AK29" s="1491"/>
      <c r="AL29" s="1579"/>
      <c r="AM29" s="1579"/>
      <c r="AN29" s="1579"/>
      <c r="AO29" s="1579"/>
      <c r="AP29" s="1579"/>
      <c r="AQ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1537"/>
      <c r="AC30" s="3462" t="str">
        <f>IF(TITLE_IST_PUB_CHANGE="",IF(TITLE_IST_PUB="","",TITLE_IST_PUB),TITLE_IST_PUB_CHANGE)</f>
        <v/>
      </c>
      <c r="AD30" s="3462"/>
      <c r="AE30" s="3462"/>
      <c r="AF30" s="3462"/>
      <c r="AG30" s="3462"/>
      <c r="AH30" s="3462"/>
      <c r="AI30" s="1537"/>
      <c r="AJ30" s="1537"/>
      <c r="AK30" s="1491"/>
      <c r="AL30" s="1579"/>
      <c r="AM30" s="1579"/>
      <c r="AN30" s="1579"/>
      <c r="AO30" s="1579"/>
      <c r="AP30" s="1579"/>
      <c r="AQ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720"/>
      <c r="AQ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1537"/>
      <c r="AC32" s="3475" t="str">
        <f>IF(TITLE_DATE_PR_CHANGE="",IF(TITLE_DATE_PR="","",TITLE_DATE_PR),TITLE_DATE_PR_CHANGE)</f>
        <v/>
      </c>
      <c r="AD32" s="3475"/>
      <c r="AE32" s="3475"/>
      <c r="AF32" s="3475"/>
      <c r="AG32" s="3475"/>
      <c r="AH32" s="3475"/>
      <c r="AI32" s="1537"/>
      <c r="AJ32" s="1537"/>
      <c r="AK32" s="1491"/>
      <c r="AL32" s="1579"/>
      <c r="AM32" s="1579"/>
      <c r="AN32" s="1579"/>
      <c r="AO32" s="1579"/>
      <c r="AP32" s="1579"/>
      <c r="AQ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1537"/>
      <c r="AC33" s="3462" t="str">
        <f>IF(TITLE_NUMBER_PR_CHANGE="",IF(TITLE_NUMBER_PR="","",TITLE_NUMBER_PR),TITLE_NUMBER_PR_CHANGE)</f>
        <v/>
      </c>
      <c r="AD33" s="3462"/>
      <c r="AE33" s="3462"/>
      <c r="AF33" s="3462"/>
      <c r="AG33" s="3462"/>
      <c r="AH33" s="3462"/>
      <c r="AI33" s="1537"/>
      <c r="AJ33" s="1537"/>
      <c r="AK33" s="1491"/>
      <c r="AL33" s="1579"/>
      <c r="AM33" s="1579"/>
      <c r="AN33" s="1579"/>
      <c r="AO33" s="1579"/>
      <c r="AP33" s="1579"/>
      <c r="AQ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665"/>
      <c r="V34" s="1537"/>
      <c r="W34" s="1537"/>
      <c r="X34" s="1537"/>
      <c r="Y34" s="1537"/>
      <c r="Z34" s="1537"/>
      <c r="AA34" s="1537"/>
      <c r="AB34" s="1489" t="s">
        <v>445</v>
      </c>
      <c r="AC34" s="1537"/>
      <c r="AD34" s="1537"/>
      <c r="AE34" s="1537"/>
      <c r="AF34" s="1537"/>
      <c r="AG34" s="1537"/>
      <c r="AH34" s="1537"/>
      <c r="AI34" s="1489" t="s">
        <v>445</v>
      </c>
      <c r="AL34" s="1579"/>
      <c r="AM34" s="1579"/>
      <c r="AN34" s="1579"/>
      <c r="AO34" s="1579"/>
      <c r="AP34" s="1579"/>
      <c r="AQ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Q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t="s">
        <v>319</v>
      </c>
      <c r="AQ36" s="2366">
        <v>14</v>
      </c>
    </row>
    <row customHeight="1" ht="14.699999999999998">
      <c r="Q37" s="1587"/>
      <c r="R37" s="1587"/>
      <c r="S37" s="3484" t="s">
        <v>88</v>
      </c>
      <c r="T37" s="3420" t="s">
        <v>446</v>
      </c>
      <c r="U37" s="1512"/>
      <c r="V37" s="3485" t="s">
        <v>447</v>
      </c>
      <c r="W37" s="3486"/>
      <c r="X37" s="3486"/>
      <c r="Y37" s="3486"/>
      <c r="Z37" s="3486"/>
      <c r="AA37" s="3487"/>
      <c r="AB37" s="3488" t="s">
        <v>448</v>
      </c>
      <c r="AC37" s="3485" t="s">
        <v>447</v>
      </c>
      <c r="AD37" s="3486"/>
      <c r="AE37" s="3486"/>
      <c r="AF37" s="3486"/>
      <c r="AG37" s="3486"/>
      <c r="AH37" s="3487"/>
      <c r="AI37" s="3488" t="s">
        <v>449</v>
      </c>
      <c r="AJ37" s="3491" t="s">
        <v>450</v>
      </c>
      <c r="AK37" s="3338"/>
      <c r="AQ37" s="2366">
        <v>14</v>
      </c>
    </row>
    <row customHeight="1" ht="35.699999999999996">
      <c r="Q38" s="1587"/>
      <c r="R38" s="1587"/>
      <c r="S38" s="3484"/>
      <c r="T38" s="3420"/>
      <c r="U38" s="2242"/>
      <c r="V38" s="2663" t="s">
        <v>507</v>
      </c>
      <c r="W38" s="3473" t="s">
        <v>453</v>
      </c>
      <c r="X38" s="3474"/>
      <c r="Y38" s="3473" t="s">
        <v>454</v>
      </c>
      <c r="Z38" s="3480"/>
      <c r="AA38" s="3474"/>
      <c r="AB38" s="3489"/>
      <c r="AC38" s="2663" t="s">
        <v>507</v>
      </c>
      <c r="AD38" s="3473" t="s">
        <v>453</v>
      </c>
      <c r="AE38" s="3474"/>
      <c r="AF38" s="3473" t="s">
        <v>454</v>
      </c>
      <c r="AG38" s="3480"/>
      <c r="AH38" s="3474"/>
      <c r="AI38" s="3489"/>
      <c r="AJ38" s="3492"/>
      <c r="AK38" s="3338"/>
      <c r="AQ38" s="2366">
        <v>34</v>
      </c>
    </row>
    <row customHeight="1" ht="35.699999999999996">
      <c r="A39" s="2581"/>
      <c r="B39" s="2581" t="s">
        <v>155</v>
      </c>
      <c r="C39" s="2581" t="s">
        <v>156</v>
      </c>
      <c r="D39" s="2581" t="s">
        <v>157</v>
      </c>
      <c r="E39" s="2575" t="s">
        <v>455</v>
      </c>
      <c r="F39" s="2575" t="s">
        <v>456</v>
      </c>
      <c r="G39" s="2575" t="s">
        <v>457</v>
      </c>
      <c r="H39" s="2575"/>
      <c r="I39" s="2575" t="s">
        <v>508</v>
      </c>
      <c r="J39" s="2575" t="s">
        <v>460</v>
      </c>
      <c r="K39" s="2575" t="s">
        <v>509</v>
      </c>
      <c r="L39" s="2575" t="s">
        <v>436</v>
      </c>
      <c r="Q39" s="1587"/>
      <c r="R39" s="1587"/>
      <c r="S39" s="3484"/>
      <c r="T39" s="3420"/>
      <c r="U39" s="1513"/>
      <c r="V39" s="2663" t="s">
        <v>510</v>
      </c>
      <c r="W39" s="2433" t="s">
        <v>511</v>
      </c>
      <c r="X39" s="2433" t="s">
        <v>512</v>
      </c>
      <c r="Y39" s="2666" t="s">
        <v>464</v>
      </c>
      <c r="Z39" s="3481" t="s">
        <v>465</v>
      </c>
      <c r="AA39" s="3482"/>
      <c r="AB39" s="3490"/>
      <c r="AC39" s="2663" t="s">
        <v>510</v>
      </c>
      <c r="AD39" s="2433" t="s">
        <v>511</v>
      </c>
      <c r="AE39" s="2433" t="s">
        <v>512</v>
      </c>
      <c r="AF39" s="2666" t="s">
        <v>464</v>
      </c>
      <c r="AG39" s="3481" t="s">
        <v>465</v>
      </c>
      <c r="AH39" s="3482"/>
      <c r="AI39" s="3490"/>
      <c r="AJ39" s="3493"/>
      <c r="AK39" s="3338"/>
      <c r="AQ39" s="2366">
        <v>34</v>
      </c>
    </row>
    <row s="65897" customFormat="1" customHeight="1" ht="0">
      <c r="A40" s="2581"/>
      <c r="B40" s="2581"/>
      <c r="C40" s="2581"/>
      <c r="D40" s="2581"/>
      <c r="E40" s="2581"/>
      <c r="F40" s="2581"/>
      <c r="G40" s="2581"/>
      <c r="H40" s="2581"/>
      <c r="I40" s="2581"/>
      <c r="J40" s="2581"/>
      <c r="K40" s="2581"/>
      <c r="L40" s="2575"/>
      <c r="M40" s="2573"/>
      <c r="N40" s="2573"/>
      <c r="O40" s="2573"/>
      <c r="P40" s="2457"/>
      <c r="Q40" s="2458"/>
      <c r="R40" s="2465">
        <v>1</v>
      </c>
      <c r="S40" s="2488" t="s">
        <v>99</v>
      </c>
      <c r="T40" s="2466" t="s">
        <v>102</v>
      </c>
      <c r="U40" s="2456" t="str">
        <f>OFFSET(U40,0,-1)</f>
        <v>2</v>
      </c>
      <c r="V40" s="2662">
        <f>OFFSET(V40,0,-1)+1</f>
        <v>3</v>
      </c>
      <c r="W40" s="2662">
        <f>OFFSET(W40,0,-1)+1</f>
        <v>4</v>
      </c>
      <c r="X40" s="2662">
        <f>OFFSET(X40,0,-1)+1</f>
        <v>5</v>
      </c>
      <c r="Y40" s="2662">
        <f>OFFSET(Y40,0,-1)+1</f>
        <v>6</v>
      </c>
      <c r="Z40" s="3483">
        <f>OFFSET(Z40,0,-1)+1</f>
        <v>7</v>
      </c>
      <c r="AA40" s="3483"/>
      <c r="AB40" s="2662">
        <f>OFFSET(AB40,0,-2)+1</f>
        <v>8</v>
      </c>
      <c r="AC40" s="2662">
        <f>OFFSET(AC40,0,-1)+1</f>
        <v>9</v>
      </c>
      <c r="AD40" s="2662">
        <f>OFFSET(AD40,0,-1)+1</f>
        <v>10</v>
      </c>
      <c r="AE40" s="2662">
        <f>OFFSET(AE40,0,-1)+1</f>
        <v>11</v>
      </c>
      <c r="AF40" s="2662">
        <f>OFFSET(AF40,0,-1)+1</f>
        <v>12</v>
      </c>
      <c r="AG40" s="3483">
        <f>OFFSET(AG40,0,-1)+1</f>
        <v>13</v>
      </c>
      <c r="AH40" s="3483"/>
      <c r="AI40" s="2662">
        <f>OFFSET(AI40,0,-2)+1</f>
        <v>14</v>
      </c>
      <c r="AJ40" s="2456">
        <f>OFFSET(AJ40,0,-1)</f>
        <v>14</v>
      </c>
      <c r="AK40" s="2662">
        <f>OFFSET(AK40,0,-1)+1</f>
        <v>15</v>
      </c>
      <c r="AL40" s="1722"/>
      <c r="AM40" s="1722"/>
      <c r="AN40" s="1722"/>
      <c r="AO40" s="1722"/>
      <c r="AP40" s="1722"/>
      <c r="AQ40" s="1707">
        <v>0</v>
      </c>
    </row>
    <row customHeight="1" ht="24">
      <c r="A41" s="2574" t="s">
        <v>249</v>
      </c>
      <c r="B41" s="2574"/>
      <c r="C41" s="2574"/>
      <c r="D41" s="2574"/>
      <c r="E41" s="3469">
        <v>1</v>
      </c>
      <c r="F41" s="2574"/>
      <c r="G41" s="2574"/>
      <c r="H41" s="2574"/>
      <c r="I41" s="2574"/>
      <c r="J41" s="2574"/>
      <c r="K41" s="2574"/>
      <c r="L41" s="2575"/>
      <c r="M41" s="2576"/>
      <c r="N41" s="2576"/>
      <c r="O41" s="2576"/>
      <c r="P41" s="1572"/>
      <c r="Q41" s="1571"/>
      <c r="R41" s="1566"/>
      <c r="S41" s="2668">
        <f>INDEX(PT_DIFFERENTIATION_NUM_NTAR,MATCH(A41,PT_DIFFERENTIATION_NTAR_ID,0))</f>
        <v>0</v>
      </c>
      <c r="T41" s="1509" t="s">
        <v>143</v>
      </c>
      <c r="U41" s="1511"/>
      <c r="V41" s="3453"/>
      <c r="W41" s="3454"/>
      <c r="X41" s="3454"/>
      <c r="Y41" s="3454"/>
      <c r="Z41" s="3454"/>
      <c r="AA41" s="3454"/>
      <c r="AB41" s="3455"/>
      <c r="AC41" s="3453" t="str">
        <f>INDEX(PT_DIFFERENTIATION_NTAR,MATCH(A41,PT_DIFFERENTIATION_NTAR_ID,0))</f>
        <v/>
      </c>
      <c r="AD41" s="3454"/>
      <c r="AE41" s="3454"/>
      <c r="AF41" s="3454"/>
      <c r="AG41" s="3454"/>
      <c r="AH41" s="3454"/>
      <c r="AI41" s="3454"/>
      <c r="AJ41" s="3455"/>
      <c r="AK41"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711"/>
      <c r="AN41" s="1711" t="str">
        <f>IF(T41="","",T41)</f>
        <v>Наименование тарифа</v>
      </c>
      <c r="AO41" s="1711"/>
      <c r="AP41" s="1711"/>
      <c r="AQ41" s="2366">
        <v>23</v>
      </c>
    </row>
    <row customHeight="1" ht="24">
      <c r="A42" s="2574" t="s">
        <v>249</v>
      </c>
      <c r="B42" s="2574" t="s">
        <v>250</v>
      </c>
      <c r="C42" s="2574"/>
      <c r="D42" s="2574"/>
      <c r="E42" s="3470"/>
      <c r="F42" s="3469">
        <v>1</v>
      </c>
      <c r="G42" s="2574"/>
      <c r="H42" s="2574"/>
      <c r="I42" s="2574"/>
      <c r="J42" s="2574"/>
      <c r="K42" s="2574"/>
      <c r="L42" s="2575"/>
      <c r="M42" s="2576"/>
      <c r="N42" s="2576"/>
      <c r="O42" s="2576"/>
      <c r="P42" s="2664"/>
      <c r="Q42" s="1563"/>
      <c r="R42" s="1564"/>
      <c r="S42" s="2668" t="str">
        <f>INDEX(PT_DIFFERENTIATION_NUM_TER,MATCH(B42,PT_DIFFERENTIATION_TER_ID,0))</f>
        <v>.</v>
      </c>
      <c r="T42" s="1519" t="s">
        <v>415</v>
      </c>
      <c r="U42" s="1511"/>
      <c r="V42" s="3453"/>
      <c r="W42" s="3454"/>
      <c r="X42" s="3454"/>
      <c r="Y42" s="3454"/>
      <c r="Z42" s="3454"/>
      <c r="AA42" s="3454"/>
      <c r="AB42" s="3455"/>
      <c r="AC42" s="3453" t="str">
        <f>INDEX(PT_DIFFERENTIATION_TER,MATCH(B42,PT_DIFFERENTIATION_TER_ID,0))</f>
        <v/>
      </c>
      <c r="AD42" s="3454"/>
      <c r="AE42" s="3454"/>
      <c r="AF42" s="3454"/>
      <c r="AG42" s="3454"/>
      <c r="AH42" s="3454"/>
      <c r="AI42" s="3454"/>
      <c r="AJ42" s="3455"/>
      <c r="AK42" s="2469" t="s">
        <v>416</v>
      </c>
      <c r="AM42" s="1711"/>
      <c r="AN42" s="1711" t="str">
        <f>IF(T42="","",T42)</f>
        <v>Территория действия тарифа</v>
      </c>
      <c r="AO42" s="1711"/>
      <c r="AP42" s="1711"/>
      <c r="AQ42" s="2366">
        <v>23</v>
      </c>
    </row>
    <row customHeight="1" ht="24">
      <c r="A43" s="2574" t="s">
        <v>249</v>
      </c>
      <c r="B43" s="2574" t="s">
        <v>250</v>
      </c>
      <c r="C43" s="2574" t="s">
        <v>251</v>
      </c>
      <c r="D43" s="2574"/>
      <c r="E43" s="3470"/>
      <c r="F43" s="3470"/>
      <c r="G43" s="3469">
        <v>1</v>
      </c>
      <c r="H43" s="2574"/>
      <c r="I43" s="2574"/>
      <c r="J43" s="2574"/>
      <c r="K43" s="2574"/>
      <c r="L43" s="2575"/>
      <c r="M43" s="2576"/>
      <c r="N43" s="2576"/>
      <c r="O43" s="2576"/>
      <c r="P43" s="1565"/>
      <c r="Q43" s="1563"/>
      <c r="R43" s="1564"/>
      <c r="S43" s="2668" t="str">
        <f>INDEX(PT_DIFFERENTIATION_NUM_CS,MATCH(C43,PT_DIFFERENTIATION_CS_ID,0))</f>
        <v>..</v>
      </c>
      <c r="T43" s="1520" t="s">
        <v>499</v>
      </c>
      <c r="U43" s="1511"/>
      <c r="V43" s="3453"/>
      <c r="W43" s="3454"/>
      <c r="X43" s="3454"/>
      <c r="Y43" s="3454"/>
      <c r="Z43" s="3454"/>
      <c r="AA43" s="3454"/>
      <c r="AB43" s="3455"/>
      <c r="AC43" s="3453" t="str">
        <f>INDEX(PT_DIFFERENTIATION_CS,MATCH(C43,PT_DIFFERENTIATION_CS_ID,0))</f>
        <v/>
      </c>
      <c r="AD43" s="3454"/>
      <c r="AE43" s="3454"/>
      <c r="AF43" s="3454"/>
      <c r="AG43" s="3454"/>
      <c r="AH43" s="3454"/>
      <c r="AI43" s="3454"/>
      <c r="AJ43" s="3455"/>
      <c r="AK43" s="2469" t="s">
        <v>500</v>
      </c>
      <c r="AM43" s="1711"/>
      <c r="AN43" s="1711" t="str">
        <f>IF(T43="","",T43)</f>
        <v>Наименование централизованной системы холодного водоснабжения</v>
      </c>
      <c r="AO43" s="1711"/>
      <c r="AP43" s="1711"/>
      <c r="AQ43" s="2366">
        <v>23</v>
      </c>
    </row>
    <row customHeight="1" ht="24">
      <c r="A44" s="2574" t="s">
        <v>249</v>
      </c>
      <c r="B44" s="2574" t="s">
        <v>250</v>
      </c>
      <c r="C44" s="2574" t="s">
        <v>251</v>
      </c>
      <c r="D44" s="2574" t="s">
        <v>514</v>
      </c>
      <c r="E44" s="3470"/>
      <c r="F44" s="3470"/>
      <c r="G44" s="3470"/>
      <c r="H44" s="3470"/>
      <c r="I44" s="3467" t="str">
        <f>S43&amp;".1"</f>
        <v>...1</v>
      </c>
      <c r="J44" s="2574"/>
      <c r="K44" s="2574"/>
      <c r="L44" s="2575"/>
      <c r="P44" s="3468">
        <v>1</v>
      </c>
      <c r="Q44" s="2661"/>
      <c r="R44" s="1567"/>
      <c r="S44" s="2668" t="str">
        <f>$I44</f>
        <v>...1</v>
      </c>
      <c r="T44" s="1496" t="s">
        <v>501</v>
      </c>
      <c r="U44" s="1511"/>
      <c r="V44" s="3561"/>
      <c r="W44" s="3562"/>
      <c r="X44" s="3562"/>
      <c r="Y44" s="3562"/>
      <c r="Z44" s="3562"/>
      <c r="AA44" s="3562"/>
      <c r="AB44" s="3563"/>
      <c r="AC44" s="3564"/>
      <c r="AD44" s="3565"/>
      <c r="AE44" s="3565"/>
      <c r="AF44" s="3565"/>
      <c r="AG44" s="3565"/>
      <c r="AH44" s="3565"/>
      <c r="AI44" s="3565"/>
      <c r="AJ44" s="3566"/>
      <c r="AK44" s="2469" t="s">
        <v>502</v>
      </c>
      <c r="AM44" s="1711"/>
      <c r="AN44" s="1711" t="str">
        <f>IF(T44="","",T44)</f>
        <v>Наименование признака дифференциации</v>
      </c>
      <c r="AO44" s="1711"/>
      <c r="AP44" s="1711"/>
      <c r="AQ44" s="2366">
        <v>23</v>
      </c>
    </row>
    <row customHeight="1" ht="24">
      <c r="A45" s="2574" t="s">
        <v>249</v>
      </c>
      <c r="B45" s="2574" t="s">
        <v>250</v>
      </c>
      <c r="C45" s="2574" t="s">
        <v>251</v>
      </c>
      <c r="D45" s="2574" t="s">
        <v>514</v>
      </c>
      <c r="E45" s="3470"/>
      <c r="F45" s="3470"/>
      <c r="G45" s="3470"/>
      <c r="H45" s="3470"/>
      <c r="I45" s="3497"/>
      <c r="J45" s="3467" t="str">
        <f>I44&amp;".1"</f>
        <v>...1.1</v>
      </c>
      <c r="K45" s="2574"/>
      <c r="L45" s="2575" t="s">
        <v>424</v>
      </c>
      <c r="P45" s="3468"/>
      <c r="Q45" s="3468">
        <v>1</v>
      </c>
      <c r="R45" s="1568"/>
      <c r="S45" s="2668" t="str">
        <f>$J45</f>
        <v>...1.1</v>
      </c>
      <c r="T45" s="1497" t="s">
        <v>425</v>
      </c>
      <c r="U45" s="1511"/>
      <c r="V45" s="3456"/>
      <c r="W45" s="3457"/>
      <c r="X45" s="3457"/>
      <c r="Y45" s="3457"/>
      <c r="Z45" s="3457"/>
      <c r="AA45" s="3457"/>
      <c r="AB45" s="3458"/>
      <c r="AC45" s="3456"/>
      <c r="AD45" s="3457"/>
      <c r="AE45" s="3457"/>
      <c r="AF45" s="3457"/>
      <c r="AG45" s="3457"/>
      <c r="AH45" s="3457"/>
      <c r="AI45" s="3457"/>
      <c r="AJ45" s="3458"/>
      <c r="AK45" s="2518" t="s">
        <v>503</v>
      </c>
      <c r="AM45" s="1711"/>
      <c r="AN45" s="1711" t="str">
        <f>IF(T45="","",T45)</f>
        <v>Группа потребителей</v>
      </c>
      <c r="AO45" s="1711"/>
      <c r="AP45" s="1711"/>
      <c r="AQ45" s="2366">
        <v>23</v>
      </c>
    </row>
    <row customHeight="1" ht="24">
      <c r="A46" s="2574" t="s">
        <v>249</v>
      </c>
      <c r="B46" s="2574" t="s">
        <v>250</v>
      </c>
      <c r="C46" s="2574" t="s">
        <v>251</v>
      </c>
      <c r="D46" s="2574" t="s">
        <v>514</v>
      </c>
      <c r="E46" s="3470"/>
      <c r="F46" s="3470"/>
      <c r="G46" s="3470"/>
      <c r="H46" s="3470"/>
      <c r="I46" s="3497"/>
      <c r="J46" s="3497"/>
      <c r="K46" s="3467" t="str">
        <f>J45&amp;".1"</f>
        <v>...1.1.1</v>
      </c>
      <c r="L46" s="2575"/>
      <c r="P46" s="3468"/>
      <c r="Q46" s="3468"/>
      <c r="R46" s="1568">
        <v>1</v>
      </c>
      <c r="S46" s="2668" t="str">
        <f>$K46</f>
        <v>...1.1.1</v>
      </c>
      <c r="T46" s="2648"/>
      <c r="U46" s="1511"/>
      <c r="V46" s="1962"/>
      <c r="W46" s="1962"/>
      <c r="X46" s="2468"/>
      <c r="Y46" s="3476"/>
      <c r="Z46" s="3318" t="s">
        <v>62</v>
      </c>
      <c r="AA46" s="3476"/>
      <c r="AB46" s="3318" t="s">
        <v>62</v>
      </c>
      <c r="AC46" s="1962"/>
      <c r="AD46" s="1962"/>
      <c r="AE46" s="2468"/>
      <c r="AF46" s="3476"/>
      <c r="AG46" s="3318" t="s">
        <v>62</v>
      </c>
      <c r="AH46" s="3498"/>
      <c r="AI46" s="3318" t="s">
        <v>62</v>
      </c>
      <c r="AJ46" s="2649"/>
      <c r="AK46"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1722">
        <f>STRCHECKDATE(V47:AJ47)</f>
      </c>
      <c r="AM46" s="1711"/>
      <c r="AN46" s="1711" t="str">
        <f>IF(T46="","",T46)</f>
        <v/>
      </c>
      <c r="AO46" s="1711"/>
      <c r="AP46" s="1711"/>
      <c r="AQ46" s="2366">
        <v>23</v>
      </c>
    </row>
    <row customHeight="1" ht="0">
      <c r="A47" s="2574" t="s">
        <v>249</v>
      </c>
      <c r="B47" s="2574" t="s">
        <v>250</v>
      </c>
      <c r="C47" s="2574" t="s">
        <v>251</v>
      </c>
      <c r="D47" s="2574" t="s">
        <v>514</v>
      </c>
      <c r="E47" s="3470"/>
      <c r="F47" s="3470"/>
      <c r="G47" s="3470"/>
      <c r="H47" s="3470"/>
      <c r="I47" s="3497"/>
      <c r="J47" s="3497"/>
      <c r="K47" s="3467"/>
      <c r="L47" s="2575"/>
      <c r="P47" s="3468"/>
      <c r="Q47" s="3468"/>
      <c r="R47" s="1568"/>
      <c r="S47" s="2667"/>
      <c r="T47" s="1511"/>
      <c r="U47" s="1511"/>
      <c r="V47" s="1536"/>
      <c r="W47" s="1536"/>
      <c r="X47" s="1539" t="str">
        <f>Y46&amp;"-"&amp;AA46</f>
        <v>-</v>
      </c>
      <c r="Y47" s="3477"/>
      <c r="Z47" s="3318"/>
      <c r="AA47" s="3477"/>
      <c r="AB47" s="3318"/>
      <c r="AC47" s="1536"/>
      <c r="AD47" s="1536"/>
      <c r="AE47" s="1539" t="str">
        <f>AF46&amp;"-"&amp;AH46</f>
        <v>-</v>
      </c>
      <c r="AF47" s="3477"/>
      <c r="AG47" s="3318"/>
      <c r="AH47" s="3499"/>
      <c r="AI47" s="3318"/>
      <c r="AJ47" s="2650"/>
      <c r="AK47" s="3560"/>
      <c r="AM47" s="1711"/>
      <c r="AN47" s="1711" t="str">
        <f>IF(T47="","",T47)</f>
        <v/>
      </c>
      <c r="AO47" s="1711"/>
      <c r="AP47" s="1711"/>
      <c r="AQ47" s="2366">
        <v>0</v>
      </c>
    </row>
    <row customHeight="1" ht="21">
      <c r="A48" s="2574" t="s">
        <v>249</v>
      </c>
      <c r="B48" s="2574" t="s">
        <v>250</v>
      </c>
      <c r="C48" s="2574" t="s">
        <v>251</v>
      </c>
      <c r="D48" s="2574" t="s">
        <v>514</v>
      </c>
      <c r="E48" s="3470"/>
      <c r="F48" s="3470"/>
      <c r="G48" s="3470"/>
      <c r="H48" s="3470"/>
      <c r="I48" s="3497"/>
      <c r="J48" s="3467"/>
      <c r="K48" s="2574"/>
      <c r="L48" s="2575"/>
      <c r="P48" s="3468"/>
      <c r="Q48" s="3468"/>
      <c r="R48" s="1567"/>
      <c r="S48" s="2489"/>
      <c r="T48" s="1498" t="s">
        <v>504</v>
      </c>
      <c r="U48" s="1578"/>
      <c r="V48" s="1578"/>
      <c r="W48" s="1578"/>
      <c r="X48" s="1578"/>
      <c r="Y48" s="1578"/>
      <c r="Z48" s="1578"/>
      <c r="AA48" s="1578"/>
      <c r="AB48" s="1578"/>
      <c r="AC48" s="1578"/>
      <c r="AD48" s="1578"/>
      <c r="AE48" s="1578"/>
      <c r="AF48" s="1578"/>
      <c r="AG48" s="1578"/>
      <c r="AH48" s="1578"/>
      <c r="AI48" s="1578"/>
      <c r="AJ48" s="1578"/>
      <c r="AK48" s="2469" t="s">
        <v>505</v>
      </c>
      <c r="AM48" s="1711"/>
      <c r="AN48" s="1711" t="str">
        <f>IF(T48="","",T48)</f>
        <v>Добавить значение признака дифференциации</v>
      </c>
      <c r="AO48" s="1711"/>
      <c r="AP48" s="1711"/>
      <c r="AQ48" s="2366">
        <v>20</v>
      </c>
    </row>
    <row customHeight="1" ht="22.049999999999997">
      <c r="A49" s="2574" t="s">
        <v>249</v>
      </c>
      <c r="B49" s="2574" t="s">
        <v>250</v>
      </c>
      <c r="C49" s="2574" t="s">
        <v>251</v>
      </c>
      <c r="D49" s="2574" t="s">
        <v>514</v>
      </c>
      <c r="E49" s="3470"/>
      <c r="F49" s="3470"/>
      <c r="G49" s="3470"/>
      <c r="H49" s="3470"/>
      <c r="I49" s="3467"/>
      <c r="J49" s="2574"/>
      <c r="K49" s="2574"/>
      <c r="L49" s="2575"/>
      <c r="P49" s="3468"/>
      <c r="Q49" s="2661"/>
      <c r="R49" s="1567"/>
      <c r="S49" s="2489"/>
      <c r="T49" s="1576" t="s">
        <v>430</v>
      </c>
      <c r="U49" s="1578"/>
      <c r="V49" s="1578"/>
      <c r="W49" s="1578"/>
      <c r="X49" s="1578"/>
      <c r="Y49" s="1578"/>
      <c r="Z49" s="1578"/>
      <c r="AA49" s="1578"/>
      <c r="AB49" s="1577"/>
      <c r="AC49" s="1578"/>
      <c r="AD49" s="1578"/>
      <c r="AE49" s="1578"/>
      <c r="AF49" s="1578"/>
      <c r="AG49" s="1578"/>
      <c r="AH49" s="1578"/>
      <c r="AI49" s="1577"/>
      <c r="AJ49" s="1578"/>
      <c r="AK49" s="2651"/>
      <c r="AM49" s="1711"/>
      <c r="AN49" s="1711" t="str">
        <f>IF(T49="","",T49)</f>
        <v>Добавить группу потребителей</v>
      </c>
      <c r="AO49" s="1711"/>
      <c r="AP49" s="1711"/>
      <c r="AQ49" s="2366">
        <v>21</v>
      </c>
    </row>
    <row customHeight="1" ht="22.049999999999997">
      <c r="A50" s="2574" t="s">
        <v>249</v>
      </c>
      <c r="B50" s="2574" t="s">
        <v>250</v>
      </c>
      <c r="C50" s="2574" t="s">
        <v>251</v>
      </c>
      <c r="D50" s="2574" t="s">
        <v>514</v>
      </c>
      <c r="E50" s="3470"/>
      <c r="F50" s="3470"/>
      <c r="G50" s="3470"/>
      <c r="H50" s="3469"/>
      <c r="I50" s="2574"/>
      <c r="J50" s="2574"/>
      <c r="K50" s="2574"/>
      <c r="L50" s="2575"/>
      <c r="M50" s="2576"/>
      <c r="N50" s="2576"/>
      <c r="O50" s="1748"/>
      <c r="P50" s="1571"/>
      <c r="Q50" s="1586"/>
      <c r="R50" s="1566"/>
      <c r="S50" s="2489"/>
      <c r="T50" s="1583" t="s">
        <v>506</v>
      </c>
      <c r="U50" s="1578"/>
      <c r="V50" s="1578"/>
      <c r="W50" s="1578"/>
      <c r="X50" s="1578"/>
      <c r="Y50" s="1578"/>
      <c r="Z50" s="1578"/>
      <c r="AA50" s="1578"/>
      <c r="AB50" s="1577"/>
      <c r="AC50" s="1578"/>
      <c r="AD50" s="1578"/>
      <c r="AE50" s="1578"/>
      <c r="AF50" s="1578"/>
      <c r="AG50" s="1578"/>
      <c r="AH50" s="1578"/>
      <c r="AI50" s="1577"/>
      <c r="AJ50" s="1578"/>
      <c r="AK50" s="1514"/>
      <c r="AM50" s="1711"/>
      <c r="AN50" s="1711" t="str">
        <f>IF(T50="","",T50)</f>
        <v>Добавить наименование признака дифференциации</v>
      </c>
      <c r="AO50" s="1711"/>
      <c r="AP50" s="1711"/>
      <c r="AQ50" s="2366">
        <v>21</v>
      </c>
    </row>
    <row s="65923" customFormat="1" customHeight="1" ht="0">
      <c r="A51" s="2554" t="s">
        <v>249</v>
      </c>
      <c r="B51" s="2554" t="s">
        <v>250</v>
      </c>
      <c r="C51" s="2525"/>
      <c r="D51" s="2525"/>
      <c r="E51" s="3470"/>
      <c r="F51" s="3469"/>
      <c r="G51" s="2525"/>
      <c r="H51" s="2525"/>
      <c r="I51" s="2525"/>
      <c r="J51" s="2525"/>
      <c r="K51" s="2525"/>
      <c r="L51" s="2669"/>
      <c r="M51" s="2532"/>
      <c r="N51" s="2532"/>
      <c r="P51" s="2527"/>
      <c r="Q51" s="2528"/>
      <c r="R51" s="2527"/>
      <c r="S51" s="2533"/>
      <c r="T51" s="2536" t="s">
        <v>433</v>
      </c>
      <c r="U51" s="2535"/>
      <c r="V51" s="2535"/>
      <c r="W51" s="2535"/>
      <c r="X51" s="2535"/>
      <c r="Y51" s="2535"/>
      <c r="Z51" s="2535"/>
      <c r="AA51" s="2535"/>
      <c r="AB51" s="2535"/>
      <c r="AC51" s="2535"/>
      <c r="AD51" s="2535"/>
      <c r="AE51" s="2535"/>
      <c r="AF51" s="2535"/>
      <c r="AG51" s="2535"/>
      <c r="AH51" s="2535"/>
      <c r="AI51" s="2535"/>
      <c r="AJ51" s="2535"/>
      <c r="AK51" s="2535"/>
      <c r="AM51" s="2000"/>
      <c r="AN51" s="2000" t="str">
        <f>IF(T51="","",T51)</f>
        <v>Добавить централизованную систему для дифференциации</v>
      </c>
      <c r="AO51" s="2000"/>
      <c r="AP51" s="2000"/>
      <c r="AQ51" s="1729">
        <v>0</v>
      </c>
    </row>
    <row s="65923" customFormat="1" customHeight="1" ht="0">
      <c r="A52" s="2554" t="s">
        <v>249</v>
      </c>
      <c r="B52" s="2554"/>
      <c r="C52" s="2554"/>
      <c r="D52" s="2554"/>
      <c r="E52" s="3469"/>
      <c r="F52" s="2554"/>
      <c r="G52" s="2554"/>
      <c r="H52" s="2554"/>
      <c r="I52" s="2554"/>
      <c r="J52" s="2554"/>
      <c r="K52" s="2554"/>
      <c r="L52" s="2557"/>
      <c r="M52" s="2532"/>
      <c r="N52" s="2532"/>
      <c r="O52" s="1729"/>
      <c r="P52" s="1591"/>
      <c r="Q52" s="2555"/>
      <c r="R52" s="1591"/>
      <c r="S52" s="2533"/>
      <c r="T52" s="2536" t="s">
        <v>434</v>
      </c>
      <c r="U52" s="2535"/>
      <c r="V52" s="2535"/>
      <c r="W52" s="2535"/>
      <c r="X52" s="2535"/>
      <c r="Y52" s="2535"/>
      <c r="Z52" s="2535"/>
      <c r="AA52" s="2535"/>
      <c r="AB52" s="2535"/>
      <c r="AC52" s="2535"/>
      <c r="AD52" s="2535"/>
      <c r="AE52" s="2535"/>
      <c r="AF52" s="2535"/>
      <c r="AG52" s="2535"/>
      <c r="AH52" s="2535"/>
      <c r="AI52" s="2535"/>
      <c r="AJ52" s="2535"/>
      <c r="AK52" s="2535"/>
      <c r="AM52" s="1711"/>
      <c r="AN52" s="1711" t="str">
        <f>IF(T52="","",T52)</f>
        <v>Добавить территорию для дифференциации</v>
      </c>
      <c r="AO52" s="1711"/>
      <c r="AP52" s="1711"/>
      <c r="AQ52" s="1722">
        <v>0</v>
      </c>
    </row>
    <row s="65923" customFormat="1" customHeight="1" ht="0">
      <c r="A53" s="2525"/>
      <c r="B53" s="2525"/>
      <c r="C53" s="2525"/>
      <c r="D53" s="2525"/>
      <c r="E53" s="2554"/>
      <c r="F53" s="2525"/>
      <c r="G53" s="2525"/>
      <c r="H53" s="2525"/>
      <c r="I53" s="2525"/>
      <c r="J53" s="2525"/>
      <c r="K53" s="2525"/>
      <c r="L53" s="2669"/>
      <c r="M53" s="2532"/>
      <c r="N53" s="2532"/>
      <c r="P53" s="2527"/>
      <c r="Q53" s="2528"/>
      <c r="R53" s="2527"/>
      <c r="S53" s="2533"/>
      <c r="T53" s="2536" t="s">
        <v>466</v>
      </c>
      <c r="U53" s="2535"/>
      <c r="V53" s="2535"/>
      <c r="W53" s="2535"/>
      <c r="X53" s="2535"/>
      <c r="Y53" s="2535"/>
      <c r="Z53" s="2535"/>
      <c r="AA53" s="2535"/>
      <c r="AB53" s="2535"/>
      <c r="AC53" s="2535"/>
      <c r="AD53" s="2535"/>
      <c r="AE53" s="2535"/>
      <c r="AF53" s="2535"/>
      <c r="AG53" s="2535"/>
      <c r="AH53" s="2535"/>
      <c r="AI53" s="2535"/>
      <c r="AJ53" s="2535"/>
      <c r="AK53" s="2535"/>
      <c r="AM53" s="2000"/>
      <c r="AN53" s="2000" t="str">
        <f>IF(T53="","",T53)</f>
        <v>Добавить наименование тарифа</v>
      </c>
      <c r="AO53" s="2000"/>
      <c r="AP53" s="2000"/>
      <c r="AQ53" s="1729">
        <v>0</v>
      </c>
    </row>
    <row customHeight="1" ht="11.549999999999999">
      <c r="M54" s="2371"/>
      <c r="N54" s="2371"/>
      <c r="O54" s="1748"/>
      <c r="P54" s="2366"/>
      <c r="Q54" s="2366"/>
      <c r="R54" s="2366"/>
      <c r="S54" s="2366"/>
      <c r="AL54" s="2366"/>
      <c r="AM54" s="2366"/>
      <c r="AN54" s="2366"/>
      <c r="AO54" s="2366"/>
      <c r="AP54" s="2366"/>
      <c r="AQ54" s="2366">
        <v>11</v>
      </c>
    </row>
    <row customHeight="1" ht="14.699999999999998">
      <c r="O55" s="1748"/>
      <c r="S55" s="2464"/>
      <c r="T55" s="3496"/>
      <c r="U55" s="3496"/>
      <c r="V55" s="3496"/>
      <c r="W55" s="3496"/>
      <c r="X55" s="3496"/>
      <c r="Y55" s="3496"/>
      <c r="Z55" s="3496"/>
      <c r="AA55" s="3496"/>
      <c r="AB55" s="3496"/>
      <c r="AC55" s="3496"/>
      <c r="AD55" s="3496"/>
      <c r="AE55" s="3496"/>
      <c r="AF55" s="3496"/>
      <c r="AG55" s="3496"/>
      <c r="AH55" s="3496"/>
      <c r="AI55" s="3496"/>
      <c r="AJ55" s="3496"/>
      <c r="AK55" s="3496"/>
      <c r="AQ55" s="2366">
        <v>14</v>
      </c>
    </row>
    <row customHeight="1" ht="14.699999999999998">
      <c r="O56" s="1748"/>
      <c r="AQ56" s="2366">
        <v>14</v>
      </c>
    </row>
    <row customHeight="1" ht="14.699999999999998">
      <c r="O57" s="1748"/>
      <c r="S57" s="2464"/>
      <c r="T57" s="3496"/>
      <c r="U57" s="3496"/>
      <c r="V57" s="3496"/>
      <c r="W57" s="3496"/>
      <c r="X57" s="3496"/>
      <c r="Y57" s="3496"/>
      <c r="Z57" s="3496"/>
      <c r="AA57" s="3496"/>
      <c r="AB57" s="3496"/>
      <c r="AC57" s="3496"/>
      <c r="AD57" s="3496"/>
      <c r="AE57" s="3496"/>
      <c r="AF57" s="3496"/>
      <c r="AG57" s="3496"/>
      <c r="AH57" s="3496"/>
      <c r="AI57" s="3496"/>
      <c r="AJ57" s="3496"/>
      <c r="AK57" s="3496"/>
      <c r="AQ57" s="2366">
        <v>14</v>
      </c>
    </row>
    <row customHeight="1" ht="22.5" hidden="1">
      <c r="A58" s="2371" t="s">
        <v>82</v>
      </c>
      <c r="B58" s="2371">
        <v>0</v>
      </c>
      <c r="C58" s="2371">
        <v>0</v>
      </c>
      <c r="D58" s="2371">
        <v>0</v>
      </c>
      <c r="E58" s="2371">
        <v>0</v>
      </c>
      <c r="F58" s="2371">
        <v>0</v>
      </c>
      <c r="G58" s="2371">
        <v>0</v>
      </c>
      <c r="H58" s="2371">
        <v>0</v>
      </c>
      <c r="I58" s="2371">
        <v>0</v>
      </c>
      <c r="J58" s="2371">
        <v>0</v>
      </c>
      <c r="K58" s="2371">
        <v>0</v>
      </c>
      <c r="L58" s="2658">
        <v>0</v>
      </c>
      <c r="M58" s="2573">
        <v>0</v>
      </c>
      <c r="N58" s="2573">
        <v>0</v>
      </c>
      <c r="O58" s="2573">
        <v>0</v>
      </c>
      <c r="P58" s="2657">
        <v>3</v>
      </c>
      <c r="Q58" s="1555">
        <v>3</v>
      </c>
      <c r="R58" s="1555">
        <v>3</v>
      </c>
      <c r="S58" s="1792">
        <v>12</v>
      </c>
      <c r="T58" s="2366">
        <v>35</v>
      </c>
      <c r="U58" s="2366">
        <v>0</v>
      </c>
      <c r="V58" s="2366">
        <v>0</v>
      </c>
      <c r="W58" s="2366">
        <v>0</v>
      </c>
      <c r="X58" s="2366">
        <v>0</v>
      </c>
      <c r="Y58" s="2366">
        <v>0</v>
      </c>
      <c r="Z58" s="2366">
        <v>0</v>
      </c>
      <c r="AA58" s="2366">
        <v>0</v>
      </c>
      <c r="AB58" s="2366">
        <v>0</v>
      </c>
      <c r="AC58" s="2366">
        <v>24</v>
      </c>
      <c r="AD58" s="2366">
        <v>24</v>
      </c>
      <c r="AE58" s="2366">
        <v>24</v>
      </c>
      <c r="AF58" s="2366">
        <v>11</v>
      </c>
      <c r="AG58" s="2366">
        <v>3</v>
      </c>
      <c r="AH58" s="2366">
        <v>11</v>
      </c>
      <c r="AI58" s="2366">
        <v>0</v>
      </c>
      <c r="AJ58" s="2366">
        <v>4</v>
      </c>
      <c r="AK58" s="2366">
        <v>115</v>
      </c>
      <c r="AL58" s="1722">
        <v>10</v>
      </c>
      <c r="AM58" s="1722">
        <v>10</v>
      </c>
      <c r="AN58" s="1722">
        <v>10</v>
      </c>
      <c r="AO58" s="1722">
        <v>10</v>
      </c>
      <c r="AP58" s="1722">
        <v>10</v>
      </c>
      <c r="AQ58" s="236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22BD3-DFEE-0E95-2B95-46B6775065A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4" style="66903" width="24.7109375" hidden="1" customWidth="1"/>
    <col min="25" max="25" style="66903" width="11.7109375" hidden="1" customWidth="1"/>
    <col min="26" max="26" style="66903" width="3.7109375" hidden="1" customWidth="1"/>
    <col min="27" max="27" style="66903" width="11.7109375" hidden="1" customWidth="1"/>
    <col min="28" max="28" style="66903" width="8.57421875" hidden="1" customWidth="1"/>
    <col min="29" max="29" style="66903" width="24.7109375" customWidth="1"/>
    <col min="30" max="31" style="66903" width="24.00390625" customWidth="1"/>
    <col min="32" max="32" style="66903" width="11.00390625" customWidth="1"/>
    <col min="33" max="33" style="66903" width="3.7109375" customWidth="1"/>
    <col min="34" max="34" style="66903" width="11.00390625" customWidth="1"/>
    <col min="35" max="35" style="66903" width="8.57421875" hidden="1" customWidth="1"/>
    <col min="36" max="36" style="66903" width="4.00390625" customWidth="1"/>
    <col min="37" max="37" style="66903" width="115.00390625" customWidth="1"/>
    <col min="38" max="42" style="65923" width="10.00390625" customWidth="1"/>
    <col min="43" max="43" style="66903" width="10.57421875" hidden="1"/>
  </cols>
  <sheetData>
    <row customHeight="1" ht="22.5" hidden="1">
      <c r="X1" s="1538"/>
      <c r="Y1" s="1538"/>
      <c r="AE1" s="1538"/>
      <c r="AF1" s="1538"/>
      <c r="AQ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668">
        <f>INDEX(PT_DIFFERENTIATION_NUM_NTAR,MATCH(A2,PT_DIFFERENTIATION_NTAR_ID,0))</f>
      </c>
      <c r="T2" s="1509" t="s">
        <v>143</v>
      </c>
      <c r="U2" s="1511"/>
      <c r="V2" s="3453"/>
      <c r="W2" s="3454"/>
      <c r="X2" s="3454"/>
      <c r="Y2" s="3454"/>
      <c r="Z2" s="3454"/>
      <c r="AA2" s="3454"/>
      <c r="AB2" s="3455"/>
      <c r="AC2" s="3453">
        <f>INDEX(PT_DIFFERENTIATION_NTAR,MATCH(A2,PT_DIFFERENTIATION_NTAR_ID,0))</f>
      </c>
      <c r="AD2" s="3454"/>
      <c r="AE2" s="3454"/>
      <c r="AF2" s="3454"/>
      <c r="AG2" s="3454"/>
      <c r="AH2" s="3454"/>
      <c r="AI2" s="3454"/>
      <c r="AJ2" s="3455"/>
      <c r="AK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711"/>
      <c r="AN2" s="1711" t="str">
        <f>IF(T2="","",T2)</f>
        <v>Наименование тарифа</v>
      </c>
      <c r="AO2" s="1711"/>
      <c r="AP2" s="1711"/>
      <c r="AQ2" s="2366">
        <v>0</v>
      </c>
    </row>
    <row customHeight="1" ht="23.25" hidden="1">
      <c r="A3" s="2574"/>
      <c r="B3" s="2574"/>
      <c r="C3" s="2574"/>
      <c r="D3" s="2574"/>
      <c r="E3" s="3470"/>
      <c r="F3" s="3469">
        <v>1</v>
      </c>
      <c r="G3" s="2574"/>
      <c r="H3" s="2574"/>
      <c r="I3" s="2574"/>
      <c r="J3" s="2574"/>
      <c r="K3" s="2574"/>
      <c r="L3" s="2575"/>
      <c r="M3" s="2576"/>
      <c r="N3" s="2576"/>
      <c r="O3" s="2576"/>
      <c r="P3" s="2664"/>
      <c r="Q3" s="1563"/>
      <c r="R3" s="1564"/>
      <c r="S3" s="2668">
        <f>INDEX(PT_DIFFERENTIATION_NUM_TER,MATCH(B3,PT_DIFFERENTIATION_TER_ID,0))</f>
      </c>
      <c r="T3" s="1519" t="s">
        <v>415</v>
      </c>
      <c r="U3" s="1511"/>
      <c r="V3" s="3453"/>
      <c r="W3" s="3454"/>
      <c r="X3" s="3454"/>
      <c r="Y3" s="3454"/>
      <c r="Z3" s="3454"/>
      <c r="AA3" s="3454"/>
      <c r="AB3" s="3455"/>
      <c r="AC3" s="3453">
        <f>INDEX(PT_DIFFERENTIATION_TER,MATCH(B3,PT_DIFFERENTIATION_TER_ID,0))</f>
      </c>
      <c r="AD3" s="3454"/>
      <c r="AE3" s="3454"/>
      <c r="AF3" s="3454"/>
      <c r="AG3" s="3454"/>
      <c r="AH3" s="3454"/>
      <c r="AI3" s="3454"/>
      <c r="AJ3" s="3455"/>
      <c r="AK3" s="2469" t="s">
        <v>416</v>
      </c>
      <c r="AM3" s="1711"/>
      <c r="AN3" s="1711" t="str">
        <f>IF(T3="","",T3)</f>
        <v>Территория действия тарифа</v>
      </c>
      <c r="AO3" s="1711"/>
      <c r="AP3" s="1711"/>
      <c r="AQ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668">
        <f>INDEX(PT_DIFFERENTIATION_NUM_CS,MATCH(C4,PT_DIFFERENTIATION_CS_ID,0))</f>
      </c>
      <c r="T4" s="1520" t="s">
        <v>499</v>
      </c>
      <c r="U4" s="1511"/>
      <c r="V4" s="3453"/>
      <c r="W4" s="3454"/>
      <c r="X4" s="3454"/>
      <c r="Y4" s="3454"/>
      <c r="Z4" s="3454"/>
      <c r="AA4" s="3454"/>
      <c r="AB4" s="3455"/>
      <c r="AC4" s="3453">
        <f>INDEX(PT_DIFFERENTIATION_CS,MATCH(C4,PT_DIFFERENTIATION_CS_ID,0))</f>
      </c>
      <c r="AD4" s="3454"/>
      <c r="AE4" s="3454"/>
      <c r="AF4" s="3454"/>
      <c r="AG4" s="3454"/>
      <c r="AH4" s="3454"/>
      <c r="AI4" s="3454"/>
      <c r="AJ4" s="3455"/>
      <c r="AK4" s="2469" t="s">
        <v>500</v>
      </c>
      <c r="AM4" s="1711"/>
      <c r="AN4" s="1711" t="str">
        <f>IF(T4="","",T4)</f>
        <v>Наименование централизованной системы холодного водоснабжения</v>
      </c>
      <c r="AO4" s="1711"/>
      <c r="AP4" s="1711"/>
      <c r="AQ4" s="2366">
        <v>0</v>
      </c>
    </row>
    <row customHeight="1" ht="23.25" hidden="1">
      <c r="A5" s="2574"/>
      <c r="B5" s="2574"/>
      <c r="C5" s="2574"/>
      <c r="D5" s="2574"/>
      <c r="E5" s="3470"/>
      <c r="F5" s="3470"/>
      <c r="G5" s="3470"/>
      <c r="H5" s="3470"/>
      <c r="I5" s="3467">
        <f>S4&amp;".1"</f>
      </c>
      <c r="J5" s="2574"/>
      <c r="K5" s="2574"/>
      <c r="L5" s="2575"/>
      <c r="P5" s="3468">
        <v>1</v>
      </c>
      <c r="Q5" s="2661"/>
      <c r="R5" s="1567"/>
      <c r="S5" s="2668">
        <f>$I5</f>
      </c>
      <c r="T5" s="1496" t="s">
        <v>501</v>
      </c>
      <c r="U5" s="1511"/>
      <c r="V5" s="3561"/>
      <c r="W5" s="3562"/>
      <c r="X5" s="3562"/>
      <c r="Y5" s="3562"/>
      <c r="Z5" s="3562"/>
      <c r="AA5" s="3562"/>
      <c r="AB5" s="3563"/>
      <c r="AC5" s="3564"/>
      <c r="AD5" s="3565"/>
      <c r="AE5" s="3565"/>
      <c r="AF5" s="3565"/>
      <c r="AG5" s="3565"/>
      <c r="AH5" s="3565"/>
      <c r="AI5" s="3565"/>
      <c r="AJ5" s="3566"/>
      <c r="AK5" s="2469" t="s">
        <v>502</v>
      </c>
      <c r="AM5" s="1711"/>
      <c r="AN5" s="1711" t="str">
        <f>IF(T5="","",T5)</f>
        <v>Наименование признака дифференциации</v>
      </c>
      <c r="AO5" s="1711"/>
      <c r="AP5" s="1711"/>
      <c r="AQ5" s="2366">
        <v>0</v>
      </c>
    </row>
    <row customHeight="1" ht="23.25" hidden="1">
      <c r="A6" s="2574"/>
      <c r="B6" s="2574"/>
      <c r="C6" s="2574"/>
      <c r="D6" s="2574"/>
      <c r="E6" s="3470"/>
      <c r="F6" s="3470"/>
      <c r="G6" s="3470"/>
      <c r="H6" s="3470"/>
      <c r="I6" s="3497"/>
      <c r="J6" s="3467">
        <f>I5&amp;".1"</f>
      </c>
      <c r="K6" s="2574"/>
      <c r="L6" s="2575" t="s">
        <v>424</v>
      </c>
      <c r="P6" s="3468"/>
      <c r="Q6" s="3468">
        <v>1</v>
      </c>
      <c r="R6" s="1568"/>
      <c r="S6" s="2668">
        <f>$J6</f>
      </c>
      <c r="T6" s="1497" t="s">
        <v>425</v>
      </c>
      <c r="U6" s="1511"/>
      <c r="V6" s="3456"/>
      <c r="W6" s="3457"/>
      <c r="X6" s="3457"/>
      <c r="Y6" s="3457"/>
      <c r="Z6" s="3457"/>
      <c r="AA6" s="3457"/>
      <c r="AB6" s="3458"/>
      <c r="AC6" s="3456"/>
      <c r="AD6" s="3457"/>
      <c r="AE6" s="3457"/>
      <c r="AF6" s="3457"/>
      <c r="AG6" s="3457"/>
      <c r="AH6" s="3457"/>
      <c r="AI6" s="3457"/>
      <c r="AJ6" s="3458"/>
      <c r="AK6" s="2518" t="s">
        <v>503</v>
      </c>
      <c r="AM6" s="1711"/>
      <c r="AN6" s="1711" t="str">
        <f>IF(T6="","",T6)</f>
        <v>Группа потребителей</v>
      </c>
      <c r="AO6" s="1711"/>
      <c r="AP6" s="1711"/>
      <c r="AQ6" s="2366">
        <v>0</v>
      </c>
    </row>
    <row customHeight="1" ht="23.25" hidden="1">
      <c r="A7" s="2574"/>
      <c r="B7" s="2574"/>
      <c r="C7" s="2574"/>
      <c r="D7" s="2574"/>
      <c r="E7" s="3470"/>
      <c r="F7" s="3470"/>
      <c r="G7" s="3470"/>
      <c r="H7" s="3470"/>
      <c r="I7" s="3497"/>
      <c r="J7" s="3497"/>
      <c r="K7" s="3467">
        <f>J6&amp;".1"</f>
      </c>
      <c r="L7" s="2575"/>
      <c r="P7" s="3468"/>
      <c r="Q7" s="3468"/>
      <c r="R7" s="1568">
        <v>1</v>
      </c>
      <c r="S7" s="2668">
        <f>$K7</f>
      </c>
      <c r="T7" s="2648"/>
      <c r="U7" s="1511"/>
      <c r="V7" s="1962"/>
      <c r="W7" s="1962"/>
      <c r="X7" s="2468"/>
      <c r="Y7" s="3476"/>
      <c r="Z7" s="3318" t="s">
        <v>62</v>
      </c>
      <c r="AA7" s="3476"/>
      <c r="AB7" s="3318" t="s">
        <v>62</v>
      </c>
      <c r="AC7" s="1962"/>
      <c r="AD7" s="1962"/>
      <c r="AE7" s="2468"/>
      <c r="AF7" s="3476"/>
      <c r="AG7" s="3318" t="s">
        <v>62</v>
      </c>
      <c r="AH7" s="3498"/>
      <c r="AI7" s="3318" t="s">
        <v>62</v>
      </c>
      <c r="AJ7" s="2649"/>
      <c r="AK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1722">
        <f>STRCHECKDATE(V8:AJ8)</f>
      </c>
      <c r="AM7" s="1711"/>
      <c r="AN7" s="1711" t="str">
        <f>IF(T7="","",T7)</f>
        <v/>
      </c>
      <c r="AO7" s="1711"/>
      <c r="AP7" s="1711"/>
      <c r="AQ7" s="2366">
        <v>0</v>
      </c>
    </row>
    <row customHeight="1" ht="14.25" hidden="1">
      <c r="A8" s="2574"/>
      <c r="B8" s="2574"/>
      <c r="C8" s="2574"/>
      <c r="D8" s="2574"/>
      <c r="E8" s="3470"/>
      <c r="F8" s="3470"/>
      <c r="G8" s="3470"/>
      <c r="H8" s="3470"/>
      <c r="I8" s="3497"/>
      <c r="J8" s="3497"/>
      <c r="K8" s="3467"/>
      <c r="L8" s="2575"/>
      <c r="P8" s="3468"/>
      <c r="Q8" s="3468"/>
      <c r="R8" s="1568"/>
      <c r="S8" s="2667"/>
      <c r="T8" s="1511"/>
      <c r="U8" s="1511"/>
      <c r="V8" s="1536"/>
      <c r="W8" s="1536"/>
      <c r="X8" s="1539" t="str">
        <f>Y7&amp;"-"&amp;AA7</f>
        <v>-</v>
      </c>
      <c r="Y8" s="3477"/>
      <c r="Z8" s="3318"/>
      <c r="AA8" s="3477"/>
      <c r="AB8" s="3318"/>
      <c r="AC8" s="1536"/>
      <c r="AD8" s="1536"/>
      <c r="AE8" s="1539" t="str">
        <f>AF7&amp;"-"&amp;AH7</f>
        <v>-</v>
      </c>
      <c r="AF8" s="3477"/>
      <c r="AG8" s="3318"/>
      <c r="AH8" s="3499"/>
      <c r="AI8" s="3318"/>
      <c r="AJ8" s="2650"/>
      <c r="AK8" s="3560"/>
      <c r="AM8" s="1711"/>
      <c r="AN8" s="1711" t="str">
        <f>IF(T8="","",T8)</f>
        <v/>
      </c>
      <c r="AO8" s="1711"/>
      <c r="AP8" s="1711"/>
      <c r="AQ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578"/>
      <c r="X9" s="1578"/>
      <c r="Y9" s="1578"/>
      <c r="Z9" s="1578"/>
      <c r="AA9" s="1578"/>
      <c r="AB9" s="1578"/>
      <c r="AC9" s="1578"/>
      <c r="AD9" s="1578"/>
      <c r="AE9" s="1578"/>
      <c r="AF9" s="1578"/>
      <c r="AG9" s="1578"/>
      <c r="AH9" s="1578"/>
      <c r="AI9" s="1578"/>
      <c r="AJ9" s="1578"/>
      <c r="AK9" s="2469" t="s">
        <v>505</v>
      </c>
      <c r="AM9" s="1711"/>
      <c r="AN9" s="1711" t="str">
        <f>IF(T9="","",T9)</f>
        <v>Добавить значение признака дифференциации</v>
      </c>
      <c r="AO9" s="1711"/>
      <c r="AP9" s="1711"/>
      <c r="AQ9" s="2366">
        <v>0</v>
      </c>
    </row>
    <row customHeight="1" ht="21" hidden="1">
      <c r="A10" s="2574"/>
      <c r="B10" s="2574"/>
      <c r="C10" s="2574"/>
      <c r="D10" s="2574"/>
      <c r="E10" s="3470"/>
      <c r="F10" s="3470"/>
      <c r="G10" s="3470"/>
      <c r="H10" s="3470"/>
      <c r="I10" s="3467"/>
      <c r="J10" s="2574"/>
      <c r="K10" s="2574"/>
      <c r="L10" s="2575"/>
      <c r="P10" s="3468"/>
      <c r="Q10" s="2661"/>
      <c r="R10" s="1567"/>
      <c r="S10" s="2489"/>
      <c r="T10" s="1576" t="s">
        <v>430</v>
      </c>
      <c r="U10" s="1578"/>
      <c r="V10" s="1578"/>
      <c r="W10" s="1578"/>
      <c r="X10" s="1578"/>
      <c r="Y10" s="1578"/>
      <c r="Z10" s="1578"/>
      <c r="AA10" s="1578"/>
      <c r="AB10" s="1577"/>
      <c r="AC10" s="1578"/>
      <c r="AD10" s="1578"/>
      <c r="AE10" s="1578"/>
      <c r="AF10" s="1578"/>
      <c r="AG10" s="1578"/>
      <c r="AH10" s="1578"/>
      <c r="AI10" s="1577"/>
      <c r="AJ10" s="1578"/>
      <c r="AK10" s="2651"/>
      <c r="AM10" s="1711"/>
      <c r="AN10" s="1711" t="str">
        <f>IF(T10="","",T10)</f>
        <v>Добавить группу потребителей</v>
      </c>
      <c r="AO10" s="1711"/>
      <c r="AP10" s="1711"/>
      <c r="AQ10" s="2366">
        <v>0</v>
      </c>
    </row>
    <row customHeight="1" ht="21"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578"/>
      <c r="X11" s="1578"/>
      <c r="Y11" s="1578"/>
      <c r="Z11" s="1578"/>
      <c r="AA11" s="1578"/>
      <c r="AB11" s="1577"/>
      <c r="AC11" s="1578"/>
      <c r="AD11" s="1578"/>
      <c r="AE11" s="1578"/>
      <c r="AF11" s="1578"/>
      <c r="AG11" s="1578"/>
      <c r="AH11" s="1578"/>
      <c r="AI11" s="1577"/>
      <c r="AJ11" s="1578"/>
      <c r="AK11" s="1514"/>
      <c r="AM11" s="1711"/>
      <c r="AN11" s="1711" t="str">
        <f>IF(T11="","",T11)</f>
        <v>Добавить наименование признака дифференциации</v>
      </c>
      <c r="AO11" s="1711"/>
      <c r="AP11" s="1711"/>
      <c r="AQ11" s="2366">
        <v>0</v>
      </c>
    </row>
    <row s="65923" customFormat="1" customHeight="1" ht="14.25" hidden="1">
      <c r="A12" s="2554"/>
      <c r="B12" s="2554"/>
      <c r="C12" s="2525"/>
      <c r="D12" s="2525"/>
      <c r="E12" s="3470"/>
      <c r="F12" s="3469"/>
      <c r="G12" s="2525"/>
      <c r="H12" s="2525"/>
      <c r="I12" s="2525"/>
      <c r="J12" s="2525"/>
      <c r="K12" s="2525"/>
      <c r="L12" s="2669"/>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M12" s="2000"/>
      <c r="AN12" s="2000" t="str">
        <f>IF(T12="","",T12)</f>
        <v>Добавить централизованную систему для дифференциации</v>
      </c>
      <c r="AO12" s="2000"/>
      <c r="AP12" s="2000"/>
      <c r="AQ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M13" s="1711"/>
      <c r="AN13" s="1711" t="str">
        <f>IF(T13="","",T13)</f>
        <v>Добавить территорию для дифференциации</v>
      </c>
      <c r="AO13" s="1711"/>
      <c r="AP13" s="1711"/>
      <c r="AQ13" s="1722">
        <v>0</v>
      </c>
    </row>
    <row customHeight="1" ht="14.25" hidden="1">
      <c r="AB14" s="1538"/>
      <c r="AI14" s="1538"/>
      <c r="AQ14" s="2366">
        <v>0</v>
      </c>
    </row>
    <row customHeight="1" ht="14.25" hidden="1">
      <c r="AC15" s="2571"/>
      <c r="AD15" s="2571"/>
      <c r="AE15" s="2572"/>
      <c r="AF15" s="3478"/>
      <c r="AG15" s="3479" t="s">
        <v>62</v>
      </c>
      <c r="AH15" s="3478"/>
      <c r="AI15" s="3479" t="s">
        <v>62</v>
      </c>
      <c r="AQ15" s="2366">
        <v>0</v>
      </c>
    </row>
    <row customHeight="1" ht="14.25" hidden="1">
      <c r="AC16" s="2571"/>
      <c r="AD16" s="2571"/>
      <c r="AE16" s="1539" t="str">
        <f>AF15&amp;"-"&amp;AH15</f>
        <v>-</v>
      </c>
      <c r="AF16" s="3479"/>
      <c r="AG16" s="3479"/>
      <c r="AH16" s="3479"/>
      <c r="AI16" s="3479"/>
      <c r="AQ16" s="2366">
        <v>0</v>
      </c>
    </row>
    <row customHeight="1" ht="14.25" hidden="1">
      <c r="AI17" s="1538"/>
      <c r="AQ17" s="2366">
        <v>0</v>
      </c>
    </row>
    <row s="66852" customFormat="1" customHeight="1" ht="22.5" hidden="1">
      <c r="L18" s="2658"/>
      <c r="M18" s="2573"/>
      <c r="N18" s="2573"/>
      <c r="O18" s="2578" t="s">
        <v>435</v>
      </c>
      <c r="P18" s="2573"/>
      <c r="Q18" s="2582"/>
      <c r="R18" s="2582"/>
      <c r="S18" s="1940"/>
      <c r="Y18" s="2578"/>
      <c r="AA18" s="2578"/>
      <c r="AB18" s="2577"/>
      <c r="AF18" s="2578"/>
      <c r="AH18" s="2578"/>
      <c r="AI18" s="2577"/>
      <c r="AL18" s="1722"/>
      <c r="AM18" s="1722"/>
      <c r="AN18" s="1722"/>
      <c r="AO18" s="1722"/>
      <c r="AP18" s="1722"/>
      <c r="AQ18" s="2371">
        <v>0</v>
      </c>
    </row>
    <row s="66852" customFormat="1" customHeight="1" ht="14.25" hidden="1">
      <c r="L19" s="2658"/>
      <c r="M19" s="2573"/>
      <c r="N19" s="2573"/>
      <c r="O19" s="2573"/>
      <c r="P19" s="2573"/>
      <c r="Q19" s="2582"/>
      <c r="R19" s="2582"/>
      <c r="S19" s="1940"/>
      <c r="AB19" s="2577"/>
      <c r="AI19" s="2577"/>
      <c r="AL19" s="1722"/>
      <c r="AM19" s="1722"/>
      <c r="AN19" s="1722"/>
      <c r="AO19" s="1722"/>
      <c r="AP19" s="1722"/>
      <c r="AQ19" s="2371">
        <v>0</v>
      </c>
    </row>
    <row s="66852" customFormat="1" customHeight="1" ht="12" hidden="1">
      <c r="L20" s="2658"/>
      <c r="M20" s="2573"/>
      <c r="N20" s="2573"/>
      <c r="O20" s="2575" t="s">
        <v>436</v>
      </c>
      <c r="P20" s="2573"/>
      <c r="Q20" s="2653"/>
      <c r="R20" s="2653"/>
      <c r="S20" s="1940"/>
      <c r="T20" s="2371" t="s">
        <v>437</v>
      </c>
      <c r="Z20" s="1397" t="s">
        <v>438</v>
      </c>
      <c r="AB20" s="1397" t="s">
        <v>439</v>
      </c>
      <c r="AC20" s="2371" t="s">
        <v>437</v>
      </c>
      <c r="AG20" s="1397" t="s">
        <v>440</v>
      </c>
      <c r="AI20" s="1397" t="s">
        <v>439</v>
      </c>
      <c r="AQ20" s="2371">
        <v>0</v>
      </c>
    </row>
    <row customHeight="1" ht="14.25" hidden="1">
      <c r="O21" s="2575"/>
      <c r="AQ21" s="2366">
        <v>0</v>
      </c>
    </row>
    <row customHeight="1" ht="14.25" hidden="1">
      <c r="O22" s="2575"/>
      <c r="AQ22" s="2366">
        <v>0</v>
      </c>
    </row>
    <row customHeight="1" ht="14.699999999999998">
      <c r="Q23" s="1587"/>
      <c r="R23" s="1587"/>
      <c r="S23" s="2486"/>
      <c r="T23" s="1574"/>
      <c r="U23" s="1574"/>
      <c r="V23" s="1720"/>
      <c r="W23" s="1720"/>
      <c r="X23" s="1720"/>
      <c r="Y23" s="1720"/>
      <c r="Z23" s="1720"/>
      <c r="AA23" s="1720"/>
      <c r="AB23" s="1720"/>
      <c r="AC23" s="1720"/>
      <c r="AD23" s="1720"/>
      <c r="AE23" s="1720"/>
      <c r="AF23" s="1720"/>
      <c r="AG23" s="1720"/>
      <c r="AH23" s="1720"/>
      <c r="AI23" s="1720"/>
      <c r="AQ23" s="2366">
        <v>14</v>
      </c>
    </row>
    <row customHeight="1" ht="14.699999999999998">
      <c r="Q24" s="1587"/>
      <c r="R24" s="1587"/>
      <c r="S24" s="34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3459"/>
      <c r="U24" s="3459"/>
      <c r="V24" s="3459"/>
      <c r="W24" s="3459"/>
      <c r="X24" s="3459"/>
      <c r="Y24" s="3459"/>
      <c r="Z24" s="3459"/>
      <c r="AA24" s="3459"/>
      <c r="AB24" s="3459"/>
      <c r="AC24" s="3459"/>
      <c r="AD24" s="3459"/>
      <c r="AE24" s="3459"/>
      <c r="AF24" s="3459"/>
      <c r="AG24" s="3459"/>
      <c r="AH24" s="3459"/>
      <c r="AI24" s="2454"/>
      <c r="AQ24" s="2366">
        <v>14</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2454"/>
      <c r="AQ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720"/>
      <c r="AQ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1537"/>
      <c r="AC27" s="3462" t="str">
        <f>IF(TITLE_NAME_OR_PR_CHANGE="",IF(TITLE_NAME_OR_PR="","",TITLE_NAME_OR_PR),TITLE_NAME_OR_PR_CHANGE)</f>
        <v/>
      </c>
      <c r="AD27" s="3462"/>
      <c r="AE27" s="3462"/>
      <c r="AF27" s="3462"/>
      <c r="AG27" s="3462"/>
      <c r="AH27" s="3462"/>
      <c r="AI27" s="1537"/>
      <c r="AJ27" s="1537"/>
      <c r="AK27" s="1491"/>
      <c r="AL27" s="1579"/>
      <c r="AM27" s="1579"/>
      <c r="AN27" s="1579"/>
      <c r="AO27" s="1579"/>
      <c r="AP27" s="1579"/>
      <c r="AQ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1537"/>
      <c r="AC28" s="3475" t="str">
        <f>IF(TITLE_DATE_PR_CHANGE="",IF(TITLE_DATE_PR="","",TITLE_DATE_PR),TITLE_DATE_PR_CHANGE)</f>
        <v/>
      </c>
      <c r="AD28" s="3475"/>
      <c r="AE28" s="3475"/>
      <c r="AF28" s="3475"/>
      <c r="AG28" s="3475"/>
      <c r="AH28" s="3475"/>
      <c r="AI28" s="1537"/>
      <c r="AJ28" s="1537"/>
      <c r="AK28" s="1491"/>
      <c r="AL28" s="1579"/>
      <c r="AM28" s="1579"/>
      <c r="AN28" s="1579"/>
      <c r="AO28" s="1579"/>
      <c r="AP28" s="1579"/>
      <c r="AQ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1537"/>
      <c r="AC29" s="3462" t="str">
        <f>IF(TITLE_NUMBER_PR_CHANGE="",IF(TITLE_NUMBER_PR="","",TITLE_NUMBER_PR),TITLE_NUMBER_PR_CHANGE)</f>
        <v/>
      </c>
      <c r="AD29" s="3462"/>
      <c r="AE29" s="3462"/>
      <c r="AF29" s="3462"/>
      <c r="AG29" s="3462"/>
      <c r="AH29" s="3462"/>
      <c r="AI29" s="1537"/>
      <c r="AJ29" s="1537"/>
      <c r="AK29" s="1491"/>
      <c r="AL29" s="1579"/>
      <c r="AM29" s="1579"/>
      <c r="AN29" s="1579"/>
      <c r="AO29" s="1579"/>
      <c r="AP29" s="1579"/>
      <c r="AQ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1537"/>
      <c r="AC30" s="3462" t="str">
        <f>IF(TITLE_IST_PUB_CHANGE="",IF(TITLE_IST_PUB="","",TITLE_IST_PUB),TITLE_IST_PUB_CHANGE)</f>
        <v/>
      </c>
      <c r="AD30" s="3462"/>
      <c r="AE30" s="3462"/>
      <c r="AF30" s="3462"/>
      <c r="AG30" s="3462"/>
      <c r="AH30" s="3462"/>
      <c r="AI30" s="1537"/>
      <c r="AJ30" s="1537"/>
      <c r="AK30" s="1491"/>
      <c r="AL30" s="1579"/>
      <c r="AM30" s="1579"/>
      <c r="AN30" s="1579"/>
      <c r="AO30" s="1579"/>
      <c r="AP30" s="1579"/>
      <c r="AQ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720"/>
      <c r="AQ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1537"/>
      <c r="AC32" s="3475" t="str">
        <f>IF(TITLE_DATE_PR_CHANGE="",IF(TITLE_DATE_PR="","",TITLE_DATE_PR),TITLE_DATE_PR_CHANGE)</f>
        <v/>
      </c>
      <c r="AD32" s="3475"/>
      <c r="AE32" s="3475"/>
      <c r="AF32" s="3475"/>
      <c r="AG32" s="3475"/>
      <c r="AH32" s="3475"/>
      <c r="AI32" s="1537"/>
      <c r="AJ32" s="1537"/>
      <c r="AK32" s="1491"/>
      <c r="AL32" s="1579"/>
      <c r="AM32" s="1579"/>
      <c r="AN32" s="1579"/>
      <c r="AO32" s="1579"/>
      <c r="AP32" s="1579"/>
      <c r="AQ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1537"/>
      <c r="AC33" s="3462" t="str">
        <f>IF(TITLE_NUMBER_PR_CHANGE="",IF(TITLE_NUMBER_PR="","",TITLE_NUMBER_PR),TITLE_NUMBER_PR_CHANGE)</f>
        <v/>
      </c>
      <c r="AD33" s="3462"/>
      <c r="AE33" s="3462"/>
      <c r="AF33" s="3462"/>
      <c r="AG33" s="3462"/>
      <c r="AH33" s="3462"/>
      <c r="AI33" s="1537"/>
      <c r="AJ33" s="1537"/>
      <c r="AK33" s="1491"/>
      <c r="AL33" s="1579"/>
      <c r="AM33" s="1579"/>
      <c r="AN33" s="1579"/>
      <c r="AO33" s="1579"/>
      <c r="AP33" s="1579"/>
      <c r="AQ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665"/>
      <c r="V34" s="1537"/>
      <c r="W34" s="1537"/>
      <c r="X34" s="1537"/>
      <c r="Y34" s="1537"/>
      <c r="Z34" s="1537"/>
      <c r="AA34" s="1537"/>
      <c r="AB34" s="1489" t="s">
        <v>445</v>
      </c>
      <c r="AC34" s="1537"/>
      <c r="AD34" s="1537"/>
      <c r="AE34" s="1537"/>
      <c r="AF34" s="1537"/>
      <c r="AG34" s="1537"/>
      <c r="AH34" s="1537"/>
      <c r="AI34" s="1489" t="s">
        <v>445</v>
      </c>
      <c r="AL34" s="1579"/>
      <c r="AM34" s="1579"/>
      <c r="AN34" s="1579"/>
      <c r="AO34" s="1579"/>
      <c r="AP34" s="1579"/>
      <c r="AQ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Q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t="s">
        <v>319</v>
      </c>
      <c r="AQ36" s="2366">
        <v>14</v>
      </c>
    </row>
    <row customHeight="1" ht="14.699999999999998">
      <c r="Q37" s="1587"/>
      <c r="R37" s="1587"/>
      <c r="S37" s="3484" t="s">
        <v>88</v>
      </c>
      <c r="T37" s="3420" t="s">
        <v>446</v>
      </c>
      <c r="U37" s="1512"/>
      <c r="V37" s="3485" t="s">
        <v>447</v>
      </c>
      <c r="W37" s="3486"/>
      <c r="X37" s="3486"/>
      <c r="Y37" s="3486"/>
      <c r="Z37" s="3486"/>
      <c r="AA37" s="3487"/>
      <c r="AB37" s="3488" t="s">
        <v>448</v>
      </c>
      <c r="AC37" s="3485" t="s">
        <v>447</v>
      </c>
      <c r="AD37" s="3486"/>
      <c r="AE37" s="3486"/>
      <c r="AF37" s="3486"/>
      <c r="AG37" s="3486"/>
      <c r="AH37" s="3487"/>
      <c r="AI37" s="3488" t="s">
        <v>449</v>
      </c>
      <c r="AJ37" s="3491" t="s">
        <v>450</v>
      </c>
      <c r="AK37" s="3338"/>
      <c r="AQ37" s="2366">
        <v>14</v>
      </c>
    </row>
    <row customHeight="1" ht="35.699999999999996">
      <c r="Q38" s="1587"/>
      <c r="R38" s="1587"/>
      <c r="S38" s="3484"/>
      <c r="T38" s="3420"/>
      <c r="U38" s="2242"/>
      <c r="V38" s="2663" t="s">
        <v>507</v>
      </c>
      <c r="W38" s="3473" t="s">
        <v>453</v>
      </c>
      <c r="X38" s="3474"/>
      <c r="Y38" s="3473" t="s">
        <v>454</v>
      </c>
      <c r="Z38" s="3480"/>
      <c r="AA38" s="3474"/>
      <c r="AB38" s="3489"/>
      <c r="AC38" s="2663" t="s">
        <v>507</v>
      </c>
      <c r="AD38" s="3473" t="s">
        <v>453</v>
      </c>
      <c r="AE38" s="3474"/>
      <c r="AF38" s="3473" t="s">
        <v>454</v>
      </c>
      <c r="AG38" s="3480"/>
      <c r="AH38" s="3474"/>
      <c r="AI38" s="3489"/>
      <c r="AJ38" s="3492"/>
      <c r="AK38" s="3338"/>
      <c r="AQ38" s="2366">
        <v>34</v>
      </c>
    </row>
    <row customHeight="1" ht="35.699999999999996">
      <c r="A39" s="2581"/>
      <c r="B39" s="2581" t="s">
        <v>155</v>
      </c>
      <c r="C39" s="2581" t="s">
        <v>156</v>
      </c>
      <c r="D39" s="2581" t="s">
        <v>157</v>
      </c>
      <c r="E39" s="2575" t="s">
        <v>455</v>
      </c>
      <c r="F39" s="2575" t="s">
        <v>456</v>
      </c>
      <c r="G39" s="2575" t="s">
        <v>457</v>
      </c>
      <c r="H39" s="2575"/>
      <c r="I39" s="2575" t="s">
        <v>508</v>
      </c>
      <c r="J39" s="2575" t="s">
        <v>460</v>
      </c>
      <c r="K39" s="2575" t="s">
        <v>509</v>
      </c>
      <c r="L39" s="2575" t="s">
        <v>436</v>
      </c>
      <c r="Q39" s="1587"/>
      <c r="R39" s="1587"/>
      <c r="S39" s="3484"/>
      <c r="T39" s="3420"/>
      <c r="U39" s="1513"/>
      <c r="V39" s="2663" t="s">
        <v>510</v>
      </c>
      <c r="W39" s="2433" t="s">
        <v>511</v>
      </c>
      <c r="X39" s="2433" t="s">
        <v>512</v>
      </c>
      <c r="Y39" s="2666" t="s">
        <v>464</v>
      </c>
      <c r="Z39" s="3481" t="s">
        <v>465</v>
      </c>
      <c r="AA39" s="3482"/>
      <c r="AB39" s="3490"/>
      <c r="AC39" s="2663" t="s">
        <v>510</v>
      </c>
      <c r="AD39" s="2433" t="s">
        <v>511</v>
      </c>
      <c r="AE39" s="2433" t="s">
        <v>512</v>
      </c>
      <c r="AF39" s="2666" t="s">
        <v>464</v>
      </c>
      <c r="AG39" s="3481" t="s">
        <v>465</v>
      </c>
      <c r="AH39" s="3482"/>
      <c r="AI39" s="3490"/>
      <c r="AJ39" s="3493"/>
      <c r="AK39" s="3338"/>
      <c r="AQ39" s="2366">
        <v>34</v>
      </c>
    </row>
    <row s="65897" customFormat="1" customHeight="1" ht="0">
      <c r="A40" s="2581"/>
      <c r="B40" s="2581"/>
      <c r="C40" s="2581"/>
      <c r="D40" s="2581"/>
      <c r="E40" s="2581"/>
      <c r="F40" s="2581"/>
      <c r="G40" s="2581"/>
      <c r="H40" s="2581"/>
      <c r="I40" s="2581"/>
      <c r="J40" s="2581"/>
      <c r="K40" s="2581"/>
      <c r="L40" s="2575"/>
      <c r="M40" s="2573"/>
      <c r="N40" s="2573"/>
      <c r="O40" s="2573"/>
      <c r="P40" s="2457"/>
      <c r="Q40" s="2458"/>
      <c r="R40" s="2465">
        <v>1</v>
      </c>
      <c r="S40" s="2488" t="s">
        <v>99</v>
      </c>
      <c r="T40" s="2466" t="s">
        <v>102</v>
      </c>
      <c r="U40" s="2456" t="str">
        <f>OFFSET(U40,0,-1)</f>
        <v>2</v>
      </c>
      <c r="V40" s="2662">
        <f>OFFSET(V40,0,-1)+1</f>
        <v>3</v>
      </c>
      <c r="W40" s="2662">
        <f>OFFSET(W40,0,-1)+1</f>
        <v>4</v>
      </c>
      <c r="X40" s="2662">
        <f>OFFSET(X40,0,-1)+1</f>
        <v>5</v>
      </c>
      <c r="Y40" s="2662">
        <f>OFFSET(Y40,0,-1)+1</f>
        <v>6</v>
      </c>
      <c r="Z40" s="3483">
        <f>OFFSET(Z40,0,-1)+1</f>
        <v>7</v>
      </c>
      <c r="AA40" s="3483"/>
      <c r="AB40" s="2662">
        <f>OFFSET(AB40,0,-2)+1</f>
        <v>8</v>
      </c>
      <c r="AC40" s="2662">
        <f>OFFSET(AC40,0,-1)+1</f>
        <v>9</v>
      </c>
      <c r="AD40" s="2662">
        <f>OFFSET(AD40,0,-1)+1</f>
        <v>10</v>
      </c>
      <c r="AE40" s="2662">
        <f>OFFSET(AE40,0,-1)+1</f>
        <v>11</v>
      </c>
      <c r="AF40" s="2662">
        <f>OFFSET(AF40,0,-1)+1</f>
        <v>12</v>
      </c>
      <c r="AG40" s="3483">
        <f>OFFSET(AG40,0,-1)+1</f>
        <v>13</v>
      </c>
      <c r="AH40" s="3483"/>
      <c r="AI40" s="2662">
        <f>OFFSET(AI40,0,-2)+1</f>
        <v>14</v>
      </c>
      <c r="AJ40" s="2456">
        <f>OFFSET(AJ40,0,-1)</f>
        <v>14</v>
      </c>
      <c r="AK40" s="2662">
        <f>OFFSET(AK40,0,-1)+1</f>
        <v>15</v>
      </c>
      <c r="AL40" s="1722"/>
      <c r="AM40" s="1722"/>
      <c r="AN40" s="1722"/>
      <c r="AO40" s="1722"/>
      <c r="AP40" s="1722"/>
      <c r="AQ40" s="1707">
        <v>0</v>
      </c>
    </row>
    <row customHeight="1" ht="24">
      <c r="A41" s="2574" t="s">
        <v>254</v>
      </c>
      <c r="B41" s="2574"/>
      <c r="C41" s="2574"/>
      <c r="D41" s="2574"/>
      <c r="E41" s="3469">
        <v>1</v>
      </c>
      <c r="F41" s="2574"/>
      <c r="G41" s="2574"/>
      <c r="H41" s="2574"/>
      <c r="I41" s="2574"/>
      <c r="J41" s="2574"/>
      <c r="K41" s="2574"/>
      <c r="L41" s="2575"/>
      <c r="M41" s="2576"/>
      <c r="N41" s="2576"/>
      <c r="O41" s="2576"/>
      <c r="P41" s="1572"/>
      <c r="Q41" s="1571"/>
      <c r="R41" s="1566"/>
      <c r="S41" s="2668">
        <f>INDEX(PT_DIFFERENTIATION_NUM_NTAR,MATCH(A41,PT_DIFFERENTIATION_NTAR_ID,0))</f>
        <v>0</v>
      </c>
      <c r="T41" s="1509" t="s">
        <v>143</v>
      </c>
      <c r="U41" s="1511"/>
      <c r="V41" s="3453"/>
      <c r="W41" s="3454"/>
      <c r="X41" s="3454"/>
      <c r="Y41" s="3454"/>
      <c r="Z41" s="3454"/>
      <c r="AA41" s="3454"/>
      <c r="AB41" s="3455"/>
      <c r="AC41" s="3453" t="str">
        <f>INDEX(PT_DIFFERENTIATION_NTAR,MATCH(A41,PT_DIFFERENTIATION_NTAR_ID,0))</f>
        <v/>
      </c>
      <c r="AD41" s="3454"/>
      <c r="AE41" s="3454"/>
      <c r="AF41" s="3454"/>
      <c r="AG41" s="3454"/>
      <c r="AH41" s="3454"/>
      <c r="AI41" s="3454"/>
      <c r="AJ41" s="3455"/>
      <c r="AK41"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711"/>
      <c r="AN41" s="1711" t="str">
        <f>IF(T41="","",T41)</f>
        <v>Наименование тарифа</v>
      </c>
      <c r="AO41" s="1711"/>
      <c r="AP41" s="1711"/>
      <c r="AQ41" s="2366">
        <v>23</v>
      </c>
    </row>
    <row customHeight="1" ht="24">
      <c r="A42" s="2574" t="s">
        <v>254</v>
      </c>
      <c r="B42" s="2574" t="s">
        <v>255</v>
      </c>
      <c r="C42" s="2574"/>
      <c r="D42" s="2574"/>
      <c r="E42" s="3470"/>
      <c r="F42" s="3469">
        <v>1</v>
      </c>
      <c r="G42" s="2574"/>
      <c r="H42" s="2574"/>
      <c r="I42" s="2574"/>
      <c r="J42" s="2574"/>
      <c r="K42" s="2574"/>
      <c r="L42" s="2575"/>
      <c r="M42" s="2576"/>
      <c r="N42" s="2576"/>
      <c r="O42" s="2576"/>
      <c r="P42" s="2664"/>
      <c r="Q42" s="1563"/>
      <c r="R42" s="1564"/>
      <c r="S42" s="2668" t="str">
        <f>INDEX(PT_DIFFERENTIATION_NUM_TER,MATCH(B42,PT_DIFFERENTIATION_TER_ID,0))</f>
        <v>.</v>
      </c>
      <c r="T42" s="1519" t="s">
        <v>415</v>
      </c>
      <c r="U42" s="1511"/>
      <c r="V42" s="3453"/>
      <c r="W42" s="3454"/>
      <c r="X42" s="3454"/>
      <c r="Y42" s="3454"/>
      <c r="Z42" s="3454"/>
      <c r="AA42" s="3454"/>
      <c r="AB42" s="3455"/>
      <c r="AC42" s="3453" t="str">
        <f>INDEX(PT_DIFFERENTIATION_TER,MATCH(B42,PT_DIFFERENTIATION_TER_ID,0))</f>
        <v/>
      </c>
      <c r="AD42" s="3454"/>
      <c r="AE42" s="3454"/>
      <c r="AF42" s="3454"/>
      <c r="AG42" s="3454"/>
      <c r="AH42" s="3454"/>
      <c r="AI42" s="3454"/>
      <c r="AJ42" s="3455"/>
      <c r="AK42" s="2469" t="s">
        <v>416</v>
      </c>
      <c r="AM42" s="1711"/>
      <c r="AN42" s="1711" t="str">
        <f>IF(T42="","",T42)</f>
        <v>Территория действия тарифа</v>
      </c>
      <c r="AO42" s="1711"/>
      <c r="AP42" s="1711"/>
      <c r="AQ42" s="2366">
        <v>23</v>
      </c>
    </row>
    <row customHeight="1" ht="24">
      <c r="A43" s="2574" t="s">
        <v>254</v>
      </c>
      <c r="B43" s="2574" t="s">
        <v>255</v>
      </c>
      <c r="C43" s="2574" t="s">
        <v>256</v>
      </c>
      <c r="D43" s="2574"/>
      <c r="E43" s="3470"/>
      <c r="F43" s="3470"/>
      <c r="G43" s="3469">
        <v>1</v>
      </c>
      <c r="H43" s="2574"/>
      <c r="I43" s="2574"/>
      <c r="J43" s="2574"/>
      <c r="K43" s="2574"/>
      <c r="L43" s="2575"/>
      <c r="M43" s="2576"/>
      <c r="N43" s="2576"/>
      <c r="O43" s="2576"/>
      <c r="P43" s="1565"/>
      <c r="Q43" s="1563"/>
      <c r="R43" s="1564"/>
      <c r="S43" s="2668" t="str">
        <f>INDEX(PT_DIFFERENTIATION_NUM_CS,MATCH(C43,PT_DIFFERENTIATION_CS_ID,0))</f>
        <v>..</v>
      </c>
      <c r="T43" s="1520" t="s">
        <v>499</v>
      </c>
      <c r="U43" s="1511"/>
      <c r="V43" s="3453"/>
      <c r="W43" s="3454"/>
      <c r="X43" s="3454"/>
      <c r="Y43" s="3454"/>
      <c r="Z43" s="3454"/>
      <c r="AA43" s="3454"/>
      <c r="AB43" s="3455"/>
      <c r="AC43" s="3453" t="str">
        <f>INDEX(PT_DIFFERENTIATION_CS,MATCH(C43,PT_DIFFERENTIATION_CS_ID,0))</f>
        <v/>
      </c>
      <c r="AD43" s="3454"/>
      <c r="AE43" s="3454"/>
      <c r="AF43" s="3454"/>
      <c r="AG43" s="3454"/>
      <c r="AH43" s="3454"/>
      <c r="AI43" s="3454"/>
      <c r="AJ43" s="3455"/>
      <c r="AK43" s="2469" t="s">
        <v>500</v>
      </c>
      <c r="AM43" s="1711"/>
      <c r="AN43" s="1711" t="str">
        <f>IF(T43="","",T43)</f>
        <v>Наименование централизованной системы холодного водоснабжения</v>
      </c>
      <c r="AO43" s="1711"/>
      <c r="AP43" s="1711"/>
      <c r="AQ43" s="2366">
        <v>23</v>
      </c>
    </row>
    <row customHeight="1" ht="24">
      <c r="A44" s="2574" t="s">
        <v>254</v>
      </c>
      <c r="B44" s="2574" t="s">
        <v>255</v>
      </c>
      <c r="C44" s="2574" t="s">
        <v>256</v>
      </c>
      <c r="D44" s="2574" t="s">
        <v>515</v>
      </c>
      <c r="E44" s="3470"/>
      <c r="F44" s="3470"/>
      <c r="G44" s="3470"/>
      <c r="H44" s="3470"/>
      <c r="I44" s="3467" t="str">
        <f>S43&amp;".1"</f>
        <v>...1</v>
      </c>
      <c r="J44" s="2574"/>
      <c r="K44" s="2574"/>
      <c r="L44" s="2575"/>
      <c r="P44" s="3468">
        <v>1</v>
      </c>
      <c r="Q44" s="2661"/>
      <c r="R44" s="1567"/>
      <c r="S44" s="2668" t="str">
        <f>$I44</f>
        <v>...1</v>
      </c>
      <c r="T44" s="1496" t="s">
        <v>501</v>
      </c>
      <c r="U44" s="1511"/>
      <c r="V44" s="3561"/>
      <c r="W44" s="3562"/>
      <c r="X44" s="3562"/>
      <c r="Y44" s="3562"/>
      <c r="Z44" s="3562"/>
      <c r="AA44" s="3562"/>
      <c r="AB44" s="3563"/>
      <c r="AC44" s="3564"/>
      <c r="AD44" s="3565"/>
      <c r="AE44" s="3565"/>
      <c r="AF44" s="3565"/>
      <c r="AG44" s="3565"/>
      <c r="AH44" s="3565"/>
      <c r="AI44" s="3565"/>
      <c r="AJ44" s="3566"/>
      <c r="AK44" s="2469" t="s">
        <v>502</v>
      </c>
      <c r="AM44" s="1711"/>
      <c r="AN44" s="1711" t="str">
        <f>IF(T44="","",T44)</f>
        <v>Наименование признака дифференциации</v>
      </c>
      <c r="AO44" s="1711"/>
      <c r="AP44" s="1711"/>
      <c r="AQ44" s="2366">
        <v>23</v>
      </c>
    </row>
    <row customHeight="1" ht="24">
      <c r="A45" s="2574" t="s">
        <v>254</v>
      </c>
      <c r="B45" s="2574" t="s">
        <v>255</v>
      </c>
      <c r="C45" s="2574" t="s">
        <v>256</v>
      </c>
      <c r="D45" s="2574" t="s">
        <v>515</v>
      </c>
      <c r="E45" s="3470"/>
      <c r="F45" s="3470"/>
      <c r="G45" s="3470"/>
      <c r="H45" s="3470"/>
      <c r="I45" s="3497"/>
      <c r="J45" s="3467" t="str">
        <f>I44&amp;".1"</f>
        <v>...1.1</v>
      </c>
      <c r="K45" s="2574"/>
      <c r="L45" s="2575" t="s">
        <v>424</v>
      </c>
      <c r="P45" s="3468"/>
      <c r="Q45" s="3468">
        <v>1</v>
      </c>
      <c r="R45" s="1568"/>
      <c r="S45" s="2668" t="str">
        <f>$J45</f>
        <v>...1.1</v>
      </c>
      <c r="T45" s="1497" t="s">
        <v>425</v>
      </c>
      <c r="U45" s="1511"/>
      <c r="V45" s="3456"/>
      <c r="W45" s="3457"/>
      <c r="X45" s="3457"/>
      <c r="Y45" s="3457"/>
      <c r="Z45" s="3457"/>
      <c r="AA45" s="3457"/>
      <c r="AB45" s="3458"/>
      <c r="AC45" s="3456"/>
      <c r="AD45" s="3457"/>
      <c r="AE45" s="3457"/>
      <c r="AF45" s="3457"/>
      <c r="AG45" s="3457"/>
      <c r="AH45" s="3457"/>
      <c r="AI45" s="3457"/>
      <c r="AJ45" s="3458"/>
      <c r="AK45" s="2518" t="s">
        <v>503</v>
      </c>
      <c r="AM45" s="1711"/>
      <c r="AN45" s="1711" t="str">
        <f>IF(T45="","",T45)</f>
        <v>Группа потребителей</v>
      </c>
      <c r="AO45" s="1711"/>
      <c r="AP45" s="1711"/>
      <c r="AQ45" s="2366">
        <v>23</v>
      </c>
    </row>
    <row customHeight="1" ht="24">
      <c r="A46" s="2574" t="s">
        <v>254</v>
      </c>
      <c r="B46" s="2574" t="s">
        <v>255</v>
      </c>
      <c r="C46" s="2574" t="s">
        <v>256</v>
      </c>
      <c r="D46" s="2574" t="s">
        <v>515</v>
      </c>
      <c r="E46" s="3470"/>
      <c r="F46" s="3470"/>
      <c r="G46" s="3470"/>
      <c r="H46" s="3470"/>
      <c r="I46" s="3497"/>
      <c r="J46" s="3497"/>
      <c r="K46" s="3467" t="str">
        <f>J45&amp;".1"</f>
        <v>...1.1.1</v>
      </c>
      <c r="L46" s="2575"/>
      <c r="P46" s="3468"/>
      <c r="Q46" s="3468"/>
      <c r="R46" s="1568">
        <v>1</v>
      </c>
      <c r="S46" s="2668" t="str">
        <f>$K46</f>
        <v>...1.1.1</v>
      </c>
      <c r="T46" s="2648"/>
      <c r="U46" s="1511"/>
      <c r="V46" s="1962"/>
      <c r="W46" s="1962"/>
      <c r="X46" s="2468"/>
      <c r="Y46" s="3476"/>
      <c r="Z46" s="3318" t="s">
        <v>62</v>
      </c>
      <c r="AA46" s="3476"/>
      <c r="AB46" s="3318" t="s">
        <v>62</v>
      </c>
      <c r="AC46" s="1962"/>
      <c r="AD46" s="1962"/>
      <c r="AE46" s="2468"/>
      <c r="AF46" s="3476"/>
      <c r="AG46" s="3318" t="s">
        <v>62</v>
      </c>
      <c r="AH46" s="3498"/>
      <c r="AI46" s="3318" t="s">
        <v>62</v>
      </c>
      <c r="AJ46" s="2649"/>
      <c r="AK46"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1722">
        <f>STRCHECKDATE(V47:AJ47)</f>
      </c>
      <c r="AM46" s="1711"/>
      <c r="AN46" s="1711" t="str">
        <f>IF(T46="","",T46)</f>
        <v/>
      </c>
      <c r="AO46" s="1711"/>
      <c r="AP46" s="1711"/>
      <c r="AQ46" s="2366">
        <v>23</v>
      </c>
    </row>
    <row customHeight="1" ht="0">
      <c r="A47" s="2574" t="s">
        <v>254</v>
      </c>
      <c r="B47" s="2574" t="s">
        <v>255</v>
      </c>
      <c r="C47" s="2574" t="s">
        <v>256</v>
      </c>
      <c r="D47" s="2574" t="s">
        <v>515</v>
      </c>
      <c r="E47" s="3470"/>
      <c r="F47" s="3470"/>
      <c r="G47" s="3470"/>
      <c r="H47" s="3470"/>
      <c r="I47" s="3497"/>
      <c r="J47" s="3497"/>
      <c r="K47" s="3467"/>
      <c r="L47" s="2575"/>
      <c r="P47" s="3468"/>
      <c r="Q47" s="3468"/>
      <c r="R47" s="1568"/>
      <c r="S47" s="2667"/>
      <c r="T47" s="1511"/>
      <c r="U47" s="1511"/>
      <c r="V47" s="1536"/>
      <c r="W47" s="1536"/>
      <c r="X47" s="1539" t="str">
        <f>Y46&amp;"-"&amp;AA46</f>
        <v>-</v>
      </c>
      <c r="Y47" s="3477"/>
      <c r="Z47" s="3318"/>
      <c r="AA47" s="3477"/>
      <c r="AB47" s="3318"/>
      <c r="AC47" s="1536"/>
      <c r="AD47" s="1536"/>
      <c r="AE47" s="1539" t="str">
        <f>AF46&amp;"-"&amp;AH46</f>
        <v>-</v>
      </c>
      <c r="AF47" s="3477"/>
      <c r="AG47" s="3318"/>
      <c r="AH47" s="3499"/>
      <c r="AI47" s="3318"/>
      <c r="AJ47" s="2650"/>
      <c r="AK47" s="3560"/>
      <c r="AM47" s="1711"/>
      <c r="AN47" s="1711" t="str">
        <f>IF(T47="","",T47)</f>
        <v/>
      </c>
      <c r="AO47" s="1711"/>
      <c r="AP47" s="1711"/>
      <c r="AQ47" s="2366">
        <v>0</v>
      </c>
    </row>
    <row customHeight="1" ht="21">
      <c r="A48" s="2574" t="s">
        <v>254</v>
      </c>
      <c r="B48" s="2574" t="s">
        <v>255</v>
      </c>
      <c r="C48" s="2574" t="s">
        <v>256</v>
      </c>
      <c r="D48" s="2574" t="s">
        <v>515</v>
      </c>
      <c r="E48" s="3470"/>
      <c r="F48" s="3470"/>
      <c r="G48" s="3470"/>
      <c r="H48" s="3470"/>
      <c r="I48" s="3497"/>
      <c r="J48" s="3467"/>
      <c r="K48" s="2574"/>
      <c r="L48" s="2575"/>
      <c r="P48" s="3468"/>
      <c r="Q48" s="3468"/>
      <c r="R48" s="1567"/>
      <c r="S48" s="2489"/>
      <c r="T48" s="1498" t="s">
        <v>504</v>
      </c>
      <c r="U48" s="1578"/>
      <c r="V48" s="1578"/>
      <c r="W48" s="1578"/>
      <c r="X48" s="1578"/>
      <c r="Y48" s="1578"/>
      <c r="Z48" s="1578"/>
      <c r="AA48" s="1578"/>
      <c r="AB48" s="1578"/>
      <c r="AC48" s="1578"/>
      <c r="AD48" s="1578"/>
      <c r="AE48" s="1578"/>
      <c r="AF48" s="1578"/>
      <c r="AG48" s="1578"/>
      <c r="AH48" s="1578"/>
      <c r="AI48" s="1578"/>
      <c r="AJ48" s="1578"/>
      <c r="AK48" s="2469" t="s">
        <v>505</v>
      </c>
      <c r="AM48" s="1711"/>
      <c r="AN48" s="1711" t="str">
        <f>IF(T48="","",T48)</f>
        <v>Добавить значение признака дифференциации</v>
      </c>
      <c r="AO48" s="1711"/>
      <c r="AP48" s="1711"/>
      <c r="AQ48" s="2366">
        <v>20</v>
      </c>
    </row>
    <row customHeight="1" ht="22.049999999999997">
      <c r="A49" s="2574" t="s">
        <v>254</v>
      </c>
      <c r="B49" s="2574" t="s">
        <v>255</v>
      </c>
      <c r="C49" s="2574" t="s">
        <v>256</v>
      </c>
      <c r="D49" s="2574" t="s">
        <v>515</v>
      </c>
      <c r="E49" s="3470"/>
      <c r="F49" s="3470"/>
      <c r="G49" s="3470"/>
      <c r="H49" s="3470"/>
      <c r="I49" s="3467"/>
      <c r="J49" s="2574"/>
      <c r="K49" s="2574"/>
      <c r="L49" s="2575"/>
      <c r="P49" s="3468"/>
      <c r="Q49" s="2661"/>
      <c r="R49" s="1567"/>
      <c r="S49" s="2489"/>
      <c r="T49" s="1576" t="s">
        <v>430</v>
      </c>
      <c r="U49" s="1578"/>
      <c r="V49" s="1578"/>
      <c r="W49" s="1578"/>
      <c r="X49" s="1578"/>
      <c r="Y49" s="1578"/>
      <c r="Z49" s="1578"/>
      <c r="AA49" s="1578"/>
      <c r="AB49" s="1577"/>
      <c r="AC49" s="1578"/>
      <c r="AD49" s="1578"/>
      <c r="AE49" s="1578"/>
      <c r="AF49" s="1578"/>
      <c r="AG49" s="1578"/>
      <c r="AH49" s="1578"/>
      <c r="AI49" s="1577"/>
      <c r="AJ49" s="1578"/>
      <c r="AK49" s="2651"/>
      <c r="AM49" s="1711"/>
      <c r="AN49" s="1711" t="str">
        <f>IF(T49="","",T49)</f>
        <v>Добавить группу потребителей</v>
      </c>
      <c r="AO49" s="1711"/>
      <c r="AP49" s="1711"/>
      <c r="AQ49" s="2366">
        <v>21</v>
      </c>
    </row>
    <row customHeight="1" ht="22.049999999999997">
      <c r="A50" s="2574" t="s">
        <v>254</v>
      </c>
      <c r="B50" s="2574" t="s">
        <v>255</v>
      </c>
      <c r="C50" s="2574" t="s">
        <v>256</v>
      </c>
      <c r="D50" s="2574" t="s">
        <v>515</v>
      </c>
      <c r="E50" s="3470"/>
      <c r="F50" s="3470"/>
      <c r="G50" s="3470"/>
      <c r="H50" s="3469"/>
      <c r="I50" s="2574"/>
      <c r="J50" s="2574"/>
      <c r="K50" s="2574"/>
      <c r="L50" s="2575"/>
      <c r="M50" s="2576"/>
      <c r="N50" s="2576"/>
      <c r="O50" s="1748"/>
      <c r="P50" s="1571"/>
      <c r="Q50" s="1586"/>
      <c r="R50" s="1566"/>
      <c r="S50" s="2489"/>
      <c r="T50" s="1583" t="s">
        <v>506</v>
      </c>
      <c r="U50" s="1578"/>
      <c r="V50" s="1578"/>
      <c r="W50" s="1578"/>
      <c r="X50" s="1578"/>
      <c r="Y50" s="1578"/>
      <c r="Z50" s="1578"/>
      <c r="AA50" s="1578"/>
      <c r="AB50" s="1577"/>
      <c r="AC50" s="1578"/>
      <c r="AD50" s="1578"/>
      <c r="AE50" s="1578"/>
      <c r="AF50" s="1578"/>
      <c r="AG50" s="1578"/>
      <c r="AH50" s="1578"/>
      <c r="AI50" s="1577"/>
      <c r="AJ50" s="1578"/>
      <c r="AK50" s="1514"/>
      <c r="AM50" s="1711"/>
      <c r="AN50" s="1711" t="str">
        <f>IF(T50="","",T50)</f>
        <v>Добавить наименование признака дифференциации</v>
      </c>
      <c r="AO50" s="1711"/>
      <c r="AP50" s="1711"/>
      <c r="AQ50" s="2366">
        <v>21</v>
      </c>
    </row>
    <row s="65923" customFormat="1" customHeight="1" ht="0">
      <c r="A51" s="2554" t="s">
        <v>254</v>
      </c>
      <c r="B51" s="2554" t="s">
        <v>255</v>
      </c>
      <c r="C51" s="2525"/>
      <c r="D51" s="2525"/>
      <c r="E51" s="3470"/>
      <c r="F51" s="3469"/>
      <c r="G51" s="2525"/>
      <c r="H51" s="2525"/>
      <c r="I51" s="2525"/>
      <c r="J51" s="2525"/>
      <c r="K51" s="2525"/>
      <c r="L51" s="2669"/>
      <c r="M51" s="2532"/>
      <c r="N51" s="2532"/>
      <c r="P51" s="2527"/>
      <c r="Q51" s="2528"/>
      <c r="R51" s="2527"/>
      <c r="S51" s="2533"/>
      <c r="T51" s="2536" t="s">
        <v>433</v>
      </c>
      <c r="U51" s="2535"/>
      <c r="V51" s="2535"/>
      <c r="W51" s="2535"/>
      <c r="X51" s="2535"/>
      <c r="Y51" s="2535"/>
      <c r="Z51" s="2535"/>
      <c r="AA51" s="2535"/>
      <c r="AB51" s="2535"/>
      <c r="AC51" s="2535"/>
      <c r="AD51" s="2535"/>
      <c r="AE51" s="2535"/>
      <c r="AF51" s="2535"/>
      <c r="AG51" s="2535"/>
      <c r="AH51" s="2535"/>
      <c r="AI51" s="2535"/>
      <c r="AJ51" s="2535"/>
      <c r="AK51" s="2535"/>
      <c r="AM51" s="2000"/>
      <c r="AN51" s="2000" t="str">
        <f>IF(T51="","",T51)</f>
        <v>Добавить централизованную систему для дифференциации</v>
      </c>
      <c r="AO51" s="2000"/>
      <c r="AP51" s="2000"/>
      <c r="AQ51" s="1729">
        <v>0</v>
      </c>
    </row>
    <row s="65923" customFormat="1" customHeight="1" ht="0">
      <c r="A52" s="2554" t="s">
        <v>254</v>
      </c>
      <c r="B52" s="2554"/>
      <c r="C52" s="2554"/>
      <c r="D52" s="2554"/>
      <c r="E52" s="3469"/>
      <c r="F52" s="2554"/>
      <c r="G52" s="2554"/>
      <c r="H52" s="2554"/>
      <c r="I52" s="2554"/>
      <c r="J52" s="2554"/>
      <c r="K52" s="2554"/>
      <c r="L52" s="2557"/>
      <c r="M52" s="2532"/>
      <c r="N52" s="2532"/>
      <c r="O52" s="1729"/>
      <c r="P52" s="1591"/>
      <c r="Q52" s="2555"/>
      <c r="R52" s="1591"/>
      <c r="S52" s="2533"/>
      <c r="T52" s="2536" t="s">
        <v>434</v>
      </c>
      <c r="U52" s="2535"/>
      <c r="V52" s="2535"/>
      <c r="W52" s="2535"/>
      <c r="X52" s="2535"/>
      <c r="Y52" s="2535"/>
      <c r="Z52" s="2535"/>
      <c r="AA52" s="2535"/>
      <c r="AB52" s="2535"/>
      <c r="AC52" s="2535"/>
      <c r="AD52" s="2535"/>
      <c r="AE52" s="2535"/>
      <c r="AF52" s="2535"/>
      <c r="AG52" s="2535"/>
      <c r="AH52" s="2535"/>
      <c r="AI52" s="2535"/>
      <c r="AJ52" s="2535"/>
      <c r="AK52" s="2535"/>
      <c r="AM52" s="1711"/>
      <c r="AN52" s="1711" t="str">
        <f>IF(T52="","",T52)</f>
        <v>Добавить территорию для дифференциации</v>
      </c>
      <c r="AO52" s="1711"/>
      <c r="AP52" s="1711"/>
      <c r="AQ52" s="1722">
        <v>0</v>
      </c>
    </row>
    <row s="65923" customFormat="1" customHeight="1" ht="0">
      <c r="A53" s="2525"/>
      <c r="B53" s="2525"/>
      <c r="C53" s="2525"/>
      <c r="D53" s="2525"/>
      <c r="E53" s="2554"/>
      <c r="F53" s="2525"/>
      <c r="G53" s="2525"/>
      <c r="H53" s="2525"/>
      <c r="I53" s="2525"/>
      <c r="J53" s="2525"/>
      <c r="K53" s="2525"/>
      <c r="L53" s="2669"/>
      <c r="M53" s="2532"/>
      <c r="N53" s="2532"/>
      <c r="P53" s="2527"/>
      <c r="Q53" s="2528"/>
      <c r="R53" s="2527"/>
      <c r="S53" s="2533"/>
      <c r="T53" s="2536" t="s">
        <v>466</v>
      </c>
      <c r="U53" s="2535"/>
      <c r="V53" s="2535"/>
      <c r="W53" s="2535"/>
      <c r="X53" s="2535"/>
      <c r="Y53" s="2535"/>
      <c r="Z53" s="2535"/>
      <c r="AA53" s="2535"/>
      <c r="AB53" s="2535"/>
      <c r="AC53" s="2535"/>
      <c r="AD53" s="2535"/>
      <c r="AE53" s="2535"/>
      <c r="AF53" s="2535"/>
      <c r="AG53" s="2535"/>
      <c r="AH53" s="2535"/>
      <c r="AI53" s="2535"/>
      <c r="AJ53" s="2535"/>
      <c r="AK53" s="2535"/>
      <c r="AM53" s="2000"/>
      <c r="AN53" s="2000" t="str">
        <f>IF(T53="","",T53)</f>
        <v>Добавить наименование тарифа</v>
      </c>
      <c r="AO53" s="2000"/>
      <c r="AP53" s="2000"/>
      <c r="AQ53" s="1729">
        <v>0</v>
      </c>
    </row>
    <row customHeight="1" ht="11.549999999999999">
      <c r="M54" s="2371"/>
      <c r="N54" s="2371"/>
      <c r="O54" s="1748"/>
      <c r="P54" s="2366"/>
      <c r="Q54" s="2366"/>
      <c r="R54" s="2366"/>
      <c r="S54" s="2366"/>
      <c r="AL54" s="2366"/>
      <c r="AM54" s="2366"/>
      <c r="AN54" s="2366"/>
      <c r="AO54" s="2366"/>
      <c r="AP54" s="2366"/>
      <c r="AQ54" s="2366">
        <v>11</v>
      </c>
    </row>
    <row customHeight="1" ht="14.699999999999998">
      <c r="O55" s="1748"/>
      <c r="S55" s="2464"/>
      <c r="T55" s="3496"/>
      <c r="U55" s="3496"/>
      <c r="V55" s="3496"/>
      <c r="W55" s="3496"/>
      <c r="X55" s="3496"/>
      <c r="Y55" s="3496"/>
      <c r="Z55" s="3496"/>
      <c r="AA55" s="3496"/>
      <c r="AB55" s="3496"/>
      <c r="AC55" s="3496"/>
      <c r="AD55" s="3496"/>
      <c r="AE55" s="3496"/>
      <c r="AF55" s="3496"/>
      <c r="AG55" s="3496"/>
      <c r="AH55" s="3496"/>
      <c r="AI55" s="3496"/>
      <c r="AJ55" s="3496"/>
      <c r="AK55" s="3496"/>
      <c r="AQ55" s="2366">
        <v>14</v>
      </c>
    </row>
    <row customHeight="1" ht="14.699999999999998">
      <c r="O56" s="1748"/>
      <c r="AQ56" s="2366">
        <v>14</v>
      </c>
    </row>
    <row customHeight="1" ht="14.699999999999998">
      <c r="O57" s="1748"/>
      <c r="S57" s="2464"/>
      <c r="T57" s="3496"/>
      <c r="U57" s="3496"/>
      <c r="V57" s="3496"/>
      <c r="W57" s="3496"/>
      <c r="X57" s="3496"/>
      <c r="Y57" s="3496"/>
      <c r="Z57" s="3496"/>
      <c r="AA57" s="3496"/>
      <c r="AB57" s="3496"/>
      <c r="AC57" s="3496"/>
      <c r="AD57" s="3496"/>
      <c r="AE57" s="3496"/>
      <c r="AF57" s="3496"/>
      <c r="AG57" s="3496"/>
      <c r="AH57" s="3496"/>
      <c r="AI57" s="3496"/>
      <c r="AJ57" s="3496"/>
      <c r="AK57" s="3496"/>
      <c r="AQ57" s="2366">
        <v>14</v>
      </c>
    </row>
    <row customHeight="1" ht="22.5" hidden="1">
      <c r="A58" s="2371" t="s">
        <v>82</v>
      </c>
      <c r="B58" s="2371">
        <v>0</v>
      </c>
      <c r="C58" s="2371">
        <v>0</v>
      </c>
      <c r="D58" s="2371">
        <v>0</v>
      </c>
      <c r="E58" s="2371">
        <v>0</v>
      </c>
      <c r="F58" s="2371">
        <v>0</v>
      </c>
      <c r="G58" s="2371">
        <v>0</v>
      </c>
      <c r="H58" s="2371">
        <v>0</v>
      </c>
      <c r="I58" s="2371">
        <v>0</v>
      </c>
      <c r="J58" s="2371">
        <v>0</v>
      </c>
      <c r="K58" s="2371">
        <v>0</v>
      </c>
      <c r="L58" s="2658">
        <v>0</v>
      </c>
      <c r="M58" s="2573">
        <v>0</v>
      </c>
      <c r="N58" s="2573">
        <v>0</v>
      </c>
      <c r="O58" s="2573">
        <v>0</v>
      </c>
      <c r="P58" s="2657">
        <v>3</v>
      </c>
      <c r="Q58" s="1555">
        <v>3</v>
      </c>
      <c r="R58" s="1555">
        <v>3</v>
      </c>
      <c r="S58" s="1792">
        <v>12</v>
      </c>
      <c r="T58" s="2366">
        <v>35</v>
      </c>
      <c r="U58" s="2366">
        <v>0</v>
      </c>
      <c r="V58" s="2366">
        <v>0</v>
      </c>
      <c r="W58" s="2366">
        <v>0</v>
      </c>
      <c r="X58" s="2366">
        <v>0</v>
      </c>
      <c r="Y58" s="2366">
        <v>0</v>
      </c>
      <c r="Z58" s="2366">
        <v>0</v>
      </c>
      <c r="AA58" s="2366">
        <v>0</v>
      </c>
      <c r="AB58" s="2366">
        <v>0</v>
      </c>
      <c r="AC58" s="2366">
        <v>24</v>
      </c>
      <c r="AD58" s="2366">
        <v>24</v>
      </c>
      <c r="AE58" s="2366">
        <v>24</v>
      </c>
      <c r="AF58" s="2366">
        <v>11</v>
      </c>
      <c r="AG58" s="2366">
        <v>3</v>
      </c>
      <c r="AH58" s="2366">
        <v>11</v>
      </c>
      <c r="AI58" s="2366">
        <v>0</v>
      </c>
      <c r="AJ58" s="2366">
        <v>4</v>
      </c>
      <c r="AK58" s="2366">
        <v>115</v>
      </c>
      <c r="AL58" s="1722">
        <v>10</v>
      </c>
      <c r="AM58" s="1722">
        <v>10</v>
      </c>
      <c r="AN58" s="1722">
        <v>10</v>
      </c>
      <c r="AO58" s="1722">
        <v>10</v>
      </c>
      <c r="AP58" s="1722">
        <v>10</v>
      </c>
      <c r="AQ58" s="23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4A9402-49E2-AF21-FC84-55343287F67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4" style="66903" width="24.7109375" hidden="1" customWidth="1"/>
    <col min="25" max="25" style="66903" width="11.7109375" hidden="1" customWidth="1"/>
    <col min="26" max="26" style="66903" width="3.7109375" hidden="1" customWidth="1"/>
    <col min="27" max="27" style="66903" width="11.7109375" hidden="1" customWidth="1"/>
    <col min="28" max="28" style="66903" width="8.57421875" hidden="1" customWidth="1"/>
    <col min="29" max="29" style="66903" width="24.7109375" customWidth="1"/>
    <col min="30" max="31" style="66903" width="24.00390625" customWidth="1"/>
    <col min="32" max="32" style="66903" width="11.00390625" customWidth="1"/>
    <col min="33" max="33" style="66903" width="3.7109375" customWidth="1"/>
    <col min="34" max="34" style="66903" width="11.00390625" customWidth="1"/>
    <col min="35" max="35" style="66903" width="8.57421875" hidden="1" customWidth="1"/>
    <col min="36" max="36" style="66903" width="4.00390625" customWidth="1"/>
    <col min="37" max="37" style="66903" width="115.00390625" customWidth="1"/>
    <col min="38" max="42" style="65923" width="10.00390625" customWidth="1"/>
    <col min="43" max="43" style="66903" width="10.57421875" hidden="1"/>
  </cols>
  <sheetData>
    <row customHeight="1" ht="22.5" hidden="1">
      <c r="X1" s="1538"/>
      <c r="Y1" s="1538"/>
      <c r="AE1" s="1538"/>
      <c r="AF1" s="1538"/>
      <c r="AQ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668">
        <f>INDEX(PT_DIFFERENTIATION_NUM_NTAR,MATCH(A2,PT_DIFFERENTIATION_NTAR_ID,0))</f>
      </c>
      <c r="T2" s="1509" t="s">
        <v>143</v>
      </c>
      <c r="U2" s="1511"/>
      <c r="V2" s="3453"/>
      <c r="W2" s="3454"/>
      <c r="X2" s="3454"/>
      <c r="Y2" s="3454"/>
      <c r="Z2" s="3454"/>
      <c r="AA2" s="3454"/>
      <c r="AB2" s="3455"/>
      <c r="AC2" s="3453">
        <f>INDEX(PT_DIFFERENTIATION_NTAR,MATCH(A2,PT_DIFFERENTIATION_NTAR_ID,0))</f>
      </c>
      <c r="AD2" s="3454"/>
      <c r="AE2" s="3454"/>
      <c r="AF2" s="3454"/>
      <c r="AG2" s="3454"/>
      <c r="AH2" s="3454"/>
      <c r="AI2" s="3454"/>
      <c r="AJ2" s="3455"/>
      <c r="AK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711"/>
      <c r="AN2" s="1711" t="str">
        <f>IF(T2="","",T2)</f>
        <v>Наименование тарифа</v>
      </c>
      <c r="AO2" s="1711"/>
      <c r="AP2" s="1711"/>
      <c r="AQ2" s="2366">
        <v>0</v>
      </c>
    </row>
    <row customHeight="1" ht="23.25" hidden="1">
      <c r="A3" s="2574"/>
      <c r="B3" s="2574"/>
      <c r="C3" s="2574"/>
      <c r="D3" s="2574"/>
      <c r="E3" s="3470"/>
      <c r="F3" s="3469">
        <v>1</v>
      </c>
      <c r="G3" s="2574"/>
      <c r="H3" s="2574"/>
      <c r="I3" s="2574"/>
      <c r="J3" s="2574"/>
      <c r="K3" s="2574"/>
      <c r="L3" s="2575"/>
      <c r="M3" s="2576"/>
      <c r="N3" s="2576"/>
      <c r="O3" s="2576"/>
      <c r="P3" s="2664"/>
      <c r="Q3" s="1563"/>
      <c r="R3" s="1564"/>
      <c r="S3" s="2668">
        <f>INDEX(PT_DIFFERENTIATION_NUM_TER,MATCH(B3,PT_DIFFERENTIATION_TER_ID,0))</f>
      </c>
      <c r="T3" s="1519" t="s">
        <v>415</v>
      </c>
      <c r="U3" s="1511"/>
      <c r="V3" s="3453"/>
      <c r="W3" s="3454"/>
      <c r="X3" s="3454"/>
      <c r="Y3" s="3454"/>
      <c r="Z3" s="3454"/>
      <c r="AA3" s="3454"/>
      <c r="AB3" s="3455"/>
      <c r="AC3" s="3453">
        <f>INDEX(PT_DIFFERENTIATION_TER,MATCH(B3,PT_DIFFERENTIATION_TER_ID,0))</f>
      </c>
      <c r="AD3" s="3454"/>
      <c r="AE3" s="3454"/>
      <c r="AF3" s="3454"/>
      <c r="AG3" s="3454"/>
      <c r="AH3" s="3454"/>
      <c r="AI3" s="3454"/>
      <c r="AJ3" s="3455"/>
      <c r="AK3" s="2469" t="s">
        <v>416</v>
      </c>
      <c r="AM3" s="1711"/>
      <c r="AN3" s="1711" t="str">
        <f>IF(T3="","",T3)</f>
        <v>Территория действия тарифа</v>
      </c>
      <c r="AO3" s="1711"/>
      <c r="AP3" s="1711"/>
      <c r="AQ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668">
        <f>INDEX(PT_DIFFERENTIATION_NUM_CS,MATCH(C4,PT_DIFFERENTIATION_CS_ID,0))</f>
      </c>
      <c r="T4" s="1520" t="s">
        <v>499</v>
      </c>
      <c r="U4" s="1511"/>
      <c r="V4" s="3453"/>
      <c r="W4" s="3454"/>
      <c r="X4" s="3454"/>
      <c r="Y4" s="3454"/>
      <c r="Z4" s="3454"/>
      <c r="AA4" s="3454"/>
      <c r="AB4" s="3455"/>
      <c r="AC4" s="3453">
        <f>INDEX(PT_DIFFERENTIATION_CS,MATCH(C4,PT_DIFFERENTIATION_CS_ID,0))</f>
      </c>
      <c r="AD4" s="3454"/>
      <c r="AE4" s="3454"/>
      <c r="AF4" s="3454"/>
      <c r="AG4" s="3454"/>
      <c r="AH4" s="3454"/>
      <c r="AI4" s="3454"/>
      <c r="AJ4" s="3455"/>
      <c r="AK4" s="2469" t="s">
        <v>500</v>
      </c>
      <c r="AM4" s="1711"/>
      <c r="AN4" s="1711" t="str">
        <f>IF(T4="","",T4)</f>
        <v>Наименование централизованной системы холодного водоснабжения</v>
      </c>
      <c r="AO4" s="1711"/>
      <c r="AP4" s="1711"/>
      <c r="AQ4" s="2366">
        <v>0</v>
      </c>
    </row>
    <row customHeight="1" ht="23.25" hidden="1">
      <c r="A5" s="2574"/>
      <c r="B5" s="2574"/>
      <c r="C5" s="2574"/>
      <c r="D5" s="2574"/>
      <c r="E5" s="3470"/>
      <c r="F5" s="3470"/>
      <c r="G5" s="3470"/>
      <c r="H5" s="3470"/>
      <c r="I5" s="3467">
        <f>S4&amp;".1"</f>
      </c>
      <c r="J5" s="2574"/>
      <c r="K5" s="2574"/>
      <c r="L5" s="2575"/>
      <c r="P5" s="3468">
        <v>1</v>
      </c>
      <c r="Q5" s="2661"/>
      <c r="R5" s="1567"/>
      <c r="S5" s="2668">
        <f>$I5</f>
      </c>
      <c r="T5" s="1496" t="s">
        <v>501</v>
      </c>
      <c r="U5" s="1511"/>
      <c r="V5" s="3561"/>
      <c r="W5" s="3562"/>
      <c r="X5" s="3562"/>
      <c r="Y5" s="3562"/>
      <c r="Z5" s="3562"/>
      <c r="AA5" s="3562"/>
      <c r="AB5" s="3563"/>
      <c r="AC5" s="3564"/>
      <c r="AD5" s="3565"/>
      <c r="AE5" s="3565"/>
      <c r="AF5" s="3565"/>
      <c r="AG5" s="3565"/>
      <c r="AH5" s="3565"/>
      <c r="AI5" s="3565"/>
      <c r="AJ5" s="3566"/>
      <c r="AK5" s="2469" t="s">
        <v>502</v>
      </c>
      <c r="AM5" s="1711"/>
      <c r="AN5" s="1711" t="str">
        <f>IF(T5="","",T5)</f>
        <v>Наименование признака дифференциации</v>
      </c>
      <c r="AO5" s="1711"/>
      <c r="AP5" s="1711"/>
      <c r="AQ5" s="2366">
        <v>0</v>
      </c>
    </row>
    <row customHeight="1" ht="23.25" hidden="1">
      <c r="A6" s="2574"/>
      <c r="B6" s="2574"/>
      <c r="C6" s="2574"/>
      <c r="D6" s="2574"/>
      <c r="E6" s="3470"/>
      <c r="F6" s="3470"/>
      <c r="G6" s="3470"/>
      <c r="H6" s="3470"/>
      <c r="I6" s="3497"/>
      <c r="J6" s="3467">
        <f>I5&amp;".1"</f>
      </c>
      <c r="K6" s="2574"/>
      <c r="L6" s="2575" t="s">
        <v>424</v>
      </c>
      <c r="P6" s="3468"/>
      <c r="Q6" s="3468">
        <v>1</v>
      </c>
      <c r="R6" s="1568"/>
      <c r="S6" s="2668">
        <f>$J6</f>
      </c>
      <c r="T6" s="1497" t="s">
        <v>425</v>
      </c>
      <c r="U6" s="1511"/>
      <c r="V6" s="3456"/>
      <c r="W6" s="3457"/>
      <c r="X6" s="3457"/>
      <c r="Y6" s="3457"/>
      <c r="Z6" s="3457"/>
      <c r="AA6" s="3457"/>
      <c r="AB6" s="3458"/>
      <c r="AC6" s="3456"/>
      <c r="AD6" s="3457"/>
      <c r="AE6" s="3457"/>
      <c r="AF6" s="3457"/>
      <c r="AG6" s="3457"/>
      <c r="AH6" s="3457"/>
      <c r="AI6" s="3457"/>
      <c r="AJ6" s="3458"/>
      <c r="AK6" s="2518" t="s">
        <v>503</v>
      </c>
      <c r="AM6" s="1711"/>
      <c r="AN6" s="1711" t="str">
        <f>IF(T6="","",T6)</f>
        <v>Группа потребителей</v>
      </c>
      <c r="AO6" s="1711"/>
      <c r="AP6" s="1711"/>
      <c r="AQ6" s="2366">
        <v>0</v>
      </c>
    </row>
    <row customHeight="1" ht="23.25" hidden="1">
      <c r="A7" s="2574"/>
      <c r="B7" s="2574"/>
      <c r="C7" s="2574"/>
      <c r="D7" s="2574"/>
      <c r="E7" s="3470"/>
      <c r="F7" s="3470"/>
      <c r="G7" s="3470"/>
      <c r="H7" s="3470"/>
      <c r="I7" s="3497"/>
      <c r="J7" s="3497"/>
      <c r="K7" s="3467">
        <f>J6&amp;".1"</f>
      </c>
      <c r="L7" s="2575"/>
      <c r="P7" s="3468"/>
      <c r="Q7" s="3468"/>
      <c r="R7" s="1568">
        <v>1</v>
      </c>
      <c r="S7" s="2668">
        <f>$K7</f>
      </c>
      <c r="T7" s="2648"/>
      <c r="U7" s="1511"/>
      <c r="V7" s="1962"/>
      <c r="W7" s="1962"/>
      <c r="X7" s="2468"/>
      <c r="Y7" s="3476"/>
      <c r="Z7" s="3318" t="s">
        <v>62</v>
      </c>
      <c r="AA7" s="3476"/>
      <c r="AB7" s="3318" t="s">
        <v>62</v>
      </c>
      <c r="AC7" s="1962"/>
      <c r="AD7" s="1962"/>
      <c r="AE7" s="2468"/>
      <c r="AF7" s="3476"/>
      <c r="AG7" s="3318" t="s">
        <v>62</v>
      </c>
      <c r="AH7" s="3498"/>
      <c r="AI7" s="3318" t="s">
        <v>62</v>
      </c>
      <c r="AJ7" s="2649"/>
      <c r="AK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1722">
        <f>STRCHECKDATE(V8:AJ8)</f>
      </c>
      <c r="AM7" s="1711"/>
      <c r="AN7" s="1711" t="str">
        <f>IF(T7="","",T7)</f>
        <v/>
      </c>
      <c r="AO7" s="1711"/>
      <c r="AP7" s="1711"/>
      <c r="AQ7" s="2366">
        <v>0</v>
      </c>
    </row>
    <row customHeight="1" ht="14.25" hidden="1">
      <c r="A8" s="2574"/>
      <c r="B8" s="2574"/>
      <c r="C8" s="2574"/>
      <c r="D8" s="2574"/>
      <c r="E8" s="3470"/>
      <c r="F8" s="3470"/>
      <c r="G8" s="3470"/>
      <c r="H8" s="3470"/>
      <c r="I8" s="3497"/>
      <c r="J8" s="3497"/>
      <c r="K8" s="3467"/>
      <c r="L8" s="2575"/>
      <c r="P8" s="3468"/>
      <c r="Q8" s="3468"/>
      <c r="R8" s="1568"/>
      <c r="S8" s="2667"/>
      <c r="T8" s="1511"/>
      <c r="U8" s="1511"/>
      <c r="V8" s="1536"/>
      <c r="W8" s="1536"/>
      <c r="X8" s="1539" t="str">
        <f>Y7&amp;"-"&amp;AA7</f>
        <v>-</v>
      </c>
      <c r="Y8" s="3477"/>
      <c r="Z8" s="3318"/>
      <c r="AA8" s="3477"/>
      <c r="AB8" s="3318"/>
      <c r="AC8" s="1536"/>
      <c r="AD8" s="1536"/>
      <c r="AE8" s="1539" t="str">
        <f>AF7&amp;"-"&amp;AH7</f>
        <v>-</v>
      </c>
      <c r="AF8" s="3477"/>
      <c r="AG8" s="3318"/>
      <c r="AH8" s="3499"/>
      <c r="AI8" s="3318"/>
      <c r="AJ8" s="2650"/>
      <c r="AK8" s="3560"/>
      <c r="AM8" s="1711"/>
      <c r="AN8" s="1711" t="str">
        <f>IF(T8="","",T8)</f>
        <v/>
      </c>
      <c r="AO8" s="1711"/>
      <c r="AP8" s="1711"/>
      <c r="AQ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578"/>
      <c r="X9" s="1578"/>
      <c r="Y9" s="1578"/>
      <c r="Z9" s="1578"/>
      <c r="AA9" s="1578"/>
      <c r="AB9" s="1578"/>
      <c r="AC9" s="1578"/>
      <c r="AD9" s="1578"/>
      <c r="AE9" s="1578"/>
      <c r="AF9" s="1578"/>
      <c r="AG9" s="1578"/>
      <c r="AH9" s="1578"/>
      <c r="AI9" s="1578"/>
      <c r="AJ9" s="1578"/>
      <c r="AK9" s="2469" t="s">
        <v>505</v>
      </c>
      <c r="AM9" s="1711"/>
      <c r="AN9" s="1711" t="str">
        <f>IF(T9="","",T9)</f>
        <v>Добавить значение признака дифференциации</v>
      </c>
      <c r="AO9" s="1711"/>
      <c r="AP9" s="1711"/>
      <c r="AQ9" s="2366">
        <v>0</v>
      </c>
    </row>
    <row customHeight="1" ht="21" hidden="1">
      <c r="A10" s="2574"/>
      <c r="B10" s="2574"/>
      <c r="C10" s="2574"/>
      <c r="D10" s="2574"/>
      <c r="E10" s="3470"/>
      <c r="F10" s="3470"/>
      <c r="G10" s="3470"/>
      <c r="H10" s="3470"/>
      <c r="I10" s="3467"/>
      <c r="J10" s="2574"/>
      <c r="K10" s="2574"/>
      <c r="L10" s="2575"/>
      <c r="P10" s="3468"/>
      <c r="Q10" s="2661"/>
      <c r="R10" s="1567"/>
      <c r="S10" s="2489"/>
      <c r="T10" s="1576" t="s">
        <v>430</v>
      </c>
      <c r="U10" s="1578"/>
      <c r="V10" s="1578"/>
      <c r="W10" s="1578"/>
      <c r="X10" s="1578"/>
      <c r="Y10" s="1578"/>
      <c r="Z10" s="1578"/>
      <c r="AA10" s="1578"/>
      <c r="AB10" s="1577"/>
      <c r="AC10" s="1578"/>
      <c r="AD10" s="1578"/>
      <c r="AE10" s="1578"/>
      <c r="AF10" s="1578"/>
      <c r="AG10" s="1578"/>
      <c r="AH10" s="1578"/>
      <c r="AI10" s="1577"/>
      <c r="AJ10" s="1578"/>
      <c r="AK10" s="2651"/>
      <c r="AM10" s="1711"/>
      <c r="AN10" s="1711" t="str">
        <f>IF(T10="","",T10)</f>
        <v>Добавить группу потребителей</v>
      </c>
      <c r="AO10" s="1711"/>
      <c r="AP10" s="1711"/>
      <c r="AQ10" s="2366">
        <v>0</v>
      </c>
    </row>
    <row customHeight="1" ht="21"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578"/>
      <c r="X11" s="1578"/>
      <c r="Y11" s="1578"/>
      <c r="Z11" s="1578"/>
      <c r="AA11" s="1578"/>
      <c r="AB11" s="1577"/>
      <c r="AC11" s="1578"/>
      <c r="AD11" s="1578"/>
      <c r="AE11" s="1578"/>
      <c r="AF11" s="1578"/>
      <c r="AG11" s="1578"/>
      <c r="AH11" s="1578"/>
      <c r="AI11" s="1577"/>
      <c r="AJ11" s="1578"/>
      <c r="AK11" s="1514"/>
      <c r="AM11" s="1711"/>
      <c r="AN11" s="1711" t="str">
        <f>IF(T11="","",T11)</f>
        <v>Добавить наименование признака дифференциации</v>
      </c>
      <c r="AO11" s="1711"/>
      <c r="AP11" s="1711"/>
      <c r="AQ11" s="2366">
        <v>0</v>
      </c>
    </row>
    <row s="65923" customFormat="1" customHeight="1" ht="14.25" hidden="1">
      <c r="A12" s="2554"/>
      <c r="B12" s="2554"/>
      <c r="C12" s="2525"/>
      <c r="D12" s="2525"/>
      <c r="E12" s="3470"/>
      <c r="F12" s="3469"/>
      <c r="G12" s="2525"/>
      <c r="H12" s="2525"/>
      <c r="I12" s="2525"/>
      <c r="J12" s="2525"/>
      <c r="K12" s="2525"/>
      <c r="L12" s="2669"/>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M12" s="2000"/>
      <c r="AN12" s="2000" t="str">
        <f>IF(T12="","",T12)</f>
        <v>Добавить централизованную систему для дифференциации</v>
      </c>
      <c r="AO12" s="2000"/>
      <c r="AP12" s="2000"/>
      <c r="AQ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M13" s="1711"/>
      <c r="AN13" s="1711" t="str">
        <f>IF(T13="","",T13)</f>
        <v>Добавить территорию для дифференциации</v>
      </c>
      <c r="AO13" s="1711"/>
      <c r="AP13" s="1711"/>
      <c r="AQ13" s="1722">
        <v>0</v>
      </c>
    </row>
    <row customHeight="1" ht="14.25" hidden="1">
      <c r="AB14" s="1538"/>
      <c r="AI14" s="1538"/>
      <c r="AQ14" s="2366">
        <v>0</v>
      </c>
    </row>
    <row customHeight="1" ht="14.25" hidden="1">
      <c r="AC15" s="2571"/>
      <c r="AD15" s="2571"/>
      <c r="AE15" s="2572"/>
      <c r="AF15" s="3478"/>
      <c r="AG15" s="3479" t="s">
        <v>62</v>
      </c>
      <c r="AH15" s="3478"/>
      <c r="AI15" s="3479" t="s">
        <v>62</v>
      </c>
      <c r="AQ15" s="2366">
        <v>0</v>
      </c>
    </row>
    <row customHeight="1" ht="14.25" hidden="1">
      <c r="AC16" s="2571"/>
      <c r="AD16" s="2571"/>
      <c r="AE16" s="1539" t="str">
        <f>AF15&amp;"-"&amp;AH15</f>
        <v>-</v>
      </c>
      <c r="AF16" s="3479"/>
      <c r="AG16" s="3479"/>
      <c r="AH16" s="3479"/>
      <c r="AI16" s="3479"/>
      <c r="AQ16" s="2366">
        <v>0</v>
      </c>
    </row>
    <row customHeight="1" ht="14.25" hidden="1">
      <c r="AI17" s="1538"/>
      <c r="AQ17" s="2366">
        <v>0</v>
      </c>
    </row>
    <row s="66852" customFormat="1" customHeight="1" ht="22.5" hidden="1">
      <c r="L18" s="2658"/>
      <c r="M18" s="2573"/>
      <c r="N18" s="2573"/>
      <c r="O18" s="2578" t="s">
        <v>435</v>
      </c>
      <c r="P18" s="2573"/>
      <c r="Q18" s="2582"/>
      <c r="R18" s="2582"/>
      <c r="S18" s="1940"/>
      <c r="Y18" s="2578"/>
      <c r="AA18" s="2578"/>
      <c r="AB18" s="2577"/>
      <c r="AF18" s="2578"/>
      <c r="AH18" s="2578"/>
      <c r="AI18" s="2577"/>
      <c r="AL18" s="1722"/>
      <c r="AM18" s="1722"/>
      <c r="AN18" s="1722"/>
      <c r="AO18" s="1722"/>
      <c r="AP18" s="1722"/>
      <c r="AQ18" s="2371">
        <v>0</v>
      </c>
    </row>
    <row s="66852" customFormat="1" customHeight="1" ht="14.25" hidden="1">
      <c r="L19" s="2658"/>
      <c r="M19" s="2573"/>
      <c r="N19" s="2573"/>
      <c r="O19" s="2573"/>
      <c r="P19" s="2573"/>
      <c r="Q19" s="2582"/>
      <c r="R19" s="2582"/>
      <c r="S19" s="1940"/>
      <c r="AB19" s="2577"/>
      <c r="AI19" s="2577"/>
      <c r="AL19" s="1722"/>
      <c r="AM19" s="1722"/>
      <c r="AN19" s="1722"/>
      <c r="AO19" s="1722"/>
      <c r="AP19" s="1722"/>
      <c r="AQ19" s="2371">
        <v>0</v>
      </c>
    </row>
    <row s="66852" customFormat="1" customHeight="1" ht="12" hidden="1">
      <c r="L20" s="2658"/>
      <c r="M20" s="2573"/>
      <c r="N20" s="2573"/>
      <c r="O20" s="2575" t="s">
        <v>436</v>
      </c>
      <c r="P20" s="2573"/>
      <c r="Q20" s="2653"/>
      <c r="R20" s="2653"/>
      <c r="S20" s="1940"/>
      <c r="T20" s="2371" t="s">
        <v>437</v>
      </c>
      <c r="Z20" s="1397" t="s">
        <v>438</v>
      </c>
      <c r="AB20" s="1397" t="s">
        <v>439</v>
      </c>
      <c r="AC20" s="2371" t="s">
        <v>437</v>
      </c>
      <c r="AG20" s="1397" t="s">
        <v>440</v>
      </c>
      <c r="AI20" s="1397" t="s">
        <v>439</v>
      </c>
      <c r="AQ20" s="2371">
        <v>0</v>
      </c>
    </row>
    <row customHeight="1" ht="14.25" hidden="1">
      <c r="O21" s="2575"/>
      <c r="AQ21" s="2366">
        <v>0</v>
      </c>
    </row>
    <row customHeight="1" ht="14.25" hidden="1">
      <c r="O22" s="2575"/>
      <c r="AQ22" s="2366">
        <v>0</v>
      </c>
    </row>
    <row customHeight="1" ht="14.699999999999998">
      <c r="Q23" s="1587"/>
      <c r="R23" s="1587"/>
      <c r="S23" s="2486"/>
      <c r="T23" s="1574"/>
      <c r="U23" s="1574"/>
      <c r="V23" s="1720"/>
      <c r="W23" s="1720"/>
      <c r="X23" s="1720"/>
      <c r="Y23" s="1720"/>
      <c r="Z23" s="1720"/>
      <c r="AA23" s="1720"/>
      <c r="AB23" s="1720"/>
      <c r="AC23" s="1720"/>
      <c r="AD23" s="1720"/>
      <c r="AE23" s="1720"/>
      <c r="AF23" s="1720"/>
      <c r="AG23" s="1720"/>
      <c r="AH23" s="1720"/>
      <c r="AI23" s="1720"/>
      <c r="AQ23" s="2366">
        <v>14</v>
      </c>
    </row>
    <row customHeight="1" ht="14.699999999999998">
      <c r="Q24" s="1587"/>
      <c r="R24" s="1587"/>
      <c r="S24" s="345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3459"/>
      <c r="U24" s="3459"/>
      <c r="V24" s="3459"/>
      <c r="W24" s="3459"/>
      <c r="X24" s="3459"/>
      <c r="Y24" s="3459"/>
      <c r="Z24" s="3459"/>
      <c r="AA24" s="3459"/>
      <c r="AB24" s="3459"/>
      <c r="AC24" s="3459"/>
      <c r="AD24" s="3459"/>
      <c r="AE24" s="3459"/>
      <c r="AF24" s="3459"/>
      <c r="AG24" s="3459"/>
      <c r="AH24" s="3459"/>
      <c r="AI24" s="2454"/>
      <c r="AQ24" s="2366">
        <v>14</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2454"/>
      <c r="AQ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720"/>
      <c r="AQ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1537"/>
      <c r="AC27" s="3462" t="str">
        <f>IF(TITLE_NAME_OR_PR_CHANGE="",IF(TITLE_NAME_OR_PR="","",TITLE_NAME_OR_PR),TITLE_NAME_OR_PR_CHANGE)</f>
        <v/>
      </c>
      <c r="AD27" s="3462"/>
      <c r="AE27" s="3462"/>
      <c r="AF27" s="3462"/>
      <c r="AG27" s="3462"/>
      <c r="AH27" s="3462"/>
      <c r="AI27" s="1537"/>
      <c r="AJ27" s="1537"/>
      <c r="AK27" s="1491"/>
      <c r="AL27" s="1579"/>
      <c r="AM27" s="1579"/>
      <c r="AN27" s="1579"/>
      <c r="AO27" s="1579"/>
      <c r="AP27" s="1579"/>
      <c r="AQ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1537"/>
      <c r="AC28" s="3475" t="str">
        <f>IF(TITLE_DATE_PR_CHANGE="",IF(TITLE_DATE_PR="","",TITLE_DATE_PR),TITLE_DATE_PR_CHANGE)</f>
        <v/>
      </c>
      <c r="AD28" s="3475"/>
      <c r="AE28" s="3475"/>
      <c r="AF28" s="3475"/>
      <c r="AG28" s="3475"/>
      <c r="AH28" s="3475"/>
      <c r="AI28" s="1537"/>
      <c r="AJ28" s="1537"/>
      <c r="AK28" s="1491"/>
      <c r="AL28" s="1579"/>
      <c r="AM28" s="1579"/>
      <c r="AN28" s="1579"/>
      <c r="AO28" s="1579"/>
      <c r="AP28" s="1579"/>
      <c r="AQ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1537"/>
      <c r="AC29" s="3462" t="str">
        <f>IF(TITLE_NUMBER_PR_CHANGE="",IF(TITLE_NUMBER_PR="","",TITLE_NUMBER_PR),TITLE_NUMBER_PR_CHANGE)</f>
        <v/>
      </c>
      <c r="AD29" s="3462"/>
      <c r="AE29" s="3462"/>
      <c r="AF29" s="3462"/>
      <c r="AG29" s="3462"/>
      <c r="AH29" s="3462"/>
      <c r="AI29" s="1537"/>
      <c r="AJ29" s="1537"/>
      <c r="AK29" s="1491"/>
      <c r="AL29" s="1579"/>
      <c r="AM29" s="1579"/>
      <c r="AN29" s="1579"/>
      <c r="AO29" s="1579"/>
      <c r="AP29" s="1579"/>
      <c r="AQ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1537"/>
      <c r="AC30" s="3462" t="str">
        <f>IF(TITLE_IST_PUB_CHANGE="",IF(TITLE_IST_PUB="","",TITLE_IST_PUB),TITLE_IST_PUB_CHANGE)</f>
        <v/>
      </c>
      <c r="AD30" s="3462"/>
      <c r="AE30" s="3462"/>
      <c r="AF30" s="3462"/>
      <c r="AG30" s="3462"/>
      <c r="AH30" s="3462"/>
      <c r="AI30" s="1537"/>
      <c r="AJ30" s="1537"/>
      <c r="AK30" s="1491"/>
      <c r="AL30" s="1579"/>
      <c r="AM30" s="1579"/>
      <c r="AN30" s="1579"/>
      <c r="AO30" s="1579"/>
      <c r="AP30" s="1579"/>
      <c r="AQ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720"/>
      <c r="AQ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1537"/>
      <c r="AC32" s="3475" t="str">
        <f>IF(TITLE_DATE_PR_CHANGE="",IF(TITLE_DATE_PR="","",TITLE_DATE_PR),TITLE_DATE_PR_CHANGE)</f>
        <v/>
      </c>
      <c r="AD32" s="3475"/>
      <c r="AE32" s="3475"/>
      <c r="AF32" s="3475"/>
      <c r="AG32" s="3475"/>
      <c r="AH32" s="3475"/>
      <c r="AI32" s="1537"/>
      <c r="AJ32" s="1537"/>
      <c r="AK32" s="1491"/>
      <c r="AL32" s="1579"/>
      <c r="AM32" s="1579"/>
      <c r="AN32" s="1579"/>
      <c r="AO32" s="1579"/>
      <c r="AP32" s="1579"/>
      <c r="AQ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1537"/>
      <c r="AC33" s="3462" t="str">
        <f>IF(TITLE_NUMBER_PR_CHANGE="",IF(TITLE_NUMBER_PR="","",TITLE_NUMBER_PR),TITLE_NUMBER_PR_CHANGE)</f>
        <v/>
      </c>
      <c r="AD33" s="3462"/>
      <c r="AE33" s="3462"/>
      <c r="AF33" s="3462"/>
      <c r="AG33" s="3462"/>
      <c r="AH33" s="3462"/>
      <c r="AI33" s="1537"/>
      <c r="AJ33" s="1537"/>
      <c r="AK33" s="1491"/>
      <c r="AL33" s="1579"/>
      <c r="AM33" s="1579"/>
      <c r="AN33" s="1579"/>
      <c r="AO33" s="1579"/>
      <c r="AP33" s="1579"/>
      <c r="AQ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665"/>
      <c r="V34" s="1537"/>
      <c r="W34" s="1537"/>
      <c r="X34" s="1537"/>
      <c r="Y34" s="1537"/>
      <c r="Z34" s="1537"/>
      <c r="AA34" s="1537"/>
      <c r="AB34" s="1489" t="s">
        <v>445</v>
      </c>
      <c r="AC34" s="1537"/>
      <c r="AD34" s="1537"/>
      <c r="AE34" s="1537"/>
      <c r="AF34" s="1537"/>
      <c r="AG34" s="1537"/>
      <c r="AH34" s="1537"/>
      <c r="AI34" s="1489" t="s">
        <v>445</v>
      </c>
      <c r="AL34" s="1579"/>
      <c r="AM34" s="1579"/>
      <c r="AN34" s="1579"/>
      <c r="AO34" s="1579"/>
      <c r="AP34" s="1579"/>
      <c r="AQ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Q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t="s">
        <v>319</v>
      </c>
      <c r="AQ36" s="2366">
        <v>14</v>
      </c>
    </row>
    <row customHeight="1" ht="14.699999999999998">
      <c r="Q37" s="1587"/>
      <c r="R37" s="1587"/>
      <c r="S37" s="3484" t="s">
        <v>88</v>
      </c>
      <c r="T37" s="3420" t="s">
        <v>446</v>
      </c>
      <c r="U37" s="1512"/>
      <c r="V37" s="3485" t="s">
        <v>447</v>
      </c>
      <c r="W37" s="3486"/>
      <c r="X37" s="3486"/>
      <c r="Y37" s="3486"/>
      <c r="Z37" s="3486"/>
      <c r="AA37" s="3487"/>
      <c r="AB37" s="3488" t="s">
        <v>448</v>
      </c>
      <c r="AC37" s="3485" t="s">
        <v>447</v>
      </c>
      <c r="AD37" s="3486"/>
      <c r="AE37" s="3486"/>
      <c r="AF37" s="3486"/>
      <c r="AG37" s="3486"/>
      <c r="AH37" s="3487"/>
      <c r="AI37" s="3488" t="s">
        <v>449</v>
      </c>
      <c r="AJ37" s="3491" t="s">
        <v>450</v>
      </c>
      <c r="AK37" s="3338"/>
      <c r="AQ37" s="2366">
        <v>14</v>
      </c>
    </row>
    <row customHeight="1" ht="35.699999999999996">
      <c r="Q38" s="1587"/>
      <c r="R38" s="1587"/>
      <c r="S38" s="3484"/>
      <c r="T38" s="3420"/>
      <c r="U38" s="2242"/>
      <c r="V38" s="2663" t="s">
        <v>507</v>
      </c>
      <c r="W38" s="3473" t="s">
        <v>453</v>
      </c>
      <c r="X38" s="3474"/>
      <c r="Y38" s="3473" t="s">
        <v>454</v>
      </c>
      <c r="Z38" s="3480"/>
      <c r="AA38" s="3474"/>
      <c r="AB38" s="3489"/>
      <c r="AC38" s="2663" t="s">
        <v>507</v>
      </c>
      <c r="AD38" s="3473" t="s">
        <v>453</v>
      </c>
      <c r="AE38" s="3474"/>
      <c r="AF38" s="3473" t="s">
        <v>454</v>
      </c>
      <c r="AG38" s="3480"/>
      <c r="AH38" s="3474"/>
      <c r="AI38" s="3489"/>
      <c r="AJ38" s="3492"/>
      <c r="AK38" s="3338"/>
      <c r="AQ38" s="2366">
        <v>34</v>
      </c>
    </row>
    <row customHeight="1" ht="35.699999999999996">
      <c r="A39" s="2581"/>
      <c r="B39" s="2581" t="s">
        <v>155</v>
      </c>
      <c r="C39" s="2581" t="s">
        <v>156</v>
      </c>
      <c r="D39" s="2581" t="s">
        <v>157</v>
      </c>
      <c r="E39" s="2575" t="s">
        <v>455</v>
      </c>
      <c r="F39" s="2575" t="s">
        <v>456</v>
      </c>
      <c r="G39" s="2575" t="s">
        <v>457</v>
      </c>
      <c r="H39" s="2575"/>
      <c r="I39" s="2575" t="s">
        <v>508</v>
      </c>
      <c r="J39" s="2575" t="s">
        <v>460</v>
      </c>
      <c r="K39" s="2575" t="s">
        <v>509</v>
      </c>
      <c r="L39" s="2575" t="s">
        <v>436</v>
      </c>
      <c r="Q39" s="1587"/>
      <c r="R39" s="1587"/>
      <c r="S39" s="3484"/>
      <c r="T39" s="3420"/>
      <c r="U39" s="1513"/>
      <c r="V39" s="2663" t="s">
        <v>510</v>
      </c>
      <c r="W39" s="2433" t="s">
        <v>511</v>
      </c>
      <c r="X39" s="2433" t="s">
        <v>512</v>
      </c>
      <c r="Y39" s="2666" t="s">
        <v>464</v>
      </c>
      <c r="Z39" s="3481" t="s">
        <v>465</v>
      </c>
      <c r="AA39" s="3482"/>
      <c r="AB39" s="3490"/>
      <c r="AC39" s="2663" t="s">
        <v>510</v>
      </c>
      <c r="AD39" s="2433" t="s">
        <v>511</v>
      </c>
      <c r="AE39" s="2433" t="s">
        <v>512</v>
      </c>
      <c r="AF39" s="2666" t="s">
        <v>464</v>
      </c>
      <c r="AG39" s="3481" t="s">
        <v>465</v>
      </c>
      <c r="AH39" s="3482"/>
      <c r="AI39" s="3490"/>
      <c r="AJ39" s="3493"/>
      <c r="AK39" s="3338"/>
      <c r="AQ39" s="2366">
        <v>34</v>
      </c>
    </row>
    <row s="65897" customFormat="1" customHeight="1" ht="0">
      <c r="A40" s="2581"/>
      <c r="B40" s="2581"/>
      <c r="C40" s="2581"/>
      <c r="D40" s="2581"/>
      <c r="E40" s="2581"/>
      <c r="F40" s="2581"/>
      <c r="G40" s="2581"/>
      <c r="H40" s="2581"/>
      <c r="I40" s="2581"/>
      <c r="J40" s="2581"/>
      <c r="K40" s="2581"/>
      <c r="L40" s="2575"/>
      <c r="M40" s="2573"/>
      <c r="N40" s="2573"/>
      <c r="O40" s="2573"/>
      <c r="P40" s="2457"/>
      <c r="Q40" s="2458"/>
      <c r="R40" s="2465">
        <v>1</v>
      </c>
      <c r="S40" s="2488" t="s">
        <v>99</v>
      </c>
      <c r="T40" s="2466" t="s">
        <v>102</v>
      </c>
      <c r="U40" s="2456" t="str">
        <f>OFFSET(U40,0,-1)</f>
        <v>2</v>
      </c>
      <c r="V40" s="2662">
        <f>OFFSET(V40,0,-1)+1</f>
        <v>3</v>
      </c>
      <c r="W40" s="2662">
        <f>OFFSET(W40,0,-1)+1</f>
        <v>4</v>
      </c>
      <c r="X40" s="2662">
        <f>OFFSET(X40,0,-1)+1</f>
        <v>5</v>
      </c>
      <c r="Y40" s="2662">
        <f>OFFSET(Y40,0,-1)+1</f>
        <v>6</v>
      </c>
      <c r="Z40" s="3483">
        <f>OFFSET(Z40,0,-1)+1</f>
        <v>7</v>
      </c>
      <c r="AA40" s="3483"/>
      <c r="AB40" s="2662">
        <f>OFFSET(AB40,0,-2)+1</f>
        <v>8</v>
      </c>
      <c r="AC40" s="2662">
        <f>OFFSET(AC40,0,-1)+1</f>
        <v>9</v>
      </c>
      <c r="AD40" s="2662">
        <f>OFFSET(AD40,0,-1)+1</f>
        <v>10</v>
      </c>
      <c r="AE40" s="2662">
        <f>OFFSET(AE40,0,-1)+1</f>
        <v>11</v>
      </c>
      <c r="AF40" s="2662">
        <f>OFFSET(AF40,0,-1)+1</f>
        <v>12</v>
      </c>
      <c r="AG40" s="3483">
        <f>OFFSET(AG40,0,-1)+1</f>
        <v>13</v>
      </c>
      <c r="AH40" s="3483"/>
      <c r="AI40" s="2662">
        <f>OFFSET(AI40,0,-2)+1</f>
        <v>14</v>
      </c>
      <c r="AJ40" s="2456">
        <f>OFFSET(AJ40,0,-1)</f>
        <v>14</v>
      </c>
      <c r="AK40" s="2662">
        <f>OFFSET(AK40,0,-1)+1</f>
        <v>15</v>
      </c>
      <c r="AL40" s="1722"/>
      <c r="AM40" s="1722"/>
      <c r="AN40" s="1722"/>
      <c r="AO40" s="1722"/>
      <c r="AP40" s="1722"/>
      <c r="AQ40" s="1707">
        <v>0</v>
      </c>
    </row>
    <row customHeight="1" ht="24">
      <c r="A41" s="2574" t="s">
        <v>259</v>
      </c>
      <c r="B41" s="2574"/>
      <c r="C41" s="2574"/>
      <c r="D41" s="2574"/>
      <c r="E41" s="3469">
        <v>1</v>
      </c>
      <c r="F41" s="2574"/>
      <c r="G41" s="2574"/>
      <c r="H41" s="2574"/>
      <c r="I41" s="2574"/>
      <c r="J41" s="2574"/>
      <c r="K41" s="2574"/>
      <c r="L41" s="2575"/>
      <c r="M41" s="2576"/>
      <c r="N41" s="2576"/>
      <c r="O41" s="2576"/>
      <c r="P41" s="1572"/>
      <c r="Q41" s="1571"/>
      <c r="R41" s="1566"/>
      <c r="S41" s="2668">
        <f>INDEX(PT_DIFFERENTIATION_NUM_NTAR,MATCH(A41,PT_DIFFERENTIATION_NTAR_ID,0))</f>
        <v>0</v>
      </c>
      <c r="T41" s="1509" t="s">
        <v>143</v>
      </c>
      <c r="U41" s="1511"/>
      <c r="V41" s="3453"/>
      <c r="W41" s="3454"/>
      <c r="X41" s="3454"/>
      <c r="Y41" s="3454"/>
      <c r="Z41" s="3454"/>
      <c r="AA41" s="3454"/>
      <c r="AB41" s="3455"/>
      <c r="AC41" s="3453" t="str">
        <f>INDEX(PT_DIFFERENTIATION_NTAR,MATCH(A41,PT_DIFFERENTIATION_NTAR_ID,0))</f>
        <v/>
      </c>
      <c r="AD41" s="3454"/>
      <c r="AE41" s="3454"/>
      <c r="AF41" s="3454"/>
      <c r="AG41" s="3454"/>
      <c r="AH41" s="3454"/>
      <c r="AI41" s="3454"/>
      <c r="AJ41" s="3455"/>
      <c r="AK41"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711"/>
      <c r="AN41" s="1711" t="str">
        <f>IF(T41="","",T41)</f>
        <v>Наименование тарифа</v>
      </c>
      <c r="AO41" s="1711"/>
      <c r="AP41" s="1711"/>
      <c r="AQ41" s="2366">
        <v>23</v>
      </c>
    </row>
    <row customHeight="1" ht="24">
      <c r="A42" s="2574" t="s">
        <v>259</v>
      </c>
      <c r="B42" s="2574" t="s">
        <v>260</v>
      </c>
      <c r="C42" s="2574"/>
      <c r="D42" s="2574"/>
      <c r="E42" s="3470"/>
      <c r="F42" s="3469">
        <v>1</v>
      </c>
      <c r="G42" s="2574"/>
      <c r="H42" s="2574"/>
      <c r="I42" s="2574"/>
      <c r="J42" s="2574"/>
      <c r="K42" s="2574"/>
      <c r="L42" s="2575"/>
      <c r="M42" s="2576"/>
      <c r="N42" s="2576"/>
      <c r="O42" s="2576"/>
      <c r="P42" s="2664"/>
      <c r="Q42" s="1563"/>
      <c r="R42" s="1564"/>
      <c r="S42" s="2668" t="str">
        <f>INDEX(PT_DIFFERENTIATION_NUM_TER,MATCH(B42,PT_DIFFERENTIATION_TER_ID,0))</f>
        <v>.</v>
      </c>
      <c r="T42" s="1519" t="s">
        <v>415</v>
      </c>
      <c r="U42" s="1511"/>
      <c r="V42" s="3453"/>
      <c r="W42" s="3454"/>
      <c r="X42" s="3454"/>
      <c r="Y42" s="3454"/>
      <c r="Z42" s="3454"/>
      <c r="AA42" s="3454"/>
      <c r="AB42" s="3455"/>
      <c r="AC42" s="3453" t="str">
        <f>INDEX(PT_DIFFERENTIATION_TER,MATCH(B42,PT_DIFFERENTIATION_TER_ID,0))</f>
        <v/>
      </c>
      <c r="AD42" s="3454"/>
      <c r="AE42" s="3454"/>
      <c r="AF42" s="3454"/>
      <c r="AG42" s="3454"/>
      <c r="AH42" s="3454"/>
      <c r="AI42" s="3454"/>
      <c r="AJ42" s="3455"/>
      <c r="AK42" s="2469" t="s">
        <v>416</v>
      </c>
      <c r="AM42" s="1711"/>
      <c r="AN42" s="1711" t="str">
        <f>IF(T42="","",T42)</f>
        <v>Территория действия тарифа</v>
      </c>
      <c r="AO42" s="1711"/>
      <c r="AP42" s="1711"/>
      <c r="AQ42" s="2366">
        <v>23</v>
      </c>
    </row>
    <row customHeight="1" ht="24">
      <c r="A43" s="2574" t="s">
        <v>259</v>
      </c>
      <c r="B43" s="2574" t="s">
        <v>260</v>
      </c>
      <c r="C43" s="2574" t="s">
        <v>261</v>
      </c>
      <c r="D43" s="2574"/>
      <c r="E43" s="3470"/>
      <c r="F43" s="3470"/>
      <c r="G43" s="3469">
        <v>1</v>
      </c>
      <c r="H43" s="2574"/>
      <c r="I43" s="2574"/>
      <c r="J43" s="2574"/>
      <c r="K43" s="2574"/>
      <c r="L43" s="2575"/>
      <c r="M43" s="2576"/>
      <c r="N43" s="2576"/>
      <c r="O43" s="2576"/>
      <c r="P43" s="1565"/>
      <c r="Q43" s="1563"/>
      <c r="R43" s="1564"/>
      <c r="S43" s="2668" t="str">
        <f>INDEX(PT_DIFFERENTIATION_NUM_CS,MATCH(C43,PT_DIFFERENTIATION_CS_ID,0))</f>
        <v>..</v>
      </c>
      <c r="T43" s="1520" t="s">
        <v>499</v>
      </c>
      <c r="U43" s="1511"/>
      <c r="V43" s="3453"/>
      <c r="W43" s="3454"/>
      <c r="X43" s="3454"/>
      <c r="Y43" s="3454"/>
      <c r="Z43" s="3454"/>
      <c r="AA43" s="3454"/>
      <c r="AB43" s="3455"/>
      <c r="AC43" s="3453" t="str">
        <f>INDEX(PT_DIFFERENTIATION_CS,MATCH(C43,PT_DIFFERENTIATION_CS_ID,0))</f>
        <v/>
      </c>
      <c r="AD43" s="3454"/>
      <c r="AE43" s="3454"/>
      <c r="AF43" s="3454"/>
      <c r="AG43" s="3454"/>
      <c r="AH43" s="3454"/>
      <c r="AI43" s="3454"/>
      <c r="AJ43" s="3455"/>
      <c r="AK43" s="2469" t="s">
        <v>500</v>
      </c>
      <c r="AM43" s="1711"/>
      <c r="AN43" s="1711" t="str">
        <f>IF(T43="","",T43)</f>
        <v>Наименование централизованной системы холодного водоснабжения</v>
      </c>
      <c r="AO43" s="1711"/>
      <c r="AP43" s="1711"/>
      <c r="AQ43" s="2366">
        <v>23</v>
      </c>
    </row>
    <row customHeight="1" ht="24">
      <c r="A44" s="2574" t="s">
        <v>259</v>
      </c>
      <c r="B44" s="2574" t="s">
        <v>260</v>
      </c>
      <c r="C44" s="2574" t="s">
        <v>261</v>
      </c>
      <c r="D44" s="2574" t="s">
        <v>516</v>
      </c>
      <c r="E44" s="3470"/>
      <c r="F44" s="3470"/>
      <c r="G44" s="3470"/>
      <c r="H44" s="3470"/>
      <c r="I44" s="3467" t="str">
        <f>S43&amp;".1"</f>
        <v>...1</v>
      </c>
      <c r="J44" s="2574"/>
      <c r="K44" s="2574"/>
      <c r="L44" s="2575"/>
      <c r="P44" s="3468">
        <v>1</v>
      </c>
      <c r="Q44" s="2661"/>
      <c r="R44" s="1567"/>
      <c r="S44" s="2668" t="str">
        <f>$I44</f>
        <v>...1</v>
      </c>
      <c r="T44" s="1496" t="s">
        <v>501</v>
      </c>
      <c r="U44" s="1511"/>
      <c r="V44" s="3561"/>
      <c r="W44" s="3562"/>
      <c r="X44" s="3562"/>
      <c r="Y44" s="3562"/>
      <c r="Z44" s="3562"/>
      <c r="AA44" s="3562"/>
      <c r="AB44" s="3563"/>
      <c r="AC44" s="3564"/>
      <c r="AD44" s="3565"/>
      <c r="AE44" s="3565"/>
      <c r="AF44" s="3565"/>
      <c r="AG44" s="3565"/>
      <c r="AH44" s="3565"/>
      <c r="AI44" s="3565"/>
      <c r="AJ44" s="3566"/>
      <c r="AK44" s="2469" t="s">
        <v>502</v>
      </c>
      <c r="AM44" s="1711"/>
      <c r="AN44" s="1711" t="str">
        <f>IF(T44="","",T44)</f>
        <v>Наименование признака дифференциации</v>
      </c>
      <c r="AO44" s="1711"/>
      <c r="AP44" s="1711"/>
      <c r="AQ44" s="2366">
        <v>23</v>
      </c>
    </row>
    <row customHeight="1" ht="24">
      <c r="A45" s="2574" t="s">
        <v>259</v>
      </c>
      <c r="B45" s="2574" t="s">
        <v>260</v>
      </c>
      <c r="C45" s="2574" t="s">
        <v>261</v>
      </c>
      <c r="D45" s="2574" t="s">
        <v>516</v>
      </c>
      <c r="E45" s="3470"/>
      <c r="F45" s="3470"/>
      <c r="G45" s="3470"/>
      <c r="H45" s="3470"/>
      <c r="I45" s="3497"/>
      <c r="J45" s="3467" t="str">
        <f>I44&amp;".1"</f>
        <v>...1.1</v>
      </c>
      <c r="K45" s="2574"/>
      <c r="L45" s="2575" t="s">
        <v>424</v>
      </c>
      <c r="P45" s="3468"/>
      <c r="Q45" s="3468">
        <v>1</v>
      </c>
      <c r="R45" s="1568"/>
      <c r="S45" s="2668" t="str">
        <f>$J45</f>
        <v>...1.1</v>
      </c>
      <c r="T45" s="1497" t="s">
        <v>425</v>
      </c>
      <c r="U45" s="1511"/>
      <c r="V45" s="3456"/>
      <c r="W45" s="3457"/>
      <c r="X45" s="3457"/>
      <c r="Y45" s="3457"/>
      <c r="Z45" s="3457"/>
      <c r="AA45" s="3457"/>
      <c r="AB45" s="3458"/>
      <c r="AC45" s="3456"/>
      <c r="AD45" s="3457"/>
      <c r="AE45" s="3457"/>
      <c r="AF45" s="3457"/>
      <c r="AG45" s="3457"/>
      <c r="AH45" s="3457"/>
      <c r="AI45" s="3457"/>
      <c r="AJ45" s="3458"/>
      <c r="AK45" s="2518" t="s">
        <v>503</v>
      </c>
      <c r="AM45" s="1711"/>
      <c r="AN45" s="1711" t="str">
        <f>IF(T45="","",T45)</f>
        <v>Группа потребителей</v>
      </c>
      <c r="AO45" s="1711"/>
      <c r="AP45" s="1711"/>
      <c r="AQ45" s="2366">
        <v>23</v>
      </c>
    </row>
    <row customHeight="1" ht="24">
      <c r="A46" s="2574" t="s">
        <v>259</v>
      </c>
      <c r="B46" s="2574" t="s">
        <v>260</v>
      </c>
      <c r="C46" s="2574" t="s">
        <v>261</v>
      </c>
      <c r="D46" s="2574" t="s">
        <v>516</v>
      </c>
      <c r="E46" s="3470"/>
      <c r="F46" s="3470"/>
      <c r="G46" s="3470"/>
      <c r="H46" s="3470"/>
      <c r="I46" s="3497"/>
      <c r="J46" s="3497"/>
      <c r="K46" s="3467" t="str">
        <f>J45&amp;".1"</f>
        <v>...1.1.1</v>
      </c>
      <c r="L46" s="2575"/>
      <c r="P46" s="3468"/>
      <c r="Q46" s="3468"/>
      <c r="R46" s="1568">
        <v>1</v>
      </c>
      <c r="S46" s="2668" t="str">
        <f>$K46</f>
        <v>...1.1.1</v>
      </c>
      <c r="T46" s="2648"/>
      <c r="U46" s="1511"/>
      <c r="V46" s="1962"/>
      <c r="W46" s="1962"/>
      <c r="X46" s="2468"/>
      <c r="Y46" s="3476"/>
      <c r="Z46" s="3318" t="s">
        <v>62</v>
      </c>
      <c r="AA46" s="3476"/>
      <c r="AB46" s="3318" t="s">
        <v>62</v>
      </c>
      <c r="AC46" s="1962"/>
      <c r="AD46" s="1962"/>
      <c r="AE46" s="2468"/>
      <c r="AF46" s="3476"/>
      <c r="AG46" s="3318" t="s">
        <v>62</v>
      </c>
      <c r="AH46" s="3498"/>
      <c r="AI46" s="3318" t="s">
        <v>62</v>
      </c>
      <c r="AJ46" s="2649"/>
      <c r="AK46"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1722">
        <f>STRCHECKDATE(V47:AJ47)</f>
      </c>
      <c r="AM46" s="1711"/>
      <c r="AN46" s="1711" t="str">
        <f>IF(T46="","",T46)</f>
        <v/>
      </c>
      <c r="AO46" s="1711"/>
      <c r="AP46" s="1711"/>
      <c r="AQ46" s="2366">
        <v>23</v>
      </c>
    </row>
    <row customHeight="1" ht="0">
      <c r="A47" s="2574" t="s">
        <v>259</v>
      </c>
      <c r="B47" s="2574" t="s">
        <v>260</v>
      </c>
      <c r="C47" s="2574" t="s">
        <v>261</v>
      </c>
      <c r="D47" s="2574" t="s">
        <v>516</v>
      </c>
      <c r="E47" s="3470"/>
      <c r="F47" s="3470"/>
      <c r="G47" s="3470"/>
      <c r="H47" s="3470"/>
      <c r="I47" s="3497"/>
      <c r="J47" s="3497"/>
      <c r="K47" s="3467"/>
      <c r="L47" s="2575"/>
      <c r="P47" s="3468"/>
      <c r="Q47" s="3468"/>
      <c r="R47" s="1568"/>
      <c r="S47" s="2667"/>
      <c r="T47" s="1511"/>
      <c r="U47" s="1511"/>
      <c r="V47" s="1536"/>
      <c r="W47" s="1536"/>
      <c r="X47" s="1539" t="str">
        <f>Y46&amp;"-"&amp;AA46</f>
        <v>-</v>
      </c>
      <c r="Y47" s="3477"/>
      <c r="Z47" s="3318"/>
      <c r="AA47" s="3477"/>
      <c r="AB47" s="3318"/>
      <c r="AC47" s="1536"/>
      <c r="AD47" s="1536"/>
      <c r="AE47" s="1539" t="str">
        <f>AF46&amp;"-"&amp;AH46</f>
        <v>-</v>
      </c>
      <c r="AF47" s="3477"/>
      <c r="AG47" s="3318"/>
      <c r="AH47" s="3499"/>
      <c r="AI47" s="3318"/>
      <c r="AJ47" s="2650"/>
      <c r="AK47" s="3560"/>
      <c r="AM47" s="1711"/>
      <c r="AN47" s="1711" t="str">
        <f>IF(T47="","",T47)</f>
        <v/>
      </c>
      <c r="AO47" s="1711"/>
      <c r="AP47" s="1711"/>
      <c r="AQ47" s="2366">
        <v>0</v>
      </c>
    </row>
    <row customHeight="1" ht="21">
      <c r="A48" s="2574" t="s">
        <v>259</v>
      </c>
      <c r="B48" s="2574" t="s">
        <v>260</v>
      </c>
      <c r="C48" s="2574" t="s">
        <v>261</v>
      </c>
      <c r="D48" s="2574" t="s">
        <v>516</v>
      </c>
      <c r="E48" s="3470"/>
      <c r="F48" s="3470"/>
      <c r="G48" s="3470"/>
      <c r="H48" s="3470"/>
      <c r="I48" s="3497"/>
      <c r="J48" s="3467"/>
      <c r="K48" s="2574"/>
      <c r="L48" s="2575"/>
      <c r="P48" s="3468"/>
      <c r="Q48" s="3468"/>
      <c r="R48" s="1567"/>
      <c r="S48" s="2489"/>
      <c r="T48" s="1498" t="s">
        <v>504</v>
      </c>
      <c r="U48" s="1578"/>
      <c r="V48" s="1578"/>
      <c r="W48" s="1578"/>
      <c r="X48" s="1578"/>
      <c r="Y48" s="1578"/>
      <c r="Z48" s="1578"/>
      <c r="AA48" s="1578"/>
      <c r="AB48" s="1578"/>
      <c r="AC48" s="1578"/>
      <c r="AD48" s="1578"/>
      <c r="AE48" s="1578"/>
      <c r="AF48" s="1578"/>
      <c r="AG48" s="1578"/>
      <c r="AH48" s="1578"/>
      <c r="AI48" s="1578"/>
      <c r="AJ48" s="1578"/>
      <c r="AK48" s="2469" t="s">
        <v>505</v>
      </c>
      <c r="AM48" s="1711"/>
      <c r="AN48" s="1711" t="str">
        <f>IF(T48="","",T48)</f>
        <v>Добавить значение признака дифференциации</v>
      </c>
      <c r="AO48" s="1711"/>
      <c r="AP48" s="1711"/>
      <c r="AQ48" s="2366">
        <v>20</v>
      </c>
    </row>
    <row customHeight="1" ht="22.049999999999997">
      <c r="A49" s="2574" t="s">
        <v>259</v>
      </c>
      <c r="B49" s="2574" t="s">
        <v>260</v>
      </c>
      <c r="C49" s="2574" t="s">
        <v>261</v>
      </c>
      <c r="D49" s="2574" t="s">
        <v>516</v>
      </c>
      <c r="E49" s="3470"/>
      <c r="F49" s="3470"/>
      <c r="G49" s="3470"/>
      <c r="H49" s="3470"/>
      <c r="I49" s="3467"/>
      <c r="J49" s="2574"/>
      <c r="K49" s="2574"/>
      <c r="L49" s="2575"/>
      <c r="P49" s="3468"/>
      <c r="Q49" s="2661"/>
      <c r="R49" s="1567"/>
      <c r="S49" s="2489"/>
      <c r="T49" s="1576" t="s">
        <v>430</v>
      </c>
      <c r="U49" s="1578"/>
      <c r="V49" s="1578"/>
      <c r="W49" s="1578"/>
      <c r="X49" s="1578"/>
      <c r="Y49" s="1578"/>
      <c r="Z49" s="1578"/>
      <c r="AA49" s="1578"/>
      <c r="AB49" s="1577"/>
      <c r="AC49" s="1578"/>
      <c r="AD49" s="1578"/>
      <c r="AE49" s="1578"/>
      <c r="AF49" s="1578"/>
      <c r="AG49" s="1578"/>
      <c r="AH49" s="1578"/>
      <c r="AI49" s="1577"/>
      <c r="AJ49" s="1578"/>
      <c r="AK49" s="2651"/>
      <c r="AM49" s="1711"/>
      <c r="AN49" s="1711" t="str">
        <f>IF(T49="","",T49)</f>
        <v>Добавить группу потребителей</v>
      </c>
      <c r="AO49" s="1711"/>
      <c r="AP49" s="1711"/>
      <c r="AQ49" s="2366">
        <v>21</v>
      </c>
    </row>
    <row customHeight="1" ht="22.049999999999997">
      <c r="A50" s="2574" t="s">
        <v>259</v>
      </c>
      <c r="B50" s="2574" t="s">
        <v>260</v>
      </c>
      <c r="C50" s="2574" t="s">
        <v>261</v>
      </c>
      <c r="D50" s="2574" t="s">
        <v>516</v>
      </c>
      <c r="E50" s="3470"/>
      <c r="F50" s="3470"/>
      <c r="G50" s="3470"/>
      <c r="H50" s="3469"/>
      <c r="I50" s="2574"/>
      <c r="J50" s="2574"/>
      <c r="K50" s="2574"/>
      <c r="L50" s="2575"/>
      <c r="M50" s="2576"/>
      <c r="N50" s="2576"/>
      <c r="O50" s="1748"/>
      <c r="P50" s="1571"/>
      <c r="Q50" s="1586"/>
      <c r="R50" s="1566"/>
      <c r="S50" s="2489"/>
      <c r="T50" s="1583" t="s">
        <v>506</v>
      </c>
      <c r="U50" s="1578"/>
      <c r="V50" s="1578"/>
      <c r="W50" s="1578"/>
      <c r="X50" s="1578"/>
      <c r="Y50" s="1578"/>
      <c r="Z50" s="1578"/>
      <c r="AA50" s="1578"/>
      <c r="AB50" s="1577"/>
      <c r="AC50" s="1578"/>
      <c r="AD50" s="1578"/>
      <c r="AE50" s="1578"/>
      <c r="AF50" s="1578"/>
      <c r="AG50" s="1578"/>
      <c r="AH50" s="1578"/>
      <c r="AI50" s="1577"/>
      <c r="AJ50" s="1578"/>
      <c r="AK50" s="1514"/>
      <c r="AM50" s="1711"/>
      <c r="AN50" s="1711" t="str">
        <f>IF(T50="","",T50)</f>
        <v>Добавить наименование признака дифференциации</v>
      </c>
      <c r="AO50" s="1711"/>
      <c r="AP50" s="1711"/>
      <c r="AQ50" s="2366">
        <v>21</v>
      </c>
    </row>
    <row s="65923" customFormat="1" customHeight="1" ht="0">
      <c r="A51" s="2554" t="s">
        <v>259</v>
      </c>
      <c r="B51" s="2554" t="s">
        <v>260</v>
      </c>
      <c r="C51" s="2525"/>
      <c r="D51" s="2525"/>
      <c r="E51" s="3470"/>
      <c r="F51" s="3469"/>
      <c r="G51" s="2525"/>
      <c r="H51" s="2525"/>
      <c r="I51" s="2525"/>
      <c r="J51" s="2525"/>
      <c r="K51" s="2525"/>
      <c r="L51" s="2669"/>
      <c r="M51" s="2532"/>
      <c r="N51" s="2532"/>
      <c r="P51" s="2527"/>
      <c r="Q51" s="2528"/>
      <c r="R51" s="2527"/>
      <c r="S51" s="2533"/>
      <c r="T51" s="2536" t="s">
        <v>433</v>
      </c>
      <c r="U51" s="2535"/>
      <c r="V51" s="2535"/>
      <c r="W51" s="2535"/>
      <c r="X51" s="2535"/>
      <c r="Y51" s="2535"/>
      <c r="Z51" s="2535"/>
      <c r="AA51" s="2535"/>
      <c r="AB51" s="2535"/>
      <c r="AC51" s="2535"/>
      <c r="AD51" s="2535"/>
      <c r="AE51" s="2535"/>
      <c r="AF51" s="2535"/>
      <c r="AG51" s="2535"/>
      <c r="AH51" s="2535"/>
      <c r="AI51" s="2535"/>
      <c r="AJ51" s="2535"/>
      <c r="AK51" s="2535"/>
      <c r="AM51" s="2000"/>
      <c r="AN51" s="2000" t="str">
        <f>IF(T51="","",T51)</f>
        <v>Добавить централизованную систему для дифференциации</v>
      </c>
      <c r="AO51" s="2000"/>
      <c r="AP51" s="2000"/>
      <c r="AQ51" s="1729">
        <v>0</v>
      </c>
    </row>
    <row s="65923" customFormat="1" customHeight="1" ht="0">
      <c r="A52" s="2554" t="s">
        <v>259</v>
      </c>
      <c r="B52" s="2554"/>
      <c r="C52" s="2554"/>
      <c r="D52" s="2554"/>
      <c r="E52" s="3469"/>
      <c r="F52" s="2554"/>
      <c r="G52" s="2554"/>
      <c r="H52" s="2554"/>
      <c r="I52" s="2554"/>
      <c r="J52" s="2554"/>
      <c r="K52" s="2554"/>
      <c r="L52" s="2557"/>
      <c r="M52" s="2532"/>
      <c r="N52" s="2532"/>
      <c r="O52" s="1729"/>
      <c r="P52" s="1591"/>
      <c r="Q52" s="2555"/>
      <c r="R52" s="1591"/>
      <c r="S52" s="2533"/>
      <c r="T52" s="2536" t="s">
        <v>434</v>
      </c>
      <c r="U52" s="2535"/>
      <c r="V52" s="2535"/>
      <c r="W52" s="2535"/>
      <c r="X52" s="2535"/>
      <c r="Y52" s="2535"/>
      <c r="Z52" s="2535"/>
      <c r="AA52" s="2535"/>
      <c r="AB52" s="2535"/>
      <c r="AC52" s="2535"/>
      <c r="AD52" s="2535"/>
      <c r="AE52" s="2535"/>
      <c r="AF52" s="2535"/>
      <c r="AG52" s="2535"/>
      <c r="AH52" s="2535"/>
      <c r="AI52" s="2535"/>
      <c r="AJ52" s="2535"/>
      <c r="AK52" s="2535"/>
      <c r="AM52" s="1711"/>
      <c r="AN52" s="1711" t="str">
        <f>IF(T52="","",T52)</f>
        <v>Добавить территорию для дифференциации</v>
      </c>
      <c r="AO52" s="1711"/>
      <c r="AP52" s="1711"/>
      <c r="AQ52" s="1722">
        <v>0</v>
      </c>
    </row>
    <row s="65923" customFormat="1" customHeight="1" ht="0">
      <c r="A53" s="2525"/>
      <c r="B53" s="2525"/>
      <c r="C53" s="2525"/>
      <c r="D53" s="2525"/>
      <c r="E53" s="2554"/>
      <c r="F53" s="2525"/>
      <c r="G53" s="2525"/>
      <c r="H53" s="2525"/>
      <c r="I53" s="2525"/>
      <c r="J53" s="2525"/>
      <c r="K53" s="2525"/>
      <c r="L53" s="2669"/>
      <c r="M53" s="2532"/>
      <c r="N53" s="2532"/>
      <c r="P53" s="2527"/>
      <c r="Q53" s="2528"/>
      <c r="R53" s="2527"/>
      <c r="S53" s="2533"/>
      <c r="T53" s="2536" t="s">
        <v>466</v>
      </c>
      <c r="U53" s="2535"/>
      <c r="V53" s="2535"/>
      <c r="W53" s="2535"/>
      <c r="X53" s="2535"/>
      <c r="Y53" s="2535"/>
      <c r="Z53" s="2535"/>
      <c r="AA53" s="2535"/>
      <c r="AB53" s="2535"/>
      <c r="AC53" s="2535"/>
      <c r="AD53" s="2535"/>
      <c r="AE53" s="2535"/>
      <c r="AF53" s="2535"/>
      <c r="AG53" s="2535"/>
      <c r="AH53" s="2535"/>
      <c r="AI53" s="2535"/>
      <c r="AJ53" s="2535"/>
      <c r="AK53" s="2535"/>
      <c r="AM53" s="2000"/>
      <c r="AN53" s="2000" t="str">
        <f>IF(T53="","",T53)</f>
        <v>Добавить наименование тарифа</v>
      </c>
      <c r="AO53" s="2000"/>
      <c r="AP53" s="2000"/>
      <c r="AQ53" s="1729">
        <v>0</v>
      </c>
    </row>
    <row customHeight="1" ht="11.549999999999999">
      <c r="M54" s="2371"/>
      <c r="N54" s="2371"/>
      <c r="O54" s="1748"/>
      <c r="P54" s="2366"/>
      <c r="Q54" s="2366"/>
      <c r="R54" s="2366"/>
      <c r="S54" s="2366"/>
      <c r="AL54" s="2366"/>
      <c r="AM54" s="2366"/>
      <c r="AN54" s="2366"/>
      <c r="AO54" s="2366"/>
      <c r="AP54" s="2366"/>
      <c r="AQ54" s="2366">
        <v>11</v>
      </c>
    </row>
    <row customHeight="1" ht="14.699999999999998">
      <c r="O55" s="1748"/>
      <c r="S55" s="2464"/>
      <c r="T55" s="3496"/>
      <c r="U55" s="3496"/>
      <c r="V55" s="3496"/>
      <c r="W55" s="3496"/>
      <c r="X55" s="3496"/>
      <c r="Y55" s="3496"/>
      <c r="Z55" s="3496"/>
      <c r="AA55" s="3496"/>
      <c r="AB55" s="3496"/>
      <c r="AC55" s="3496"/>
      <c r="AD55" s="3496"/>
      <c r="AE55" s="3496"/>
      <c r="AF55" s="3496"/>
      <c r="AG55" s="3496"/>
      <c r="AH55" s="3496"/>
      <c r="AI55" s="3496"/>
      <c r="AJ55" s="3496"/>
      <c r="AK55" s="3496"/>
      <c r="AQ55" s="2366">
        <v>14</v>
      </c>
    </row>
    <row customHeight="1" ht="14.699999999999998">
      <c r="O56" s="1748"/>
      <c r="AQ56" s="2366">
        <v>14</v>
      </c>
    </row>
    <row customHeight="1" ht="14.699999999999998">
      <c r="O57" s="1748"/>
      <c r="S57" s="2464"/>
      <c r="T57" s="3496"/>
      <c r="U57" s="3496"/>
      <c r="V57" s="3496"/>
      <c r="W57" s="3496"/>
      <c r="X57" s="3496"/>
      <c r="Y57" s="3496"/>
      <c r="Z57" s="3496"/>
      <c r="AA57" s="3496"/>
      <c r="AB57" s="3496"/>
      <c r="AC57" s="3496"/>
      <c r="AD57" s="3496"/>
      <c r="AE57" s="3496"/>
      <c r="AF57" s="3496"/>
      <c r="AG57" s="3496"/>
      <c r="AH57" s="3496"/>
      <c r="AI57" s="3496"/>
      <c r="AJ57" s="3496"/>
      <c r="AK57" s="3496"/>
      <c r="AQ57" s="2366">
        <v>14</v>
      </c>
    </row>
    <row customHeight="1" ht="22.5" hidden="1">
      <c r="A58" s="2371" t="s">
        <v>82</v>
      </c>
      <c r="B58" s="2371">
        <v>0</v>
      </c>
      <c r="C58" s="2371">
        <v>0</v>
      </c>
      <c r="D58" s="2371">
        <v>0</v>
      </c>
      <c r="E58" s="2371">
        <v>0</v>
      </c>
      <c r="F58" s="2371">
        <v>0</v>
      </c>
      <c r="G58" s="2371">
        <v>0</v>
      </c>
      <c r="H58" s="2371">
        <v>0</v>
      </c>
      <c r="I58" s="2371">
        <v>0</v>
      </c>
      <c r="J58" s="2371">
        <v>0</v>
      </c>
      <c r="K58" s="2371">
        <v>0</v>
      </c>
      <c r="L58" s="2658">
        <v>0</v>
      </c>
      <c r="M58" s="2573">
        <v>0</v>
      </c>
      <c r="N58" s="2573">
        <v>0</v>
      </c>
      <c r="O58" s="2573">
        <v>0</v>
      </c>
      <c r="P58" s="2657">
        <v>3</v>
      </c>
      <c r="Q58" s="1555">
        <v>3</v>
      </c>
      <c r="R58" s="1555">
        <v>3</v>
      </c>
      <c r="S58" s="1792">
        <v>12</v>
      </c>
      <c r="T58" s="2366">
        <v>35</v>
      </c>
      <c r="U58" s="2366">
        <v>0</v>
      </c>
      <c r="V58" s="2366">
        <v>0</v>
      </c>
      <c r="W58" s="2366">
        <v>0</v>
      </c>
      <c r="X58" s="2366">
        <v>0</v>
      </c>
      <c r="Y58" s="2366">
        <v>0</v>
      </c>
      <c r="Z58" s="2366">
        <v>0</v>
      </c>
      <c r="AA58" s="2366">
        <v>0</v>
      </c>
      <c r="AB58" s="2366">
        <v>0</v>
      </c>
      <c r="AC58" s="2366">
        <v>24</v>
      </c>
      <c r="AD58" s="2366">
        <v>24</v>
      </c>
      <c r="AE58" s="2366">
        <v>24</v>
      </c>
      <c r="AF58" s="2366">
        <v>11</v>
      </c>
      <c r="AG58" s="2366">
        <v>3</v>
      </c>
      <c r="AH58" s="2366">
        <v>11</v>
      </c>
      <c r="AI58" s="2366">
        <v>0</v>
      </c>
      <c r="AJ58" s="2366">
        <v>4</v>
      </c>
      <c r="AK58" s="2366">
        <v>115</v>
      </c>
      <c r="AL58" s="1722">
        <v>10</v>
      </c>
      <c r="AM58" s="1722">
        <v>10</v>
      </c>
      <c r="AN58" s="1722">
        <v>10</v>
      </c>
      <c r="AO58" s="1722">
        <v>10</v>
      </c>
      <c r="AP58" s="1722">
        <v>10</v>
      </c>
      <c r="AQ58" s="23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C9CB4-A298-B5A9-888C-F10EA9C3C594}"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66903" width="10.140625" hidden="1" customWidth="1"/>
    <col min="4" max="4" style="66903" width="11.8515625" hidden="1" customWidth="1"/>
    <col min="5" max="11" style="66903" width="10.140625" hidden="1" customWidth="1"/>
    <col min="12" max="12" style="67441" width="10.140625" hidden="1" customWidth="1"/>
    <col min="13" max="15" style="67462" width="10.140625" hidden="1" customWidth="1"/>
    <col min="16" max="16" style="65490" width="3.00390625" customWidth="1"/>
    <col min="17" max="17" style="65556" width="3.00390625" customWidth="1"/>
    <col min="18" max="18" style="66873" width="3.00390625" customWidth="1"/>
    <col min="19" max="19" style="67434" width="12.00390625" customWidth="1"/>
    <col min="20" max="20" style="66903" width="31.00390625" customWidth="1"/>
    <col min="21" max="21" style="66903" width="0.140625" customWidth="1"/>
    <col min="22" max="23" style="66903" width="21.7109375" hidden="1" customWidth="1"/>
    <col min="24" max="24" style="66903" width="11.7109375" hidden="1" customWidth="1"/>
    <col min="25" max="25" style="66903" width="3.7109375" hidden="1" customWidth="1"/>
    <col min="26" max="26" style="66903" width="11.7109375" hidden="1" customWidth="1"/>
    <col min="27" max="27" style="66903" width="8.57421875" hidden="1" customWidth="1"/>
    <col min="28" max="28" style="66903" width="27.00390625" customWidth="1"/>
    <col min="29" max="29" style="66903" width="24.57421875" customWidth="1"/>
    <col min="30" max="31" style="66903" width="21.00390625" customWidth="1"/>
    <col min="32" max="32" style="66903" width="11.00390625" customWidth="1"/>
    <col min="33" max="33" style="66903" width="3.7109375" customWidth="1"/>
    <col min="34" max="34" style="66903" width="11.00390625" customWidth="1"/>
    <col min="35" max="35" style="66903" width="8.57421875" hidden="1" customWidth="1"/>
    <col min="36" max="36" style="66903" width="4.00390625" customWidth="1"/>
    <col min="37" max="37" style="66903" width="115.00390625" customWidth="1"/>
    <col min="38" max="42" style="65923" width="10.00390625" customWidth="1"/>
    <col min="43" max="43" style="66903" width="10.57421875" hidden="1"/>
  </cols>
  <sheetData>
    <row customHeight="1" ht="0.75" hidden="1">
      <c r="AQ1" s="2842" t="s">
        <v>14</v>
      </c>
    </row>
    <row customHeight="1" ht="21" hidden="1">
      <c r="A2" s="2478"/>
      <c r="B2" s="2478"/>
      <c r="C2" s="2478"/>
      <c r="D2" s="2478"/>
      <c r="E2" s="3500">
        <v>1</v>
      </c>
      <c r="F2" s="2478"/>
      <c r="G2" s="2478"/>
      <c r="H2" s="2478"/>
      <c r="I2" s="2478"/>
      <c r="J2" s="2478"/>
      <c r="K2" s="2478"/>
      <c r="L2" s="2521"/>
      <c r="M2" s="2821"/>
      <c r="N2" s="2821"/>
      <c r="O2" s="2821"/>
      <c r="P2" s="2620"/>
      <c r="Q2" s="2084"/>
      <c r="R2" s="1566"/>
      <c r="S2" s="3169">
        <f>INDEX(PT_DIFFERENTIATION_NUM_NTAR,MATCH(A2,PT_DIFFERENTIATION_NTAR_ID,0))</f>
      </c>
      <c r="T2" s="2736" t="s">
        <v>143</v>
      </c>
      <c r="U2" s="1511"/>
      <c r="V2" s="3454"/>
      <c r="W2" s="3454"/>
      <c r="X2" s="3454"/>
      <c r="Y2" s="3454"/>
      <c r="Z2" s="3454"/>
      <c r="AA2" s="3455"/>
      <c r="AB2" s="3163"/>
      <c r="AC2" s="3454">
        <f>INDEX(PT_DIFFERENTIATION_NTAR,MATCH(A2,PT_DIFFERENTIATION_NTAR_ID,0))</f>
      </c>
      <c r="AD2" s="3454"/>
      <c r="AE2" s="3454"/>
      <c r="AF2" s="3454"/>
      <c r="AG2" s="3454"/>
      <c r="AH2" s="3454"/>
      <c r="AI2" s="3454"/>
      <c r="AJ2" s="3455"/>
      <c r="AK2" s="2469" t="s">
        <v>414</v>
      </c>
      <c r="AM2" s="2835"/>
      <c r="AN2" s="2835" t="str">
        <f>IF(T2="","",T2)</f>
        <v>Наименование тарифа</v>
      </c>
      <c r="AO2" s="2835"/>
      <c r="AP2" s="2835"/>
      <c r="AQ2" s="2842">
        <v>0</v>
      </c>
    </row>
    <row customHeight="1" ht="21" hidden="1">
      <c r="A3" s="2478"/>
      <c r="B3" s="2478"/>
      <c r="C3" s="2478"/>
      <c r="D3" s="2478"/>
      <c r="E3" s="3501"/>
      <c r="F3" s="3500">
        <v>1</v>
      </c>
      <c r="G3" s="2478"/>
      <c r="H3" s="2478"/>
      <c r="I3" s="2478"/>
      <c r="J3" s="2478"/>
      <c r="K3" s="2478"/>
      <c r="L3" s="2521"/>
      <c r="M3" s="2821"/>
      <c r="N3" s="2821"/>
      <c r="O3" s="2821"/>
      <c r="P3" s="3180"/>
      <c r="Q3" s="2622"/>
      <c r="R3" s="1564"/>
      <c r="S3" s="3169">
        <f>INDEX(PT_DIFFERENTIATION_NUM_TER,MATCH(B3,PT_DIFFERENTIATION_TER_ID,0))</f>
      </c>
      <c r="T3" s="2733" t="s">
        <v>415</v>
      </c>
      <c r="U3" s="1511"/>
      <c r="V3" s="3454"/>
      <c r="W3" s="3454"/>
      <c r="X3" s="3454"/>
      <c r="Y3" s="3454"/>
      <c r="Z3" s="3454"/>
      <c r="AA3" s="3455"/>
      <c r="AB3" s="3163"/>
      <c r="AC3" s="3454">
        <f>INDEX(PT_DIFFERENTIATION_TER,MATCH(B3,PT_DIFFERENTIATION_TER_ID,0))</f>
      </c>
      <c r="AD3" s="3454"/>
      <c r="AE3" s="3454"/>
      <c r="AF3" s="3454"/>
      <c r="AG3" s="3454"/>
      <c r="AH3" s="3454"/>
      <c r="AI3" s="3454"/>
      <c r="AJ3" s="3455"/>
      <c r="AK3" s="2469" t="s">
        <v>416</v>
      </c>
      <c r="AM3" s="2835"/>
      <c r="AN3" s="2835" t="str">
        <f>IF(T3="","",T3)</f>
        <v>Территория действия тарифа</v>
      </c>
      <c r="AO3" s="2835"/>
      <c r="AP3" s="2835"/>
      <c r="AQ3" s="2842">
        <v>0</v>
      </c>
    </row>
    <row customHeight="1" ht="22.5" hidden="1">
      <c r="A4" s="2478"/>
      <c r="B4" s="2478"/>
      <c r="C4" s="2478"/>
      <c r="D4" s="2478"/>
      <c r="E4" s="3501"/>
      <c r="F4" s="3501"/>
      <c r="G4" s="3500">
        <v>1</v>
      </c>
      <c r="H4" s="2478"/>
      <c r="I4" s="2478"/>
      <c r="J4" s="2478"/>
      <c r="K4" s="2478"/>
      <c r="L4" s="2521"/>
      <c r="M4" s="2821"/>
      <c r="N4" s="2821"/>
      <c r="O4" s="2821"/>
      <c r="P4" s="2623"/>
      <c r="Q4" s="2622"/>
      <c r="R4" s="1564"/>
      <c r="S4" s="3169">
        <f>INDEX(PT_DIFFERENTIATION_NUM_CS,MATCH(C4,PT_DIFFERENTIATION_CS_ID,0))</f>
      </c>
      <c r="T4" s="1520" t="s">
        <v>417</v>
      </c>
      <c r="U4" s="1511"/>
      <c r="V4" s="3454"/>
      <c r="W4" s="3454"/>
      <c r="X4" s="3454"/>
      <c r="Y4" s="3454"/>
      <c r="Z4" s="3454"/>
      <c r="AA4" s="3455"/>
      <c r="AB4" s="3163"/>
      <c r="AC4" s="3454">
        <f>INDEX(PT_DIFFERENTIATION_CS,MATCH(C4,PT_DIFFERENTIATION_CS_ID,0))</f>
      </c>
      <c r="AD4" s="3454"/>
      <c r="AE4" s="3454"/>
      <c r="AF4" s="3454"/>
      <c r="AG4" s="3454"/>
      <c r="AH4" s="3454"/>
      <c r="AI4" s="3454"/>
      <c r="AJ4" s="3455"/>
      <c r="AK4" s="2469" t="s">
        <v>418</v>
      </c>
      <c r="AM4" s="2835"/>
      <c r="AN4" s="2835" t="str">
        <f>IF(T4="","",T4)</f>
        <v>Наименование системы теплоснабжения </v>
      </c>
      <c r="AO4" s="2835"/>
      <c r="AP4" s="2835"/>
      <c r="AQ4" s="2842">
        <v>0</v>
      </c>
    </row>
    <row customHeight="1" ht="21" hidden="1">
      <c r="A5" s="2478"/>
      <c r="B5" s="2478"/>
      <c r="C5" s="2478"/>
      <c r="D5" s="2478"/>
      <c r="E5" s="3501"/>
      <c r="F5" s="3501"/>
      <c r="G5" s="3501"/>
      <c r="H5" s="3500">
        <v>1</v>
      </c>
      <c r="I5" s="2478"/>
      <c r="J5" s="2478"/>
      <c r="K5" s="2478"/>
      <c r="L5" s="2521"/>
      <c r="M5" s="2821"/>
      <c r="N5" s="2821"/>
      <c r="O5" s="2821"/>
      <c r="P5" s="2623"/>
      <c r="Q5" s="2622"/>
      <c r="R5" s="1564"/>
      <c r="S5" s="3169">
        <f>INDEX(PT_DIFFERENTIATION_NUM_IST_TE,MATCH(D5,PT_DIFFERENTIATION_IST_TE_ID,0))</f>
      </c>
      <c r="T5" s="1521" t="s">
        <v>419</v>
      </c>
      <c r="U5" s="1511"/>
      <c r="V5" s="3454"/>
      <c r="W5" s="3454"/>
      <c r="X5" s="3454"/>
      <c r="Y5" s="3454"/>
      <c r="Z5" s="3454"/>
      <c r="AA5" s="3455"/>
      <c r="AB5" s="3163"/>
      <c r="AC5" s="3454">
        <f>INDEX(PT_DIFFERENTIATION_IST_TE,MATCH(D5,PT_DIFFERENTIATION_IST_TE_ID,0))</f>
      </c>
      <c r="AD5" s="3454"/>
      <c r="AE5" s="3454"/>
      <c r="AF5" s="3454"/>
      <c r="AG5" s="3454"/>
      <c r="AH5" s="3454"/>
      <c r="AI5" s="3454"/>
      <c r="AJ5" s="3455"/>
      <c r="AK5" s="2469" t="s">
        <v>420</v>
      </c>
      <c r="AM5" s="2835"/>
      <c r="AN5" s="2835" t="str">
        <f>IF(T5="","",T5)</f>
        <v>Источник тепловой энергии  </v>
      </c>
      <c r="AO5" s="2835"/>
      <c r="AP5" s="2835"/>
      <c r="AQ5" s="2842">
        <v>0</v>
      </c>
    </row>
    <row s="65923" customFormat="1" customHeight="1" ht="0.75" hidden="1">
      <c r="A6" s="2586"/>
      <c r="B6" s="2586"/>
      <c r="C6" s="2586"/>
      <c r="D6" s="2586"/>
      <c r="E6" s="3501"/>
      <c r="F6" s="3501"/>
      <c r="G6" s="3501"/>
      <c r="H6" s="3501"/>
      <c r="I6" s="3338">
        <f>S5&amp;".1"</f>
      </c>
      <c r="J6" s="2586"/>
      <c r="K6" s="2586"/>
      <c r="L6" s="2592" t="s">
        <v>421</v>
      </c>
      <c r="M6" s="2457"/>
      <c r="N6" s="2457"/>
      <c r="O6" s="2457"/>
      <c r="P6" s="3468">
        <v>1</v>
      </c>
      <c r="Q6" s="3165"/>
      <c r="R6" s="1567"/>
      <c r="S6" s="2253"/>
      <c r="T6" s="2594"/>
      <c r="U6" s="2595"/>
      <c r="V6" s="3508"/>
      <c r="W6" s="3508"/>
      <c r="X6" s="3508"/>
      <c r="Y6" s="3508"/>
      <c r="Z6" s="3508"/>
      <c r="AA6" s="3509"/>
      <c r="AB6" s="3171"/>
      <c r="AC6" s="3508"/>
      <c r="AD6" s="3508"/>
      <c r="AE6" s="3508"/>
      <c r="AF6" s="3508"/>
      <c r="AG6" s="3508"/>
      <c r="AH6" s="3508"/>
      <c r="AI6" s="3508"/>
      <c r="AJ6" s="3509"/>
      <c r="AK6" s="2596"/>
      <c r="AM6" s="2835"/>
      <c r="AN6" s="2835" t="str">
        <f>IF(T6="","",T6)</f>
        <v/>
      </c>
      <c r="AO6" s="2835"/>
      <c r="AP6" s="2835"/>
      <c r="AQ6" s="2847">
        <v>0</v>
      </c>
    </row>
    <row s="65923" customFormat="1" customHeight="1" ht="0.75" hidden="1">
      <c r="A7" s="2586"/>
      <c r="B7" s="2586"/>
      <c r="C7" s="2586"/>
      <c r="D7" s="2586"/>
      <c r="E7" s="3501"/>
      <c r="F7" s="3501"/>
      <c r="G7" s="3501"/>
      <c r="H7" s="3501"/>
      <c r="I7" s="3312"/>
      <c r="J7" s="3338">
        <f>S5&amp;".1"</f>
      </c>
      <c r="K7" s="2586"/>
      <c r="L7" s="2592"/>
      <c r="M7" s="2457"/>
      <c r="N7" s="2457"/>
      <c r="O7" s="2457"/>
      <c r="P7" s="3468"/>
      <c r="Q7" s="3468">
        <v>1</v>
      </c>
      <c r="R7" s="1568"/>
      <c r="S7" s="2253"/>
      <c r="T7" s="2610"/>
      <c r="U7" s="2595"/>
      <c r="V7" s="3508"/>
      <c r="W7" s="3508"/>
      <c r="X7" s="3508"/>
      <c r="Y7" s="3508"/>
      <c r="Z7" s="3508"/>
      <c r="AA7" s="3509"/>
      <c r="AB7" s="3171"/>
      <c r="AC7" s="3508"/>
      <c r="AD7" s="3508"/>
      <c r="AE7" s="3508"/>
      <c r="AF7" s="3508"/>
      <c r="AG7" s="3508"/>
      <c r="AH7" s="3508"/>
      <c r="AI7" s="3508"/>
      <c r="AJ7" s="3509"/>
      <c r="AK7" s="2596"/>
      <c r="AM7" s="2835"/>
      <c r="AN7" s="2835" t="str">
        <f>IF(T7="","",T7)</f>
        <v/>
      </c>
      <c r="AO7" s="2835"/>
      <c r="AP7" s="2835"/>
      <c r="AQ7" s="2847">
        <v>0</v>
      </c>
    </row>
    <row customHeight="1" ht="21" hidden="1">
      <c r="A8" s="2478"/>
      <c r="B8" s="2478"/>
      <c r="C8" s="2478"/>
      <c r="D8" s="2478"/>
      <c r="E8" s="3501"/>
      <c r="F8" s="3501"/>
      <c r="G8" s="3501"/>
      <c r="H8" s="3501"/>
      <c r="I8" s="3312"/>
      <c r="J8" s="3312"/>
      <c r="K8" s="3202">
        <f>S5&amp;".1"</f>
      </c>
      <c r="L8" s="2521"/>
      <c r="P8" s="3468"/>
      <c r="Q8" s="3468"/>
      <c r="R8" s="3206">
        <v>1</v>
      </c>
      <c r="S8" s="3204">
        <f>$K8</f>
      </c>
      <c r="T8" s="3205"/>
      <c r="U8" s="1511"/>
      <c r="V8" s="1962"/>
      <c r="W8" s="2468"/>
      <c r="X8" s="3203"/>
      <c r="Y8" s="3201" t="s">
        <v>62</v>
      </c>
      <c r="Z8" s="3203"/>
      <c r="AA8" s="3201" t="s">
        <v>62</v>
      </c>
      <c r="AB8" s="3207"/>
      <c r="AC8" s="3208" t="s">
        <v>22</v>
      </c>
      <c r="AD8" s="1962"/>
      <c r="AE8" s="2468"/>
      <c r="AF8" s="3166"/>
      <c r="AG8" s="3153" t="s">
        <v>62</v>
      </c>
      <c r="AH8" s="3166"/>
      <c r="AI8" s="3153" t="s">
        <v>62</v>
      </c>
      <c r="AJ8" s="2559"/>
      <c r="AK8" s="3464" t="s">
        <v>482</v>
      </c>
      <c r="AL8" s="2847">
        <f>STRCHECKDATE(#REF!)</f>
      </c>
      <c r="AM8" s="2835"/>
      <c r="AN8" s="2835" t="str">
        <f>IF(T8="","",T8)</f>
        <v/>
      </c>
      <c r="AO8" s="2835"/>
      <c r="AP8" s="2835"/>
      <c r="AQ8" s="2842">
        <v>0</v>
      </c>
    </row>
    <row customHeight="1" ht="11.25" hidden="1">
      <c r="A9" s="2478"/>
      <c r="B9" s="2478"/>
      <c r="C9" s="2478"/>
      <c r="D9" s="2478"/>
      <c r="E9" s="3501"/>
      <c r="F9" s="3501"/>
      <c r="G9" s="3501"/>
      <c r="H9" s="3501"/>
      <c r="I9" s="3312"/>
      <c r="J9" s="3338"/>
      <c r="K9" s="2478"/>
      <c r="L9" s="2521"/>
      <c r="P9" s="3468"/>
      <c r="Q9" s="3468"/>
      <c r="R9" s="1567"/>
      <c r="S9" s="2489"/>
      <c r="T9" s="1498" t="s">
        <v>486</v>
      </c>
      <c r="U9" s="1811"/>
      <c r="V9" s="1811"/>
      <c r="W9" s="1811"/>
      <c r="X9" s="1811"/>
      <c r="Y9" s="1811"/>
      <c r="Z9" s="1811"/>
      <c r="AA9" s="1811"/>
      <c r="AB9" s="1811"/>
      <c r="AC9" s="1811"/>
      <c r="AD9" s="1811"/>
      <c r="AE9" s="1811"/>
      <c r="AF9" s="1811"/>
      <c r="AG9" s="1811"/>
      <c r="AH9" s="1811"/>
      <c r="AI9" s="1811"/>
      <c r="AJ9" s="1535"/>
      <c r="AK9" s="3466"/>
      <c r="AM9" s="2835"/>
      <c r="AN9" s="2835" t="str">
        <f>IF(T9="","",T9)</f>
        <v>Добавить строку</v>
      </c>
      <c r="AO9" s="2835"/>
      <c r="AP9" s="2835"/>
      <c r="AQ9" s="2842">
        <v>0</v>
      </c>
    </row>
    <row s="65923" customFormat="1" customHeight="1" ht="0.75" hidden="1">
      <c r="A10" s="2586"/>
      <c r="B10" s="2586"/>
      <c r="C10" s="2586"/>
      <c r="D10" s="2586"/>
      <c r="E10" s="3501"/>
      <c r="F10" s="3501"/>
      <c r="G10" s="3501"/>
      <c r="H10" s="3501"/>
      <c r="I10" s="3338"/>
      <c r="J10" s="2586"/>
      <c r="K10" s="2586"/>
      <c r="L10" s="2592"/>
      <c r="M10" s="2457"/>
      <c r="N10" s="2457"/>
      <c r="O10" s="2457"/>
      <c r="P10" s="3468"/>
      <c r="Q10" s="3165"/>
      <c r="R10" s="1567"/>
      <c r="S10" s="2597"/>
      <c r="T10" s="2598"/>
      <c r="U10" s="2599"/>
      <c r="V10" s="2599"/>
      <c r="W10" s="2599"/>
      <c r="X10" s="2599"/>
      <c r="Y10" s="2599"/>
      <c r="Z10" s="2599"/>
      <c r="AA10" s="2599"/>
      <c r="AB10" s="2599"/>
      <c r="AC10" s="2599"/>
      <c r="AD10" s="2599"/>
      <c r="AE10" s="2599"/>
      <c r="AF10" s="2599"/>
      <c r="AG10" s="2599"/>
      <c r="AH10" s="2599"/>
      <c r="AI10" s="2599"/>
      <c r="AJ10" s="2599"/>
      <c r="AK10" s="2600"/>
      <c r="AM10" s="2835"/>
      <c r="AN10" s="2835" t="str">
        <f>IF(T10="","",T10)</f>
        <v/>
      </c>
      <c r="AO10" s="2835"/>
      <c r="AP10" s="2835"/>
      <c r="AQ10" s="2847">
        <v>0</v>
      </c>
    </row>
    <row s="65923" customFormat="1" customHeight="1" ht="0.75" hidden="1">
      <c r="A11" s="2586"/>
      <c r="B11" s="2586"/>
      <c r="C11" s="2586"/>
      <c r="D11" s="2586"/>
      <c r="E11" s="3501"/>
      <c r="F11" s="3501"/>
      <c r="G11" s="3501"/>
      <c r="H11" s="3500"/>
      <c r="I11" s="2586"/>
      <c r="J11" s="2586"/>
      <c r="K11" s="2586"/>
      <c r="L11" s="2592"/>
      <c r="M11" s="2589"/>
      <c r="N11" s="2589"/>
      <c r="O11" s="1562"/>
      <c r="P11" s="1591"/>
      <c r="Q11" s="2555"/>
      <c r="R11" s="2612"/>
      <c r="S11" s="2597"/>
      <c r="T11" s="2598"/>
      <c r="U11" s="2599"/>
      <c r="V11" s="2599"/>
      <c r="W11" s="2599"/>
      <c r="X11" s="2599"/>
      <c r="Y11" s="2599"/>
      <c r="Z11" s="2599"/>
      <c r="AA11" s="2599"/>
      <c r="AB11" s="2599"/>
      <c r="AC11" s="2599"/>
      <c r="AD11" s="2599"/>
      <c r="AE11" s="2599"/>
      <c r="AF11" s="2599"/>
      <c r="AG11" s="2599"/>
      <c r="AH11" s="2599"/>
      <c r="AI11" s="2599"/>
      <c r="AJ11" s="2599"/>
      <c r="AK11" s="2600"/>
      <c r="AM11" s="2835"/>
      <c r="AN11" s="2835" t="str">
        <f>IF(T11="","",T11)</f>
        <v/>
      </c>
      <c r="AO11" s="2835"/>
      <c r="AP11" s="2835"/>
      <c r="AQ11" s="2847">
        <v>0</v>
      </c>
    </row>
    <row s="65923" customFormat="1" customHeight="1" ht="0.75" hidden="1">
      <c r="A12" s="2586"/>
      <c r="B12" s="2586"/>
      <c r="C12" s="2586"/>
      <c r="D12" s="2585"/>
      <c r="E12" s="3501"/>
      <c r="F12" s="3501"/>
      <c r="G12" s="3500"/>
      <c r="H12" s="2585"/>
      <c r="I12" s="2585"/>
      <c r="J12" s="2585"/>
      <c r="K12" s="2585"/>
      <c r="L12" s="2588"/>
      <c r="M12" s="2589"/>
      <c r="N12" s="2589"/>
      <c r="O12" s="1562"/>
      <c r="P12" s="2527"/>
      <c r="Q12" s="2528"/>
      <c r="R12" s="2527"/>
      <c r="S12" s="2533"/>
      <c r="T12" s="2536" t="s">
        <v>432</v>
      </c>
      <c r="U12" s="2535"/>
      <c r="V12" s="2535"/>
      <c r="W12" s="2535"/>
      <c r="X12" s="2535"/>
      <c r="Y12" s="2535"/>
      <c r="Z12" s="2535"/>
      <c r="AA12" s="2535"/>
      <c r="AB12" s="2535"/>
      <c r="AC12" s="2535"/>
      <c r="AD12" s="2535"/>
      <c r="AE12" s="2535"/>
      <c r="AF12" s="2535"/>
      <c r="AG12" s="2535"/>
      <c r="AH12" s="2535"/>
      <c r="AI12" s="2535"/>
      <c r="AJ12" s="2535"/>
      <c r="AK12" s="2535"/>
      <c r="AM12" s="2462"/>
      <c r="AN12" s="2462" t="str">
        <f>IF(T12="","",T12)</f>
        <v>Добавить источник для дифференциации</v>
      </c>
      <c r="AO12" s="2462"/>
      <c r="AP12" s="2462"/>
      <c r="AQ12" s="2853">
        <v>0</v>
      </c>
    </row>
    <row s="65923" customFormat="1" customHeight="1" ht="0.75" hidden="1">
      <c r="A13" s="2586"/>
      <c r="B13" s="2586"/>
      <c r="C13" s="2585"/>
      <c r="D13" s="2585"/>
      <c r="E13" s="3501"/>
      <c r="F13" s="3500"/>
      <c r="G13" s="2585"/>
      <c r="H13" s="2585"/>
      <c r="I13" s="2585"/>
      <c r="J13" s="2585"/>
      <c r="K13" s="2585"/>
      <c r="L13" s="2588"/>
      <c r="M13" s="2590"/>
      <c r="N13" s="2590"/>
      <c r="O13" s="1562"/>
      <c r="P13" s="2527"/>
      <c r="Q13" s="2528"/>
      <c r="R13" s="2527"/>
      <c r="S13" s="2533"/>
      <c r="T13" s="2536" t="s">
        <v>433</v>
      </c>
      <c r="U13" s="2535"/>
      <c r="V13" s="2535"/>
      <c r="W13" s="2535"/>
      <c r="X13" s="2535"/>
      <c r="Y13" s="2535"/>
      <c r="Z13" s="2535"/>
      <c r="AA13" s="2535"/>
      <c r="AB13" s="2535"/>
      <c r="AC13" s="2535"/>
      <c r="AD13" s="2535"/>
      <c r="AE13" s="2535"/>
      <c r="AF13" s="2535"/>
      <c r="AG13" s="2535"/>
      <c r="AH13" s="2535"/>
      <c r="AI13" s="2535"/>
      <c r="AJ13" s="2535"/>
      <c r="AK13" s="2535"/>
      <c r="AM13" s="2462"/>
      <c r="AN13" s="2462" t="str">
        <f>IF(T13="","",T13)</f>
        <v>Добавить централизованную систему для дифференциации</v>
      </c>
      <c r="AO13" s="2462"/>
      <c r="AP13" s="2462"/>
      <c r="AQ13" s="2853">
        <v>0</v>
      </c>
    </row>
    <row s="65923" customFormat="1" customHeight="1" ht="0.75" hidden="1">
      <c r="A14" s="2586"/>
      <c r="B14" s="2586"/>
      <c r="C14" s="2586"/>
      <c r="D14" s="2586"/>
      <c r="E14" s="3500"/>
      <c r="F14" s="2586"/>
      <c r="G14" s="2586"/>
      <c r="H14" s="2586"/>
      <c r="I14" s="2586"/>
      <c r="J14" s="2586"/>
      <c r="K14" s="2586"/>
      <c r="L14" s="2592"/>
      <c r="M14" s="2590"/>
      <c r="N14" s="2590"/>
      <c r="O14" s="1562"/>
      <c r="P14" s="1591"/>
      <c r="Q14" s="2555"/>
      <c r="R14" s="1591"/>
      <c r="S14" s="2533"/>
      <c r="T14" s="2536" t="s">
        <v>434</v>
      </c>
      <c r="U14" s="2535"/>
      <c r="V14" s="2535"/>
      <c r="W14" s="2535"/>
      <c r="X14" s="2535"/>
      <c r="Y14" s="2535"/>
      <c r="Z14" s="2535"/>
      <c r="AA14" s="2535"/>
      <c r="AB14" s="2535"/>
      <c r="AC14" s="2535"/>
      <c r="AD14" s="2535"/>
      <c r="AE14" s="2535"/>
      <c r="AF14" s="2535"/>
      <c r="AG14" s="2535"/>
      <c r="AH14" s="2535"/>
      <c r="AI14" s="2535"/>
      <c r="AJ14" s="2535"/>
      <c r="AK14" s="2535"/>
      <c r="AM14" s="2835"/>
      <c r="AN14" s="2835" t="str">
        <f>IF(T14="","",T14)</f>
        <v>Добавить территорию для дифференциации</v>
      </c>
      <c r="AO14" s="2835"/>
      <c r="AP14" s="2835"/>
      <c r="AQ14" s="2847">
        <v>0</v>
      </c>
    </row>
    <row customHeight="1" ht="14.25" hidden="1">
      <c r="AQ15" s="2842">
        <v>0</v>
      </c>
    </row>
    <row customHeight="1" ht="14.25" hidden="1">
      <c r="AC16" s="2713"/>
      <c r="AD16" s="2614"/>
      <c r="AE16" s="2615"/>
      <c r="AF16" s="2947"/>
      <c r="AG16" s="3177" t="s">
        <v>62</v>
      </c>
      <c r="AH16" s="2947"/>
      <c r="AI16" s="3177" t="s">
        <v>62</v>
      </c>
      <c r="AQ16" s="2842">
        <v>0</v>
      </c>
    </row>
    <row customHeight="1" ht="14.25" hidden="1">
      <c r="AL17" s="2852"/>
      <c r="AM17" s="2852"/>
      <c r="AN17" s="2852"/>
      <c r="AO17" s="2852"/>
      <c r="AP17" s="2852"/>
      <c r="AQ17" s="2842">
        <v>0</v>
      </c>
    </row>
    <row customHeight="1" ht="14.25" hidden="1">
      <c r="O18" s="2556" t="s">
        <v>435</v>
      </c>
      <c r="X18" s="2556"/>
      <c r="Z18" s="2556"/>
      <c r="AF18" s="2556"/>
      <c r="AH18" s="2556"/>
      <c r="AL18" s="2852"/>
      <c r="AM18" s="2852"/>
      <c r="AN18" s="2852"/>
      <c r="AO18" s="2852"/>
      <c r="AP18" s="2852"/>
      <c r="AQ18" s="2842">
        <v>0</v>
      </c>
    </row>
    <row customHeight="1" ht="14.25" hidden="1">
      <c r="AL19" s="2852"/>
      <c r="AM19" s="2852"/>
      <c r="AN19" s="2852"/>
      <c r="AO19" s="2852"/>
      <c r="AP19" s="2852"/>
      <c r="AQ19" s="2842">
        <v>0</v>
      </c>
    </row>
    <row s="65531" customFormat="1" customHeight="1" ht="14.25" hidden="1">
      <c r="A20" s="3182"/>
      <c r="B20" s="3182"/>
      <c r="C20" s="3182"/>
      <c r="D20" s="3182"/>
      <c r="E20" s="3182"/>
      <c r="F20" s="3182"/>
      <c r="G20" s="3182"/>
      <c r="H20" s="3182"/>
      <c r="I20" s="3182"/>
      <c r="J20" s="3182"/>
      <c r="K20" s="3182"/>
      <c r="L20" s="3182"/>
      <c r="M20" s="3183"/>
      <c r="N20" s="3183"/>
      <c r="O20" s="3184" t="s">
        <v>436</v>
      </c>
      <c r="P20" s="2719"/>
      <c r="Q20" s="2721"/>
      <c r="R20" s="2721"/>
      <c r="Y20" s="2718" t="s">
        <v>438</v>
      </c>
      <c r="AA20" s="2718" t="s">
        <v>439</v>
      </c>
      <c r="AC20" s="2718" t="s">
        <v>488</v>
      </c>
      <c r="AG20" s="2718" t="s">
        <v>438</v>
      </c>
      <c r="AI20" s="2718" t="s">
        <v>439</v>
      </c>
      <c r="AL20" s="2722"/>
      <c r="AM20" s="2722"/>
      <c r="AN20" s="2722"/>
      <c r="AO20" s="2722"/>
      <c r="AP20" s="2722"/>
      <c r="AQ20" s="2718">
        <v>0</v>
      </c>
    </row>
    <row customHeight="1" ht="14.25" hidden="1">
      <c r="O21" s="2521"/>
      <c r="AL21" s="2852"/>
      <c r="AM21" s="2852"/>
      <c r="AN21" s="2852"/>
      <c r="AO21" s="2852"/>
      <c r="AP21" s="2852"/>
      <c r="AQ21" s="2842">
        <v>0</v>
      </c>
    </row>
    <row customHeight="1" ht="14.25" hidden="1">
      <c r="O22" s="2521"/>
      <c r="AL22" s="2852"/>
      <c r="AM22" s="2852"/>
      <c r="AN22" s="2852"/>
      <c r="AO22" s="2852"/>
      <c r="AP22" s="2852"/>
      <c r="AQ22" s="2842">
        <v>0</v>
      </c>
    </row>
    <row customHeight="1" ht="14.699999999999998">
      <c r="Q23" s="1502"/>
      <c r="R23" s="1587"/>
      <c r="S23" s="2486"/>
      <c r="T23" s="1668"/>
      <c r="U23" s="1668"/>
      <c r="V23" s="2846"/>
      <c r="W23" s="2846"/>
      <c r="X23" s="2846"/>
      <c r="Y23" s="2846"/>
      <c r="Z23" s="2846"/>
      <c r="AA23" s="2846"/>
      <c r="AB23" s="2846"/>
      <c r="AC23" s="2846"/>
      <c r="AD23" s="2846"/>
      <c r="AE23" s="2846"/>
      <c r="AF23" s="2846"/>
      <c r="AG23" s="2846"/>
      <c r="AH23" s="2846"/>
      <c r="AI23" s="2846"/>
      <c r="AQ23" s="2842">
        <v>14</v>
      </c>
    </row>
    <row customHeight="1" ht="39.75">
      <c r="Q24" s="1502"/>
      <c r="R24" s="1587"/>
      <c r="S24" s="345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3459"/>
      <c r="U24" s="3459"/>
      <c r="V24" s="3459"/>
      <c r="W24" s="3459"/>
      <c r="X24" s="3459"/>
      <c r="Y24" s="3459"/>
      <c r="Z24" s="3459"/>
      <c r="AA24" s="3459"/>
      <c r="AB24" s="3459"/>
      <c r="AC24" s="3459"/>
      <c r="AD24" s="3459"/>
      <c r="AE24" s="3459"/>
      <c r="AF24" s="3459"/>
      <c r="AG24" s="3459"/>
      <c r="AH24" s="3459"/>
      <c r="AI24" s="2454"/>
      <c r="AQ24" s="2842">
        <v>38</v>
      </c>
    </row>
    <row customHeight="1" ht="14.699999999999998">
      <c r="Q25" s="1502"/>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2454"/>
      <c r="AQ25" s="2842">
        <v>14</v>
      </c>
    </row>
    <row customHeight="1" ht="14.25" hidden="1">
      <c r="Q26" s="1502"/>
      <c r="R26" s="1587"/>
      <c r="S26" s="2486"/>
      <c r="T26" s="1668"/>
      <c r="U26" s="1668"/>
      <c r="V26" s="1533"/>
      <c r="W26" s="1533"/>
      <c r="X26" s="1533"/>
      <c r="Y26" s="1533"/>
      <c r="Z26" s="1533"/>
      <c r="AA26" s="1533"/>
      <c r="AB26" s="1533"/>
      <c r="AC26" s="1533"/>
      <c r="AD26" s="1533"/>
      <c r="AE26" s="1533"/>
      <c r="AF26" s="1533"/>
      <c r="AG26" s="1533"/>
      <c r="AH26" s="1533"/>
      <c r="AI26" s="1533"/>
      <c r="AJ26" s="2846"/>
      <c r="AQ26" s="2842">
        <v>0</v>
      </c>
    </row>
    <row s="67333" customFormat="1" customHeight="1" ht="25.5" hidden="1">
      <c r="A27" s="2459"/>
      <c r="B27" s="2459"/>
      <c r="C27" s="2459"/>
      <c r="D27" s="2459"/>
      <c r="E27" s="2459"/>
      <c r="F27" s="2459"/>
      <c r="G27" s="2459"/>
      <c r="H27" s="2459"/>
      <c r="I27" s="2459"/>
      <c r="J27" s="2459"/>
      <c r="K27" s="2459"/>
      <c r="L27" s="2591"/>
      <c r="M27" s="2459"/>
      <c r="N27" s="2459"/>
      <c r="O27" s="2459"/>
      <c r="P27" s="2579"/>
      <c r="Q27" s="2579"/>
      <c r="S27" s="3461" t="s">
        <v>41</v>
      </c>
      <c r="T27" s="3461"/>
      <c r="U27" s="2583"/>
      <c r="V27" s="3462" t="str">
        <f>IF(TITLE_NAME_OR_PR_CHANGE="",IF(TITLE_NAME_OR_PR="","",TITLE_NAME_OR_PR),TITLE_NAME_OR_PR_CHANGE)</f>
        <v/>
      </c>
      <c r="W27" s="3462"/>
      <c r="X27" s="3462"/>
      <c r="Y27" s="3462"/>
      <c r="Z27" s="3462"/>
      <c r="AA27" s="2846"/>
      <c r="AB27" s="2846"/>
      <c r="AC27" s="3462"/>
      <c r="AD27" s="3462"/>
      <c r="AE27" s="3462"/>
      <c r="AF27" s="3462"/>
      <c r="AG27" s="3462"/>
      <c r="AH27" s="3462"/>
      <c r="AI27" s="2846"/>
      <c r="AJ27" s="2846"/>
      <c r="AK27" s="1491"/>
      <c r="AL27" s="1579"/>
      <c r="AM27" s="1579"/>
      <c r="AN27" s="1579"/>
      <c r="AO27" s="1579"/>
      <c r="AP27" s="1579"/>
      <c r="AQ27" s="1629">
        <v>0</v>
      </c>
    </row>
    <row s="67333" customFormat="1" customHeight="1" ht="18.75" hidden="1">
      <c r="A28" s="2459"/>
      <c r="B28" s="2459"/>
      <c r="C28" s="2459"/>
      <c r="D28" s="2459"/>
      <c r="E28" s="2459"/>
      <c r="F28" s="2459"/>
      <c r="G28" s="2459"/>
      <c r="H28" s="2459"/>
      <c r="I28" s="2459"/>
      <c r="J28" s="2459"/>
      <c r="K28" s="2459"/>
      <c r="L28" s="2591"/>
      <c r="M28" s="2459"/>
      <c r="N28" s="2459"/>
      <c r="O28" s="2459"/>
      <c r="P28" s="2579"/>
      <c r="Q28" s="2579"/>
      <c r="S28" s="3461" t="s">
        <v>441</v>
      </c>
      <c r="T28" s="3461"/>
      <c r="U28" s="2583"/>
      <c r="V28" s="3475" t="str">
        <f>IF(TITLE_DATE_PR_CHANGE="",IF(TITLE_DATE_PR="","",TITLE_DATE_PR),TITLE_DATE_PR_CHANGE)</f>
        <v/>
      </c>
      <c r="W28" s="3475"/>
      <c r="X28" s="3475"/>
      <c r="Y28" s="3475"/>
      <c r="Z28" s="3475"/>
      <c r="AA28" s="2846"/>
      <c r="AB28" s="2846"/>
      <c r="AC28" s="3475"/>
      <c r="AD28" s="3475"/>
      <c r="AE28" s="3475"/>
      <c r="AF28" s="3475"/>
      <c r="AG28" s="3475"/>
      <c r="AH28" s="3475"/>
      <c r="AI28" s="2846"/>
      <c r="AJ28" s="2846"/>
      <c r="AK28" s="1491"/>
      <c r="AL28" s="1579"/>
      <c r="AM28" s="1579"/>
      <c r="AN28" s="1579"/>
      <c r="AO28" s="1579"/>
      <c r="AP28" s="1579"/>
      <c r="AQ28" s="1629">
        <v>0</v>
      </c>
    </row>
    <row s="67333" customFormat="1" customHeight="1" ht="18.75" hidden="1">
      <c r="A29" s="2459"/>
      <c r="B29" s="2459"/>
      <c r="C29" s="2459"/>
      <c r="D29" s="2459"/>
      <c r="E29" s="2459"/>
      <c r="F29" s="2459"/>
      <c r="G29" s="2459"/>
      <c r="H29" s="2459"/>
      <c r="I29" s="2459"/>
      <c r="J29" s="2459"/>
      <c r="K29" s="2459"/>
      <c r="L29" s="2591"/>
      <c r="M29" s="2459"/>
      <c r="N29" s="2459"/>
      <c r="O29" s="2459"/>
      <c r="P29" s="2579"/>
      <c r="Q29" s="2579"/>
      <c r="S29" s="3461" t="s">
        <v>442</v>
      </c>
      <c r="T29" s="3461"/>
      <c r="U29" s="2583"/>
      <c r="V29" s="3462" t="str">
        <f>IF(TITLE_NUMBER_PR_CHANGE="",IF(TITLE_NUMBER_PR="","",TITLE_NUMBER_PR),TITLE_NUMBER_PR_CHANGE)</f>
        <v/>
      </c>
      <c r="W29" s="3462"/>
      <c r="X29" s="3462"/>
      <c r="Y29" s="3462"/>
      <c r="Z29" s="3462"/>
      <c r="AA29" s="2846"/>
      <c r="AB29" s="2846"/>
      <c r="AC29" s="3462"/>
      <c r="AD29" s="3462"/>
      <c r="AE29" s="3462"/>
      <c r="AF29" s="3462"/>
      <c r="AG29" s="3462"/>
      <c r="AH29" s="3462"/>
      <c r="AI29" s="2846"/>
      <c r="AJ29" s="2846"/>
      <c r="AK29" s="1491"/>
      <c r="AL29" s="1579"/>
      <c r="AM29" s="1579"/>
      <c r="AN29" s="1579"/>
      <c r="AO29" s="1579"/>
      <c r="AP29" s="1579"/>
      <c r="AQ29" s="1629">
        <v>0</v>
      </c>
    </row>
    <row s="67333" customFormat="1" customHeight="1" ht="18.75" hidden="1">
      <c r="A30" s="2459"/>
      <c r="B30" s="2459"/>
      <c r="C30" s="2459"/>
      <c r="D30" s="2459"/>
      <c r="E30" s="2459"/>
      <c r="F30" s="2459"/>
      <c r="G30" s="2459"/>
      <c r="H30" s="2459"/>
      <c r="I30" s="2459"/>
      <c r="J30" s="2459"/>
      <c r="K30" s="2459"/>
      <c r="L30" s="2591"/>
      <c r="M30" s="2459"/>
      <c r="N30" s="2459"/>
      <c r="O30" s="2459"/>
      <c r="P30" s="2579"/>
      <c r="Q30" s="2579"/>
      <c r="S30" s="3461" t="s">
        <v>42</v>
      </c>
      <c r="T30" s="3461"/>
      <c r="U30" s="2583"/>
      <c r="V30" s="3462" t="str">
        <f>IF(TITLE_IST_PUB_CHANGE="",IF(TITLE_IST_PUB="","",TITLE_IST_PUB),TITLE_IST_PUB_CHANGE)</f>
        <v/>
      </c>
      <c r="W30" s="3462"/>
      <c r="X30" s="3462"/>
      <c r="Y30" s="3462"/>
      <c r="Z30" s="3462"/>
      <c r="AA30" s="2846"/>
      <c r="AB30" s="2846"/>
      <c r="AC30" s="3462"/>
      <c r="AD30" s="3462"/>
      <c r="AE30" s="3462"/>
      <c r="AF30" s="3462"/>
      <c r="AG30" s="3462"/>
      <c r="AH30" s="3462"/>
      <c r="AI30" s="2846"/>
      <c r="AJ30" s="2846"/>
      <c r="AK30" s="1491"/>
      <c r="AL30" s="1579"/>
      <c r="AM30" s="1579"/>
      <c r="AN30" s="1579"/>
      <c r="AO30" s="1579"/>
      <c r="AP30" s="1579"/>
      <c r="AQ30" s="1629">
        <v>0</v>
      </c>
    </row>
    <row customHeight="1" ht="14.25" hidden="1">
      <c r="Q31" s="1502"/>
      <c r="R31" s="1587"/>
      <c r="S31" s="2486"/>
      <c r="T31" s="1668"/>
      <c r="U31" s="1668"/>
      <c r="V31" s="1533"/>
      <c r="W31" s="1533"/>
      <c r="X31" s="1533"/>
      <c r="Y31" s="1533"/>
      <c r="Z31" s="1533"/>
      <c r="AA31" s="1533"/>
      <c r="AB31" s="1533"/>
      <c r="AC31" s="1533"/>
      <c r="AD31" s="1533"/>
      <c r="AE31" s="1533"/>
      <c r="AF31" s="1533"/>
      <c r="AG31" s="1533"/>
      <c r="AH31" s="1533"/>
      <c r="AI31" s="1533"/>
      <c r="AJ31" s="2846"/>
      <c r="AQ31" s="2842">
        <v>0</v>
      </c>
    </row>
    <row s="67333" customFormat="1" customHeight="1" ht="18.75" hidden="1">
      <c r="A32" s="2459"/>
      <c r="B32" s="2459"/>
      <c r="C32" s="2459"/>
      <c r="D32" s="2459"/>
      <c r="E32" s="2459"/>
      <c r="F32" s="2459"/>
      <c r="G32" s="2459"/>
      <c r="H32" s="2459"/>
      <c r="I32" s="2459"/>
      <c r="J32" s="2459"/>
      <c r="K32" s="2459"/>
      <c r="L32" s="2591"/>
      <c r="M32" s="2459"/>
      <c r="N32" s="2459"/>
      <c r="O32" s="2459"/>
      <c r="P32" s="2579"/>
      <c r="Q32" s="2579"/>
      <c r="S32" s="3461" t="s">
        <v>441</v>
      </c>
      <c r="T32" s="3461"/>
      <c r="U32" s="2583"/>
      <c r="V32" s="3475" t="str">
        <f>IF(TITLE_DATE_PR_CHANGE="",IF(TITLE_DATE_PR="","",TITLE_DATE_PR),TITLE_DATE_PR_CHANGE)</f>
        <v/>
      </c>
      <c r="W32" s="3475"/>
      <c r="X32" s="3475"/>
      <c r="Y32" s="3475"/>
      <c r="Z32" s="3475"/>
      <c r="AA32" s="2846"/>
      <c r="AB32" s="2846"/>
      <c r="AC32" s="3475"/>
      <c r="AD32" s="3475"/>
      <c r="AE32" s="3475"/>
      <c r="AF32" s="3475"/>
      <c r="AG32" s="3475"/>
      <c r="AH32" s="3475"/>
      <c r="AI32" s="2846"/>
      <c r="AJ32" s="2846"/>
      <c r="AK32" s="1491"/>
      <c r="AL32" s="1579"/>
      <c r="AM32" s="1579"/>
      <c r="AN32" s="1579"/>
      <c r="AO32" s="1579"/>
      <c r="AP32" s="1579"/>
      <c r="AQ32" s="1629">
        <v>0</v>
      </c>
    </row>
    <row s="67333" customFormat="1" customHeight="1" ht="18" hidden="1">
      <c r="A33" s="2459"/>
      <c r="B33" s="2459"/>
      <c r="C33" s="2459"/>
      <c r="D33" s="2459"/>
      <c r="E33" s="2459"/>
      <c r="F33" s="2459"/>
      <c r="G33" s="2459"/>
      <c r="H33" s="2459"/>
      <c r="I33" s="2459"/>
      <c r="J33" s="2459"/>
      <c r="K33" s="2459"/>
      <c r="L33" s="2591"/>
      <c r="M33" s="2459"/>
      <c r="N33" s="2459"/>
      <c r="O33" s="2459"/>
      <c r="P33" s="2579"/>
      <c r="Q33" s="2579"/>
      <c r="S33" s="3461" t="s">
        <v>442</v>
      </c>
      <c r="T33" s="3461"/>
      <c r="U33" s="2583"/>
      <c r="V33" s="3462" t="str">
        <f>IF(TITLE_NUMBER_PR_CHANGE="",IF(TITLE_NUMBER_PR="","",TITLE_NUMBER_PR),TITLE_NUMBER_PR_CHANGE)</f>
        <v/>
      </c>
      <c r="W33" s="3462"/>
      <c r="X33" s="3462"/>
      <c r="Y33" s="3462"/>
      <c r="Z33" s="3462"/>
      <c r="AA33" s="2846"/>
      <c r="AB33" s="2846"/>
      <c r="AC33" s="3462"/>
      <c r="AD33" s="3462"/>
      <c r="AE33" s="3462"/>
      <c r="AF33" s="3462"/>
      <c r="AG33" s="3462"/>
      <c r="AH33" s="3462"/>
      <c r="AI33" s="2846"/>
      <c r="AJ33" s="2846"/>
      <c r="AK33" s="1491"/>
      <c r="AL33" s="1579"/>
      <c r="AM33" s="1579"/>
      <c r="AN33" s="1579"/>
      <c r="AO33" s="1579"/>
      <c r="AP33" s="1579"/>
      <c r="AQ33" s="1629">
        <v>0</v>
      </c>
    </row>
    <row s="67333" customFormat="1" customHeight="1" ht="1.05">
      <c r="A34" s="2459"/>
      <c r="B34" s="2459"/>
      <c r="C34" s="2459"/>
      <c r="D34" s="2459"/>
      <c r="E34" s="2459"/>
      <c r="F34" s="2459"/>
      <c r="G34" s="2459"/>
      <c r="H34" s="2459"/>
      <c r="I34" s="2459"/>
      <c r="J34" s="2459"/>
      <c r="K34" s="2459"/>
      <c r="L34" s="2591"/>
      <c r="M34" s="2459"/>
      <c r="N34" s="2459"/>
      <c r="O34" s="2459"/>
      <c r="P34" s="2579"/>
      <c r="Q34" s="2579"/>
      <c r="S34" s="2846"/>
      <c r="T34" s="2846"/>
      <c r="U34" s="3181"/>
      <c r="V34" s="2846"/>
      <c r="W34" s="2846"/>
      <c r="X34" s="2846"/>
      <c r="Y34" s="2846"/>
      <c r="Z34" s="2846"/>
      <c r="AA34" s="2853" t="s">
        <v>445</v>
      </c>
      <c r="AB34" s="2853"/>
      <c r="AC34" s="2846"/>
      <c r="AD34" s="2846"/>
      <c r="AE34" s="2846"/>
      <c r="AF34" s="2846"/>
      <c r="AG34" s="2846"/>
      <c r="AH34" s="2846"/>
      <c r="AI34" s="2853" t="s">
        <v>445</v>
      </c>
      <c r="AL34" s="1579"/>
      <c r="AM34" s="1579"/>
      <c r="AN34" s="1579"/>
      <c r="AO34" s="1579"/>
      <c r="AP34" s="1579"/>
      <c r="AQ34" s="1629">
        <v>1</v>
      </c>
    </row>
    <row customHeight="1" ht="14.699999999999998">
      <c r="Q35" s="1502"/>
      <c r="R35" s="1587"/>
      <c r="S35" s="2486"/>
      <c r="T35" s="1668"/>
      <c r="U35" s="2455"/>
      <c r="V35" s="3463"/>
      <c r="W35" s="3463"/>
      <c r="X35" s="3463"/>
      <c r="Y35" s="3463"/>
      <c r="Z35" s="3463"/>
      <c r="AA35" s="3463"/>
      <c r="AB35" s="3168"/>
      <c r="AC35" s="3463"/>
      <c r="AD35" s="3463"/>
      <c r="AE35" s="3463"/>
      <c r="AF35" s="3463"/>
      <c r="AG35" s="3463"/>
      <c r="AH35" s="3463"/>
      <c r="AI35" s="3463"/>
      <c r="AQ35" s="2842">
        <v>14</v>
      </c>
    </row>
    <row customHeight="1" ht="14.699999999999998">
      <c r="Q36" s="1502"/>
      <c r="R36" s="1587"/>
      <c r="S36" s="3338" t="s">
        <v>318</v>
      </c>
      <c r="T36" s="3338"/>
      <c r="U36" s="3338"/>
      <c r="V36" s="3338"/>
      <c r="W36" s="3338"/>
      <c r="X36" s="3338"/>
      <c r="Y36" s="3338"/>
      <c r="Z36" s="3338"/>
      <c r="AA36" s="3386"/>
      <c r="AB36" s="3386"/>
      <c r="AC36" s="3386"/>
      <c r="AD36" s="3338"/>
      <c r="AE36" s="3338"/>
      <c r="AF36" s="3338"/>
      <c r="AG36" s="3338"/>
      <c r="AH36" s="3338"/>
      <c r="AI36" s="3338"/>
      <c r="AJ36" s="3338"/>
      <c r="AK36" s="3338" t="s">
        <v>319</v>
      </c>
      <c r="AQ36" s="2842">
        <v>14</v>
      </c>
    </row>
    <row customHeight="1" ht="14.699999999999998">
      <c r="Q37" s="1502"/>
      <c r="R37" s="1587"/>
      <c r="S37" s="3484" t="s">
        <v>88</v>
      </c>
      <c r="T37" s="3420" t="s">
        <v>517</v>
      </c>
      <c r="U37" s="1548"/>
      <c r="V37" s="3486"/>
      <c r="W37" s="3486"/>
      <c r="X37" s="3486"/>
      <c r="Y37" s="3486"/>
      <c r="Z37" s="3486"/>
      <c r="AA37" s="3420" t="s">
        <v>448</v>
      </c>
      <c r="AB37" s="3419" t="s">
        <v>518</v>
      </c>
      <c r="AC37" s="3419" t="s">
        <v>492</v>
      </c>
      <c r="AD37" s="3502" t="s">
        <v>447</v>
      </c>
      <c r="AE37" s="3502"/>
      <c r="AF37" s="3486"/>
      <c r="AG37" s="3486"/>
      <c r="AH37" s="3487"/>
      <c r="AI37" s="3488" t="s">
        <v>448</v>
      </c>
      <c r="AJ37" s="3491" t="s">
        <v>450</v>
      </c>
      <c r="AK37" s="3338"/>
      <c r="AQ37" s="2842">
        <v>14</v>
      </c>
    </row>
    <row customHeight="1" ht="35.699999999999996">
      <c r="Q38" s="1502"/>
      <c r="R38" s="1587"/>
      <c r="S38" s="3484"/>
      <c r="T38" s="3420"/>
      <c r="U38" s="2242"/>
      <c r="V38" s="3314" t="s">
        <v>495</v>
      </c>
      <c r="W38" s="3338"/>
      <c r="X38" s="3505" t="s">
        <v>454</v>
      </c>
      <c r="Y38" s="3524"/>
      <c r="Z38" s="3524"/>
      <c r="AA38" s="3420"/>
      <c r="AB38" s="3419"/>
      <c r="AC38" s="3419"/>
      <c r="AD38" s="3314" t="s">
        <v>495</v>
      </c>
      <c r="AE38" s="3338"/>
      <c r="AF38" s="3524" t="s">
        <v>454</v>
      </c>
      <c r="AG38" s="3524"/>
      <c r="AH38" s="3525"/>
      <c r="AI38" s="3489"/>
      <c r="AJ38" s="3492"/>
      <c r="AK38" s="3338"/>
      <c r="AQ38" s="2842">
        <v>34</v>
      </c>
    </row>
    <row customHeight="1" ht="14.699999999999998">
      <c r="Q39" s="1502"/>
      <c r="R39" s="1587"/>
      <c r="S39" s="3484"/>
      <c r="T39" s="3420"/>
      <c r="U39" s="2242"/>
      <c r="V39" s="3551" t="str">
        <f>IF($AD$39&lt;&gt;"",$AD$39,"")</f>
        <v/>
      </c>
      <c r="W39" s="3551"/>
      <c r="X39" s="3506"/>
      <c r="Y39" s="3526"/>
      <c r="Z39" s="3526"/>
      <c r="AA39" s="3420"/>
      <c r="AB39" s="3419"/>
      <c r="AC39" s="3419"/>
      <c r="AD39" s="3567"/>
      <c r="AE39" s="3550"/>
      <c r="AF39" s="3526"/>
      <c r="AG39" s="3526"/>
      <c r="AH39" s="3527"/>
      <c r="AI39" s="3489"/>
      <c r="AJ39" s="3492"/>
      <c r="AK39" s="3338"/>
      <c r="AQ39" s="2842">
        <v>14</v>
      </c>
    </row>
    <row customHeight="1" ht="14.699999999999998">
      <c r="A40" s="2477"/>
      <c r="B40" s="2477" t="s">
        <v>155</v>
      </c>
      <c r="C40" s="2477" t="s">
        <v>156</v>
      </c>
      <c r="D40" s="2477" t="s">
        <v>157</v>
      </c>
      <c r="E40" s="2521" t="s">
        <v>455</v>
      </c>
      <c r="F40" s="2521" t="s">
        <v>456</v>
      </c>
      <c r="G40" s="2521" t="s">
        <v>457</v>
      </c>
      <c r="H40" s="2521" t="s">
        <v>458</v>
      </c>
      <c r="I40" s="2521" t="s">
        <v>459</v>
      </c>
      <c r="J40" s="2521" t="s">
        <v>460</v>
      </c>
      <c r="K40" s="2521" t="s">
        <v>461</v>
      </c>
      <c r="L40" s="2521" t="s">
        <v>436</v>
      </c>
      <c r="Q40" s="1502"/>
      <c r="R40" s="1587"/>
      <c r="S40" s="3484"/>
      <c r="T40" s="3420"/>
      <c r="U40" s="1513"/>
      <c r="V40" s="3161" t="s">
        <v>496</v>
      </c>
      <c r="W40" s="3161" t="s">
        <v>497</v>
      </c>
      <c r="X40" s="3149" t="s">
        <v>464</v>
      </c>
      <c r="Y40" s="3481" t="s">
        <v>465</v>
      </c>
      <c r="Z40" s="3531"/>
      <c r="AA40" s="3420"/>
      <c r="AB40" s="3419"/>
      <c r="AC40" s="3419"/>
      <c r="AD40" s="3179" t="s">
        <v>496</v>
      </c>
      <c r="AE40" s="3170" t="s">
        <v>497</v>
      </c>
      <c r="AF40" s="3149" t="s">
        <v>464</v>
      </c>
      <c r="AG40" s="3481" t="s">
        <v>465</v>
      </c>
      <c r="AH40" s="3482"/>
      <c r="AI40" s="3490"/>
      <c r="AJ40" s="3493"/>
      <c r="AK40" s="3338"/>
      <c r="AQ40" s="2842">
        <v>14</v>
      </c>
    </row>
    <row s="65897" customFormat="1" customHeight="1" ht="11.25" hidden="1">
      <c r="A41" s="2477"/>
      <c r="B41" s="2477"/>
      <c r="C41" s="2477"/>
      <c r="D41" s="2477"/>
      <c r="E41" s="2477"/>
      <c r="F41" s="2477"/>
      <c r="G41" s="2477"/>
      <c r="H41" s="2477"/>
      <c r="I41" s="2477"/>
      <c r="J41" s="2477"/>
      <c r="K41" s="2477"/>
      <c r="L41" s="2521"/>
      <c r="M41" s="3176"/>
      <c r="N41" s="3176"/>
      <c r="O41" s="3176"/>
      <c r="P41" s="1721"/>
      <c r="Q41" s="2465"/>
      <c r="R41" s="2465">
        <v>1</v>
      </c>
      <c r="S41" s="2488" t="s">
        <v>99</v>
      </c>
      <c r="T41" s="2466" t="s">
        <v>102</v>
      </c>
      <c r="U41" s="2456" t="str">
        <f>OFFSET(U41,0,-1)</f>
        <v>2</v>
      </c>
      <c r="V41" s="3167">
        <f>OFFSET(V41,0,-1)+1</f>
        <v>3</v>
      </c>
      <c r="W41" s="3167">
        <f>OFFSET(W41,0,-1)+1</f>
        <v>4</v>
      </c>
      <c r="X41" s="3167">
        <f>OFFSET(X41,0,-1)+1</f>
        <v>5</v>
      </c>
      <c r="Y41" s="3483">
        <f>OFFSET(Y41,0,-1)+1</f>
        <v>6</v>
      </c>
      <c r="Z41" s="3483"/>
      <c r="AA41" s="2552">
        <f>OFFSET(AA41,0,-2)+1</f>
        <v>7</v>
      </c>
      <c r="AB41" s="2552"/>
      <c r="AC41" s="2552"/>
      <c r="AD41" s="3167">
        <f>OFFSET(AD41,0,-1)+1</f>
        <v>1</v>
      </c>
      <c r="AE41" s="3167">
        <f>OFFSET(AE41,0,-1)+1</f>
        <v>2</v>
      </c>
      <c r="AF41" s="3167">
        <f>OFFSET(AF41,0,-1)+1</f>
        <v>3</v>
      </c>
      <c r="AG41" s="3483">
        <f>OFFSET(AG41,0,-1)+1</f>
        <v>4</v>
      </c>
      <c r="AH41" s="3483"/>
      <c r="AI41" s="3167">
        <f>OFFSET(AI41,0,-2)+1</f>
        <v>5</v>
      </c>
      <c r="AJ41" s="2456">
        <f>OFFSET(AJ41,0,-1)</f>
        <v>5</v>
      </c>
      <c r="AK41" s="3167">
        <f>OFFSET(AK41,0,-1)+1</f>
        <v>6</v>
      </c>
      <c r="AL41" s="2847"/>
      <c r="AM41" s="2847"/>
      <c r="AN41" s="2847"/>
      <c r="AO41" s="2847"/>
      <c r="AP41" s="2847"/>
      <c r="AQ41" s="2852">
        <v>0</v>
      </c>
    </row>
    <row customHeight="1" ht="107.25">
      <c r="A42" s="2478" t="s">
        <v>224</v>
      </c>
      <c r="B42" s="2478"/>
      <c r="C42" s="2478"/>
      <c r="D42" s="2478"/>
      <c r="E42" s="3500">
        <v>1</v>
      </c>
      <c r="F42" s="2478"/>
      <c r="G42" s="2478"/>
      <c r="H42" s="2478"/>
      <c r="I42" s="2478"/>
      <c r="J42" s="2478"/>
      <c r="K42" s="2478"/>
      <c r="L42" s="2521"/>
      <c r="M42" s="2821"/>
      <c r="N42" s="2821"/>
      <c r="O42" s="2821"/>
      <c r="P42" s="2620"/>
      <c r="Q42" s="2084"/>
      <c r="R42" s="1566"/>
      <c r="S42" s="3169">
        <f>INDEX(PT_DIFFERENTIATION_NUM_NTAR,MATCH(A42,PT_DIFFERENTIATION_NTAR_ID,0))</f>
        <v>0</v>
      </c>
      <c r="T42" s="2736" t="s">
        <v>143</v>
      </c>
      <c r="U42" s="1511"/>
      <c r="V42" s="3454"/>
      <c r="W42" s="3454"/>
      <c r="X42" s="3454"/>
      <c r="Y42" s="3454"/>
      <c r="Z42" s="3454"/>
      <c r="AA42" s="3455"/>
      <c r="AB42" s="3163"/>
      <c r="AC42" s="3454" t="str">
        <f>INDEX(PT_DIFFERENTIATION_NTAR,MATCH(A42,PT_DIFFERENTIATION_NTAR_ID,0))</f>
        <v/>
      </c>
      <c r="AD42" s="3454"/>
      <c r="AE42" s="3454"/>
      <c r="AF42" s="3454"/>
      <c r="AG42" s="3454"/>
      <c r="AH42" s="3454"/>
      <c r="AI42" s="3454"/>
      <c r="AJ42" s="3455"/>
      <c r="AK42" s="246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2835"/>
      <c r="AN42" s="2835" t="str">
        <f>IF(T42="","",T42)</f>
        <v>Наименование тарифа</v>
      </c>
      <c r="AO42" s="2835"/>
      <c r="AP42" s="2835"/>
      <c r="AQ42" s="2842">
        <v>102</v>
      </c>
    </row>
    <row customHeight="1" ht="22.049999999999997">
      <c r="A43" s="2478" t="s">
        <v>224</v>
      </c>
      <c r="B43" s="2478" t="s">
        <v>225</v>
      </c>
      <c r="C43" s="2478"/>
      <c r="D43" s="2478"/>
      <c r="E43" s="3501"/>
      <c r="F43" s="3500">
        <v>1</v>
      </c>
      <c r="G43" s="2478"/>
      <c r="H43" s="2478"/>
      <c r="I43" s="2478"/>
      <c r="J43" s="2478"/>
      <c r="K43" s="2478"/>
      <c r="L43" s="2521"/>
      <c r="M43" s="2821"/>
      <c r="N43" s="2821"/>
      <c r="O43" s="2821"/>
      <c r="P43" s="3180"/>
      <c r="Q43" s="2622"/>
      <c r="R43" s="1564"/>
      <c r="S43" s="3169" t="str">
        <f>INDEX(PT_DIFFERENTIATION_NUM_TER,MATCH(B43,PT_DIFFERENTIATION_TER_ID,0))</f>
        <v>.</v>
      </c>
      <c r="T43" s="2733" t="s">
        <v>415</v>
      </c>
      <c r="U43" s="1511"/>
      <c r="V43" s="3454"/>
      <c r="W43" s="3454"/>
      <c r="X43" s="3454"/>
      <c r="Y43" s="3454"/>
      <c r="Z43" s="3454"/>
      <c r="AA43" s="3455"/>
      <c r="AB43" s="3163"/>
      <c r="AC43" s="3454" t="str">
        <f>INDEX(PT_DIFFERENTIATION_TER,MATCH(B43,PT_DIFFERENTIATION_TER_ID,0))</f>
        <v/>
      </c>
      <c r="AD43" s="3454"/>
      <c r="AE43" s="3454"/>
      <c r="AF43" s="3454"/>
      <c r="AG43" s="3454"/>
      <c r="AH43" s="3454"/>
      <c r="AI43" s="3454"/>
      <c r="AJ43" s="3455"/>
      <c r="AK43" s="2469" t="s">
        <v>416</v>
      </c>
      <c r="AM43" s="2835"/>
      <c r="AN43" s="2835" t="str">
        <f>IF(T43="","",T43)</f>
        <v>Территория действия тарифа</v>
      </c>
      <c r="AO43" s="2835"/>
      <c r="AP43" s="2835"/>
      <c r="AQ43" s="2842">
        <v>21</v>
      </c>
    </row>
    <row customHeight="1" ht="24">
      <c r="A44" s="2478" t="s">
        <v>224</v>
      </c>
      <c r="B44" s="2478" t="s">
        <v>225</v>
      </c>
      <c r="C44" s="2478" t="s">
        <v>226</v>
      </c>
      <c r="D44" s="2478"/>
      <c r="E44" s="3501"/>
      <c r="F44" s="3501"/>
      <c r="G44" s="3500">
        <v>1</v>
      </c>
      <c r="H44" s="2478"/>
      <c r="I44" s="2478"/>
      <c r="J44" s="2478"/>
      <c r="K44" s="2478"/>
      <c r="L44" s="2521"/>
      <c r="M44" s="2821"/>
      <c r="N44" s="2821"/>
      <c r="O44" s="2821"/>
      <c r="P44" s="2623"/>
      <c r="Q44" s="2622"/>
      <c r="R44" s="1564"/>
      <c r="S44" s="3169" t="str">
        <f>INDEX(PT_DIFFERENTIATION_NUM_CS,MATCH(C44,PT_DIFFERENTIATION_CS_ID,0))</f>
        <v>..</v>
      </c>
      <c r="T44" s="1520" t="s">
        <v>417</v>
      </c>
      <c r="U44" s="1511"/>
      <c r="V44" s="3454"/>
      <c r="W44" s="3454"/>
      <c r="X44" s="3454"/>
      <c r="Y44" s="3454"/>
      <c r="Z44" s="3454"/>
      <c r="AA44" s="3455"/>
      <c r="AB44" s="3163"/>
      <c r="AC44" s="3454" t="str">
        <f>INDEX(PT_DIFFERENTIATION_CS,MATCH(C44,PT_DIFFERENTIATION_CS_ID,0))</f>
        <v/>
      </c>
      <c r="AD44" s="3454"/>
      <c r="AE44" s="3454"/>
      <c r="AF44" s="3454"/>
      <c r="AG44" s="3454"/>
      <c r="AH44" s="3454"/>
      <c r="AI44" s="3454"/>
      <c r="AJ44" s="3455"/>
      <c r="AK44" s="2469" t="s">
        <v>418</v>
      </c>
      <c r="AM44" s="2835"/>
      <c r="AN44" s="2835" t="str">
        <f>IF(T44="","",T44)</f>
        <v>Наименование системы теплоснабжения </v>
      </c>
      <c r="AO44" s="2835"/>
      <c r="AP44" s="2835"/>
      <c r="AQ44" s="2842">
        <v>23</v>
      </c>
    </row>
    <row customHeight="1" ht="22.049999999999997">
      <c r="A45" s="2478" t="s">
        <v>224</v>
      </c>
      <c r="B45" s="2478" t="s">
        <v>225</v>
      </c>
      <c r="C45" s="2478" t="s">
        <v>226</v>
      </c>
      <c r="D45" s="2478" t="s">
        <v>227</v>
      </c>
      <c r="E45" s="3501"/>
      <c r="F45" s="3501"/>
      <c r="G45" s="3501"/>
      <c r="H45" s="3500">
        <v>1</v>
      </c>
      <c r="I45" s="2478"/>
      <c r="J45" s="2478"/>
      <c r="K45" s="2478"/>
      <c r="L45" s="2521"/>
      <c r="M45" s="2821"/>
      <c r="N45" s="2821"/>
      <c r="O45" s="2821"/>
      <c r="P45" s="2623"/>
      <c r="Q45" s="2622"/>
      <c r="R45" s="1564"/>
      <c r="S45" s="3169" t="str">
        <f>INDEX(PT_DIFFERENTIATION_NUM_IST_TE,MATCH(D45,PT_DIFFERENTIATION_IST_TE_ID,0))</f>
        <v>...</v>
      </c>
      <c r="T45" s="1521" t="s">
        <v>419</v>
      </c>
      <c r="U45" s="1511"/>
      <c r="V45" s="3454"/>
      <c r="W45" s="3454"/>
      <c r="X45" s="3454"/>
      <c r="Y45" s="3454"/>
      <c r="Z45" s="3454"/>
      <c r="AA45" s="3455"/>
      <c r="AB45" s="3163"/>
      <c r="AC45" s="3454" t="str">
        <f>INDEX(PT_DIFFERENTIATION_IST_TE,MATCH(D45,PT_DIFFERENTIATION_IST_TE_ID,0))</f>
        <v/>
      </c>
      <c r="AD45" s="3454"/>
      <c r="AE45" s="3454"/>
      <c r="AF45" s="3454"/>
      <c r="AG45" s="3454"/>
      <c r="AH45" s="3454"/>
      <c r="AI45" s="3454"/>
      <c r="AJ45" s="3455"/>
      <c r="AK45" s="2469" t="s">
        <v>420</v>
      </c>
      <c r="AM45" s="2835"/>
      <c r="AN45" s="2835" t="str">
        <f>IF(T45="","",T45)</f>
        <v>Источник тепловой энергии  </v>
      </c>
      <c r="AO45" s="2835"/>
      <c r="AP45" s="2835"/>
      <c r="AQ45" s="2842">
        <v>21</v>
      </c>
    </row>
    <row s="65923" customFormat="1" customHeight="1" ht="0">
      <c r="A46" s="2586" t="s">
        <v>224</v>
      </c>
      <c r="B46" s="2586" t="s">
        <v>225</v>
      </c>
      <c r="C46" s="2586" t="s">
        <v>226</v>
      </c>
      <c r="D46" s="2586" t="s">
        <v>227</v>
      </c>
      <c r="E46" s="3501"/>
      <c r="F46" s="3501"/>
      <c r="G46" s="3501"/>
      <c r="H46" s="3501"/>
      <c r="I46" s="3338" t="str">
        <f>S45&amp;".1"</f>
        <v>....1</v>
      </c>
      <c r="J46" s="2586"/>
      <c r="K46" s="2586"/>
      <c r="L46" s="2592" t="s">
        <v>421</v>
      </c>
      <c r="M46" s="2457"/>
      <c r="N46" s="2457"/>
      <c r="O46" s="2457"/>
      <c r="P46" s="3468">
        <v>1</v>
      </c>
      <c r="Q46" s="3165"/>
      <c r="R46" s="1567"/>
      <c r="S46" s="2253"/>
      <c r="T46" s="2594"/>
      <c r="U46" s="2595"/>
      <c r="V46" s="3508"/>
      <c r="W46" s="3508"/>
      <c r="X46" s="3508"/>
      <c r="Y46" s="3508"/>
      <c r="Z46" s="3508"/>
      <c r="AA46" s="3509"/>
      <c r="AB46" s="3171"/>
      <c r="AC46" s="3508"/>
      <c r="AD46" s="3508"/>
      <c r="AE46" s="3508"/>
      <c r="AF46" s="3508"/>
      <c r="AG46" s="3508"/>
      <c r="AH46" s="3508"/>
      <c r="AI46" s="3508"/>
      <c r="AJ46" s="3509"/>
      <c r="AK46" s="2596"/>
      <c r="AM46" s="2835"/>
      <c r="AN46" s="2835" t="str">
        <f>IF(T46="","",T46)</f>
        <v/>
      </c>
      <c r="AO46" s="2835"/>
      <c r="AP46" s="2835"/>
      <c r="AQ46" s="2847">
        <v>0</v>
      </c>
    </row>
    <row s="65923" customFormat="1" customHeight="1" ht="0">
      <c r="A47" s="2586" t="s">
        <v>224</v>
      </c>
      <c r="B47" s="2586" t="s">
        <v>225</v>
      </c>
      <c r="C47" s="2586" t="s">
        <v>226</v>
      </c>
      <c r="D47" s="2586" t="s">
        <v>227</v>
      </c>
      <c r="E47" s="3501"/>
      <c r="F47" s="3501"/>
      <c r="G47" s="3501"/>
      <c r="H47" s="3501"/>
      <c r="I47" s="3312"/>
      <c r="J47" s="3338" t="str">
        <f>S45&amp;".1"</f>
        <v>....1</v>
      </c>
      <c r="K47" s="2586"/>
      <c r="L47" s="2592"/>
      <c r="M47" s="2457"/>
      <c r="N47" s="2457"/>
      <c r="O47" s="2457"/>
      <c r="P47" s="3468"/>
      <c r="Q47" s="3468">
        <v>1</v>
      </c>
      <c r="R47" s="1568"/>
      <c r="S47" s="2253"/>
      <c r="T47" s="2610"/>
      <c r="U47" s="2595"/>
      <c r="V47" s="3508"/>
      <c r="W47" s="3508"/>
      <c r="X47" s="3508"/>
      <c r="Y47" s="3508"/>
      <c r="Z47" s="3508"/>
      <c r="AA47" s="3509"/>
      <c r="AB47" s="3171"/>
      <c r="AC47" s="3508"/>
      <c r="AD47" s="3508"/>
      <c r="AE47" s="3508"/>
      <c r="AF47" s="3508"/>
      <c r="AG47" s="3508"/>
      <c r="AH47" s="3508"/>
      <c r="AI47" s="3508"/>
      <c r="AJ47" s="3509"/>
      <c r="AK47" s="2596"/>
      <c r="AM47" s="2835"/>
      <c r="AN47" s="2835" t="str">
        <f>IF(T47="","",T47)</f>
        <v/>
      </c>
      <c r="AO47" s="2835"/>
      <c r="AP47" s="2835"/>
      <c r="AQ47" s="2847">
        <v>0</v>
      </c>
    </row>
    <row customHeight="1" ht="22.049999999999997">
      <c r="A48" s="2478" t="s">
        <v>224</v>
      </c>
      <c r="B48" s="2478" t="s">
        <v>225</v>
      </c>
      <c r="C48" s="2478" t="s">
        <v>226</v>
      </c>
      <c r="D48" s="2478" t="s">
        <v>227</v>
      </c>
      <c r="E48" s="3501"/>
      <c r="F48" s="3501"/>
      <c r="G48" s="3501"/>
      <c r="H48" s="3501"/>
      <c r="I48" s="3312"/>
      <c r="J48" s="3312"/>
      <c r="K48" s="3152" t="str">
        <f>S45&amp;".1"</f>
        <v>....1</v>
      </c>
      <c r="L48" s="2521"/>
      <c r="P48" s="3468"/>
      <c r="Q48" s="3468"/>
      <c r="R48" s="1568">
        <v>1</v>
      </c>
      <c r="S48" s="3173" t="str">
        <f>$K48</f>
        <v>....1</v>
      </c>
      <c r="T48" s="3172"/>
      <c r="U48" s="1511"/>
      <c r="V48" s="1962"/>
      <c r="W48" s="2468"/>
      <c r="X48" s="3166"/>
      <c r="Y48" s="3153" t="s">
        <v>62</v>
      </c>
      <c r="Z48" s="3166"/>
      <c r="AA48" s="3153" t="s">
        <v>62</v>
      </c>
      <c r="AB48" s="3175"/>
      <c r="AC48" s="3174" t="s">
        <v>22</v>
      </c>
      <c r="AD48" s="1962"/>
      <c r="AE48" s="2468"/>
      <c r="AF48" s="3166"/>
      <c r="AG48" s="3153" t="s">
        <v>62</v>
      </c>
      <c r="AH48" s="3166"/>
      <c r="AI48" s="3153" t="s">
        <v>62</v>
      </c>
      <c r="AJ48" s="2559"/>
      <c r="AK48" s="3464" t="s">
        <v>498</v>
      </c>
      <c r="AL48" s="2847">
        <f>STRCHECKDATE(#REF!)</f>
      </c>
      <c r="AM48" s="2835"/>
      <c r="AN48" s="2835" t="str">
        <f>IF(T48="","",T48)</f>
        <v/>
      </c>
      <c r="AO48" s="2835"/>
      <c r="AP48" s="2835"/>
      <c r="AQ48" s="2842">
        <v>21</v>
      </c>
    </row>
    <row customHeight="1" ht="11.549999999999999">
      <c r="A49" s="2478" t="s">
        <v>224</v>
      </c>
      <c r="B49" s="2478" t="s">
        <v>225</v>
      </c>
      <c r="C49" s="2478" t="s">
        <v>226</v>
      </c>
      <c r="D49" s="2478" t="s">
        <v>227</v>
      </c>
      <c r="E49" s="3501"/>
      <c r="F49" s="3501"/>
      <c r="G49" s="3501"/>
      <c r="H49" s="3501"/>
      <c r="I49" s="3312"/>
      <c r="J49" s="3338"/>
      <c r="K49" s="2478"/>
      <c r="L49" s="2521"/>
      <c r="P49" s="3468"/>
      <c r="Q49" s="3468"/>
      <c r="R49" s="1567"/>
      <c r="S49" s="2489"/>
      <c r="T49" s="1498" t="s">
        <v>486</v>
      </c>
      <c r="U49" s="1811"/>
      <c r="V49" s="1811"/>
      <c r="W49" s="1811"/>
      <c r="X49" s="1811"/>
      <c r="Y49" s="1811"/>
      <c r="Z49" s="1811"/>
      <c r="AA49" s="1535"/>
      <c r="AB49" s="1811"/>
      <c r="AC49" s="1811"/>
      <c r="AD49" s="1811"/>
      <c r="AE49" s="1811"/>
      <c r="AF49" s="1811"/>
      <c r="AG49" s="1811"/>
      <c r="AH49" s="1811"/>
      <c r="AI49" s="1811"/>
      <c r="AJ49" s="1535"/>
      <c r="AK49" s="3466"/>
      <c r="AM49" s="2835"/>
      <c r="AN49" s="2835" t="str">
        <f>IF(T49="","",T49)</f>
        <v>Добавить строку</v>
      </c>
      <c r="AO49" s="2835"/>
      <c r="AP49" s="2835"/>
      <c r="AQ49" s="2842">
        <v>11</v>
      </c>
    </row>
    <row s="65923" customFormat="1" customHeight="1" ht="1.05">
      <c r="A50" s="2586" t="s">
        <v>224</v>
      </c>
      <c r="B50" s="2586" t="s">
        <v>225</v>
      </c>
      <c r="C50" s="2586" t="s">
        <v>226</v>
      </c>
      <c r="D50" s="2586" t="s">
        <v>227</v>
      </c>
      <c r="E50" s="3501"/>
      <c r="F50" s="3501"/>
      <c r="G50" s="3501"/>
      <c r="H50" s="3501"/>
      <c r="I50" s="3338"/>
      <c r="J50" s="2586"/>
      <c r="K50" s="2586"/>
      <c r="L50" s="2592"/>
      <c r="M50" s="2457"/>
      <c r="N50" s="2457"/>
      <c r="O50" s="2457"/>
      <c r="P50" s="3468"/>
      <c r="Q50" s="3165"/>
      <c r="R50" s="1567"/>
      <c r="S50" s="2597"/>
      <c r="T50" s="2598" t="s">
        <v>430</v>
      </c>
      <c r="U50" s="2599"/>
      <c r="V50" s="2599"/>
      <c r="W50" s="2599"/>
      <c r="X50" s="2599"/>
      <c r="Y50" s="2599"/>
      <c r="Z50" s="2599"/>
      <c r="AA50" s="2599"/>
      <c r="AB50" s="2599"/>
      <c r="AC50" s="2599"/>
      <c r="AD50" s="2599"/>
      <c r="AE50" s="2599"/>
      <c r="AF50" s="2599"/>
      <c r="AG50" s="2599"/>
      <c r="AH50" s="2599"/>
      <c r="AI50" s="2599"/>
      <c r="AJ50" s="2599"/>
      <c r="AK50" s="2600"/>
      <c r="AM50" s="2835"/>
      <c r="AN50" s="2835" t="str">
        <f>IF(T50="","",T50)</f>
        <v>Добавить группу потребителей</v>
      </c>
      <c r="AO50" s="2835"/>
      <c r="AP50" s="2835"/>
      <c r="AQ50" s="2847">
        <v>1</v>
      </c>
    </row>
    <row s="65897" customFormat="1" customHeight="1" ht="1.05">
      <c r="A51" s="2586" t="s">
        <v>224</v>
      </c>
      <c r="B51" s="2586" t="s">
        <v>225</v>
      </c>
      <c r="C51" s="2586" t="s">
        <v>226</v>
      </c>
      <c r="D51" s="2586" t="s">
        <v>227</v>
      </c>
      <c r="E51" s="3501"/>
      <c r="F51" s="3501"/>
      <c r="G51" s="3501"/>
      <c r="H51" s="3500"/>
      <c r="I51" s="2586"/>
      <c r="J51" s="2586"/>
      <c r="K51" s="2586"/>
      <c r="L51" s="2592"/>
      <c r="M51" s="2589"/>
      <c r="N51" s="2589"/>
      <c r="O51" s="1562"/>
      <c r="P51" s="1591"/>
      <c r="Q51" s="2555"/>
      <c r="R51" s="2611"/>
      <c r="S51" s="2597"/>
      <c r="T51" s="2598"/>
      <c r="U51" s="2599"/>
      <c r="V51" s="2599"/>
      <c r="W51" s="2599"/>
      <c r="X51" s="2599"/>
      <c r="Y51" s="2599"/>
      <c r="Z51" s="2599"/>
      <c r="AA51" s="2599"/>
      <c r="AB51" s="2599"/>
      <c r="AC51" s="2599"/>
      <c r="AD51" s="2599"/>
      <c r="AE51" s="2599"/>
      <c r="AF51" s="2599"/>
      <c r="AG51" s="2599"/>
      <c r="AH51" s="2599"/>
      <c r="AI51" s="2599"/>
      <c r="AJ51" s="2599"/>
      <c r="AK51" s="2600"/>
      <c r="AL51" s="2847"/>
      <c r="AM51" s="2835"/>
      <c r="AN51" s="2835" t="str">
        <f>IF(T51="","",T51)</f>
        <v/>
      </c>
      <c r="AO51" s="2835"/>
      <c r="AP51" s="2835"/>
      <c r="AQ51" s="2852">
        <v>1</v>
      </c>
    </row>
    <row s="65923" customFormat="1" customHeight="1" ht="1.05">
      <c r="A52" s="2586" t="s">
        <v>224</v>
      </c>
      <c r="B52" s="2586" t="s">
        <v>225</v>
      </c>
      <c r="C52" s="2586" t="s">
        <v>226</v>
      </c>
      <c r="D52" s="2585"/>
      <c r="E52" s="3501"/>
      <c r="F52" s="3501"/>
      <c r="G52" s="3500"/>
      <c r="H52" s="2585"/>
      <c r="I52" s="2585"/>
      <c r="J52" s="2585"/>
      <c r="K52" s="2585"/>
      <c r="L52" s="2588"/>
      <c r="M52" s="2589"/>
      <c r="N52" s="2589"/>
      <c r="O52" s="1562"/>
      <c r="P52" s="2527"/>
      <c r="Q52" s="2528"/>
      <c r="R52" s="2527"/>
      <c r="S52" s="2533"/>
      <c r="T52" s="2536" t="s">
        <v>432</v>
      </c>
      <c r="U52" s="2535"/>
      <c r="V52" s="2535"/>
      <c r="W52" s="2535"/>
      <c r="X52" s="2535"/>
      <c r="Y52" s="2535"/>
      <c r="Z52" s="2535"/>
      <c r="AA52" s="2535"/>
      <c r="AB52" s="2535"/>
      <c r="AC52" s="2535"/>
      <c r="AD52" s="2535"/>
      <c r="AE52" s="2535"/>
      <c r="AF52" s="2535"/>
      <c r="AG52" s="2535"/>
      <c r="AH52" s="2535"/>
      <c r="AI52" s="2535"/>
      <c r="AJ52" s="2535"/>
      <c r="AK52" s="2535"/>
      <c r="AM52" s="2462"/>
      <c r="AN52" s="2462" t="str">
        <f>IF(T52="","",T52)</f>
        <v>Добавить источник для дифференциации</v>
      </c>
      <c r="AO52" s="2462"/>
      <c r="AP52" s="2462"/>
      <c r="AQ52" s="2853">
        <v>1</v>
      </c>
    </row>
    <row s="65923" customFormat="1" customHeight="1" ht="1.05">
      <c r="A53" s="2586" t="s">
        <v>224</v>
      </c>
      <c r="B53" s="2586" t="s">
        <v>225</v>
      </c>
      <c r="C53" s="2585"/>
      <c r="D53" s="2585"/>
      <c r="E53" s="3501"/>
      <c r="F53" s="3500"/>
      <c r="G53" s="2585"/>
      <c r="H53" s="2585"/>
      <c r="I53" s="2585"/>
      <c r="J53" s="2585"/>
      <c r="K53" s="2585"/>
      <c r="L53" s="2588"/>
      <c r="M53" s="2590"/>
      <c r="N53" s="2590"/>
      <c r="O53" s="1562"/>
      <c r="P53" s="2527"/>
      <c r="Q53" s="2528"/>
      <c r="R53" s="2527"/>
      <c r="S53" s="2533"/>
      <c r="T53" s="2536" t="s">
        <v>433</v>
      </c>
      <c r="U53" s="2535"/>
      <c r="V53" s="2535"/>
      <c r="W53" s="2535"/>
      <c r="X53" s="2535"/>
      <c r="Y53" s="2535"/>
      <c r="Z53" s="2535"/>
      <c r="AA53" s="2535"/>
      <c r="AB53" s="2535"/>
      <c r="AC53" s="2535"/>
      <c r="AD53" s="2535"/>
      <c r="AE53" s="2535"/>
      <c r="AF53" s="2535"/>
      <c r="AG53" s="2535"/>
      <c r="AH53" s="2535"/>
      <c r="AI53" s="2535"/>
      <c r="AJ53" s="2535"/>
      <c r="AK53" s="2535"/>
      <c r="AM53" s="2462"/>
      <c r="AN53" s="2462" t="str">
        <f>IF(T53="","",T53)</f>
        <v>Добавить централизованную систему для дифференциации</v>
      </c>
      <c r="AO53" s="2462"/>
      <c r="AP53" s="2462"/>
      <c r="AQ53" s="2853">
        <v>1</v>
      </c>
    </row>
    <row s="65923" customFormat="1" customHeight="1" ht="1.05">
      <c r="A54" s="2586" t="s">
        <v>224</v>
      </c>
      <c r="B54" s="2586"/>
      <c r="C54" s="2586"/>
      <c r="D54" s="2586"/>
      <c r="E54" s="3501"/>
      <c r="F54" s="2586"/>
      <c r="G54" s="2586"/>
      <c r="H54" s="2586"/>
      <c r="I54" s="2586"/>
      <c r="J54" s="2586"/>
      <c r="K54" s="2586"/>
      <c r="L54" s="2592"/>
      <c r="M54" s="2590"/>
      <c r="N54" s="2590"/>
      <c r="O54" s="1562"/>
      <c r="P54" s="1591"/>
      <c r="Q54" s="2555"/>
      <c r="R54" s="1591"/>
      <c r="S54" s="2533"/>
      <c r="T54" s="2536" t="s">
        <v>434</v>
      </c>
      <c r="U54" s="2535"/>
      <c r="V54" s="2535"/>
      <c r="W54" s="2535"/>
      <c r="X54" s="2535"/>
      <c r="Y54" s="2535"/>
      <c r="Z54" s="2535"/>
      <c r="AA54" s="2535"/>
      <c r="AB54" s="2535"/>
      <c r="AC54" s="2535"/>
      <c r="AD54" s="2535"/>
      <c r="AE54" s="2535"/>
      <c r="AF54" s="2535"/>
      <c r="AG54" s="2535"/>
      <c r="AH54" s="2535"/>
      <c r="AI54" s="2535"/>
      <c r="AJ54" s="2535"/>
      <c r="AK54" s="2535"/>
      <c r="AM54" s="2835"/>
      <c r="AN54" s="2835" t="str">
        <f>IF(T54="","",T54)</f>
        <v>Добавить территорию для дифференциации</v>
      </c>
      <c r="AO54" s="2835"/>
      <c r="AP54" s="2835"/>
      <c r="AQ54" s="2847">
        <v>1</v>
      </c>
    </row>
    <row s="65923" customFormat="1" customHeight="1" ht="1.05">
      <c r="A55" s="2586" t="s">
        <v>224</v>
      </c>
      <c r="B55" s="2586"/>
      <c r="C55" s="2586"/>
      <c r="D55" s="2586"/>
      <c r="E55" s="3500"/>
      <c r="F55" s="2586"/>
      <c r="G55" s="2586"/>
      <c r="H55" s="2586"/>
      <c r="I55" s="2586"/>
      <c r="J55" s="2586"/>
      <c r="K55" s="2586"/>
      <c r="L55" s="2592"/>
      <c r="M55" s="2590"/>
      <c r="N55" s="2590"/>
      <c r="O55" s="1562"/>
      <c r="P55" s="1591"/>
      <c r="Q55" s="2555"/>
      <c r="R55" s="1591"/>
      <c r="S55" s="2533"/>
      <c r="T55" s="2536" t="s">
        <v>434</v>
      </c>
      <c r="U55" s="2535"/>
      <c r="V55" s="2535"/>
      <c r="W55" s="2535"/>
      <c r="X55" s="2535"/>
      <c r="Y55" s="2535"/>
      <c r="Z55" s="2535"/>
      <c r="AA55" s="2535"/>
      <c r="AB55" s="2535"/>
      <c r="AC55" s="2535"/>
      <c r="AD55" s="2535"/>
      <c r="AE55" s="2535"/>
      <c r="AF55" s="2535"/>
      <c r="AG55" s="2535"/>
      <c r="AH55" s="2535"/>
      <c r="AI55" s="2535"/>
      <c r="AJ55" s="2535"/>
      <c r="AK55" s="2535"/>
      <c r="AM55" s="2835"/>
      <c r="AN55" s="2835" t="str">
        <f>IF(T55="","",T55)</f>
        <v>Добавить территорию для дифференциации</v>
      </c>
      <c r="AO55" s="2835"/>
      <c r="AP55" s="2835"/>
      <c r="AQ55" s="2847">
        <v>1</v>
      </c>
    </row>
    <row s="65923" customFormat="1" customHeight="1" ht="1.05">
      <c r="A56" s="2585"/>
      <c r="B56" s="2585"/>
      <c r="C56" s="2585"/>
      <c r="D56" s="2585"/>
      <c r="E56" s="2586"/>
      <c r="F56" s="2585"/>
      <c r="G56" s="2585"/>
      <c r="H56" s="2585"/>
      <c r="I56" s="2585"/>
      <c r="J56" s="2585"/>
      <c r="K56" s="2585"/>
      <c r="L56" s="2588"/>
      <c r="M56" s="2590"/>
      <c r="N56" s="2590"/>
      <c r="O56" s="1562"/>
      <c r="P56" s="2527"/>
      <c r="Q56" s="2528"/>
      <c r="R56" s="2527"/>
      <c r="S56" s="2533"/>
      <c r="T56" s="2536" t="s">
        <v>466</v>
      </c>
      <c r="U56" s="2535"/>
      <c r="V56" s="2535"/>
      <c r="W56" s="2535"/>
      <c r="X56" s="2535"/>
      <c r="Y56" s="2535"/>
      <c r="Z56" s="2535"/>
      <c r="AA56" s="2535"/>
      <c r="AB56" s="2535"/>
      <c r="AC56" s="2535"/>
      <c r="AD56" s="2535"/>
      <c r="AE56" s="2535"/>
      <c r="AF56" s="2535"/>
      <c r="AG56" s="2535"/>
      <c r="AH56" s="2535"/>
      <c r="AI56" s="2535"/>
      <c r="AJ56" s="2535"/>
      <c r="AK56" s="2535"/>
      <c r="AM56" s="2462"/>
      <c r="AN56" s="2462" t="str">
        <f>IF(T56="","",T56)</f>
        <v>Добавить наименование тарифа</v>
      </c>
      <c r="AO56" s="2462"/>
      <c r="AP56" s="2462"/>
      <c r="AQ56" s="2853">
        <v>1</v>
      </c>
    </row>
    <row customHeight="1" ht="11.549999999999999">
      <c r="M57" s="2842"/>
      <c r="N57" s="2842"/>
      <c r="O57" s="2846"/>
      <c r="P57" s="2577"/>
      <c r="Q57" s="2577"/>
      <c r="R57" s="2842"/>
      <c r="S57" s="2842"/>
      <c r="AL57" s="2842"/>
      <c r="AM57" s="2842"/>
      <c r="AN57" s="2842"/>
      <c r="AO57" s="2842"/>
      <c r="AP57" s="2842"/>
      <c r="AQ57" s="2842">
        <v>11</v>
      </c>
    </row>
    <row customHeight="1" ht="19.95">
      <c r="O58" s="2846"/>
      <c r="S58" s="2464"/>
      <c r="T58" s="3496"/>
      <c r="U58" s="3496"/>
      <c r="V58" s="3496"/>
      <c r="W58" s="3496"/>
      <c r="X58" s="3496"/>
      <c r="Y58" s="3496"/>
      <c r="Z58" s="3496"/>
      <c r="AA58" s="3496"/>
      <c r="AB58" s="3496"/>
      <c r="AC58" s="3496"/>
      <c r="AD58" s="3496"/>
      <c r="AE58" s="3496"/>
      <c r="AF58" s="3496"/>
      <c r="AG58" s="3496"/>
      <c r="AH58" s="3496"/>
      <c r="AI58" s="3496"/>
      <c r="AJ58" s="3496"/>
      <c r="AK58" s="3496"/>
      <c r="AQ58" s="2842">
        <v>19</v>
      </c>
    </row>
    <row customHeight="1" ht="21">
      <c r="O59" s="2846"/>
      <c r="T59" s="3496"/>
      <c r="U59" s="3496"/>
      <c r="V59" s="3496"/>
      <c r="W59" s="3496"/>
      <c r="X59" s="3496"/>
      <c r="Y59" s="3496"/>
      <c r="Z59" s="3496"/>
      <c r="AA59" s="3496"/>
      <c r="AB59" s="3496"/>
      <c r="AC59" s="3496"/>
      <c r="AD59" s="3496"/>
      <c r="AE59" s="3496"/>
      <c r="AF59" s="3496"/>
      <c r="AG59" s="3496"/>
      <c r="AH59" s="3496"/>
      <c r="AI59" s="3496"/>
      <c r="AJ59" s="3496"/>
      <c r="AK59" s="3496"/>
      <c r="AQ59" s="2842">
        <v>20</v>
      </c>
    </row>
    <row customHeight="1" ht="14.699999999999998">
      <c r="O60" s="2846"/>
      <c r="T60" s="3164"/>
      <c r="U60" s="3164"/>
      <c r="V60" s="3164"/>
      <c r="W60" s="3164"/>
      <c r="X60" s="3164"/>
      <c r="Y60" s="3164"/>
      <c r="Z60" s="3164"/>
      <c r="AA60" s="3164"/>
      <c r="AB60" s="3164"/>
      <c r="AC60" s="3164"/>
      <c r="AD60" s="3164"/>
      <c r="AE60" s="3164"/>
      <c r="AF60" s="3164"/>
      <c r="AG60" s="3164"/>
      <c r="AH60" s="3164"/>
      <c r="AI60" s="3164"/>
      <c r="AJ60" s="3164"/>
      <c r="AK60" s="3164"/>
      <c r="AQ60" s="2842">
        <v>14</v>
      </c>
    </row>
    <row customHeight="1" ht="19.95">
      <c r="O61" s="2846"/>
      <c r="T61" s="3496"/>
      <c r="U61" s="3496"/>
      <c r="V61" s="3496"/>
      <c r="W61" s="3496"/>
      <c r="X61" s="3496"/>
      <c r="Y61" s="3496"/>
      <c r="Z61" s="3496"/>
      <c r="AA61" s="3496"/>
      <c r="AB61" s="3496"/>
      <c r="AC61" s="3496"/>
      <c r="AD61" s="3496"/>
      <c r="AE61" s="3496"/>
      <c r="AF61" s="3496"/>
      <c r="AG61" s="3496"/>
      <c r="AH61" s="3496"/>
      <c r="AI61" s="3496"/>
      <c r="AJ61" s="3496"/>
      <c r="AK61" s="3496"/>
      <c r="AQ61" s="2842">
        <v>19</v>
      </c>
    </row>
    <row customHeight="1" ht="16.8">
      <c r="O62" s="2846"/>
      <c r="T62" s="3496"/>
      <c r="U62" s="3496"/>
      <c r="V62" s="3496"/>
      <c r="W62" s="3496"/>
      <c r="X62" s="3496"/>
      <c r="Y62" s="3496"/>
      <c r="Z62" s="3496"/>
      <c r="AA62" s="3496"/>
      <c r="AB62" s="3496"/>
      <c r="AC62" s="3496"/>
      <c r="AD62" s="3496"/>
      <c r="AE62" s="3496"/>
      <c r="AF62" s="3496"/>
      <c r="AG62" s="3496"/>
      <c r="AH62" s="3496"/>
      <c r="AI62" s="3496"/>
      <c r="AJ62" s="3496"/>
      <c r="AK62" s="3496"/>
      <c r="AQ62" s="2842">
        <v>16</v>
      </c>
    </row>
    <row customHeight="1" ht="14.699999999999998">
      <c r="O63" s="2846"/>
      <c r="AQ63" s="2842">
        <v>14</v>
      </c>
    </row>
    <row customHeight="1" ht="22.5" hidden="1">
      <c r="A64" s="2842" t="s">
        <v>82</v>
      </c>
      <c r="B64" s="2842">
        <v>0</v>
      </c>
      <c r="C64" s="2842">
        <v>0</v>
      </c>
      <c r="D64" s="2842">
        <v>0</v>
      </c>
      <c r="E64" s="2842">
        <v>0</v>
      </c>
      <c r="F64" s="2842">
        <v>0</v>
      </c>
      <c r="G64" s="2842">
        <v>0</v>
      </c>
      <c r="H64" s="2842">
        <v>0</v>
      </c>
      <c r="I64" s="2842">
        <v>0</v>
      </c>
      <c r="J64" s="2842">
        <v>0</v>
      </c>
      <c r="K64" s="2842">
        <v>0</v>
      </c>
      <c r="L64" s="3150">
        <v>0</v>
      </c>
      <c r="M64" s="3176">
        <v>0</v>
      </c>
      <c r="N64" s="3176">
        <v>0</v>
      </c>
      <c r="O64" s="3176">
        <v>0</v>
      </c>
      <c r="P64" s="2573">
        <v>3</v>
      </c>
      <c r="Q64" s="2582">
        <v>3</v>
      </c>
      <c r="R64" s="1555">
        <v>3</v>
      </c>
      <c r="S64" s="1792">
        <v>12</v>
      </c>
      <c r="T64" s="2842">
        <v>31</v>
      </c>
      <c r="U64" s="2842">
        <v>0</v>
      </c>
      <c r="V64" s="2842">
        <v>0</v>
      </c>
      <c r="W64" s="2842">
        <v>0</v>
      </c>
      <c r="X64" s="2842">
        <v>0</v>
      </c>
      <c r="Y64" s="2842">
        <v>0</v>
      </c>
      <c r="Z64" s="2842">
        <v>0</v>
      </c>
      <c r="AA64" s="2842">
        <v>0</v>
      </c>
      <c r="AB64" s="2842">
        <v>27</v>
      </c>
      <c r="AC64" s="2842">
        <v>24</v>
      </c>
      <c r="AD64" s="2842">
        <v>21</v>
      </c>
      <c r="AE64" s="2842">
        <v>21</v>
      </c>
      <c r="AF64" s="2842">
        <v>11</v>
      </c>
      <c r="AG64" s="2842">
        <v>3</v>
      </c>
      <c r="AH64" s="2842">
        <v>11</v>
      </c>
      <c r="AI64" s="2842">
        <v>8</v>
      </c>
      <c r="AJ64" s="2842">
        <v>4</v>
      </c>
      <c r="AK64" s="2842">
        <v>115</v>
      </c>
      <c r="AL64" s="2847">
        <v>10</v>
      </c>
      <c r="AM64" s="2847">
        <v>10</v>
      </c>
      <c r="AN64" s="2847">
        <v>10</v>
      </c>
      <c r="AO64" s="2847">
        <v>10</v>
      </c>
      <c r="AP64" s="2847">
        <v>10</v>
      </c>
      <c r="AQ64" s="284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32BC88-BA09-781E-3CA1-39A5BD073BF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66852" width="11.57421875" hidden="1" customWidth="1"/>
    <col min="2" max="2" style="66852" width="11.00390625" hidden="1" customWidth="1"/>
    <col min="3" max="3" style="66852" width="10.57421875" hidden="1"/>
    <col min="4" max="4" style="66852" width="12.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5490" width="3.7109375" hidden="1" customWidth="1"/>
    <col min="17" max="17" style="65556" width="3.7109375" hidden="1" customWidth="1"/>
    <col min="18" max="18" style="66873" width="3.00390625" customWidth="1"/>
    <col min="19" max="19" style="67434" width="12.00390625" customWidth="1"/>
    <col min="20" max="20" style="66903" width="31.00390625" customWidth="1"/>
    <col min="21" max="21" style="66903" width="0.140625" customWidth="1"/>
    <col min="22" max="25" style="66903" width="21.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3.7109375" customWidth="1"/>
    <col min="31" max="32" style="66903" width="3.00390625" customWidth="1"/>
    <col min="33" max="33" style="66903" width="24.00390625" customWidth="1"/>
    <col min="34" max="34" style="66903" width="3.7109375" customWidth="1"/>
    <col min="35" max="36" style="66903" width="3.00390625" customWidth="1"/>
    <col min="37" max="37" style="66903" width="24.00390625" customWidth="1"/>
    <col min="38" max="38" style="66903" width="3.7109375" customWidth="1"/>
    <col min="39" max="40" style="66903" width="3.00390625" customWidth="1"/>
    <col min="41" max="41" style="66903" width="18.00390625" customWidth="1"/>
    <col min="42" max="42" style="66903" width="3.7109375" customWidth="1"/>
    <col min="43" max="44" style="66903" width="3.00390625" customWidth="1"/>
    <col min="45" max="45" style="66903" width="18.00390625" customWidth="1"/>
    <col min="46" max="49" style="66903" width="21.00390625" customWidth="1"/>
    <col min="50" max="50" style="66903" width="11.00390625" customWidth="1"/>
    <col min="51" max="51" style="66903" width="3.7109375" customWidth="1"/>
    <col min="52" max="52" style="66903" width="11.00390625" customWidth="1"/>
    <col min="53" max="53" style="66903" width="8.57421875" hidden="1" customWidth="1"/>
    <col min="54" max="54" style="66903" width="4.00390625" customWidth="1"/>
    <col min="55" max="55" style="66903" width="115.00390625" customWidth="1"/>
    <col min="56" max="60" style="65923" width="10.00390625" customWidth="1"/>
    <col min="61" max="61" style="66903" width="10.57421875" hidden="1"/>
  </cols>
  <sheetData>
    <row customHeight="1" ht="22.5" hidden="1">
      <c r="W1" s="1538"/>
      <c r="Y1" s="1538"/>
      <c r="Z1" s="1538"/>
      <c r="AW1" s="1538"/>
      <c r="AX1" s="1538"/>
      <c r="BI1" s="2366" t="s">
        <v>14</v>
      </c>
    </row>
    <row customHeight="1" ht="21" hidden="1">
      <c r="A2" s="2574"/>
      <c r="B2" s="2574"/>
      <c r="C2" s="2574"/>
      <c r="D2" s="2574"/>
      <c r="E2" s="3469">
        <v>1</v>
      </c>
      <c r="F2" s="2574"/>
      <c r="G2" s="2574"/>
      <c r="H2" s="2574"/>
      <c r="I2" s="2574"/>
      <c r="J2" s="2574"/>
      <c r="K2" s="2574"/>
      <c r="L2" s="2575"/>
      <c r="M2" s="2576"/>
      <c r="N2" s="2576"/>
      <c r="O2" s="2576"/>
      <c r="P2" s="2620"/>
      <c r="Q2" s="2084"/>
      <c r="R2" s="1566"/>
      <c r="S2" s="2676">
        <f>INDEX(PT_DIFFERENTIATION_NUM_NTAR,MATCH(A2,PT_DIFFERENTIATION_NTAR_ID,0))</f>
      </c>
      <c r="T2" s="1509" t="s">
        <v>143</v>
      </c>
      <c r="U2" s="1511"/>
      <c r="V2" s="3454"/>
      <c r="W2" s="3454"/>
      <c r="X2" s="3454"/>
      <c r="Y2" s="3454"/>
      <c r="Z2" s="3454"/>
      <c r="AA2" s="3454"/>
      <c r="AB2" s="3454"/>
      <c r="AC2" s="3455"/>
      <c r="AD2" s="3453">
        <f>INDEX(PT_DIFFERENTIATION_NTAR,MATCH(A2,PT_DIFFERENTIATION_NTAR_ID,0))</f>
      </c>
      <c r="AE2" s="3454"/>
      <c r="AF2" s="3454"/>
      <c r="AG2" s="3454"/>
      <c r="AH2" s="3454"/>
      <c r="AI2" s="3454"/>
      <c r="AJ2" s="3454"/>
      <c r="AK2" s="3454"/>
      <c r="AL2" s="3454"/>
      <c r="AM2" s="3454"/>
      <c r="AN2" s="3454"/>
      <c r="AO2" s="3454"/>
      <c r="AP2" s="3454"/>
      <c r="AQ2" s="3454"/>
      <c r="AR2" s="3454"/>
      <c r="AS2" s="3454"/>
      <c r="AT2" s="3454"/>
      <c r="AU2" s="3454"/>
      <c r="AV2" s="3454"/>
      <c r="AW2" s="3454"/>
      <c r="AX2" s="3454"/>
      <c r="AY2" s="3454"/>
      <c r="AZ2" s="3454"/>
      <c r="BA2" s="3454"/>
      <c r="BB2" s="3455"/>
      <c r="BC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711"/>
      <c r="BF2" s="1711" t="str">
        <f>IF(T2="","",T2)</f>
        <v>Наименование тарифа</v>
      </c>
      <c r="BG2" s="1711"/>
      <c r="BH2" s="1711"/>
      <c r="BI2" s="2366">
        <v>0</v>
      </c>
    </row>
    <row customHeight="1" ht="21" hidden="1">
      <c r="A3" s="2574"/>
      <c r="B3" s="2574"/>
      <c r="C3" s="2574"/>
      <c r="D3" s="2574"/>
      <c r="E3" s="3470"/>
      <c r="F3" s="3469">
        <v>1</v>
      </c>
      <c r="G3" s="2574"/>
      <c r="H3" s="2574"/>
      <c r="I3" s="2574"/>
      <c r="J3" s="2574"/>
      <c r="K3" s="2574"/>
      <c r="L3" s="2575"/>
      <c r="M3" s="2576"/>
      <c r="N3" s="2576"/>
      <c r="O3" s="2576"/>
      <c r="P3" s="2621"/>
      <c r="Q3" s="2622"/>
      <c r="R3" s="1564"/>
      <c r="S3" s="2676">
        <f>INDEX(PT_DIFFERENTIATION_NUM_TER,MATCH(B3,PT_DIFFERENTIATION_TER_ID,0))</f>
      </c>
      <c r="T3" s="1519" t="s">
        <v>415</v>
      </c>
      <c r="U3" s="1511"/>
      <c r="V3" s="3454"/>
      <c r="W3" s="3454"/>
      <c r="X3" s="3454"/>
      <c r="Y3" s="3454"/>
      <c r="Z3" s="3454"/>
      <c r="AA3" s="3454"/>
      <c r="AB3" s="3454"/>
      <c r="AC3" s="3455"/>
      <c r="AD3" s="3453">
        <f>INDEX(PT_DIFFERENTIATION_TER,MATCH(B3,PT_DIFFERENTIATION_TER_ID,0))</f>
      </c>
      <c r="AE3" s="3454"/>
      <c r="AF3" s="3454"/>
      <c r="AG3" s="3454"/>
      <c r="AH3" s="3454"/>
      <c r="AI3" s="3454"/>
      <c r="AJ3" s="3454"/>
      <c r="AK3" s="3454"/>
      <c r="AL3" s="3454"/>
      <c r="AM3" s="3454"/>
      <c r="AN3" s="3454"/>
      <c r="AO3" s="3454"/>
      <c r="AP3" s="3454"/>
      <c r="AQ3" s="3454"/>
      <c r="AR3" s="3454"/>
      <c r="AS3" s="3454"/>
      <c r="AT3" s="3454"/>
      <c r="AU3" s="3454"/>
      <c r="AV3" s="3454"/>
      <c r="AW3" s="3454"/>
      <c r="AX3" s="3454"/>
      <c r="AY3" s="3454"/>
      <c r="AZ3" s="3454"/>
      <c r="BA3" s="3454"/>
      <c r="BB3" s="3455"/>
      <c r="BC3" s="2469" t="s">
        <v>416</v>
      </c>
      <c r="BE3" s="1711"/>
      <c r="BF3" s="1711" t="str">
        <f>IF(T3="","",T3)</f>
        <v>Территория действия тарифа</v>
      </c>
      <c r="BG3" s="1711"/>
      <c r="BH3" s="1711"/>
      <c r="BI3" s="2366">
        <v>0</v>
      </c>
    </row>
    <row customHeight="1" ht="42" hidden="1">
      <c r="A4" s="2574"/>
      <c r="B4" s="2574"/>
      <c r="C4" s="2574"/>
      <c r="D4" s="2574"/>
      <c r="E4" s="3470"/>
      <c r="F4" s="3470"/>
      <c r="G4" s="3469">
        <v>1</v>
      </c>
      <c r="H4" s="2574"/>
      <c r="I4" s="2574"/>
      <c r="J4" s="2574"/>
      <c r="K4" s="2574"/>
      <c r="L4" s="2575"/>
      <c r="M4" s="2576"/>
      <c r="N4" s="2576"/>
      <c r="O4" s="2576"/>
      <c r="P4" s="2623"/>
      <c r="Q4" s="2622"/>
      <c r="R4" s="1564"/>
      <c r="S4" s="2676">
        <f>INDEX(PT_DIFFERENTIATION_NUM_CS,MATCH(C4,PT_DIFFERENTIATION_CS_ID,0))</f>
      </c>
      <c r="T4" s="1520" t="s">
        <v>499</v>
      </c>
      <c r="U4" s="1511"/>
      <c r="V4" s="3454"/>
      <c r="W4" s="3454"/>
      <c r="X4" s="3454"/>
      <c r="Y4" s="3454"/>
      <c r="Z4" s="3454"/>
      <c r="AA4" s="3454"/>
      <c r="AB4" s="3454"/>
      <c r="AC4" s="3455"/>
      <c r="AD4" s="3453">
        <f>INDEX(PT_DIFFERENTIATION_CS,MATCH(C4,PT_DIFFERENTIATION_CS_ID,0))</f>
      </c>
      <c r="AE4" s="3454"/>
      <c r="AF4" s="3454"/>
      <c r="AG4" s="3454"/>
      <c r="AH4" s="3454"/>
      <c r="AI4" s="3454"/>
      <c r="AJ4" s="3454"/>
      <c r="AK4" s="3454"/>
      <c r="AL4" s="3454"/>
      <c r="AM4" s="3454"/>
      <c r="AN4" s="3454"/>
      <c r="AO4" s="3454"/>
      <c r="AP4" s="3454"/>
      <c r="AQ4" s="3454"/>
      <c r="AR4" s="3454"/>
      <c r="AS4" s="3454"/>
      <c r="AT4" s="3454"/>
      <c r="AU4" s="3454"/>
      <c r="AV4" s="3454"/>
      <c r="AW4" s="3454"/>
      <c r="AX4" s="3454"/>
      <c r="AY4" s="3454"/>
      <c r="AZ4" s="3454"/>
      <c r="BA4" s="3454"/>
      <c r="BB4" s="3455"/>
      <c r="BC4" s="2469" t="s">
        <v>500</v>
      </c>
      <c r="BE4" s="1711"/>
      <c r="BF4" s="1711" t="str">
        <f>IF(T4="","",T4)</f>
        <v>Наименование централизованной системы холодного водоснабжения</v>
      </c>
      <c r="BG4" s="1711"/>
      <c r="BH4" s="1711"/>
      <c r="BI4" s="2366">
        <v>0</v>
      </c>
    </row>
    <row s="65923" customFormat="1" customHeight="1" ht="14.25" hidden="1">
      <c r="A5" s="2554"/>
      <c r="B5" s="2554"/>
      <c r="C5" s="2554"/>
      <c r="D5" s="2554"/>
      <c r="E5" s="3470"/>
      <c r="F5" s="3470"/>
      <c r="G5" s="3470"/>
      <c r="H5" s="3469">
        <v>1</v>
      </c>
      <c r="I5" s="2554"/>
      <c r="J5" s="2554"/>
      <c r="K5" s="2554"/>
      <c r="L5" s="2557"/>
      <c r="M5" s="2526"/>
      <c r="N5" s="2526"/>
      <c r="O5" s="2526"/>
      <c r="P5" s="2708"/>
      <c r="Q5" s="2709"/>
      <c r="R5" s="1568"/>
      <c r="S5" s="2253"/>
      <c r="T5" s="2710"/>
      <c r="U5" s="2595"/>
      <c r="V5" s="3508"/>
      <c r="W5" s="3508"/>
      <c r="X5" s="3508"/>
      <c r="Y5" s="3508"/>
      <c r="Z5" s="3508"/>
      <c r="AA5" s="3508"/>
      <c r="AB5" s="3508"/>
      <c r="AC5" s="3509"/>
      <c r="AD5" s="3507"/>
      <c r="AE5" s="3508"/>
      <c r="AF5" s="3508"/>
      <c r="AG5" s="3508"/>
      <c r="AH5" s="3508"/>
      <c r="AI5" s="3508"/>
      <c r="AJ5" s="3508"/>
      <c r="AK5" s="3508"/>
      <c r="AL5" s="3508"/>
      <c r="AM5" s="3508"/>
      <c r="AN5" s="3508"/>
      <c r="AO5" s="3508"/>
      <c r="AP5" s="3508"/>
      <c r="AQ5" s="3508"/>
      <c r="AR5" s="3508"/>
      <c r="AS5" s="3508"/>
      <c r="AT5" s="3508"/>
      <c r="AU5" s="3508"/>
      <c r="AV5" s="3508"/>
      <c r="AW5" s="3508"/>
      <c r="AX5" s="3508"/>
      <c r="AY5" s="3508"/>
      <c r="AZ5" s="3508"/>
      <c r="BA5" s="3508"/>
      <c r="BB5" s="3509"/>
      <c r="BC5" s="2596" t="s">
        <v>420</v>
      </c>
      <c r="BE5" s="1711"/>
      <c r="BF5" s="1711" t="str">
        <f>IF(T5="","",T5)</f>
        <v/>
      </c>
      <c r="BG5" s="1711"/>
      <c r="BH5" s="1711"/>
      <c r="BI5" s="1722">
        <v>0</v>
      </c>
    </row>
    <row s="65923" customFormat="1" customHeight="1" ht="14.25" hidden="1">
      <c r="A6" s="2554"/>
      <c r="B6" s="2554"/>
      <c r="C6" s="2554"/>
      <c r="D6" s="2554"/>
      <c r="E6" s="3470"/>
      <c r="F6" s="3470"/>
      <c r="G6" s="3470"/>
      <c r="H6" s="3470"/>
      <c r="I6" s="3467" t="str">
        <f>S5&amp;".1"</f>
        <v>.1</v>
      </c>
      <c r="J6" s="2554"/>
      <c r="K6" s="2554"/>
      <c r="L6" s="2557" t="s">
        <v>421</v>
      </c>
      <c r="M6" s="1721"/>
      <c r="N6" s="1721"/>
      <c r="O6" s="1721"/>
      <c r="P6" s="3468">
        <v>1</v>
      </c>
      <c r="Q6" s="2673"/>
      <c r="R6" s="1567"/>
      <c r="S6" s="2253"/>
      <c r="T6" s="2594"/>
      <c r="U6" s="2595"/>
      <c r="V6" s="3508"/>
      <c r="W6" s="3508"/>
      <c r="X6" s="3508"/>
      <c r="Y6" s="3508"/>
      <c r="Z6" s="3508"/>
      <c r="AA6" s="3508"/>
      <c r="AB6" s="3508"/>
      <c r="AC6" s="3509"/>
      <c r="AD6" s="3507"/>
      <c r="AE6" s="3508"/>
      <c r="AF6" s="3508"/>
      <c r="AG6" s="3508"/>
      <c r="AH6" s="3508"/>
      <c r="AI6" s="3508"/>
      <c r="AJ6" s="3508"/>
      <c r="AK6" s="3508"/>
      <c r="AL6" s="3508"/>
      <c r="AM6" s="3508"/>
      <c r="AN6" s="3508"/>
      <c r="AO6" s="3508"/>
      <c r="AP6" s="3508"/>
      <c r="AQ6" s="3508"/>
      <c r="AR6" s="3508"/>
      <c r="AS6" s="3508"/>
      <c r="AT6" s="3508"/>
      <c r="AU6" s="3508"/>
      <c r="AV6" s="3508"/>
      <c r="AW6" s="3508"/>
      <c r="AX6" s="3508"/>
      <c r="AY6" s="3508"/>
      <c r="AZ6" s="3508"/>
      <c r="BA6" s="3508"/>
      <c r="BB6" s="3509"/>
      <c r="BC6" s="2596"/>
      <c r="BE6" s="1711"/>
      <c r="BF6" s="1711" t="str">
        <f>IF(T6="","",T6)</f>
        <v/>
      </c>
      <c r="BG6" s="1711"/>
      <c r="BH6" s="1711"/>
      <c r="BI6" s="1722">
        <v>0</v>
      </c>
    </row>
    <row s="65923" customFormat="1" customHeight="1" ht="14.25" hidden="1">
      <c r="A7" s="2554"/>
      <c r="B7" s="2554"/>
      <c r="C7" s="2554"/>
      <c r="D7" s="2554"/>
      <c r="E7" s="3470"/>
      <c r="F7" s="3470"/>
      <c r="G7" s="3470"/>
      <c r="H7" s="3470"/>
      <c r="I7" s="3497"/>
      <c r="J7" s="3467" t="str">
        <f>S5&amp;".1"</f>
        <v>.1</v>
      </c>
      <c r="K7" s="2554"/>
      <c r="L7" s="2557"/>
      <c r="M7" s="1721"/>
      <c r="N7" s="1721"/>
      <c r="O7" s="1721"/>
      <c r="P7" s="3468"/>
      <c r="Q7" s="3468">
        <v>1</v>
      </c>
      <c r="R7" s="1568"/>
      <c r="S7" s="2253"/>
      <c r="T7" s="2610"/>
      <c r="U7" s="2595"/>
      <c r="V7" s="3508"/>
      <c r="W7" s="3508"/>
      <c r="X7" s="3508"/>
      <c r="Y7" s="3508"/>
      <c r="Z7" s="3508"/>
      <c r="AA7" s="3508"/>
      <c r="AB7" s="3508"/>
      <c r="AC7" s="3509"/>
      <c r="AD7" s="3507"/>
      <c r="AE7" s="3508"/>
      <c r="AF7" s="3508"/>
      <c r="AG7" s="3508"/>
      <c r="AH7" s="3508"/>
      <c r="AI7" s="3508"/>
      <c r="AJ7" s="3508"/>
      <c r="AK7" s="3508"/>
      <c r="AL7" s="3508"/>
      <c r="AM7" s="3508"/>
      <c r="AN7" s="3508"/>
      <c r="AO7" s="3508"/>
      <c r="AP7" s="3508"/>
      <c r="AQ7" s="3508"/>
      <c r="AR7" s="3508"/>
      <c r="AS7" s="3508"/>
      <c r="AT7" s="3508"/>
      <c r="AU7" s="3508"/>
      <c r="AV7" s="3508"/>
      <c r="AW7" s="3508"/>
      <c r="AX7" s="3508"/>
      <c r="AY7" s="3508"/>
      <c r="AZ7" s="3508"/>
      <c r="BA7" s="3508"/>
      <c r="BB7" s="3509"/>
      <c r="BC7" s="2596"/>
      <c r="BE7" s="1711"/>
      <c r="BF7" s="1711" t="str">
        <f>IF(T7="","",T7)</f>
        <v/>
      </c>
      <c r="BG7" s="1711"/>
      <c r="BH7" s="1711"/>
      <c r="BI7" s="1722">
        <v>0</v>
      </c>
    </row>
    <row customHeight="1" ht="11.25" hidden="1">
      <c r="A8" s="2574"/>
      <c r="B8" s="2574"/>
      <c r="C8" s="2574"/>
      <c r="D8" s="2574"/>
      <c r="E8" s="3470"/>
      <c r="F8" s="3470"/>
      <c r="G8" s="3470"/>
      <c r="H8" s="3470"/>
      <c r="I8" s="3497"/>
      <c r="J8" s="3497"/>
      <c r="K8" s="3467">
        <f>S4&amp;".1"</f>
      </c>
      <c r="L8" s="2575"/>
      <c r="P8" s="3468"/>
      <c r="Q8" s="3468"/>
      <c r="R8" s="3558">
        <v>1</v>
      </c>
      <c r="S8" s="3552">
        <f>$K8</f>
      </c>
      <c r="T8" s="3571"/>
      <c r="U8" s="1511"/>
      <c r="V8" s="1962"/>
      <c r="W8" s="2468"/>
      <c r="X8" s="1962"/>
      <c r="Y8" s="2468"/>
      <c r="Z8" s="2945"/>
      <c r="AA8" s="2670" t="s">
        <v>62</v>
      </c>
      <c r="AB8" s="2945"/>
      <c r="AC8" s="2670" t="s">
        <v>62</v>
      </c>
      <c r="AD8" s="3396" t="s">
        <v>62</v>
      </c>
      <c r="AE8" s="3537"/>
      <c r="AF8" s="3416">
        <v>1</v>
      </c>
      <c r="AG8" s="3574"/>
      <c r="AH8" s="3318" t="s">
        <v>62</v>
      </c>
      <c r="AI8" s="3537"/>
      <c r="AJ8" s="3416">
        <v>1</v>
      </c>
      <c r="AK8" s="3538" t="s">
        <v>22</v>
      </c>
      <c r="AL8" s="3318" t="s">
        <v>62</v>
      </c>
      <c r="AM8" s="3403"/>
      <c r="AN8" s="3416">
        <v>1</v>
      </c>
      <c r="AO8" s="3568"/>
      <c r="AP8" s="3569" t="s">
        <v>62</v>
      </c>
      <c r="AQ8" s="1522"/>
      <c r="AR8" s="2674">
        <v>1</v>
      </c>
      <c r="AS8" s="2677" t="s">
        <v>22</v>
      </c>
      <c r="AT8" s="1962"/>
      <c r="AU8" s="2468"/>
      <c r="AV8" s="1962"/>
      <c r="AW8" s="2468"/>
      <c r="AX8" s="2945"/>
      <c r="AY8" s="2670" t="s">
        <v>62</v>
      </c>
      <c r="AZ8" s="2945"/>
      <c r="BA8" s="2670" t="s">
        <v>62</v>
      </c>
      <c r="BB8" s="2559"/>
      <c r="BC8" s="3464" t="s">
        <v>519</v>
      </c>
      <c r="BE8" s="1711"/>
      <c r="BF8" s="1711" t="str">
        <f>IF(T8="","",T8)</f>
        <v/>
      </c>
      <c r="BG8" s="1711"/>
      <c r="BH8" s="1711"/>
      <c r="BI8" s="2366">
        <v>0</v>
      </c>
    </row>
    <row customHeight="1" ht="11.25" hidden="1">
      <c r="A9" s="2574"/>
      <c r="B9" s="2574"/>
      <c r="C9" s="2574"/>
      <c r="D9" s="2574"/>
      <c r="E9" s="3470"/>
      <c r="F9" s="3470"/>
      <c r="G9" s="3470"/>
      <c r="H9" s="3470"/>
      <c r="I9" s="3497"/>
      <c r="J9" s="3497"/>
      <c r="K9" s="3467"/>
      <c r="L9" s="2575"/>
      <c r="P9" s="3468"/>
      <c r="Q9" s="3468"/>
      <c r="R9" s="3558"/>
      <c r="S9" s="3553"/>
      <c r="T9" s="3572"/>
      <c r="U9" s="1511"/>
      <c r="V9" s="2604"/>
      <c r="W9" s="2707"/>
      <c r="X9" s="2604"/>
      <c r="Y9" s="2707"/>
      <c r="Z9" s="2604"/>
      <c r="AA9" s="2604"/>
      <c r="AB9" s="2604"/>
      <c r="AC9" s="2604"/>
      <c r="AD9" s="3397"/>
      <c r="AE9" s="3537"/>
      <c r="AF9" s="3416"/>
      <c r="AG9" s="3574"/>
      <c r="AH9" s="3318"/>
      <c r="AI9" s="3537"/>
      <c r="AJ9" s="3416"/>
      <c r="AK9" s="3538"/>
      <c r="AL9" s="3318"/>
      <c r="AM9" s="3411"/>
      <c r="AN9" s="3416"/>
      <c r="AO9" s="3568"/>
      <c r="AP9" s="3570"/>
      <c r="AQ9" s="1527"/>
      <c r="AR9" s="1627"/>
      <c r="AS9" s="1627" t="s">
        <v>520</v>
      </c>
      <c r="AT9" s="2604"/>
      <c r="AU9" s="2707"/>
      <c r="AV9" s="2604"/>
      <c r="AW9" s="2707"/>
      <c r="AX9" s="2604"/>
      <c r="AY9" s="2604"/>
      <c r="AZ9" s="2604"/>
      <c r="BA9" s="2604"/>
      <c r="BB9" s="2608"/>
      <c r="BC9" s="3465"/>
      <c r="BE9" s="1711"/>
      <c r="BF9" s="1711"/>
      <c r="BG9" s="1711"/>
      <c r="BH9" s="1711"/>
      <c r="BI9" s="2366">
        <v>0</v>
      </c>
    </row>
    <row customHeight="1" ht="11.25" hidden="1">
      <c r="A10" s="2574"/>
      <c r="B10" s="2574"/>
      <c r="C10" s="2574"/>
      <c r="D10" s="2574"/>
      <c r="E10" s="3470"/>
      <c r="F10" s="3470"/>
      <c r="G10" s="3470"/>
      <c r="H10" s="3470"/>
      <c r="I10" s="3497"/>
      <c r="J10" s="3497"/>
      <c r="K10" s="3467"/>
      <c r="L10" s="2575"/>
      <c r="P10" s="3468"/>
      <c r="Q10" s="3468"/>
      <c r="R10" s="3558"/>
      <c r="S10" s="3553"/>
      <c r="T10" s="3572"/>
      <c r="U10" s="1511"/>
      <c r="V10" s="2604"/>
      <c r="W10" s="2707"/>
      <c r="X10" s="2604"/>
      <c r="Y10" s="2707"/>
      <c r="Z10" s="2604"/>
      <c r="AA10" s="2604"/>
      <c r="AB10" s="2604"/>
      <c r="AC10" s="2604"/>
      <c r="AD10" s="3397"/>
      <c r="AE10" s="3537"/>
      <c r="AF10" s="3416"/>
      <c r="AG10" s="3574"/>
      <c r="AH10" s="3318"/>
      <c r="AI10" s="3537"/>
      <c r="AJ10" s="3416"/>
      <c r="AK10" s="3538"/>
      <c r="AL10" s="3318"/>
      <c r="AM10" s="1527"/>
      <c r="AN10" s="2711"/>
      <c r="AO10" s="2711" t="s">
        <v>521</v>
      </c>
      <c r="AP10" s="1627"/>
      <c r="AQ10" s="1627"/>
      <c r="AR10" s="1627"/>
      <c r="AS10" s="2604"/>
      <c r="AT10" s="2604"/>
      <c r="AU10" s="2707"/>
      <c r="AV10" s="2604"/>
      <c r="AW10" s="2707"/>
      <c r="AX10" s="2604"/>
      <c r="AY10" s="2604"/>
      <c r="AZ10" s="2604"/>
      <c r="BA10" s="2604"/>
      <c r="BB10" s="2608"/>
      <c r="BC10" s="3465"/>
      <c r="BE10" s="1711"/>
      <c r="BF10" s="1711"/>
      <c r="BG10" s="1711"/>
      <c r="BH10" s="1711"/>
      <c r="BI10" s="2366">
        <v>0</v>
      </c>
    </row>
    <row customHeight="1" ht="11.25" hidden="1">
      <c r="A11" s="2574"/>
      <c r="B11" s="2574"/>
      <c r="C11" s="2574"/>
      <c r="D11" s="2574"/>
      <c r="E11" s="3470"/>
      <c r="F11" s="3470"/>
      <c r="G11" s="3470"/>
      <c r="H11" s="3470"/>
      <c r="I11" s="3497"/>
      <c r="J11" s="3497"/>
      <c r="K11" s="3467"/>
      <c r="L11" s="2575"/>
      <c r="P11" s="3468"/>
      <c r="Q11" s="3468"/>
      <c r="R11" s="3558"/>
      <c r="S11" s="3553"/>
      <c r="T11" s="3572"/>
      <c r="U11" s="1511"/>
      <c r="V11" s="2604"/>
      <c r="W11" s="2707"/>
      <c r="X11" s="2604"/>
      <c r="Y11" s="2707"/>
      <c r="Z11" s="2604"/>
      <c r="AA11" s="2604"/>
      <c r="AB11" s="2604"/>
      <c r="AC11" s="2604"/>
      <c r="AD11" s="3397"/>
      <c r="AE11" s="3537"/>
      <c r="AF11" s="3416"/>
      <c r="AG11" s="3574"/>
      <c r="AH11" s="3318"/>
      <c r="AI11" s="1505"/>
      <c r="AJ11" s="1626"/>
      <c r="AK11" s="1524" t="s">
        <v>522</v>
      </c>
      <c r="AL11" s="2604"/>
      <c r="AM11" s="2604"/>
      <c r="AN11" s="2604"/>
      <c r="AO11" s="2604"/>
      <c r="AP11" s="2604"/>
      <c r="AQ11" s="2604"/>
      <c r="AR11" s="2604"/>
      <c r="AS11" s="2604"/>
      <c r="AT11" s="2604"/>
      <c r="AU11" s="2707"/>
      <c r="AV11" s="2604"/>
      <c r="AW11" s="2707"/>
      <c r="AX11" s="2604"/>
      <c r="AY11" s="2604"/>
      <c r="AZ11" s="2604"/>
      <c r="BA11" s="2604"/>
      <c r="BB11" s="2608"/>
      <c r="BC11" s="3465"/>
      <c r="BE11" s="1711"/>
      <c r="BF11" s="1711"/>
      <c r="BG11" s="1711"/>
      <c r="BH11" s="1711"/>
      <c r="BI11" s="2366">
        <v>0</v>
      </c>
    </row>
    <row customHeight="1" ht="11.25" hidden="1">
      <c r="A12" s="2574"/>
      <c r="B12" s="2574"/>
      <c r="C12" s="2574"/>
      <c r="D12" s="2574"/>
      <c r="E12" s="3470"/>
      <c r="F12" s="3470"/>
      <c r="G12" s="3470"/>
      <c r="H12" s="3470"/>
      <c r="I12" s="3497"/>
      <c r="J12" s="3497"/>
      <c r="K12" s="3467"/>
      <c r="L12" s="2575"/>
      <c r="P12" s="3468"/>
      <c r="Q12" s="3468"/>
      <c r="R12" s="3558"/>
      <c r="S12" s="3554"/>
      <c r="T12" s="3573"/>
      <c r="U12" s="1511"/>
      <c r="V12" s="2604"/>
      <c r="W12" s="2605" t="str">
        <f>Z8&amp;"-"&amp;AB8</f>
        <v>-</v>
      </c>
      <c r="X12" s="2604"/>
      <c r="Y12" s="2605" t="str">
        <f>AB8&amp;"-"&amp;AD8</f>
        <v>-да</v>
      </c>
      <c r="Z12" s="2604"/>
      <c r="AA12" s="2604"/>
      <c r="AB12" s="2604"/>
      <c r="AC12" s="2604"/>
      <c r="AD12" s="3323"/>
      <c r="AE12" s="1523"/>
      <c r="AF12" s="1525"/>
      <c r="AG12" s="1627" t="s">
        <v>523</v>
      </c>
      <c r="AH12" s="2604"/>
      <c r="AI12" s="2604"/>
      <c r="AJ12" s="2604"/>
      <c r="AK12" s="2604"/>
      <c r="AL12" s="2604"/>
      <c r="AM12" s="2604"/>
      <c r="AN12" s="2604"/>
      <c r="AO12" s="2604"/>
      <c r="AP12" s="2604"/>
      <c r="AQ12" s="2604"/>
      <c r="AR12" s="2604"/>
      <c r="AS12" s="2604"/>
      <c r="AT12" s="2604"/>
      <c r="AU12" s="2605" t="str">
        <f>AX8&amp;"-"&amp;AZ8</f>
        <v>-</v>
      </c>
      <c r="AV12" s="2604"/>
      <c r="AW12" s="2605" t="str">
        <f>AZ8&amp;"-"&amp;BB8</f>
        <v>-</v>
      </c>
      <c r="AX12" s="2604"/>
      <c r="AY12" s="2604"/>
      <c r="AZ12" s="2604"/>
      <c r="BA12" s="2604"/>
      <c r="BB12" s="2607" t="str">
        <f>BE8&amp;"-"&amp;BG8</f>
        <v>-</v>
      </c>
      <c r="BC12" s="3465"/>
      <c r="BE12" s="1711"/>
      <c r="BF12" s="1711" t="str">
        <f>IF(T12="","",T12)</f>
        <v/>
      </c>
      <c r="BG12" s="1711"/>
      <c r="BH12" s="1711"/>
      <c r="BI12" s="2366">
        <v>0</v>
      </c>
    </row>
    <row customHeight="1" ht="11.25" hidden="1">
      <c r="A13" s="2574"/>
      <c r="B13" s="2574"/>
      <c r="C13" s="2574"/>
      <c r="D13" s="2574"/>
      <c r="E13" s="3470"/>
      <c r="F13" s="3470"/>
      <c r="G13" s="3470"/>
      <c r="H13" s="3470"/>
      <c r="I13" s="3497"/>
      <c r="J13" s="3467"/>
      <c r="K13" s="2574"/>
      <c r="L13" s="2575"/>
      <c r="P13" s="3468"/>
      <c r="Q13" s="3468"/>
      <c r="R13" s="1567"/>
      <c r="S13" s="2489"/>
      <c r="T13" s="1498" t="s">
        <v>486</v>
      </c>
      <c r="U13" s="1578"/>
      <c r="V13" s="1578"/>
      <c r="W13" s="1578"/>
      <c r="X13" s="1578"/>
      <c r="Y13" s="1578"/>
      <c r="Z13" s="1578"/>
      <c r="AA13" s="1578"/>
      <c r="AB13" s="1578"/>
      <c r="AC13" s="1578"/>
      <c r="AD13" s="2716"/>
      <c r="AE13" s="1578"/>
      <c r="AF13" s="1578"/>
      <c r="AG13" s="1578"/>
      <c r="AH13" s="1578"/>
      <c r="AI13" s="1578"/>
      <c r="AJ13" s="1578"/>
      <c r="AK13" s="1578"/>
      <c r="AL13" s="1578"/>
      <c r="AM13" s="1578"/>
      <c r="AN13" s="1578"/>
      <c r="AO13" s="1578"/>
      <c r="AP13" s="1578"/>
      <c r="AQ13" s="1578"/>
      <c r="AR13" s="1578"/>
      <c r="AS13" s="1578"/>
      <c r="AT13" s="1578"/>
      <c r="AU13" s="1578"/>
      <c r="AV13" s="1578"/>
      <c r="AW13" s="1578"/>
      <c r="AX13" s="1578"/>
      <c r="AY13" s="1578"/>
      <c r="AZ13" s="1578"/>
      <c r="BA13" s="1578"/>
      <c r="BB13" s="1535"/>
      <c r="BC13" s="3466"/>
      <c r="BE13" s="1711"/>
      <c r="BF13" s="1711" t="str">
        <f>IF(T13="","",T13)</f>
        <v>Добавить строку</v>
      </c>
      <c r="BG13" s="1711"/>
      <c r="BH13" s="1711"/>
      <c r="BI13" s="2366">
        <v>0</v>
      </c>
    </row>
    <row s="65923" customFormat="1" customHeight="1" ht="14.25" hidden="1">
      <c r="A14" s="2554"/>
      <c r="B14" s="2554"/>
      <c r="C14" s="2554"/>
      <c r="D14" s="2554"/>
      <c r="E14" s="3470"/>
      <c r="F14" s="3470"/>
      <c r="G14" s="3470"/>
      <c r="H14" s="3470"/>
      <c r="I14" s="3467"/>
      <c r="J14" s="2554"/>
      <c r="K14" s="2554"/>
      <c r="L14" s="2557"/>
      <c r="M14" s="1721"/>
      <c r="N14" s="1721"/>
      <c r="O14" s="1721"/>
      <c r="P14" s="3468"/>
      <c r="Q14" s="2673"/>
      <c r="R14" s="1567"/>
      <c r="S14" s="2597"/>
      <c r="T14" s="2598"/>
      <c r="U14" s="2599"/>
      <c r="V14" s="2599"/>
      <c r="W14" s="2599"/>
      <c r="X14" s="2599"/>
      <c r="Y14" s="2599"/>
      <c r="Z14" s="2599"/>
      <c r="AA14" s="2599"/>
      <c r="AB14" s="2599"/>
      <c r="AC14" s="2599"/>
      <c r="AD14" s="2599"/>
      <c r="AE14" s="2599"/>
      <c r="AF14" s="2599"/>
      <c r="AG14" s="2599"/>
      <c r="AH14" s="2599"/>
      <c r="AI14" s="2599"/>
      <c r="AJ14" s="2599"/>
      <c r="AK14" s="2599"/>
      <c r="AL14" s="2599"/>
      <c r="AM14" s="2599"/>
      <c r="AN14" s="2599"/>
      <c r="AO14" s="2599"/>
      <c r="AP14" s="2599"/>
      <c r="AQ14" s="2599"/>
      <c r="AR14" s="2599"/>
      <c r="AS14" s="2599"/>
      <c r="AT14" s="2599"/>
      <c r="AU14" s="2599"/>
      <c r="AV14" s="2599"/>
      <c r="AW14" s="2599"/>
      <c r="AX14" s="2599"/>
      <c r="AY14" s="2599"/>
      <c r="AZ14" s="2599"/>
      <c r="BA14" s="2599"/>
      <c r="BB14" s="2599"/>
      <c r="BC14" s="2600"/>
      <c r="BE14" s="1711"/>
      <c r="BF14" s="1711" t="str">
        <f>IF(T14="","",T14)</f>
        <v/>
      </c>
      <c r="BG14" s="1711"/>
      <c r="BH14" s="1711"/>
      <c r="BI14" s="1722">
        <v>0</v>
      </c>
    </row>
    <row s="65923" customFormat="1" customHeight="1" ht="14.25" hidden="1">
      <c r="A15" s="2554"/>
      <c r="B15" s="2554"/>
      <c r="C15" s="2554"/>
      <c r="D15" s="2554"/>
      <c r="E15" s="3470"/>
      <c r="F15" s="3470"/>
      <c r="G15" s="3470"/>
      <c r="H15" s="3469"/>
      <c r="I15" s="2554"/>
      <c r="J15" s="2554"/>
      <c r="K15" s="2554"/>
      <c r="L15" s="2557"/>
      <c r="M15" s="2526"/>
      <c r="N15" s="2526"/>
      <c r="O15" s="1729"/>
      <c r="P15" s="1591"/>
      <c r="Q15" s="2555"/>
      <c r="R15" s="2612"/>
      <c r="S15" s="2597"/>
      <c r="T15" s="2598"/>
      <c r="U15" s="2599"/>
      <c r="V15" s="2599"/>
      <c r="W15" s="2599"/>
      <c r="X15" s="2599"/>
      <c r="Y15" s="2599"/>
      <c r="Z15" s="2599"/>
      <c r="AA15" s="2599"/>
      <c r="AB15" s="2599"/>
      <c r="AC15" s="2599"/>
      <c r="AD15" s="2599"/>
      <c r="AE15" s="2599"/>
      <c r="AF15" s="2599"/>
      <c r="AG15" s="2599"/>
      <c r="AH15" s="2599"/>
      <c r="AI15" s="2599"/>
      <c r="AJ15" s="2599"/>
      <c r="AK15" s="2599"/>
      <c r="AL15" s="2599"/>
      <c r="AM15" s="2599"/>
      <c r="AN15" s="2599"/>
      <c r="AO15" s="2599"/>
      <c r="AP15" s="2599"/>
      <c r="AQ15" s="2599"/>
      <c r="AR15" s="2599"/>
      <c r="AS15" s="2599"/>
      <c r="AT15" s="2599"/>
      <c r="AU15" s="2599"/>
      <c r="AV15" s="2599"/>
      <c r="AW15" s="2599"/>
      <c r="AX15" s="2599"/>
      <c r="AY15" s="2599"/>
      <c r="AZ15" s="2599"/>
      <c r="BA15" s="2599"/>
      <c r="BB15" s="2599"/>
      <c r="BC15" s="2600"/>
      <c r="BE15" s="1711"/>
      <c r="BF15" s="1711" t="str">
        <f>IF(T15="","",T15)</f>
        <v/>
      </c>
      <c r="BG15" s="1711"/>
      <c r="BH15" s="1711"/>
      <c r="BI15" s="1722">
        <v>0</v>
      </c>
    </row>
    <row s="65923" customFormat="1" customHeight="1" ht="14.25" hidden="1">
      <c r="A16" s="2554"/>
      <c r="B16" s="2554"/>
      <c r="C16" s="2554"/>
      <c r="D16" s="2525"/>
      <c r="E16" s="3470"/>
      <c r="F16" s="3470"/>
      <c r="G16" s="3469"/>
      <c r="H16" s="2525"/>
      <c r="I16" s="2525"/>
      <c r="J16" s="2525"/>
      <c r="K16" s="2525"/>
      <c r="L16" s="2675"/>
      <c r="M16" s="2526"/>
      <c r="N16" s="2526"/>
      <c r="P16" s="2527"/>
      <c r="Q16" s="2528"/>
      <c r="R16" s="2527"/>
      <c r="S16" s="2533"/>
      <c r="T16" s="2536"/>
      <c r="U16" s="2535"/>
      <c r="V16" s="2535"/>
      <c r="W16" s="2535"/>
      <c r="X16" s="2535"/>
      <c r="Y16" s="2535"/>
      <c r="Z16" s="2535"/>
      <c r="AA16" s="2535"/>
      <c r="AB16" s="2535"/>
      <c r="AC16" s="2535"/>
      <c r="AD16" s="2535"/>
      <c r="AE16" s="2535"/>
      <c r="AF16" s="2535"/>
      <c r="AG16" s="2535"/>
      <c r="AH16" s="2535"/>
      <c r="AI16" s="2535"/>
      <c r="AJ16" s="2535"/>
      <c r="AK16" s="2535"/>
      <c r="AL16" s="2535"/>
      <c r="AM16" s="2535"/>
      <c r="AN16" s="2535"/>
      <c r="AO16" s="2535"/>
      <c r="AP16" s="2535"/>
      <c r="AQ16" s="2535"/>
      <c r="AR16" s="2535"/>
      <c r="AS16" s="2535"/>
      <c r="AT16" s="2535"/>
      <c r="AU16" s="2535"/>
      <c r="AV16" s="2535"/>
      <c r="AW16" s="2535"/>
      <c r="AX16" s="2535"/>
      <c r="AY16" s="2535"/>
      <c r="AZ16" s="2535"/>
      <c r="BA16" s="2535"/>
      <c r="BB16" s="2535"/>
      <c r="BC16" s="2535"/>
      <c r="BE16" s="2000"/>
      <c r="BF16" s="2000" t="str">
        <f>IF(T16="","",T16)</f>
        <v/>
      </c>
      <c r="BG16" s="2000"/>
      <c r="BH16" s="2000"/>
      <c r="BI16" s="1729">
        <v>0</v>
      </c>
    </row>
    <row s="65923" customFormat="1" customHeight="1" ht="14.25" hidden="1">
      <c r="A17" s="2554"/>
      <c r="B17" s="2554"/>
      <c r="C17" s="2525"/>
      <c r="D17" s="2525"/>
      <c r="E17" s="3470"/>
      <c r="F17" s="3469"/>
      <c r="G17" s="2525"/>
      <c r="H17" s="2525"/>
      <c r="I17" s="2525"/>
      <c r="J17" s="2525"/>
      <c r="K17" s="2525"/>
      <c r="L17" s="2675"/>
      <c r="M17" s="2532"/>
      <c r="N17" s="2532"/>
      <c r="P17" s="2527"/>
      <c r="Q17" s="2528"/>
      <c r="R17" s="2527"/>
      <c r="S17" s="2533"/>
      <c r="T17" s="2536" t="s">
        <v>433</v>
      </c>
      <c r="U17" s="2535"/>
      <c r="V17" s="2535"/>
      <c r="W17" s="2535"/>
      <c r="X17" s="2535"/>
      <c r="Y17" s="2535"/>
      <c r="Z17" s="2535"/>
      <c r="AA17" s="2535"/>
      <c r="AB17" s="2535"/>
      <c r="AC17" s="2535"/>
      <c r="AD17" s="2535"/>
      <c r="AE17" s="2535"/>
      <c r="AF17" s="2535"/>
      <c r="AG17" s="2535"/>
      <c r="AH17" s="2535"/>
      <c r="AI17" s="2535"/>
      <c r="AJ17" s="2535"/>
      <c r="AK17" s="2535"/>
      <c r="AL17" s="2535"/>
      <c r="AM17" s="2535"/>
      <c r="AN17" s="2535"/>
      <c r="AO17" s="2535"/>
      <c r="AP17" s="2535"/>
      <c r="AQ17" s="2535"/>
      <c r="AR17" s="2535"/>
      <c r="AS17" s="2535"/>
      <c r="AT17" s="2535"/>
      <c r="AU17" s="2535"/>
      <c r="AV17" s="2535"/>
      <c r="AW17" s="2535"/>
      <c r="AX17" s="2535"/>
      <c r="AY17" s="2535"/>
      <c r="AZ17" s="2535"/>
      <c r="BA17" s="2535"/>
      <c r="BB17" s="2535"/>
      <c r="BC17" s="2535"/>
      <c r="BE17" s="2000"/>
      <c r="BF17" s="2000" t="str">
        <f>IF(T17="","",T17)</f>
        <v>Добавить централизованную систему для дифференциации</v>
      </c>
      <c r="BG17" s="2000"/>
      <c r="BH17" s="2000"/>
      <c r="BI17" s="1729">
        <v>0</v>
      </c>
    </row>
    <row s="65923" customFormat="1" customHeight="1" ht="14.25" hidden="1">
      <c r="A18" s="2554"/>
      <c r="B18" s="2554"/>
      <c r="C18" s="2554"/>
      <c r="D18" s="2554"/>
      <c r="E18" s="3469"/>
      <c r="F18" s="2554"/>
      <c r="G18" s="2554"/>
      <c r="H18" s="2554"/>
      <c r="I18" s="2554"/>
      <c r="J18" s="2554"/>
      <c r="K18" s="2554"/>
      <c r="L18" s="2557"/>
      <c r="M18" s="2532"/>
      <c r="N18" s="2532"/>
      <c r="O18" s="1729"/>
      <c r="P18" s="1591"/>
      <c r="Q18" s="2555"/>
      <c r="R18" s="1591"/>
      <c r="S18" s="2533"/>
      <c r="T18" s="2536" t="s">
        <v>434</v>
      </c>
      <c r="U18" s="2535"/>
      <c r="V18" s="2535"/>
      <c r="W18" s="2535"/>
      <c r="X18" s="2535"/>
      <c r="Y18" s="2535"/>
      <c r="Z18" s="2535"/>
      <c r="AA18" s="2535"/>
      <c r="AB18" s="2535"/>
      <c r="AC18" s="2535"/>
      <c r="AD18" s="2535"/>
      <c r="AE18" s="2535"/>
      <c r="AF18" s="2535"/>
      <c r="AG18" s="2535"/>
      <c r="AH18" s="2535"/>
      <c r="AI18" s="2535"/>
      <c r="AJ18" s="2535"/>
      <c r="AK18" s="2535"/>
      <c r="AL18" s="2535"/>
      <c r="AM18" s="2535"/>
      <c r="AN18" s="2535"/>
      <c r="AO18" s="2535"/>
      <c r="AP18" s="2535"/>
      <c r="AQ18" s="2535"/>
      <c r="AR18" s="2535"/>
      <c r="AS18" s="2535"/>
      <c r="AT18" s="2535"/>
      <c r="AU18" s="2535"/>
      <c r="AV18" s="2535"/>
      <c r="AW18" s="2535"/>
      <c r="AX18" s="2535"/>
      <c r="AY18" s="2535"/>
      <c r="AZ18" s="2535"/>
      <c r="BA18" s="2535"/>
      <c r="BB18" s="2535"/>
      <c r="BC18" s="2535"/>
      <c r="BE18" s="1711"/>
      <c r="BF18" s="1711" t="str">
        <f>IF(T18="","",T18)</f>
        <v>Добавить территорию для дифференциации</v>
      </c>
      <c r="BG18" s="1711"/>
      <c r="BH18" s="1711"/>
      <c r="BI18" s="1722">
        <v>0</v>
      </c>
    </row>
    <row customHeight="1" ht="14.25" hidden="1">
      <c r="AC19" s="1538"/>
      <c r="BA19" s="1538"/>
      <c r="BI19" s="2366">
        <v>0</v>
      </c>
    </row>
    <row customHeight="1" ht="14.25" hidden="1">
      <c r="AD20" s="2535" t="s">
        <v>19</v>
      </c>
      <c r="AE20" s="2712"/>
      <c r="AF20" s="1759">
        <v>1</v>
      </c>
      <c r="AG20" s="2713"/>
      <c r="AH20" s="2535" t="s">
        <v>19</v>
      </c>
      <c r="AI20" s="2712"/>
      <c r="AJ20" s="1759">
        <v>1</v>
      </c>
      <c r="AK20" s="2713"/>
      <c r="AL20" s="2535" t="s">
        <v>19</v>
      </c>
      <c r="AM20" s="2714"/>
      <c r="AN20" s="1759">
        <v>1</v>
      </c>
      <c r="AO20" s="2715"/>
      <c r="AP20" s="2535" t="s">
        <v>19</v>
      </c>
      <c r="AQ20" s="2714"/>
      <c r="AR20" s="1759">
        <v>1</v>
      </c>
      <c r="AS20" s="2715"/>
      <c r="AT20" s="1536"/>
      <c r="AU20" s="1595"/>
      <c r="AV20" s="1536"/>
      <c r="AW20" s="1595"/>
      <c r="AX20" s="2947"/>
      <c r="AY20" s="2671" t="s">
        <v>62</v>
      </c>
      <c r="AZ20" s="2947"/>
      <c r="BA20" s="2671" t="s">
        <v>62</v>
      </c>
      <c r="BI20" s="2366">
        <v>0</v>
      </c>
    </row>
    <row customHeight="1" ht="14.25" hidden="1">
      <c r="BD21" s="1707"/>
      <c r="BE21" s="1707"/>
      <c r="BF21" s="1707"/>
      <c r="BG21" s="1707"/>
      <c r="BH21" s="1707"/>
      <c r="BI21" s="2366">
        <v>0</v>
      </c>
    </row>
    <row customHeight="1" ht="14.25" hidden="1">
      <c r="O22" s="2578" t="s">
        <v>435</v>
      </c>
      <c r="Z22" s="2556"/>
      <c r="AB22" s="2556"/>
      <c r="AC22" s="1538"/>
      <c r="AX22" s="2556"/>
      <c r="AZ22" s="2556"/>
      <c r="BA22" s="1538"/>
      <c r="BD22" s="1707"/>
      <c r="BE22" s="1707"/>
      <c r="BF22" s="1707"/>
      <c r="BG22" s="1707"/>
      <c r="BH22" s="1707"/>
      <c r="BI22" s="2366">
        <v>0</v>
      </c>
    </row>
    <row customHeight="1" ht="14.25" hidden="1">
      <c r="AC23" s="1538"/>
      <c r="BA23" s="1538"/>
      <c r="BD23" s="1707"/>
      <c r="BE23" s="1707"/>
      <c r="BF23" s="1707"/>
      <c r="BG23" s="1707"/>
      <c r="BH23" s="1707"/>
      <c r="BI23" s="2366">
        <v>0</v>
      </c>
    </row>
    <row s="65531" customFormat="1" customHeight="1" ht="14.25" hidden="1">
      <c r="M24" s="2719"/>
      <c r="N24" s="2719"/>
      <c r="O24" s="2720" t="s">
        <v>436</v>
      </c>
      <c r="P24" s="2719"/>
      <c r="Q24" s="2721"/>
      <c r="R24" s="2721"/>
      <c r="AA24" s="2718" t="s">
        <v>438</v>
      </c>
      <c r="AC24" s="2718" t="s">
        <v>439</v>
      </c>
      <c r="AD24" s="2718" t="s">
        <v>487</v>
      </c>
      <c r="AH24" s="2718" t="s">
        <v>487</v>
      </c>
      <c r="AK24" s="2718" t="s">
        <v>524</v>
      </c>
      <c r="AL24" s="2718" t="s">
        <v>487</v>
      </c>
      <c r="AP24" s="2718" t="s">
        <v>487</v>
      </c>
      <c r="AY24" s="2718" t="s">
        <v>438</v>
      </c>
      <c r="BA24" s="2718" t="s">
        <v>439</v>
      </c>
      <c r="BD24" s="2722"/>
      <c r="BE24" s="2722"/>
      <c r="BF24" s="2722"/>
      <c r="BG24" s="2722"/>
      <c r="BH24" s="2722"/>
      <c r="BI24" s="2718">
        <v>0</v>
      </c>
    </row>
    <row customHeight="1" ht="14.25" hidden="1">
      <c r="O25" s="2575"/>
      <c r="BD25" s="1707"/>
      <c r="BE25" s="1707"/>
      <c r="BF25" s="1707"/>
      <c r="BG25" s="1707"/>
      <c r="BH25" s="1707"/>
      <c r="BI25" s="2366">
        <v>0</v>
      </c>
    </row>
    <row customHeight="1" ht="14.25" hidden="1">
      <c r="O26" s="2575"/>
      <c r="BD26" s="1707"/>
      <c r="BE26" s="1707"/>
      <c r="BF26" s="1707"/>
      <c r="BG26" s="1707"/>
      <c r="BH26" s="1707"/>
      <c r="BI26" s="2366">
        <v>0</v>
      </c>
    </row>
    <row customHeight="1" ht="14.699999999999998">
      <c r="Q27" s="1502"/>
      <c r="R27" s="1587"/>
      <c r="S27" s="2486"/>
      <c r="T27" s="1574"/>
      <c r="U27" s="1574"/>
      <c r="V27" s="1720"/>
      <c r="W27" s="1720"/>
      <c r="X27" s="1720"/>
      <c r="Y27" s="1720"/>
      <c r="Z27" s="1720"/>
      <c r="AA27" s="1720"/>
      <c r="AB27" s="1720"/>
      <c r="AC27" s="1720"/>
      <c r="AD27" s="1720"/>
      <c r="AE27" s="1720"/>
      <c r="AF27" s="1720"/>
      <c r="AG27" s="1720"/>
      <c r="AH27" s="1720"/>
      <c r="AI27" s="1720"/>
      <c r="AJ27" s="1720"/>
      <c r="AK27" s="1720"/>
      <c r="AL27" s="1720"/>
      <c r="AM27" s="1720"/>
      <c r="AN27" s="1720"/>
      <c r="AO27" s="1720"/>
      <c r="AP27" s="1720"/>
      <c r="AQ27" s="1720"/>
      <c r="AR27" s="1720"/>
      <c r="AS27" s="1720"/>
      <c r="AT27" s="1720"/>
      <c r="AU27" s="1720"/>
      <c r="AV27" s="1720"/>
      <c r="AW27" s="1720"/>
      <c r="AX27" s="1720"/>
      <c r="AY27" s="1720"/>
      <c r="AZ27" s="1720"/>
      <c r="BA27" s="1720"/>
      <c r="BI27" s="2366">
        <v>14</v>
      </c>
    </row>
    <row customHeight="1" ht="14.699999999999998">
      <c r="Q28" s="1502"/>
      <c r="R28" s="1587"/>
      <c r="S28" s="345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3459"/>
      <c r="U28" s="3459"/>
      <c r="V28" s="3459"/>
      <c r="W28" s="3459"/>
      <c r="X28" s="3459"/>
      <c r="Y28" s="3459"/>
      <c r="Z28" s="3459"/>
      <c r="AA28" s="3459"/>
      <c r="AB28" s="3459"/>
      <c r="AC28" s="3459"/>
      <c r="AD28" s="3459"/>
      <c r="AE28" s="3459"/>
      <c r="AF28" s="3459"/>
      <c r="AG28" s="3459"/>
      <c r="AH28" s="3459"/>
      <c r="AI28" s="3459"/>
      <c r="AJ28" s="3459"/>
      <c r="AK28" s="3459"/>
      <c r="AL28" s="3459"/>
      <c r="AM28" s="3459"/>
      <c r="AN28" s="3459"/>
      <c r="AO28" s="3459"/>
      <c r="AP28" s="3459"/>
      <c r="AQ28" s="3459"/>
      <c r="AR28" s="3459"/>
      <c r="AS28" s="3459"/>
      <c r="AT28" s="3459"/>
      <c r="AU28" s="3459"/>
      <c r="AV28" s="3459"/>
      <c r="AW28" s="3459"/>
      <c r="AX28" s="3459"/>
      <c r="AY28" s="3459"/>
      <c r="AZ28" s="3459"/>
      <c r="BA28" s="2454"/>
      <c r="BI28" s="2366">
        <v>14</v>
      </c>
    </row>
    <row customHeight="1" ht="14.699999999999998">
      <c r="Q29" s="1502"/>
      <c r="R29" s="1587"/>
      <c r="S29" s="3460" t="str">
        <f>IF(org=0,"Не определено",org)</f>
        <v>ПАО "ТГК-2"</v>
      </c>
      <c r="T29" s="3460"/>
      <c r="U29" s="3460"/>
      <c r="V29" s="3460"/>
      <c r="W29" s="3460"/>
      <c r="X29" s="3460"/>
      <c r="Y29" s="3460"/>
      <c r="Z29" s="3460"/>
      <c r="AA29" s="3460"/>
      <c r="AB29" s="3460"/>
      <c r="AC29" s="3460"/>
      <c r="AD29" s="3460"/>
      <c r="AE29" s="3460"/>
      <c r="AF29" s="3460"/>
      <c r="AG29" s="3460"/>
      <c r="AH29" s="3460"/>
      <c r="AI29" s="3460"/>
      <c r="AJ29" s="3460"/>
      <c r="AK29" s="3460"/>
      <c r="AL29" s="3460"/>
      <c r="AM29" s="3460"/>
      <c r="AN29" s="3460"/>
      <c r="AO29" s="3460"/>
      <c r="AP29" s="3460"/>
      <c r="AQ29" s="3460"/>
      <c r="AR29" s="3460"/>
      <c r="AS29" s="3460"/>
      <c r="AT29" s="3460"/>
      <c r="AU29" s="3460"/>
      <c r="AV29" s="3460"/>
      <c r="AW29" s="3460"/>
      <c r="AX29" s="3460"/>
      <c r="AY29" s="3460"/>
      <c r="AZ29" s="3460"/>
      <c r="BA29" s="2454"/>
      <c r="BI29" s="2366">
        <v>14</v>
      </c>
    </row>
    <row customHeight="1" ht="14.25" hidden="1">
      <c r="Q30" s="1502"/>
      <c r="R30" s="1587"/>
      <c r="S30" s="2486"/>
      <c r="T30" s="1574"/>
      <c r="U30" s="1574"/>
      <c r="V30" s="1533"/>
      <c r="W30" s="1533"/>
      <c r="X30" s="1533"/>
      <c r="Y30" s="1533"/>
      <c r="Z30" s="1533"/>
      <c r="AA30" s="1533"/>
      <c r="AB30" s="1533"/>
      <c r="AC30" s="1533"/>
      <c r="AD30" s="1533"/>
      <c r="AE30" s="1533"/>
      <c r="AF30" s="1533"/>
      <c r="AG30" s="1533"/>
      <c r="AH30" s="1533"/>
      <c r="AI30" s="1533"/>
      <c r="AJ30" s="1533"/>
      <c r="AK30" s="1533"/>
      <c r="AL30" s="1533"/>
      <c r="AM30" s="1533"/>
      <c r="AN30" s="1533"/>
      <c r="AO30" s="1533"/>
      <c r="AP30" s="1533"/>
      <c r="AQ30" s="1533"/>
      <c r="AR30" s="1533"/>
      <c r="AS30" s="1533"/>
      <c r="AT30" s="1533"/>
      <c r="AU30" s="1533"/>
      <c r="AV30" s="1533"/>
      <c r="AW30" s="1533"/>
      <c r="AX30" s="1533"/>
      <c r="AY30" s="1533"/>
      <c r="AZ30" s="1533"/>
      <c r="BA30" s="1533"/>
      <c r="BB30" s="1720"/>
      <c r="BI30" s="2366">
        <v>0</v>
      </c>
    </row>
    <row s="67333" customFormat="1" customHeight="1" ht="25.5" hidden="1">
      <c r="A31" s="2579"/>
      <c r="B31" s="2579"/>
      <c r="C31" s="2579"/>
      <c r="D31" s="2579"/>
      <c r="E31" s="2579"/>
      <c r="F31" s="2579"/>
      <c r="G31" s="2579"/>
      <c r="H31" s="2579"/>
      <c r="I31" s="2579"/>
      <c r="J31" s="2579"/>
      <c r="K31" s="2579"/>
      <c r="L31" s="2580"/>
      <c r="M31" s="2579"/>
      <c r="N31" s="2579"/>
      <c r="O31" s="2579"/>
      <c r="P31" s="2579"/>
      <c r="Q31" s="2579"/>
      <c r="S31" s="3461" t="s">
        <v>41</v>
      </c>
      <c r="T31" s="3461"/>
      <c r="U31" s="2583"/>
      <c r="V31" s="3462" t="str">
        <f>IF(TITLE_NAME_OR_PR_CHANGE="",IF(TITLE_NAME_OR_PR="","",TITLE_NAME_OR_PR),TITLE_NAME_OR_PR_CHANGE)</f>
        <v/>
      </c>
      <c r="W31" s="3462"/>
      <c r="X31" s="3462"/>
      <c r="Y31" s="3462"/>
      <c r="Z31" s="3462"/>
      <c r="AA31" s="3462"/>
      <c r="AB31" s="3462"/>
      <c r="AC31" s="1537"/>
      <c r="AD31" s="3462" t="str">
        <f>IF(TITLE_NAME_OR_PR_CHANGE="",IF(TITLE_NAME_OR_PR="","",TITLE_NAME_OR_PR),TITLE_NAME_OR_PR_CHANGE)</f>
        <v/>
      </c>
      <c r="AE31" s="3462"/>
      <c r="AF31" s="3462"/>
      <c r="AG31" s="3462"/>
      <c r="AH31" s="3462"/>
      <c r="AI31" s="3462"/>
      <c r="AJ31" s="3462"/>
      <c r="AK31" s="3462"/>
      <c r="AL31" s="3462"/>
      <c r="AM31" s="3462"/>
      <c r="AN31" s="3462"/>
      <c r="AO31" s="3462"/>
      <c r="AP31" s="3462"/>
      <c r="AQ31" s="3462"/>
      <c r="AR31" s="3462"/>
      <c r="AS31" s="3462"/>
      <c r="AT31" s="3462"/>
      <c r="AU31" s="3462"/>
      <c r="AV31" s="3462"/>
      <c r="AW31" s="3462"/>
      <c r="AX31" s="3462"/>
      <c r="AY31" s="3462"/>
      <c r="AZ31" s="3462"/>
      <c r="BA31" s="1537"/>
      <c r="BB31" s="1537"/>
      <c r="BC31" s="1491"/>
      <c r="BD31" s="1579"/>
      <c r="BE31" s="1579"/>
      <c r="BF31" s="1579"/>
      <c r="BG31" s="1579"/>
      <c r="BH31" s="1579"/>
      <c r="BI31" s="1629">
        <v>0</v>
      </c>
    </row>
    <row s="67333" customFormat="1" customHeight="1" ht="18.75" hidden="1">
      <c r="A32" s="2579"/>
      <c r="B32" s="2579"/>
      <c r="C32" s="2579"/>
      <c r="D32" s="2579"/>
      <c r="E32" s="2579"/>
      <c r="F32" s="2579"/>
      <c r="G32" s="2579"/>
      <c r="H32" s="2579"/>
      <c r="I32" s="2579"/>
      <c r="J32" s="2579"/>
      <c r="K32" s="2579"/>
      <c r="L32" s="2580"/>
      <c r="M32" s="2579"/>
      <c r="N32" s="2579"/>
      <c r="O32" s="2579"/>
      <c r="P32" s="2579"/>
      <c r="Q32" s="2579"/>
      <c r="S32" s="3461" t="s">
        <v>441</v>
      </c>
      <c r="T32" s="3461"/>
      <c r="U32" s="2583"/>
      <c r="V32" s="3475" t="str">
        <f>IF(TITLE_DATE_PR_CHANGE="",IF(TITLE_DATE_PR="","",TITLE_DATE_PR),TITLE_DATE_PR_CHANGE)</f>
        <v/>
      </c>
      <c r="W32" s="3475"/>
      <c r="X32" s="3475"/>
      <c r="Y32" s="3475"/>
      <c r="Z32" s="3475"/>
      <c r="AA32" s="3475"/>
      <c r="AB32" s="3475"/>
      <c r="AC32" s="1537"/>
      <c r="AD32" s="3475" t="str">
        <f>IF(TITLE_DATE_PR_CHANGE="",IF(TITLE_DATE_PR="","",TITLE_DATE_PR),TITLE_DATE_PR_CHANGE)</f>
        <v/>
      </c>
      <c r="AE32" s="3475"/>
      <c r="AF32" s="3475"/>
      <c r="AG32" s="3475"/>
      <c r="AH32" s="3475"/>
      <c r="AI32" s="3475"/>
      <c r="AJ32" s="3475"/>
      <c r="AK32" s="3475"/>
      <c r="AL32" s="3475"/>
      <c r="AM32" s="3475"/>
      <c r="AN32" s="3475"/>
      <c r="AO32" s="3475"/>
      <c r="AP32" s="3475"/>
      <c r="AQ32" s="3475"/>
      <c r="AR32" s="3475"/>
      <c r="AS32" s="3475"/>
      <c r="AT32" s="3475"/>
      <c r="AU32" s="3475"/>
      <c r="AV32" s="3475"/>
      <c r="AW32" s="3475"/>
      <c r="AX32" s="3475"/>
      <c r="AY32" s="3475"/>
      <c r="AZ32" s="3475"/>
      <c r="BA32" s="1537"/>
      <c r="BB32" s="1537"/>
      <c r="BC32" s="1491"/>
      <c r="BD32" s="1579"/>
      <c r="BE32" s="1579"/>
      <c r="BF32" s="1579"/>
      <c r="BG32" s="1579"/>
      <c r="BH32" s="1579"/>
      <c r="BI32" s="1629">
        <v>0</v>
      </c>
    </row>
    <row s="67333" customFormat="1" customHeight="1" ht="18.75" hidden="1">
      <c r="A33" s="2579"/>
      <c r="B33" s="2579"/>
      <c r="C33" s="2579"/>
      <c r="D33" s="2579"/>
      <c r="E33" s="2579"/>
      <c r="F33" s="2579"/>
      <c r="G33" s="2579"/>
      <c r="H33" s="2579"/>
      <c r="I33" s="2579"/>
      <c r="J33" s="2579"/>
      <c r="K33" s="2579"/>
      <c r="L33" s="2580"/>
      <c r="M33" s="2579"/>
      <c r="N33" s="2579"/>
      <c r="O33" s="2579"/>
      <c r="P33" s="2579"/>
      <c r="Q33" s="2579"/>
      <c r="S33" s="3461" t="s">
        <v>442</v>
      </c>
      <c r="T33" s="3461"/>
      <c r="U33" s="2583"/>
      <c r="V33" s="3462" t="str">
        <f>IF(TITLE_NUMBER_PR_CHANGE="",IF(TITLE_NUMBER_PR="","",TITLE_NUMBER_PR),TITLE_NUMBER_PR_CHANGE)</f>
        <v/>
      </c>
      <c r="W33" s="3462"/>
      <c r="X33" s="3462"/>
      <c r="Y33" s="3462"/>
      <c r="Z33" s="3462"/>
      <c r="AA33" s="3462"/>
      <c r="AB33" s="3462"/>
      <c r="AC33" s="1537"/>
      <c r="AD33" s="3462" t="str">
        <f>IF(TITLE_NUMBER_PR_CHANGE="",IF(TITLE_NUMBER_PR="","",TITLE_NUMBER_PR),TITLE_NUMBER_PR_CHANGE)</f>
        <v/>
      </c>
      <c r="AE33" s="3462"/>
      <c r="AF33" s="3462"/>
      <c r="AG33" s="3462"/>
      <c r="AH33" s="3462"/>
      <c r="AI33" s="3462"/>
      <c r="AJ33" s="3462"/>
      <c r="AK33" s="3462"/>
      <c r="AL33" s="3462"/>
      <c r="AM33" s="3462"/>
      <c r="AN33" s="3462"/>
      <c r="AO33" s="3462"/>
      <c r="AP33" s="3462"/>
      <c r="AQ33" s="3462"/>
      <c r="AR33" s="3462"/>
      <c r="AS33" s="3462"/>
      <c r="AT33" s="3462"/>
      <c r="AU33" s="3462"/>
      <c r="AV33" s="3462"/>
      <c r="AW33" s="3462"/>
      <c r="AX33" s="3462"/>
      <c r="AY33" s="3462"/>
      <c r="AZ33" s="3462"/>
      <c r="BA33" s="1537"/>
      <c r="BB33" s="1537"/>
      <c r="BC33" s="1491"/>
      <c r="BD33" s="1579"/>
      <c r="BE33" s="1579"/>
      <c r="BF33" s="1579"/>
      <c r="BG33" s="1579"/>
      <c r="BH33" s="1579"/>
      <c r="BI33" s="1629">
        <v>0</v>
      </c>
    </row>
    <row s="67333" customFormat="1" customHeight="1" ht="18.75" hidden="1">
      <c r="A34" s="2579"/>
      <c r="B34" s="2579"/>
      <c r="C34" s="2579"/>
      <c r="D34" s="2579"/>
      <c r="E34" s="2579"/>
      <c r="F34" s="2579"/>
      <c r="G34" s="2579"/>
      <c r="H34" s="2579"/>
      <c r="I34" s="2579"/>
      <c r="J34" s="2579"/>
      <c r="K34" s="2579"/>
      <c r="L34" s="2580"/>
      <c r="M34" s="2579"/>
      <c r="N34" s="2579"/>
      <c r="O34" s="2579"/>
      <c r="P34" s="2579"/>
      <c r="Q34" s="2579"/>
      <c r="S34" s="3461" t="s">
        <v>42</v>
      </c>
      <c r="T34" s="3461"/>
      <c r="U34" s="2583"/>
      <c r="V34" s="3462" t="str">
        <f>IF(TITLE_IST_PUB_CHANGE="",IF(TITLE_IST_PUB="","",TITLE_IST_PUB),TITLE_IST_PUB_CHANGE)</f>
        <v/>
      </c>
      <c r="W34" s="3462"/>
      <c r="X34" s="3462"/>
      <c r="Y34" s="3462"/>
      <c r="Z34" s="3462"/>
      <c r="AA34" s="3462"/>
      <c r="AB34" s="3462"/>
      <c r="AC34" s="1537"/>
      <c r="AD34" s="3462" t="str">
        <f>IF(TITLE_IST_PUB_CHANGE="",IF(TITLE_IST_PUB="","",TITLE_IST_PUB),TITLE_IST_PUB_CHANGE)</f>
        <v/>
      </c>
      <c r="AE34" s="3462"/>
      <c r="AF34" s="3462"/>
      <c r="AG34" s="3462"/>
      <c r="AH34" s="3462"/>
      <c r="AI34" s="3462"/>
      <c r="AJ34" s="3462"/>
      <c r="AK34" s="3462"/>
      <c r="AL34" s="3462"/>
      <c r="AM34" s="3462"/>
      <c r="AN34" s="3462"/>
      <c r="AO34" s="3462"/>
      <c r="AP34" s="3462"/>
      <c r="AQ34" s="3462"/>
      <c r="AR34" s="3462"/>
      <c r="AS34" s="3462"/>
      <c r="AT34" s="3462"/>
      <c r="AU34" s="3462"/>
      <c r="AV34" s="3462"/>
      <c r="AW34" s="3462"/>
      <c r="AX34" s="3462"/>
      <c r="AY34" s="3462"/>
      <c r="AZ34" s="3462"/>
      <c r="BA34" s="1537"/>
      <c r="BB34" s="1537"/>
      <c r="BC34" s="1491"/>
      <c r="BD34" s="1579"/>
      <c r="BE34" s="1579"/>
      <c r="BF34" s="1579"/>
      <c r="BG34" s="1579"/>
      <c r="BH34" s="1579"/>
      <c r="BI34" s="1629">
        <v>0</v>
      </c>
    </row>
    <row customHeight="1" ht="14.25" hidden="1">
      <c r="Q35" s="1502"/>
      <c r="R35" s="1587"/>
      <c r="S35" s="2486"/>
      <c r="T35" s="1574"/>
      <c r="U35" s="1574"/>
      <c r="V35" s="1533"/>
      <c r="W35" s="1533"/>
      <c r="X35" s="1533"/>
      <c r="Y35" s="1533"/>
      <c r="Z35" s="1533"/>
      <c r="AA35" s="1533"/>
      <c r="AB35" s="1533"/>
      <c r="AC35" s="1533"/>
      <c r="AD35" s="1533"/>
      <c r="AE35" s="1533"/>
      <c r="AF35" s="1533"/>
      <c r="AG35" s="1533"/>
      <c r="AH35" s="1533"/>
      <c r="AI35" s="1533"/>
      <c r="AJ35" s="1533"/>
      <c r="AK35" s="1533"/>
      <c r="AL35" s="1533"/>
      <c r="AM35" s="1533"/>
      <c r="AN35" s="1533"/>
      <c r="AO35" s="1533"/>
      <c r="AP35" s="1533"/>
      <c r="AQ35" s="1533"/>
      <c r="AR35" s="1533"/>
      <c r="AS35" s="1533"/>
      <c r="AT35" s="1533"/>
      <c r="AU35" s="1533"/>
      <c r="AV35" s="1533"/>
      <c r="AW35" s="1533"/>
      <c r="AX35" s="1533"/>
      <c r="AY35" s="1533"/>
      <c r="AZ35" s="1533"/>
      <c r="BA35" s="1533"/>
      <c r="BB35" s="1720"/>
      <c r="BI35" s="2366">
        <v>0</v>
      </c>
    </row>
    <row s="67333" customFormat="1" customHeight="1" ht="18.75" hidden="1">
      <c r="A36" s="2579"/>
      <c r="B36" s="2579"/>
      <c r="C36" s="2579"/>
      <c r="D36" s="2579"/>
      <c r="E36" s="2579"/>
      <c r="F36" s="2579"/>
      <c r="G36" s="2579"/>
      <c r="H36" s="2579"/>
      <c r="I36" s="2579"/>
      <c r="J36" s="2579"/>
      <c r="K36" s="2579"/>
      <c r="L36" s="2580"/>
      <c r="M36" s="2579"/>
      <c r="N36" s="2579"/>
      <c r="O36" s="2579"/>
      <c r="P36" s="2579"/>
      <c r="Q36" s="2579"/>
      <c r="S36" s="3461" t="s">
        <v>441</v>
      </c>
      <c r="T36" s="3461"/>
      <c r="U36" s="2583"/>
      <c r="V36" s="3475" t="str">
        <f>IF(TITLE_DATE_PR_CHANGE="",IF(TITLE_DATE_PR="","",TITLE_DATE_PR),TITLE_DATE_PR_CHANGE)</f>
        <v/>
      </c>
      <c r="W36" s="3475"/>
      <c r="X36" s="3475"/>
      <c r="Y36" s="3475"/>
      <c r="Z36" s="3475"/>
      <c r="AA36" s="3475"/>
      <c r="AB36" s="3475"/>
      <c r="AC36" s="1537"/>
      <c r="AD36" s="3475" t="str">
        <f>IF(TITLE_DATE_PR_CHANGE="",IF(TITLE_DATE_PR="","",TITLE_DATE_PR),TITLE_DATE_PR_CHANGE)</f>
        <v/>
      </c>
      <c r="AE36" s="3475"/>
      <c r="AF36" s="3475"/>
      <c r="AG36" s="3475"/>
      <c r="AH36" s="3475"/>
      <c r="AI36" s="3475"/>
      <c r="AJ36" s="3475"/>
      <c r="AK36" s="3475"/>
      <c r="AL36" s="3475"/>
      <c r="AM36" s="3475"/>
      <c r="AN36" s="3475"/>
      <c r="AO36" s="3475"/>
      <c r="AP36" s="3475"/>
      <c r="AQ36" s="3475"/>
      <c r="AR36" s="3475"/>
      <c r="AS36" s="3475"/>
      <c r="AT36" s="3475"/>
      <c r="AU36" s="3475"/>
      <c r="AV36" s="3475"/>
      <c r="AW36" s="3475"/>
      <c r="AX36" s="3475"/>
      <c r="AY36" s="3475"/>
      <c r="AZ36" s="3475"/>
      <c r="BA36" s="1537"/>
      <c r="BB36" s="1537"/>
      <c r="BC36" s="1491"/>
      <c r="BD36" s="1579"/>
      <c r="BE36" s="1579"/>
      <c r="BF36" s="1579"/>
      <c r="BG36" s="1579"/>
      <c r="BH36" s="1579"/>
      <c r="BI36" s="1629">
        <v>0</v>
      </c>
    </row>
    <row s="67333" customFormat="1" customHeight="1" ht="18.75" hidden="1">
      <c r="A37" s="2579"/>
      <c r="B37" s="2579"/>
      <c r="C37" s="2579"/>
      <c r="D37" s="2579"/>
      <c r="E37" s="2579"/>
      <c r="F37" s="2579"/>
      <c r="G37" s="2579"/>
      <c r="H37" s="2579"/>
      <c r="I37" s="2579"/>
      <c r="J37" s="2579"/>
      <c r="K37" s="2579"/>
      <c r="L37" s="2580"/>
      <c r="M37" s="2579"/>
      <c r="N37" s="2579"/>
      <c r="O37" s="2579"/>
      <c r="P37" s="2579"/>
      <c r="Q37" s="2579"/>
      <c r="S37" s="3461" t="s">
        <v>442</v>
      </c>
      <c r="T37" s="3461"/>
      <c r="U37" s="2583"/>
      <c r="V37" s="3462" t="str">
        <f>IF(TITLE_NUMBER_PR_CHANGE="",IF(TITLE_NUMBER_PR="","",TITLE_NUMBER_PR),TITLE_NUMBER_PR_CHANGE)</f>
        <v/>
      </c>
      <c r="W37" s="3462"/>
      <c r="X37" s="3462"/>
      <c r="Y37" s="3462"/>
      <c r="Z37" s="3462"/>
      <c r="AA37" s="3462"/>
      <c r="AB37" s="3462"/>
      <c r="AC37" s="1537"/>
      <c r="AD37" s="3462" t="str">
        <f>IF(TITLE_NUMBER_PR_CHANGE="",IF(TITLE_NUMBER_PR="","",TITLE_NUMBER_PR),TITLE_NUMBER_PR_CHANGE)</f>
        <v/>
      </c>
      <c r="AE37" s="3462"/>
      <c r="AF37" s="3462"/>
      <c r="AG37" s="3462"/>
      <c r="AH37" s="3462"/>
      <c r="AI37" s="3462"/>
      <c r="AJ37" s="3462"/>
      <c r="AK37" s="3462"/>
      <c r="AL37" s="3462"/>
      <c r="AM37" s="3462"/>
      <c r="AN37" s="3462"/>
      <c r="AO37" s="3462"/>
      <c r="AP37" s="3462"/>
      <c r="AQ37" s="3462"/>
      <c r="AR37" s="3462"/>
      <c r="AS37" s="3462"/>
      <c r="AT37" s="3462"/>
      <c r="AU37" s="3462"/>
      <c r="AV37" s="3462"/>
      <c r="AW37" s="3462"/>
      <c r="AX37" s="3462"/>
      <c r="AY37" s="3462"/>
      <c r="AZ37" s="3462"/>
      <c r="BA37" s="1537"/>
      <c r="BB37" s="1537"/>
      <c r="BC37" s="1491"/>
      <c r="BD37" s="1579"/>
      <c r="BE37" s="1579"/>
      <c r="BF37" s="1579"/>
      <c r="BG37" s="1579"/>
      <c r="BH37" s="1579"/>
      <c r="BI37" s="1629">
        <v>0</v>
      </c>
    </row>
    <row s="67333" customFormat="1" customHeight="1" ht="0">
      <c r="A38" s="2579"/>
      <c r="B38" s="2579"/>
      <c r="C38" s="2579"/>
      <c r="D38" s="2579"/>
      <c r="E38" s="2579"/>
      <c r="F38" s="2579"/>
      <c r="G38" s="2579"/>
      <c r="H38" s="2579"/>
      <c r="I38" s="2579"/>
      <c r="J38" s="2579"/>
      <c r="K38" s="2579"/>
      <c r="L38" s="2580"/>
      <c r="M38" s="2579"/>
      <c r="N38" s="2579"/>
      <c r="O38" s="2579"/>
      <c r="P38" s="2579"/>
      <c r="Q38" s="2579"/>
      <c r="S38" s="1534"/>
      <c r="T38" s="1534"/>
      <c r="U38" s="2665"/>
      <c r="V38" s="1537"/>
      <c r="W38" s="1537"/>
      <c r="X38" s="1537"/>
      <c r="Y38" s="1537"/>
      <c r="Z38" s="1537"/>
      <c r="AA38" s="1537"/>
      <c r="AB38" s="1537"/>
      <c r="AC38" s="1489" t="s">
        <v>445</v>
      </c>
      <c r="AD38" s="1537"/>
      <c r="AE38" s="1537"/>
      <c r="AF38" s="1537"/>
      <c r="AG38" s="1537"/>
      <c r="AH38" s="1537"/>
      <c r="AI38" s="1537"/>
      <c r="AJ38" s="1537"/>
      <c r="AK38" s="1537"/>
      <c r="AL38" s="1537"/>
      <c r="AM38" s="1537"/>
      <c r="AN38" s="1537"/>
      <c r="AO38" s="1537"/>
      <c r="AP38" s="1537"/>
      <c r="AQ38" s="1537"/>
      <c r="AR38" s="1537"/>
      <c r="AS38" s="1537"/>
      <c r="AT38" s="1537"/>
      <c r="AU38" s="1537"/>
      <c r="AV38" s="1537"/>
      <c r="AW38" s="1537"/>
      <c r="AX38" s="1537"/>
      <c r="AY38" s="1537"/>
      <c r="AZ38" s="1537"/>
      <c r="BA38" s="1489" t="s">
        <v>445</v>
      </c>
      <c r="BD38" s="1579"/>
      <c r="BE38" s="1579"/>
      <c r="BF38" s="1579"/>
      <c r="BG38" s="1579"/>
      <c r="BH38" s="1579"/>
      <c r="BI38" s="1629">
        <v>0</v>
      </c>
    </row>
    <row customHeight="1" ht="14.699999999999998">
      <c r="Q39" s="1502"/>
      <c r="R39" s="1587"/>
      <c r="S39" s="2486"/>
      <c r="T39" s="1574"/>
      <c r="U39" s="2455"/>
      <c r="V39" s="3463"/>
      <c r="W39" s="3463"/>
      <c r="X39" s="3463"/>
      <c r="Y39" s="3463"/>
      <c r="Z39" s="3463"/>
      <c r="AA39" s="3463"/>
      <c r="AB39" s="3463"/>
      <c r="AC39" s="3463"/>
      <c r="AD39" s="3463"/>
      <c r="AE39" s="3463"/>
      <c r="AF39" s="3463"/>
      <c r="AG39" s="3463"/>
      <c r="AH39" s="3463"/>
      <c r="AI39" s="3463"/>
      <c r="AJ39" s="3463"/>
      <c r="AK39" s="3463"/>
      <c r="AL39" s="3463"/>
      <c r="AM39" s="3463"/>
      <c r="AN39" s="3463"/>
      <c r="AO39" s="3463"/>
      <c r="AP39" s="3463"/>
      <c r="AQ39" s="3463"/>
      <c r="AR39" s="3463"/>
      <c r="AS39" s="3463"/>
      <c r="AT39" s="3463"/>
      <c r="AU39" s="3463"/>
      <c r="AV39" s="3463"/>
      <c r="AW39" s="3463"/>
      <c r="AX39" s="3463"/>
      <c r="AY39" s="3463"/>
      <c r="AZ39" s="3463"/>
      <c r="BA39" s="3463"/>
      <c r="BI39" s="2366">
        <v>14</v>
      </c>
    </row>
    <row customHeight="1" ht="14.699999999999998">
      <c r="Q40" s="1502"/>
      <c r="R40" s="1587"/>
      <c r="S40" s="3338" t="s">
        <v>318</v>
      </c>
      <c r="T40" s="3338"/>
      <c r="U40" s="3338"/>
      <c r="V40" s="3338"/>
      <c r="W40" s="3338"/>
      <c r="X40" s="3338"/>
      <c r="Y40" s="3338"/>
      <c r="Z40" s="3338"/>
      <c r="AA40" s="3338"/>
      <c r="AB40" s="3338"/>
      <c r="AC40" s="3338"/>
      <c r="AD40" s="3338"/>
      <c r="AE40" s="3338"/>
      <c r="AF40" s="3338"/>
      <c r="AG40" s="3338"/>
      <c r="AH40" s="3338"/>
      <c r="AI40" s="3338"/>
      <c r="AJ40" s="3338"/>
      <c r="AK40" s="3338"/>
      <c r="AL40" s="3338"/>
      <c r="AM40" s="3338"/>
      <c r="AN40" s="3338"/>
      <c r="AO40" s="3338"/>
      <c r="AP40" s="3338"/>
      <c r="AQ40" s="3338"/>
      <c r="AR40" s="3338"/>
      <c r="AS40" s="3338"/>
      <c r="AT40" s="3338"/>
      <c r="AU40" s="3338"/>
      <c r="AV40" s="3338"/>
      <c r="AW40" s="3338"/>
      <c r="AX40" s="3338"/>
      <c r="AY40" s="3338"/>
      <c r="AZ40" s="3338"/>
      <c r="BA40" s="3338"/>
      <c r="BB40" s="3338"/>
      <c r="BC40" s="3338" t="s">
        <v>319</v>
      </c>
      <c r="BI40" s="2366">
        <v>14</v>
      </c>
    </row>
    <row customHeight="1" ht="14.699999999999998">
      <c r="Q41" s="1502"/>
      <c r="R41" s="1587"/>
      <c r="S41" s="3484" t="s">
        <v>88</v>
      </c>
      <c r="T41" s="3420" t="s">
        <v>525</v>
      </c>
      <c r="U41" s="1512"/>
      <c r="V41" s="3485" t="s">
        <v>447</v>
      </c>
      <c r="W41" s="3486"/>
      <c r="X41" s="3486"/>
      <c r="Y41" s="3486"/>
      <c r="Z41" s="3486"/>
      <c r="AA41" s="3486"/>
      <c r="AB41" s="3487"/>
      <c r="AC41" s="3488" t="s">
        <v>448</v>
      </c>
      <c r="AD41" s="3539" t="s">
        <v>526</v>
      </c>
      <c r="AE41" s="3502"/>
      <c r="AF41" s="3502"/>
      <c r="AG41" s="3540"/>
      <c r="AH41" s="3539" t="s">
        <v>527</v>
      </c>
      <c r="AI41" s="3502"/>
      <c r="AJ41" s="3502"/>
      <c r="AK41" s="3540"/>
      <c r="AL41" s="3539" t="s">
        <v>528</v>
      </c>
      <c r="AM41" s="3502"/>
      <c r="AN41" s="3502"/>
      <c r="AO41" s="3540"/>
      <c r="AP41" s="3539" t="s">
        <v>529</v>
      </c>
      <c r="AQ41" s="3502"/>
      <c r="AR41" s="3502"/>
      <c r="AS41" s="3540"/>
      <c r="AT41" s="3485" t="s">
        <v>447</v>
      </c>
      <c r="AU41" s="3486"/>
      <c r="AV41" s="3486"/>
      <c r="AW41" s="3486"/>
      <c r="AX41" s="3486"/>
      <c r="AY41" s="3486"/>
      <c r="AZ41" s="3487"/>
      <c r="BA41" s="3488" t="s">
        <v>448</v>
      </c>
      <c r="BB41" s="3491" t="s">
        <v>450</v>
      </c>
      <c r="BC41" s="3338"/>
      <c r="BI41" s="2366">
        <v>14</v>
      </c>
    </row>
    <row customHeight="1" ht="35.699999999999996">
      <c r="Q42" s="1502"/>
      <c r="R42" s="1587"/>
      <c r="S42" s="3484"/>
      <c r="T42" s="3420"/>
      <c r="U42" s="2242"/>
      <c r="V42" s="3403" t="s">
        <v>530</v>
      </c>
      <c r="W42" s="3404"/>
      <c r="X42" s="3403" t="s">
        <v>531</v>
      </c>
      <c r="Y42" s="3404"/>
      <c r="Z42" s="3505" t="s">
        <v>532</v>
      </c>
      <c r="AA42" s="3524"/>
      <c r="AB42" s="3525"/>
      <c r="AC42" s="3489"/>
      <c r="AD42" s="3541"/>
      <c r="AE42" s="3542"/>
      <c r="AF42" s="3542"/>
      <c r="AG42" s="3543"/>
      <c r="AH42" s="3541"/>
      <c r="AI42" s="3542"/>
      <c r="AJ42" s="3542"/>
      <c r="AK42" s="3543"/>
      <c r="AL42" s="3541"/>
      <c r="AM42" s="3542"/>
      <c r="AN42" s="3542"/>
      <c r="AO42" s="3543"/>
      <c r="AP42" s="3541"/>
      <c r="AQ42" s="3542"/>
      <c r="AR42" s="3542"/>
      <c r="AS42" s="3543"/>
      <c r="AT42" s="3403" t="s">
        <v>530</v>
      </c>
      <c r="AU42" s="3404"/>
      <c r="AV42" s="3403" t="s">
        <v>531</v>
      </c>
      <c r="AW42" s="3404"/>
      <c r="AX42" s="3505" t="s">
        <v>532</v>
      </c>
      <c r="AY42" s="3524"/>
      <c r="AZ42" s="3525"/>
      <c r="BA42" s="3489"/>
      <c r="BB42" s="3492"/>
      <c r="BC42" s="3338"/>
      <c r="BI42" s="2366">
        <v>34</v>
      </c>
    </row>
    <row customHeight="1" ht="14.699999999999998">
      <c r="Q43" s="1502"/>
      <c r="R43" s="1587"/>
      <c r="S43" s="3484"/>
      <c r="T43" s="3420"/>
      <c r="U43" s="2242"/>
      <c r="V43" s="3411"/>
      <c r="W43" s="3412"/>
      <c r="X43" s="3411"/>
      <c r="Y43" s="3412"/>
      <c r="Z43" s="3506"/>
      <c r="AA43" s="3526"/>
      <c r="AB43" s="3527"/>
      <c r="AC43" s="3489"/>
      <c r="AD43" s="3541"/>
      <c r="AE43" s="3542"/>
      <c r="AF43" s="3542"/>
      <c r="AG43" s="3543"/>
      <c r="AH43" s="3541"/>
      <c r="AI43" s="3542"/>
      <c r="AJ43" s="3542"/>
      <c r="AK43" s="3543"/>
      <c r="AL43" s="3541"/>
      <c r="AM43" s="3542"/>
      <c r="AN43" s="3542"/>
      <c r="AO43" s="3543"/>
      <c r="AP43" s="3541"/>
      <c r="AQ43" s="3542"/>
      <c r="AR43" s="3542"/>
      <c r="AS43" s="3543"/>
      <c r="AT43" s="3411"/>
      <c r="AU43" s="3412"/>
      <c r="AV43" s="3411"/>
      <c r="AW43" s="3412"/>
      <c r="AX43" s="3506"/>
      <c r="AY43" s="3526"/>
      <c r="AZ43" s="3527"/>
      <c r="BA43" s="3489"/>
      <c r="BB43" s="3492"/>
      <c r="BC43" s="3338"/>
      <c r="BI43" s="2366">
        <v>14</v>
      </c>
    </row>
    <row customHeight="1" ht="14.699999999999998">
      <c r="A44" s="2581"/>
      <c r="B44" s="2581" t="s">
        <v>155</v>
      </c>
      <c r="C44" s="2581" t="s">
        <v>156</v>
      </c>
      <c r="D44" s="2581" t="s">
        <v>157</v>
      </c>
      <c r="E44" s="2575" t="s">
        <v>455</v>
      </c>
      <c r="F44" s="2575" t="s">
        <v>456</v>
      </c>
      <c r="G44" s="2575" t="s">
        <v>457</v>
      </c>
      <c r="H44" s="2575" t="s">
        <v>458</v>
      </c>
      <c r="I44" s="2575" t="s">
        <v>459</v>
      </c>
      <c r="J44" s="2575" t="s">
        <v>460</v>
      </c>
      <c r="K44" s="2575" t="s">
        <v>461</v>
      </c>
      <c r="L44" s="2575" t="s">
        <v>436</v>
      </c>
      <c r="Q44" s="1502"/>
      <c r="R44" s="1587"/>
      <c r="S44" s="3484"/>
      <c r="T44" s="3420"/>
      <c r="U44" s="1513"/>
      <c r="V44" s="2659" t="s">
        <v>496</v>
      </c>
      <c r="W44" s="2659" t="s">
        <v>497</v>
      </c>
      <c r="X44" s="2659" t="s">
        <v>496</v>
      </c>
      <c r="Y44" s="2659" t="s">
        <v>497</v>
      </c>
      <c r="Z44" s="2666" t="s">
        <v>464</v>
      </c>
      <c r="AA44" s="3481" t="s">
        <v>465</v>
      </c>
      <c r="AB44" s="3482"/>
      <c r="AC44" s="3490"/>
      <c r="AD44" s="3544"/>
      <c r="AE44" s="3545"/>
      <c r="AF44" s="3545"/>
      <c r="AG44" s="3546"/>
      <c r="AH44" s="3544"/>
      <c r="AI44" s="3545"/>
      <c r="AJ44" s="3545"/>
      <c r="AK44" s="3546"/>
      <c r="AL44" s="3544"/>
      <c r="AM44" s="3545"/>
      <c r="AN44" s="3545"/>
      <c r="AO44" s="3546"/>
      <c r="AP44" s="3544"/>
      <c r="AQ44" s="3545"/>
      <c r="AR44" s="3545"/>
      <c r="AS44" s="3546"/>
      <c r="AT44" s="2659" t="s">
        <v>496</v>
      </c>
      <c r="AU44" s="2659" t="s">
        <v>497</v>
      </c>
      <c r="AV44" s="2659" t="s">
        <v>496</v>
      </c>
      <c r="AW44" s="2659" t="s">
        <v>497</v>
      </c>
      <c r="AX44" s="2666" t="s">
        <v>464</v>
      </c>
      <c r="AY44" s="3481" t="s">
        <v>465</v>
      </c>
      <c r="AZ44" s="3482"/>
      <c r="BA44" s="3490"/>
      <c r="BB44" s="3493"/>
      <c r="BC44" s="3338"/>
      <c r="BI44" s="2366">
        <v>14</v>
      </c>
    </row>
    <row s="65897" customFormat="1" customHeight="1" ht="11.25" hidden="1">
      <c r="A45" s="2581"/>
      <c r="B45" s="2581"/>
      <c r="C45" s="2581"/>
      <c r="D45" s="2581"/>
      <c r="E45" s="2581"/>
      <c r="F45" s="2581"/>
      <c r="G45" s="2581"/>
      <c r="H45" s="2581"/>
      <c r="I45" s="2581"/>
      <c r="J45" s="2581"/>
      <c r="K45" s="2581"/>
      <c r="L45" s="2575"/>
      <c r="M45" s="2573"/>
      <c r="N45" s="2573"/>
      <c r="O45" s="2573"/>
      <c r="P45" s="1721"/>
      <c r="Q45" s="2465"/>
      <c r="R45" s="2465">
        <v>1</v>
      </c>
      <c r="S45" s="2488" t="s">
        <v>99</v>
      </c>
      <c r="T45" s="2466" t="s">
        <v>102</v>
      </c>
      <c r="U45" s="2456" t="str">
        <f>OFFSET(U45,0,-1)</f>
        <v>2</v>
      </c>
      <c r="V45" s="2662">
        <f>OFFSET(V45,0,-1)+1</f>
        <v>3</v>
      </c>
      <c r="W45" s="2662">
        <f>OFFSET(W45,0,-1)+1</f>
        <v>4</v>
      </c>
      <c r="X45" s="2662">
        <f>OFFSET(X45,0,-1)+1</f>
        <v>5</v>
      </c>
      <c r="Y45" s="2662">
        <f>OFFSET(Y45,0,-1)+1</f>
        <v>6</v>
      </c>
      <c r="Z45" s="2662">
        <f>OFFSET(Z45,0,-1)+1</f>
        <v>7</v>
      </c>
      <c r="AA45" s="3483">
        <f>OFFSET(AA45,0,-1)+1</f>
        <v>8</v>
      </c>
      <c r="AB45" s="3483"/>
      <c r="AC45" s="2662">
        <f>OFFSET(AC45,0,-2)+1</f>
        <v>9</v>
      </c>
      <c r="AD45" s="2662">
        <f>OFFSET(AD45,0,-1)+1</f>
        <v>10</v>
      </c>
      <c r="AE45" s="2662"/>
      <c r="AF45" s="2662"/>
      <c r="AG45" s="2662"/>
      <c r="AH45" s="2662"/>
      <c r="AI45" s="2662"/>
      <c r="AJ45" s="2662"/>
      <c r="AK45" s="2662"/>
      <c r="AL45" s="2662"/>
      <c r="AM45" s="2662"/>
      <c r="AN45" s="2662"/>
      <c r="AO45" s="2662"/>
      <c r="AP45" s="2662"/>
      <c r="AQ45" s="2662"/>
      <c r="AR45" s="2662"/>
      <c r="AS45" s="2662"/>
      <c r="AT45" s="2662"/>
      <c r="AU45" s="2662"/>
      <c r="AV45" s="2662"/>
      <c r="AW45" s="2662">
        <f>OFFSET(AW45,0,-1)+1</f>
        <v>1</v>
      </c>
      <c r="AX45" s="2662">
        <f>OFFSET(AX45,0,-1)+1</f>
        <v>2</v>
      </c>
      <c r="AY45" s="3483">
        <f>OFFSET(AY45,0,-1)+1</f>
        <v>3</v>
      </c>
      <c r="AZ45" s="3483"/>
      <c r="BA45" s="2662">
        <f>OFFSET(BA45,0,-2)+1</f>
        <v>4</v>
      </c>
      <c r="BB45" s="2456">
        <f>OFFSET(BB45,0,-1)</f>
        <v>4</v>
      </c>
      <c r="BC45" s="2662">
        <f>OFFSET(BC45,0,-1)+1</f>
        <v>5</v>
      </c>
      <c r="BD45" s="1722"/>
      <c r="BE45" s="1722"/>
      <c r="BF45" s="1722"/>
      <c r="BG45" s="1722"/>
      <c r="BH45" s="1722"/>
      <c r="BI45" s="1707">
        <v>0</v>
      </c>
    </row>
    <row customHeight="1" ht="22.049999999999997">
      <c r="A46" s="2574" t="s">
        <v>264</v>
      </c>
      <c r="B46" s="2574"/>
      <c r="C46" s="2574"/>
      <c r="D46" s="2574"/>
      <c r="E46" s="3469">
        <v>1</v>
      </c>
      <c r="F46" s="2574"/>
      <c r="G46" s="2574"/>
      <c r="H46" s="2574"/>
      <c r="I46" s="2574"/>
      <c r="J46" s="2574"/>
      <c r="K46" s="2574"/>
      <c r="L46" s="2575"/>
      <c r="M46" s="2576"/>
      <c r="N46" s="2576"/>
      <c r="O46" s="2576"/>
      <c r="P46" s="2620"/>
      <c r="Q46" s="2084"/>
      <c r="R46" s="1566"/>
      <c r="S46" s="2668">
        <f>INDEX(PT_DIFFERENTIATION_NUM_NTAR,MATCH(A46,PT_DIFFERENTIATION_NTAR_ID,0))</f>
        <v>0</v>
      </c>
      <c r="T46" s="1509" t="s">
        <v>143</v>
      </c>
      <c r="U46" s="1511"/>
      <c r="V46" s="3454"/>
      <c r="W46" s="3454"/>
      <c r="X46" s="3454"/>
      <c r="Y46" s="3454"/>
      <c r="Z46" s="3454"/>
      <c r="AA46" s="3454"/>
      <c r="AB46" s="3454"/>
      <c r="AC46" s="3455"/>
      <c r="AD46" s="3453" t="str">
        <f>INDEX(PT_DIFFERENTIATION_NTAR,MATCH(A46,PT_DIFFERENTIATION_NTAR_ID,0))</f>
        <v/>
      </c>
      <c r="AE46" s="3454"/>
      <c r="AF46" s="3454"/>
      <c r="AG46" s="3454"/>
      <c r="AH46" s="3454"/>
      <c r="AI46" s="3454"/>
      <c r="AJ46" s="3454"/>
      <c r="AK46" s="3454"/>
      <c r="AL46" s="3454"/>
      <c r="AM46" s="3454"/>
      <c r="AN46" s="3454"/>
      <c r="AO46" s="3454"/>
      <c r="AP46" s="3454"/>
      <c r="AQ46" s="3454"/>
      <c r="AR46" s="3454"/>
      <c r="AS46" s="3454"/>
      <c r="AT46" s="3454"/>
      <c r="AU46" s="3454"/>
      <c r="AV46" s="3454"/>
      <c r="AW46" s="3454"/>
      <c r="AX46" s="3454"/>
      <c r="AY46" s="3454"/>
      <c r="AZ46" s="3454"/>
      <c r="BA46" s="3454"/>
      <c r="BB46" s="3455"/>
      <c r="BC46"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711"/>
      <c r="BF46" s="1711" t="str">
        <f>IF(T46="","",T46)</f>
        <v>Наименование тарифа</v>
      </c>
      <c r="BG46" s="1711"/>
      <c r="BH46" s="1711"/>
      <c r="BI46" s="2366">
        <v>21</v>
      </c>
    </row>
    <row customHeight="1" ht="22.049999999999997">
      <c r="A47" s="2574" t="s">
        <v>264</v>
      </c>
      <c r="B47" s="2574" t="s">
        <v>265</v>
      </c>
      <c r="C47" s="2574"/>
      <c r="D47" s="2574"/>
      <c r="E47" s="3470"/>
      <c r="F47" s="3469">
        <v>1</v>
      </c>
      <c r="G47" s="2574"/>
      <c r="H47" s="2574"/>
      <c r="I47" s="2574"/>
      <c r="J47" s="2574"/>
      <c r="K47" s="2574"/>
      <c r="L47" s="2575"/>
      <c r="M47" s="2576"/>
      <c r="N47" s="2576"/>
      <c r="O47" s="2576"/>
      <c r="P47" s="2621"/>
      <c r="Q47" s="2622"/>
      <c r="R47" s="1564"/>
      <c r="S47" s="2668" t="str">
        <f>INDEX(PT_DIFFERENTIATION_NUM_TER,MATCH(B47,PT_DIFFERENTIATION_TER_ID,0))</f>
        <v>.</v>
      </c>
      <c r="T47" s="1519" t="s">
        <v>415</v>
      </c>
      <c r="U47" s="1511"/>
      <c r="V47" s="3454"/>
      <c r="W47" s="3454"/>
      <c r="X47" s="3454"/>
      <c r="Y47" s="3454"/>
      <c r="Z47" s="3454"/>
      <c r="AA47" s="3454"/>
      <c r="AB47" s="3454"/>
      <c r="AC47" s="3455"/>
      <c r="AD47" s="3453" t="str">
        <f>INDEX(PT_DIFFERENTIATION_TER,MATCH(B47,PT_DIFFERENTIATION_TER_ID,0))</f>
        <v/>
      </c>
      <c r="AE47" s="3454"/>
      <c r="AF47" s="3454"/>
      <c r="AG47" s="3454"/>
      <c r="AH47" s="3454"/>
      <c r="AI47" s="3454"/>
      <c r="AJ47" s="3454"/>
      <c r="AK47" s="3454"/>
      <c r="AL47" s="3454"/>
      <c r="AM47" s="3454"/>
      <c r="AN47" s="3454"/>
      <c r="AO47" s="3454"/>
      <c r="AP47" s="3454"/>
      <c r="AQ47" s="3454"/>
      <c r="AR47" s="3454"/>
      <c r="AS47" s="3454"/>
      <c r="AT47" s="3454"/>
      <c r="AU47" s="3454"/>
      <c r="AV47" s="3454"/>
      <c r="AW47" s="3454"/>
      <c r="AX47" s="3454"/>
      <c r="AY47" s="3454"/>
      <c r="AZ47" s="3454"/>
      <c r="BA47" s="3454"/>
      <c r="BB47" s="3455"/>
      <c r="BC47" s="2469" t="s">
        <v>416</v>
      </c>
      <c r="BE47" s="1711"/>
      <c r="BF47" s="1711" t="str">
        <f>IF(T47="","",T47)</f>
        <v>Территория действия тарифа</v>
      </c>
      <c r="BG47" s="1711"/>
      <c r="BH47" s="1711"/>
      <c r="BI47" s="2366">
        <v>21</v>
      </c>
    </row>
    <row customHeight="1" ht="43.050000000000004">
      <c r="A48" s="2574" t="s">
        <v>264</v>
      </c>
      <c r="B48" s="2574" t="s">
        <v>265</v>
      </c>
      <c r="C48" s="2574" t="s">
        <v>266</v>
      </c>
      <c r="D48" s="2574"/>
      <c r="E48" s="3470"/>
      <c r="F48" s="3470"/>
      <c r="G48" s="3469">
        <v>1</v>
      </c>
      <c r="H48" s="2574"/>
      <c r="I48" s="2574"/>
      <c r="J48" s="2574"/>
      <c r="K48" s="2574"/>
      <c r="L48" s="2575"/>
      <c r="M48" s="2576"/>
      <c r="N48" s="2576"/>
      <c r="O48" s="2576"/>
      <c r="P48" s="2623"/>
      <c r="Q48" s="2622"/>
      <c r="R48" s="1564"/>
      <c r="S48" s="2668" t="str">
        <f>INDEX(PT_DIFFERENTIATION_NUM_CS,MATCH(C48,PT_DIFFERENTIATION_CS_ID,0))</f>
        <v>..</v>
      </c>
      <c r="T48" s="1520" t="s">
        <v>499</v>
      </c>
      <c r="U48" s="1511"/>
      <c r="V48" s="3454"/>
      <c r="W48" s="3454"/>
      <c r="X48" s="3454"/>
      <c r="Y48" s="3454"/>
      <c r="Z48" s="3454"/>
      <c r="AA48" s="3454"/>
      <c r="AB48" s="3454"/>
      <c r="AC48" s="3455"/>
      <c r="AD48" s="3453" t="str">
        <f>INDEX(PT_DIFFERENTIATION_CS,MATCH(C48,PT_DIFFERENTIATION_CS_ID,0))</f>
        <v/>
      </c>
      <c r="AE48" s="3454"/>
      <c r="AF48" s="3454"/>
      <c r="AG48" s="3454"/>
      <c r="AH48" s="3454"/>
      <c r="AI48" s="3454"/>
      <c r="AJ48" s="3454"/>
      <c r="AK48" s="3454"/>
      <c r="AL48" s="3454"/>
      <c r="AM48" s="3454"/>
      <c r="AN48" s="3454"/>
      <c r="AO48" s="3454"/>
      <c r="AP48" s="3454"/>
      <c r="AQ48" s="3454"/>
      <c r="AR48" s="3454"/>
      <c r="AS48" s="3454"/>
      <c r="AT48" s="3454"/>
      <c r="AU48" s="3454"/>
      <c r="AV48" s="3454"/>
      <c r="AW48" s="3454"/>
      <c r="AX48" s="3454"/>
      <c r="AY48" s="3454"/>
      <c r="AZ48" s="3454"/>
      <c r="BA48" s="3454"/>
      <c r="BB48" s="3455"/>
      <c r="BC48" s="2469" t="s">
        <v>500</v>
      </c>
      <c r="BE48" s="1711"/>
      <c r="BF48" s="1711" t="str">
        <f>IF(T48="","",T48)</f>
        <v>Наименование централизованной системы холодного водоснабжения</v>
      </c>
      <c r="BG48" s="1711"/>
      <c r="BH48" s="1711"/>
      <c r="BI48" s="2366">
        <v>41</v>
      </c>
    </row>
    <row s="65923" customFormat="1" customHeight="1" ht="0">
      <c r="A49" s="2554" t="s">
        <v>264</v>
      </c>
      <c r="B49" s="2554" t="s">
        <v>265</v>
      </c>
      <c r="C49" s="2554" t="s">
        <v>266</v>
      </c>
      <c r="D49" s="2554" t="s">
        <v>533</v>
      </c>
      <c r="E49" s="3470"/>
      <c r="F49" s="3470"/>
      <c r="G49" s="3470"/>
      <c r="H49" s="3469">
        <v>1</v>
      </c>
      <c r="I49" s="2554"/>
      <c r="J49" s="2554"/>
      <c r="K49" s="2554"/>
      <c r="L49" s="2557"/>
      <c r="M49" s="2526"/>
      <c r="N49" s="2526"/>
      <c r="O49" s="2526"/>
      <c r="P49" s="2708"/>
      <c r="Q49" s="2709"/>
      <c r="R49" s="1568"/>
      <c r="S49" s="2253"/>
      <c r="T49" s="2710"/>
      <c r="U49" s="2595"/>
      <c r="V49" s="3508"/>
      <c r="W49" s="3508"/>
      <c r="X49" s="3508"/>
      <c r="Y49" s="3508"/>
      <c r="Z49" s="3508"/>
      <c r="AA49" s="3508"/>
      <c r="AB49" s="3508"/>
      <c r="AC49" s="3509"/>
      <c r="AD49" s="3507"/>
      <c r="AE49" s="3508"/>
      <c r="AF49" s="3508"/>
      <c r="AG49" s="3508"/>
      <c r="AH49" s="3508"/>
      <c r="AI49" s="3508"/>
      <c r="AJ49" s="3508"/>
      <c r="AK49" s="3508"/>
      <c r="AL49" s="3508"/>
      <c r="AM49" s="3508"/>
      <c r="AN49" s="3508"/>
      <c r="AO49" s="3508"/>
      <c r="AP49" s="3508"/>
      <c r="AQ49" s="3508"/>
      <c r="AR49" s="3508"/>
      <c r="AS49" s="3508"/>
      <c r="AT49" s="3508"/>
      <c r="AU49" s="3508"/>
      <c r="AV49" s="3508"/>
      <c r="AW49" s="3508"/>
      <c r="AX49" s="3508"/>
      <c r="AY49" s="3508"/>
      <c r="AZ49" s="3508"/>
      <c r="BA49" s="3508"/>
      <c r="BB49" s="3509"/>
      <c r="BC49" s="2596" t="s">
        <v>420</v>
      </c>
      <c r="BE49" s="1711"/>
      <c r="BF49" s="1711" t="str">
        <f>IF(T49="","",T49)</f>
        <v/>
      </c>
      <c r="BG49" s="1711"/>
      <c r="BH49" s="1711"/>
      <c r="BI49" s="1722">
        <v>0</v>
      </c>
    </row>
    <row s="65923" customFormat="1" customHeight="1" ht="0">
      <c r="A50" s="2554" t="s">
        <v>264</v>
      </c>
      <c r="B50" s="2554" t="s">
        <v>265</v>
      </c>
      <c r="C50" s="2554" t="s">
        <v>266</v>
      </c>
      <c r="D50" s="2554" t="s">
        <v>533</v>
      </c>
      <c r="E50" s="3470"/>
      <c r="F50" s="3470"/>
      <c r="G50" s="3470"/>
      <c r="H50" s="3470"/>
      <c r="I50" s="3467" t="str">
        <f>S49&amp;".1"</f>
        <v>.1</v>
      </c>
      <c r="J50" s="2554"/>
      <c r="K50" s="2554"/>
      <c r="L50" s="2557" t="s">
        <v>421</v>
      </c>
      <c r="M50" s="1721"/>
      <c r="N50" s="1721"/>
      <c r="O50" s="1721"/>
      <c r="P50" s="3468">
        <v>1</v>
      </c>
      <c r="Q50" s="2673"/>
      <c r="R50" s="1567"/>
      <c r="S50" s="2253"/>
      <c r="T50" s="2594"/>
      <c r="U50" s="2595"/>
      <c r="V50" s="3508"/>
      <c r="W50" s="3508"/>
      <c r="X50" s="3508"/>
      <c r="Y50" s="3508"/>
      <c r="Z50" s="3508"/>
      <c r="AA50" s="3508"/>
      <c r="AB50" s="3508"/>
      <c r="AC50" s="3509"/>
      <c r="AD50" s="3507"/>
      <c r="AE50" s="3508"/>
      <c r="AF50" s="3508"/>
      <c r="AG50" s="3508"/>
      <c r="AH50" s="3508"/>
      <c r="AI50" s="3508"/>
      <c r="AJ50" s="3508"/>
      <c r="AK50" s="3508"/>
      <c r="AL50" s="3508"/>
      <c r="AM50" s="3508"/>
      <c r="AN50" s="3508"/>
      <c r="AO50" s="3508"/>
      <c r="AP50" s="3508"/>
      <c r="AQ50" s="3508"/>
      <c r="AR50" s="3508"/>
      <c r="AS50" s="3508"/>
      <c r="AT50" s="3508"/>
      <c r="AU50" s="3508"/>
      <c r="AV50" s="3508"/>
      <c r="AW50" s="3508"/>
      <c r="AX50" s="3508"/>
      <c r="AY50" s="3508"/>
      <c r="AZ50" s="3508"/>
      <c r="BA50" s="3508"/>
      <c r="BB50" s="3509"/>
      <c r="BC50" s="2596"/>
      <c r="BE50" s="1711"/>
      <c r="BF50" s="1711" t="str">
        <f>IF(T50="","",T50)</f>
        <v/>
      </c>
      <c r="BG50" s="1711"/>
      <c r="BH50" s="1711"/>
      <c r="BI50" s="1722">
        <v>0</v>
      </c>
    </row>
    <row s="65923" customFormat="1" customHeight="1" ht="0">
      <c r="A51" s="2554" t="s">
        <v>264</v>
      </c>
      <c r="B51" s="2554" t="s">
        <v>265</v>
      </c>
      <c r="C51" s="2554" t="s">
        <v>266</v>
      </c>
      <c r="D51" s="2554" t="s">
        <v>533</v>
      </c>
      <c r="E51" s="3470"/>
      <c r="F51" s="3470"/>
      <c r="G51" s="3470"/>
      <c r="H51" s="3470"/>
      <c r="I51" s="3497"/>
      <c r="J51" s="3467" t="str">
        <f>S49&amp;".1"</f>
        <v>.1</v>
      </c>
      <c r="K51" s="2554"/>
      <c r="L51" s="2557"/>
      <c r="M51" s="1721"/>
      <c r="N51" s="1721"/>
      <c r="O51" s="1721"/>
      <c r="P51" s="3468"/>
      <c r="Q51" s="3468">
        <v>1</v>
      </c>
      <c r="R51" s="1568"/>
      <c r="S51" s="2253"/>
      <c r="T51" s="2610"/>
      <c r="U51" s="2595"/>
      <c r="V51" s="3508"/>
      <c r="W51" s="3508"/>
      <c r="X51" s="3508"/>
      <c r="Y51" s="3508"/>
      <c r="Z51" s="3508"/>
      <c r="AA51" s="3508"/>
      <c r="AB51" s="3508"/>
      <c r="AC51" s="3509"/>
      <c r="AD51" s="3507"/>
      <c r="AE51" s="3508"/>
      <c r="AF51" s="3508"/>
      <c r="AG51" s="3508"/>
      <c r="AH51" s="3508"/>
      <c r="AI51" s="3508"/>
      <c r="AJ51" s="3508"/>
      <c r="AK51" s="3508"/>
      <c r="AL51" s="3508"/>
      <c r="AM51" s="3508"/>
      <c r="AN51" s="3575"/>
      <c r="AO51" s="3575"/>
      <c r="AP51" s="3508"/>
      <c r="AQ51" s="3508"/>
      <c r="AR51" s="3508"/>
      <c r="AS51" s="3508"/>
      <c r="AT51" s="3508"/>
      <c r="AU51" s="3508"/>
      <c r="AV51" s="3508"/>
      <c r="AW51" s="3508"/>
      <c r="AX51" s="3508"/>
      <c r="AY51" s="3508"/>
      <c r="AZ51" s="3508"/>
      <c r="BA51" s="3508"/>
      <c r="BB51" s="3509"/>
      <c r="BC51" s="2596"/>
      <c r="BE51" s="1711"/>
      <c r="BF51" s="1711" t="str">
        <f>IF(T51="","",T51)</f>
        <v/>
      </c>
      <c r="BG51" s="1711"/>
      <c r="BH51" s="1711"/>
      <c r="BI51" s="1722">
        <v>0</v>
      </c>
    </row>
    <row customHeight="1" ht="11.549999999999999">
      <c r="A52" s="2574" t="s">
        <v>264</v>
      </c>
      <c r="B52" s="2574" t="s">
        <v>265</v>
      </c>
      <c r="C52" s="2574" t="s">
        <v>266</v>
      </c>
      <c r="D52" s="2574" t="s">
        <v>533</v>
      </c>
      <c r="E52" s="3470"/>
      <c r="F52" s="3470"/>
      <c r="G52" s="3470"/>
      <c r="H52" s="3470"/>
      <c r="I52" s="3497"/>
      <c r="J52" s="3497"/>
      <c r="K52" s="3467" t="str">
        <f>S48&amp;".1"</f>
        <v>...1</v>
      </c>
      <c r="L52" s="2575"/>
      <c r="P52" s="3468"/>
      <c r="Q52" s="3468"/>
      <c r="R52" s="1568">
        <v>1</v>
      </c>
      <c r="S52" s="3552" t="str">
        <f>$K52</f>
        <v>...1</v>
      </c>
      <c r="T52" s="3571"/>
      <c r="U52" s="1511"/>
      <c r="V52" s="1962"/>
      <c r="W52" s="2468"/>
      <c r="X52" s="1962"/>
      <c r="Y52" s="2468"/>
      <c r="Z52" s="2945"/>
      <c r="AA52" s="2670" t="s">
        <v>62</v>
      </c>
      <c r="AB52" s="2945"/>
      <c r="AC52" s="2670" t="s">
        <v>62</v>
      </c>
      <c r="AD52" s="3396" t="s">
        <v>62</v>
      </c>
      <c r="AE52" s="3537"/>
      <c r="AF52" s="3416">
        <v>1</v>
      </c>
      <c r="AG52" s="3574"/>
      <c r="AH52" s="3318" t="s">
        <v>62</v>
      </c>
      <c r="AI52" s="3537"/>
      <c r="AJ52" s="3416">
        <v>1</v>
      </c>
      <c r="AK52" s="3538" t="s">
        <v>22</v>
      </c>
      <c r="AL52" s="3318" t="s">
        <v>62</v>
      </c>
      <c r="AM52" s="3403"/>
      <c r="AN52" s="3416">
        <v>1</v>
      </c>
      <c r="AO52" s="3568"/>
      <c r="AP52" s="3569" t="s">
        <v>62</v>
      </c>
      <c r="AQ52" s="1522"/>
      <c r="AR52" s="2674">
        <v>1</v>
      </c>
      <c r="AS52" s="2677" t="s">
        <v>22</v>
      </c>
      <c r="AT52" s="1962"/>
      <c r="AU52" s="2468"/>
      <c r="AV52" s="1962"/>
      <c r="AW52" s="2468"/>
      <c r="AX52" s="2945"/>
      <c r="AY52" s="2670" t="s">
        <v>62</v>
      </c>
      <c r="AZ52" s="2945"/>
      <c r="BA52" s="2670" t="s">
        <v>62</v>
      </c>
      <c r="BB52" s="2559"/>
      <c r="BC52" s="3464" t="s">
        <v>519</v>
      </c>
      <c r="BE52" s="1711"/>
      <c r="BF52" s="1711" t="str">
        <f>IF(T52="","",T52)</f>
        <v/>
      </c>
      <c r="BG52" s="1711"/>
      <c r="BH52" s="1711"/>
      <c r="BI52" s="2366">
        <v>11</v>
      </c>
    </row>
    <row customHeight="1" ht="11.549999999999999">
      <c r="A53" s="2574"/>
      <c r="B53" s="2574"/>
      <c r="C53" s="2574"/>
      <c r="D53" s="2574"/>
      <c r="E53" s="3470"/>
      <c r="F53" s="3470"/>
      <c r="G53" s="3470"/>
      <c r="H53" s="3470"/>
      <c r="I53" s="3497"/>
      <c r="J53" s="3497"/>
      <c r="K53" s="3467"/>
      <c r="L53" s="2575"/>
      <c r="P53" s="3468"/>
      <c r="Q53" s="3468"/>
      <c r="R53" s="1568"/>
      <c r="S53" s="3553"/>
      <c r="T53" s="3572"/>
      <c r="U53" s="1511"/>
      <c r="V53" s="2604"/>
      <c r="W53" s="2707"/>
      <c r="X53" s="2604"/>
      <c r="Y53" s="2707"/>
      <c r="Z53" s="2604"/>
      <c r="AA53" s="2604"/>
      <c r="AB53" s="2604"/>
      <c r="AC53" s="2604"/>
      <c r="AD53" s="3397"/>
      <c r="AE53" s="3537"/>
      <c r="AF53" s="3416"/>
      <c r="AG53" s="3574"/>
      <c r="AH53" s="3318"/>
      <c r="AI53" s="3537"/>
      <c r="AJ53" s="3416"/>
      <c r="AK53" s="3538"/>
      <c r="AL53" s="3318"/>
      <c r="AM53" s="3411"/>
      <c r="AN53" s="3416"/>
      <c r="AO53" s="3568"/>
      <c r="AP53" s="3570"/>
      <c r="AQ53" s="1527"/>
      <c r="AR53" s="1627"/>
      <c r="AS53" s="1627" t="s">
        <v>520</v>
      </c>
      <c r="AT53" s="2604"/>
      <c r="AU53" s="2707"/>
      <c r="AV53" s="2604"/>
      <c r="AW53" s="2707"/>
      <c r="AX53" s="2604"/>
      <c r="AY53" s="2604"/>
      <c r="AZ53" s="2604"/>
      <c r="BA53" s="2604"/>
      <c r="BB53" s="2608"/>
      <c r="BC53" s="3465"/>
      <c r="BE53" s="1711"/>
      <c r="BF53" s="1711"/>
      <c r="BG53" s="1711"/>
      <c r="BH53" s="1711"/>
      <c r="BI53" s="2366">
        <v>11</v>
      </c>
    </row>
    <row customHeight="1" ht="11.549999999999999">
      <c r="A54" s="2574" t="s">
        <v>264</v>
      </c>
      <c r="B54" s="2574"/>
      <c r="C54" s="2574"/>
      <c r="D54" s="2574"/>
      <c r="E54" s="3470"/>
      <c r="F54" s="3470"/>
      <c r="G54" s="3470"/>
      <c r="H54" s="3470"/>
      <c r="I54" s="3497"/>
      <c r="J54" s="3497"/>
      <c r="K54" s="3467"/>
      <c r="L54" s="2575"/>
      <c r="P54" s="3468"/>
      <c r="Q54" s="3468"/>
      <c r="R54" s="1568"/>
      <c r="S54" s="3553"/>
      <c r="T54" s="3572"/>
      <c r="U54" s="1511"/>
      <c r="V54" s="2604"/>
      <c r="W54" s="2707"/>
      <c r="X54" s="2604"/>
      <c r="Y54" s="2707"/>
      <c r="Z54" s="2604"/>
      <c r="AA54" s="2604"/>
      <c r="AB54" s="2604"/>
      <c r="AC54" s="2604"/>
      <c r="AD54" s="3397"/>
      <c r="AE54" s="3537"/>
      <c r="AF54" s="3416"/>
      <c r="AG54" s="3574"/>
      <c r="AH54" s="3318"/>
      <c r="AI54" s="3537"/>
      <c r="AJ54" s="3416"/>
      <c r="AK54" s="3538"/>
      <c r="AL54" s="3318"/>
      <c r="AM54" s="1527"/>
      <c r="AN54" s="2711"/>
      <c r="AO54" s="2711" t="s">
        <v>521</v>
      </c>
      <c r="AP54" s="1627"/>
      <c r="AQ54" s="1627"/>
      <c r="AR54" s="1627"/>
      <c r="AS54" s="2604"/>
      <c r="AT54" s="2604"/>
      <c r="AU54" s="2707"/>
      <c r="AV54" s="2604"/>
      <c r="AW54" s="2707"/>
      <c r="AX54" s="2604"/>
      <c r="AY54" s="2604"/>
      <c r="AZ54" s="2604"/>
      <c r="BA54" s="2604"/>
      <c r="BB54" s="2608"/>
      <c r="BC54" s="3465"/>
      <c r="BE54" s="1711"/>
      <c r="BF54" s="1711"/>
      <c r="BG54" s="1711"/>
      <c r="BH54" s="1711"/>
      <c r="BI54" s="2366">
        <v>11</v>
      </c>
    </row>
    <row customHeight="1" ht="11.549999999999999">
      <c r="A55" s="2574" t="s">
        <v>264</v>
      </c>
      <c r="B55" s="2574"/>
      <c r="C55" s="2574"/>
      <c r="D55" s="2574"/>
      <c r="E55" s="3470"/>
      <c r="F55" s="3470"/>
      <c r="G55" s="3470"/>
      <c r="H55" s="3470"/>
      <c r="I55" s="3497"/>
      <c r="J55" s="3497"/>
      <c r="K55" s="3467"/>
      <c r="L55" s="2575"/>
      <c r="P55" s="3468"/>
      <c r="Q55" s="3468"/>
      <c r="R55" s="1568"/>
      <c r="S55" s="3553"/>
      <c r="T55" s="3572"/>
      <c r="U55" s="1511"/>
      <c r="V55" s="2604"/>
      <c r="W55" s="2707"/>
      <c r="X55" s="2604"/>
      <c r="Y55" s="2707"/>
      <c r="Z55" s="2604"/>
      <c r="AA55" s="2604"/>
      <c r="AB55" s="2604"/>
      <c r="AC55" s="2604"/>
      <c r="AD55" s="3397"/>
      <c r="AE55" s="3537"/>
      <c r="AF55" s="3416"/>
      <c r="AG55" s="3574"/>
      <c r="AH55" s="3318"/>
      <c r="AI55" s="1505"/>
      <c r="AJ55" s="1626"/>
      <c r="AK55" s="1524" t="s">
        <v>522</v>
      </c>
      <c r="AL55" s="2604"/>
      <c r="AM55" s="2604"/>
      <c r="AN55" s="2604"/>
      <c r="AO55" s="2604"/>
      <c r="AP55" s="2604"/>
      <c r="AQ55" s="2604"/>
      <c r="AR55" s="2604"/>
      <c r="AS55" s="2604"/>
      <c r="AT55" s="2604"/>
      <c r="AU55" s="2707"/>
      <c r="AV55" s="2604"/>
      <c r="AW55" s="2707"/>
      <c r="AX55" s="2604"/>
      <c r="AY55" s="2604"/>
      <c r="AZ55" s="2604"/>
      <c r="BA55" s="2604"/>
      <c r="BB55" s="2608"/>
      <c r="BC55" s="3465"/>
      <c r="BE55" s="1711"/>
      <c r="BF55" s="1711"/>
      <c r="BG55" s="1711"/>
      <c r="BH55" s="1711"/>
      <c r="BI55" s="2366">
        <v>11</v>
      </c>
    </row>
    <row customHeight="1" ht="11.549999999999999">
      <c r="A56" s="2574" t="s">
        <v>264</v>
      </c>
      <c r="B56" s="2574" t="s">
        <v>265</v>
      </c>
      <c r="C56" s="2574" t="s">
        <v>266</v>
      </c>
      <c r="D56" s="2574" t="s">
        <v>533</v>
      </c>
      <c r="E56" s="3470"/>
      <c r="F56" s="3470"/>
      <c r="G56" s="3470"/>
      <c r="H56" s="3470"/>
      <c r="I56" s="3497"/>
      <c r="J56" s="3497"/>
      <c r="K56" s="3467"/>
      <c r="L56" s="2575"/>
      <c r="P56" s="3468"/>
      <c r="Q56" s="3468"/>
      <c r="R56" s="1568"/>
      <c r="S56" s="3554"/>
      <c r="T56" s="3573"/>
      <c r="U56" s="1511"/>
      <c r="V56" s="2604"/>
      <c r="W56" s="2605" t="str">
        <f>Z52&amp;"-"&amp;AB52</f>
        <v>-</v>
      </c>
      <c r="X56" s="2604"/>
      <c r="Y56" s="2605" t="str">
        <f>AB52&amp;"-"&amp;AD52</f>
        <v>-да</v>
      </c>
      <c r="Z56" s="2604"/>
      <c r="AA56" s="2604"/>
      <c r="AB56" s="2604"/>
      <c r="AC56" s="2604"/>
      <c r="AD56" s="3323"/>
      <c r="AE56" s="1523"/>
      <c r="AF56" s="1525"/>
      <c r="AG56" s="1627" t="s">
        <v>523</v>
      </c>
      <c r="AH56" s="2604"/>
      <c r="AI56" s="2604"/>
      <c r="AJ56" s="2604"/>
      <c r="AK56" s="2604"/>
      <c r="AL56" s="2604"/>
      <c r="AM56" s="2604"/>
      <c r="AN56" s="2604"/>
      <c r="AO56" s="2604"/>
      <c r="AP56" s="2604"/>
      <c r="AQ56" s="2604"/>
      <c r="AR56" s="2604"/>
      <c r="AS56" s="2604"/>
      <c r="AT56" s="2604"/>
      <c r="AU56" s="2605" t="str">
        <f>AX52&amp;"-"&amp;AZ52</f>
        <v>-</v>
      </c>
      <c r="AV56" s="2604"/>
      <c r="AW56" s="2605" t="str">
        <f>AZ52&amp;"-"&amp;BB52</f>
        <v>-</v>
      </c>
      <c r="AX56" s="2604"/>
      <c r="AY56" s="2604"/>
      <c r="AZ56" s="2604"/>
      <c r="BA56" s="2604"/>
      <c r="BB56" s="2607" t="str">
        <f>BE52&amp;"-"&amp;BG52</f>
        <v>-</v>
      </c>
      <c r="BC56" s="3465"/>
      <c r="BE56" s="1711"/>
      <c r="BF56" s="1711" t="str">
        <f>IF(T56="","",T56)</f>
        <v/>
      </c>
      <c r="BG56" s="1711"/>
      <c r="BH56" s="1711"/>
      <c r="BI56" s="2366">
        <v>11</v>
      </c>
    </row>
    <row customHeight="1" ht="11.549999999999999">
      <c r="A57" s="2574" t="s">
        <v>264</v>
      </c>
      <c r="B57" s="2574" t="s">
        <v>265</v>
      </c>
      <c r="C57" s="2574" t="s">
        <v>266</v>
      </c>
      <c r="D57" s="2574" t="s">
        <v>533</v>
      </c>
      <c r="E57" s="3470"/>
      <c r="F57" s="3470"/>
      <c r="G57" s="3470"/>
      <c r="H57" s="3470"/>
      <c r="I57" s="3497"/>
      <c r="J57" s="3467"/>
      <c r="K57" s="2574"/>
      <c r="L57" s="2575"/>
      <c r="P57" s="3468"/>
      <c r="Q57" s="3468"/>
      <c r="R57" s="1567"/>
      <c r="S57" s="2489"/>
      <c r="T57" s="1498" t="s">
        <v>486</v>
      </c>
      <c r="U57" s="1578"/>
      <c r="V57" s="1578"/>
      <c r="W57" s="1578"/>
      <c r="X57" s="1578"/>
      <c r="Y57" s="1578"/>
      <c r="Z57" s="1578"/>
      <c r="AA57" s="1578"/>
      <c r="AB57" s="1578"/>
      <c r="AC57" s="1535"/>
      <c r="AD57" s="2716"/>
      <c r="AE57" s="1578"/>
      <c r="AF57" s="1578"/>
      <c r="AG57" s="1578"/>
      <c r="AH57" s="1578"/>
      <c r="AI57" s="1578"/>
      <c r="AJ57" s="1578"/>
      <c r="AK57" s="1578"/>
      <c r="AL57" s="1578"/>
      <c r="AM57" s="1578"/>
      <c r="AN57" s="1578"/>
      <c r="AO57" s="1578"/>
      <c r="AP57" s="1578"/>
      <c r="AQ57" s="1578"/>
      <c r="AR57" s="1578"/>
      <c r="AS57" s="1578"/>
      <c r="AT57" s="1578"/>
      <c r="AU57" s="1578"/>
      <c r="AV57" s="1578"/>
      <c r="AW57" s="1578"/>
      <c r="AX57" s="1578"/>
      <c r="AY57" s="1578"/>
      <c r="AZ57" s="1578"/>
      <c r="BA57" s="1578"/>
      <c r="BB57" s="1535"/>
      <c r="BC57" s="3466"/>
      <c r="BE57" s="1711"/>
      <c r="BF57" s="1711" t="str">
        <f>IF(T57="","",T57)</f>
        <v>Добавить строку</v>
      </c>
      <c r="BG57" s="1711"/>
      <c r="BH57" s="1711"/>
      <c r="BI57" s="2366">
        <v>11</v>
      </c>
    </row>
    <row s="65923" customFormat="1" customHeight="1" ht="0">
      <c r="A58" s="2554" t="s">
        <v>264</v>
      </c>
      <c r="B58" s="2554" t="s">
        <v>265</v>
      </c>
      <c r="C58" s="2554" t="s">
        <v>266</v>
      </c>
      <c r="D58" s="2554" t="s">
        <v>533</v>
      </c>
      <c r="E58" s="3470"/>
      <c r="F58" s="3470"/>
      <c r="G58" s="3470"/>
      <c r="H58" s="3470"/>
      <c r="I58" s="3467"/>
      <c r="J58" s="2554"/>
      <c r="K58" s="2554"/>
      <c r="L58" s="2557"/>
      <c r="M58" s="1721"/>
      <c r="N58" s="1721"/>
      <c r="O58" s="1721"/>
      <c r="P58" s="3468"/>
      <c r="Q58" s="2673"/>
      <c r="R58" s="1567"/>
      <c r="S58" s="2597"/>
      <c r="T58" s="2598"/>
      <c r="U58" s="2599"/>
      <c r="V58" s="2599"/>
      <c r="W58" s="2599"/>
      <c r="X58" s="2599"/>
      <c r="Y58" s="2599"/>
      <c r="Z58" s="2599"/>
      <c r="AA58" s="2599"/>
      <c r="AB58" s="2599"/>
      <c r="AC58" s="2599"/>
      <c r="AD58" s="2599"/>
      <c r="AE58" s="2599"/>
      <c r="AF58" s="2599"/>
      <c r="AG58" s="2599"/>
      <c r="AH58" s="2599"/>
      <c r="AI58" s="2599"/>
      <c r="AJ58" s="2599"/>
      <c r="AK58" s="2599"/>
      <c r="AL58" s="2599"/>
      <c r="AM58" s="2599"/>
      <c r="AN58" s="2599"/>
      <c r="AO58" s="2599"/>
      <c r="AP58" s="2599"/>
      <c r="AQ58" s="2599"/>
      <c r="AR58" s="2599"/>
      <c r="AS58" s="2599"/>
      <c r="AT58" s="2599"/>
      <c r="AU58" s="2599"/>
      <c r="AV58" s="2599"/>
      <c r="AW58" s="2599"/>
      <c r="AX58" s="2599"/>
      <c r="AY58" s="2599"/>
      <c r="AZ58" s="2599"/>
      <c r="BA58" s="2599"/>
      <c r="BB58" s="2599"/>
      <c r="BC58" s="2600"/>
      <c r="BE58" s="1711"/>
      <c r="BF58" s="1711" t="str">
        <f>IF(T58="","",T58)</f>
        <v/>
      </c>
      <c r="BG58" s="1711"/>
      <c r="BH58" s="1711"/>
      <c r="BI58" s="1722">
        <v>0</v>
      </c>
    </row>
    <row s="65923" customFormat="1" customHeight="1" ht="0">
      <c r="A59" s="2554" t="s">
        <v>264</v>
      </c>
      <c r="B59" s="2554" t="s">
        <v>265</v>
      </c>
      <c r="C59" s="2554" t="s">
        <v>266</v>
      </c>
      <c r="D59" s="2554" t="s">
        <v>533</v>
      </c>
      <c r="E59" s="3470"/>
      <c r="F59" s="3470"/>
      <c r="G59" s="3470"/>
      <c r="H59" s="3469"/>
      <c r="I59" s="2554"/>
      <c r="J59" s="2554"/>
      <c r="K59" s="2554"/>
      <c r="L59" s="2557"/>
      <c r="M59" s="2526"/>
      <c r="N59" s="2526"/>
      <c r="O59" s="1729"/>
      <c r="P59" s="1591"/>
      <c r="Q59" s="2555"/>
      <c r="R59" s="2612"/>
      <c r="S59" s="2597"/>
      <c r="T59" s="2598"/>
      <c r="U59" s="2599"/>
      <c r="V59" s="2599"/>
      <c r="W59" s="2599"/>
      <c r="X59" s="2599"/>
      <c r="Y59" s="2599"/>
      <c r="Z59" s="2599"/>
      <c r="AA59" s="2599"/>
      <c r="AB59" s="2599"/>
      <c r="AC59" s="2599"/>
      <c r="AD59" s="2599"/>
      <c r="AE59" s="2599"/>
      <c r="AF59" s="2599"/>
      <c r="AG59" s="2599"/>
      <c r="AH59" s="2599"/>
      <c r="AI59" s="2599"/>
      <c r="AJ59" s="2599"/>
      <c r="AK59" s="2599"/>
      <c r="AL59" s="2599"/>
      <c r="AM59" s="2599"/>
      <c r="AN59" s="2599"/>
      <c r="AO59" s="2599"/>
      <c r="AP59" s="2599"/>
      <c r="AQ59" s="2599"/>
      <c r="AR59" s="2599"/>
      <c r="AS59" s="2599"/>
      <c r="AT59" s="2599"/>
      <c r="AU59" s="2599"/>
      <c r="AV59" s="2599"/>
      <c r="AW59" s="2599"/>
      <c r="AX59" s="2599"/>
      <c r="AY59" s="2599"/>
      <c r="AZ59" s="2599"/>
      <c r="BA59" s="2599"/>
      <c r="BB59" s="2599"/>
      <c r="BC59" s="2600"/>
      <c r="BE59" s="1711"/>
      <c r="BF59" s="1711" t="str">
        <f>IF(T59="","",T59)</f>
        <v/>
      </c>
      <c r="BG59" s="1711"/>
      <c r="BH59" s="1711"/>
      <c r="BI59" s="1722">
        <v>0</v>
      </c>
    </row>
    <row s="65923" customFormat="1" customHeight="1" ht="0">
      <c r="A60" s="2554" t="s">
        <v>264</v>
      </c>
      <c r="B60" s="2554" t="s">
        <v>265</v>
      </c>
      <c r="C60" s="2554" t="s">
        <v>266</v>
      </c>
      <c r="D60" s="2525"/>
      <c r="E60" s="3470"/>
      <c r="F60" s="3470"/>
      <c r="G60" s="3469"/>
      <c r="H60" s="2525"/>
      <c r="I60" s="2525"/>
      <c r="J60" s="2525"/>
      <c r="K60" s="2525"/>
      <c r="L60" s="2675"/>
      <c r="M60" s="2526"/>
      <c r="N60" s="2526"/>
      <c r="P60" s="2527"/>
      <c r="Q60" s="2528"/>
      <c r="R60" s="2527"/>
      <c r="S60" s="2533"/>
      <c r="T60" s="2536"/>
      <c r="U60" s="2535"/>
      <c r="V60" s="2535"/>
      <c r="W60" s="2535"/>
      <c r="X60" s="2535"/>
      <c r="Y60" s="2535"/>
      <c r="Z60" s="2535"/>
      <c r="AA60" s="2535"/>
      <c r="AB60" s="2535"/>
      <c r="AC60" s="2535"/>
      <c r="AD60" s="2535"/>
      <c r="AE60" s="2535"/>
      <c r="AF60" s="2535"/>
      <c r="AG60" s="2535"/>
      <c r="AH60" s="2535"/>
      <c r="AI60" s="2535"/>
      <c r="AJ60" s="2535"/>
      <c r="AK60" s="2535"/>
      <c r="AL60" s="2535"/>
      <c r="AM60" s="2535"/>
      <c r="AN60" s="2535"/>
      <c r="AO60" s="2535"/>
      <c r="AP60" s="2535"/>
      <c r="AQ60" s="2535"/>
      <c r="AR60" s="2535"/>
      <c r="AS60" s="2535"/>
      <c r="AT60" s="2535"/>
      <c r="AU60" s="2535"/>
      <c r="AV60" s="2535"/>
      <c r="AW60" s="2535"/>
      <c r="AX60" s="2535"/>
      <c r="AY60" s="2535"/>
      <c r="AZ60" s="2535"/>
      <c r="BA60" s="2535"/>
      <c r="BB60" s="2535"/>
      <c r="BC60" s="2535"/>
      <c r="BE60" s="2000"/>
      <c r="BF60" s="2000" t="str">
        <f>IF(T60="","",T60)</f>
        <v/>
      </c>
      <c r="BG60" s="2000"/>
      <c r="BH60" s="2000"/>
      <c r="BI60" s="1729">
        <v>0</v>
      </c>
    </row>
    <row s="65923" customFormat="1" customHeight="1" ht="0">
      <c r="A61" s="2554" t="s">
        <v>264</v>
      </c>
      <c r="B61" s="2554" t="s">
        <v>265</v>
      </c>
      <c r="C61" s="2525"/>
      <c r="D61" s="2525"/>
      <c r="E61" s="3470"/>
      <c r="F61" s="3469"/>
      <c r="G61" s="2525"/>
      <c r="H61" s="2525"/>
      <c r="I61" s="2525"/>
      <c r="J61" s="2525"/>
      <c r="K61" s="2525"/>
      <c r="L61" s="2675"/>
      <c r="M61" s="2532"/>
      <c r="N61" s="2532"/>
      <c r="P61" s="2527"/>
      <c r="Q61" s="2528"/>
      <c r="R61" s="2527"/>
      <c r="S61" s="2533"/>
      <c r="T61" s="2536" t="s">
        <v>433</v>
      </c>
      <c r="U61" s="2535"/>
      <c r="V61" s="2535"/>
      <c r="W61" s="2535"/>
      <c r="X61" s="2535"/>
      <c r="Y61" s="2535"/>
      <c r="Z61" s="2535"/>
      <c r="AA61" s="2535"/>
      <c r="AB61" s="2535"/>
      <c r="AC61" s="2535"/>
      <c r="AD61" s="2535"/>
      <c r="AE61" s="2535"/>
      <c r="AF61" s="2535"/>
      <c r="AG61" s="2535"/>
      <c r="AH61" s="2535"/>
      <c r="AI61" s="2535"/>
      <c r="AJ61" s="2535"/>
      <c r="AK61" s="2535"/>
      <c r="AL61" s="2535"/>
      <c r="AM61" s="2535"/>
      <c r="AN61" s="2535"/>
      <c r="AO61" s="2535"/>
      <c r="AP61" s="2535"/>
      <c r="AQ61" s="2535"/>
      <c r="AR61" s="2535"/>
      <c r="AS61" s="2535"/>
      <c r="AT61" s="2535"/>
      <c r="AU61" s="2535"/>
      <c r="AV61" s="2535"/>
      <c r="AW61" s="2535"/>
      <c r="AX61" s="2535"/>
      <c r="AY61" s="2535"/>
      <c r="AZ61" s="2535"/>
      <c r="BA61" s="2535"/>
      <c r="BB61" s="2535"/>
      <c r="BC61" s="2535"/>
      <c r="BE61" s="2000"/>
      <c r="BF61" s="2000" t="str">
        <f>IF(T61="","",T61)</f>
        <v>Добавить централизованную систему для дифференциации</v>
      </c>
      <c r="BG61" s="2000"/>
      <c r="BH61" s="2000"/>
      <c r="BI61" s="1729">
        <v>0</v>
      </c>
    </row>
    <row s="65923" customFormat="1" customHeight="1" ht="0">
      <c r="A62" s="2554" t="s">
        <v>264</v>
      </c>
      <c r="B62" s="2554"/>
      <c r="C62" s="2554"/>
      <c r="D62" s="2554"/>
      <c r="E62" s="3469"/>
      <c r="F62" s="2554"/>
      <c r="G62" s="2554"/>
      <c r="H62" s="2554"/>
      <c r="I62" s="2554"/>
      <c r="J62" s="2554"/>
      <c r="K62" s="2554"/>
      <c r="L62" s="2557"/>
      <c r="M62" s="2532"/>
      <c r="N62" s="2532"/>
      <c r="O62" s="1729"/>
      <c r="P62" s="1591"/>
      <c r="Q62" s="2555"/>
      <c r="R62" s="1591"/>
      <c r="S62" s="2533"/>
      <c r="T62" s="2536" t="s">
        <v>434</v>
      </c>
      <c r="U62" s="2535"/>
      <c r="V62" s="2535"/>
      <c r="W62" s="2535"/>
      <c r="X62" s="2535"/>
      <c r="Y62" s="2535"/>
      <c r="Z62" s="2535"/>
      <c r="AA62" s="2535"/>
      <c r="AB62" s="2535"/>
      <c r="AC62" s="2535"/>
      <c r="AD62" s="2535"/>
      <c r="AE62" s="2535"/>
      <c r="AF62" s="2535"/>
      <c r="AG62" s="2535"/>
      <c r="AH62" s="2535"/>
      <c r="AI62" s="2535"/>
      <c r="AJ62" s="2535"/>
      <c r="AK62" s="2535"/>
      <c r="AL62" s="2535"/>
      <c r="AM62" s="2535"/>
      <c r="AN62" s="2535"/>
      <c r="AO62" s="2535"/>
      <c r="AP62" s="2535"/>
      <c r="AQ62" s="2535"/>
      <c r="AR62" s="2535"/>
      <c r="AS62" s="2535"/>
      <c r="AT62" s="2535"/>
      <c r="AU62" s="2535"/>
      <c r="AV62" s="2535"/>
      <c r="AW62" s="2535"/>
      <c r="AX62" s="2535"/>
      <c r="AY62" s="2535"/>
      <c r="AZ62" s="2535"/>
      <c r="BA62" s="2535"/>
      <c r="BB62" s="2535"/>
      <c r="BC62" s="2535"/>
      <c r="BE62" s="1711"/>
      <c r="BF62" s="1711" t="str">
        <f>IF(T62="","",T62)</f>
        <v>Добавить территорию для дифференциации</v>
      </c>
      <c r="BG62" s="1711"/>
      <c r="BH62" s="1711"/>
      <c r="BI62" s="1722">
        <v>0</v>
      </c>
    </row>
    <row s="65923" customFormat="1" customHeight="1" ht="0">
      <c r="A63" s="2525"/>
      <c r="B63" s="2525"/>
      <c r="C63" s="2525"/>
      <c r="D63" s="2525"/>
      <c r="E63" s="2554"/>
      <c r="F63" s="2525"/>
      <c r="G63" s="2525"/>
      <c r="H63" s="2525"/>
      <c r="I63" s="2525"/>
      <c r="J63" s="2525"/>
      <c r="K63" s="2525"/>
      <c r="L63" s="2675"/>
      <c r="M63" s="2532"/>
      <c r="N63" s="2532"/>
      <c r="P63" s="2527"/>
      <c r="Q63" s="2528"/>
      <c r="R63" s="2527"/>
      <c r="S63" s="2533"/>
      <c r="T63" s="2536" t="s">
        <v>466</v>
      </c>
      <c r="U63" s="2535"/>
      <c r="V63" s="2535"/>
      <c r="W63" s="2535"/>
      <c r="X63" s="2535"/>
      <c r="Y63" s="2535"/>
      <c r="Z63" s="2535"/>
      <c r="AA63" s="2535"/>
      <c r="AB63" s="2535"/>
      <c r="AC63" s="2535"/>
      <c r="AD63" s="2535"/>
      <c r="AE63" s="2535"/>
      <c r="AF63" s="2535"/>
      <c r="AG63" s="2535"/>
      <c r="AH63" s="2535"/>
      <c r="AI63" s="2535"/>
      <c r="AJ63" s="2535"/>
      <c r="AK63" s="2535"/>
      <c r="AL63" s="2535"/>
      <c r="AM63" s="2535"/>
      <c r="AN63" s="2535"/>
      <c r="AO63" s="2535"/>
      <c r="AP63" s="2535"/>
      <c r="AQ63" s="2535"/>
      <c r="AR63" s="2535"/>
      <c r="AS63" s="2535"/>
      <c r="AT63" s="2535"/>
      <c r="AU63" s="2535"/>
      <c r="AV63" s="2535"/>
      <c r="AW63" s="2535"/>
      <c r="AX63" s="2535"/>
      <c r="AY63" s="2535"/>
      <c r="AZ63" s="2535"/>
      <c r="BA63" s="2535"/>
      <c r="BB63" s="2535"/>
      <c r="BC63" s="2535"/>
      <c r="BE63" s="2000"/>
      <c r="BF63" s="2000" t="str">
        <f>IF(T63="","",T63)</f>
        <v>Добавить наименование тарифа</v>
      </c>
      <c r="BG63" s="2000"/>
      <c r="BH63" s="2000"/>
      <c r="BI63" s="1729">
        <v>0</v>
      </c>
    </row>
    <row customHeight="1" ht="11.549999999999999">
      <c r="M64" s="2371"/>
      <c r="N64" s="2371"/>
      <c r="O64" s="1748"/>
      <c r="P64" s="2371"/>
      <c r="Q64" s="2371"/>
      <c r="R64" s="2366"/>
      <c r="S64" s="2366"/>
      <c r="BD64" s="2366"/>
      <c r="BE64" s="2366"/>
      <c r="BF64" s="2366"/>
      <c r="BG64" s="2366"/>
      <c r="BH64" s="2366"/>
      <c r="BI64" s="2366">
        <v>11</v>
      </c>
    </row>
    <row customHeight="1" ht="19.95">
      <c r="O65" s="1748"/>
      <c r="S65" s="2464"/>
      <c r="T65" s="3496"/>
      <c r="U65" s="3496"/>
      <c r="V65" s="3496"/>
      <c r="W65" s="3496"/>
      <c r="X65" s="3496"/>
      <c r="Y65" s="3496"/>
      <c r="Z65" s="3496"/>
      <c r="AA65" s="3496"/>
      <c r="AB65" s="3496"/>
      <c r="AC65" s="3496"/>
      <c r="AD65" s="3496"/>
      <c r="AE65" s="3496"/>
      <c r="AF65" s="3496"/>
      <c r="AG65" s="3496"/>
      <c r="AH65" s="3496"/>
      <c r="AI65" s="3496"/>
      <c r="AJ65" s="3496"/>
      <c r="AK65" s="3496"/>
      <c r="AL65" s="3496"/>
      <c r="AM65" s="3496"/>
      <c r="AN65" s="3496"/>
      <c r="AO65" s="3496"/>
      <c r="AP65" s="3496"/>
      <c r="AQ65" s="3496"/>
      <c r="AR65" s="3496"/>
      <c r="AS65" s="3496"/>
      <c r="AT65" s="3496"/>
      <c r="AU65" s="3496"/>
      <c r="AV65" s="3496"/>
      <c r="AW65" s="3496"/>
      <c r="AX65" s="3496"/>
      <c r="AY65" s="3496"/>
      <c r="AZ65" s="3496"/>
      <c r="BA65" s="3496"/>
      <c r="BB65" s="3496"/>
      <c r="BC65" s="3496"/>
      <c r="BI65" s="2366">
        <v>19</v>
      </c>
    </row>
    <row customHeight="1" ht="14.699999999999998">
      <c r="O66" s="1748"/>
      <c r="T66" s="2660"/>
      <c r="U66" s="2660"/>
      <c r="V66" s="2660"/>
      <c r="W66" s="2660"/>
      <c r="X66" s="2660"/>
      <c r="Y66" s="2660"/>
      <c r="Z66" s="2660"/>
      <c r="AA66" s="2660"/>
      <c r="AB66" s="2660"/>
      <c r="AC66" s="2660"/>
      <c r="AD66" s="2660"/>
      <c r="AE66" s="2660"/>
      <c r="AF66" s="2660"/>
      <c r="AG66" s="2660"/>
      <c r="AH66" s="2660"/>
      <c r="AI66" s="2660"/>
      <c r="AJ66" s="2660"/>
      <c r="AK66" s="2660"/>
      <c r="AL66" s="2660"/>
      <c r="AM66" s="2660"/>
      <c r="AN66" s="2660"/>
      <c r="AO66" s="2660"/>
      <c r="AP66" s="2660"/>
      <c r="AQ66" s="2660"/>
      <c r="AR66" s="2660"/>
      <c r="AS66" s="2660"/>
      <c r="AT66" s="2660"/>
      <c r="AU66" s="2660"/>
      <c r="AV66" s="2660"/>
      <c r="AW66" s="2660"/>
      <c r="AX66" s="2660"/>
      <c r="AY66" s="2660"/>
      <c r="AZ66" s="2660"/>
      <c r="BA66" s="2660"/>
      <c r="BB66" s="2660"/>
      <c r="BC66" s="2660"/>
      <c r="BI66" s="2366">
        <v>14</v>
      </c>
    </row>
    <row customHeight="1" ht="19.95">
      <c r="O67" s="1748"/>
      <c r="S67" s="2464"/>
      <c r="T67" s="3496"/>
      <c r="U67" s="3496"/>
      <c r="V67" s="3496"/>
      <c r="W67" s="3496"/>
      <c r="X67" s="3496"/>
      <c r="Y67" s="3496"/>
      <c r="Z67" s="3496"/>
      <c r="AA67" s="3496"/>
      <c r="AB67" s="3496"/>
      <c r="AC67" s="3496"/>
      <c r="AD67" s="3496"/>
      <c r="AE67" s="3496"/>
      <c r="AF67" s="3496"/>
      <c r="AG67" s="3496"/>
      <c r="AH67" s="3496"/>
      <c r="AI67" s="3496"/>
      <c r="AJ67" s="3496"/>
      <c r="AK67" s="3496"/>
      <c r="AL67" s="3496"/>
      <c r="AM67" s="3496"/>
      <c r="AN67" s="3496"/>
      <c r="AO67" s="3496"/>
      <c r="AP67" s="3496"/>
      <c r="AQ67" s="3496"/>
      <c r="AR67" s="3496"/>
      <c r="AS67" s="3496"/>
      <c r="AT67" s="3496"/>
      <c r="AU67" s="3496"/>
      <c r="AV67" s="3496"/>
      <c r="AW67" s="3496"/>
      <c r="AX67" s="3496"/>
      <c r="AY67" s="3496"/>
      <c r="AZ67" s="3496"/>
      <c r="BA67" s="3496"/>
      <c r="BB67" s="3496"/>
      <c r="BC67" s="3496"/>
      <c r="BI67" s="2366">
        <v>19</v>
      </c>
    </row>
    <row customHeight="1" ht="14.699999999999998">
      <c r="O68" s="1748"/>
      <c r="BI68" s="2366">
        <v>14</v>
      </c>
    </row>
    <row customHeight="1" ht="14.25" hidden="1">
      <c r="A69" s="2371" t="s">
        <v>82</v>
      </c>
      <c r="B69" s="2371">
        <v>0</v>
      </c>
      <c r="C69" s="2371">
        <v>0</v>
      </c>
      <c r="D69" s="2371">
        <v>0</v>
      </c>
      <c r="E69" s="2371">
        <v>0</v>
      </c>
      <c r="F69" s="2371">
        <v>0</v>
      </c>
      <c r="G69" s="2371">
        <v>0</v>
      </c>
      <c r="H69" s="2371">
        <v>0</v>
      </c>
      <c r="I69" s="2371">
        <v>0</v>
      </c>
      <c r="J69" s="2371">
        <v>0</v>
      </c>
      <c r="K69" s="2371">
        <v>0</v>
      </c>
      <c r="L69" s="2672">
        <v>0</v>
      </c>
      <c r="M69" s="2573">
        <v>0</v>
      </c>
      <c r="N69" s="2573">
        <v>0</v>
      </c>
      <c r="O69" s="2573">
        <v>0</v>
      </c>
      <c r="P69" s="2573">
        <v>0</v>
      </c>
      <c r="Q69" s="2582">
        <v>0</v>
      </c>
      <c r="R69" s="1555">
        <v>3</v>
      </c>
      <c r="S69" s="1792">
        <v>12</v>
      </c>
      <c r="T69" s="2366">
        <v>31</v>
      </c>
      <c r="U69" s="2366">
        <v>0</v>
      </c>
      <c r="V69" s="2366">
        <v>0</v>
      </c>
      <c r="W69" s="2366">
        <v>0</v>
      </c>
      <c r="X69" s="2366">
        <v>0</v>
      </c>
      <c r="Y69" s="2366">
        <v>0</v>
      </c>
      <c r="Z69" s="2366">
        <v>0</v>
      </c>
      <c r="AA69" s="2366">
        <v>0</v>
      </c>
      <c r="AB69" s="2366">
        <v>0</v>
      </c>
      <c r="AC69" s="2366">
        <v>0</v>
      </c>
      <c r="AD69" s="2366">
        <v>3</v>
      </c>
      <c r="AE69" s="2366">
        <v>3</v>
      </c>
      <c r="AF69" s="2366">
        <v>3</v>
      </c>
      <c r="AG69" s="2366">
        <v>24</v>
      </c>
      <c r="AH69" s="2366">
        <v>3</v>
      </c>
      <c r="AI69" s="2366">
        <v>3</v>
      </c>
      <c r="AJ69" s="2366">
        <v>3</v>
      </c>
      <c r="AK69" s="2366">
        <v>24</v>
      </c>
      <c r="AL69" s="2366">
        <v>3</v>
      </c>
      <c r="AM69" s="2366">
        <v>3</v>
      </c>
      <c r="AN69" s="2366">
        <v>3</v>
      </c>
      <c r="AO69" s="2366">
        <v>18</v>
      </c>
      <c r="AP69" s="2366">
        <v>3</v>
      </c>
      <c r="AQ69" s="2366">
        <v>3</v>
      </c>
      <c r="AR69" s="2366">
        <v>3</v>
      </c>
      <c r="AS69" s="2366">
        <v>18</v>
      </c>
      <c r="AT69" s="2366">
        <v>21</v>
      </c>
      <c r="AU69" s="2366">
        <v>21</v>
      </c>
      <c r="AV69" s="2366">
        <v>21</v>
      </c>
      <c r="AW69" s="2366">
        <v>21</v>
      </c>
      <c r="AX69" s="2366">
        <v>11</v>
      </c>
      <c r="AY69" s="2366">
        <v>3</v>
      </c>
      <c r="AZ69" s="2366">
        <v>11</v>
      </c>
      <c r="BA69" s="2366">
        <v>0</v>
      </c>
      <c r="BB69" s="2366">
        <v>4</v>
      </c>
      <c r="BC69" s="2366">
        <v>115</v>
      </c>
      <c r="BD69" s="1722">
        <v>10</v>
      </c>
      <c r="BE69" s="1722">
        <v>10</v>
      </c>
      <c r="BF69" s="1722">
        <v>10</v>
      </c>
      <c r="BG69" s="1722">
        <v>10</v>
      </c>
      <c r="BH69" s="1722">
        <v>10</v>
      </c>
      <c r="BI69" s="236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61049-979A-FB6B-751C-C4DB1C0B235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4" style="66903" width="24.7109375" hidden="1" customWidth="1"/>
    <col min="25" max="25" style="66903" width="11.7109375" hidden="1" customWidth="1"/>
    <col min="26" max="26" style="66903" width="3.7109375" hidden="1" customWidth="1"/>
    <col min="27" max="27" style="66903" width="11.7109375" hidden="1" customWidth="1"/>
    <col min="28" max="28" style="66903" width="8.57421875" hidden="1" customWidth="1"/>
    <col min="29" max="29" style="66903" width="24.7109375" customWidth="1"/>
    <col min="30" max="31" style="66903" width="24.00390625" customWidth="1"/>
    <col min="32" max="32" style="66903" width="11.00390625" customWidth="1"/>
    <col min="33" max="33" style="66903" width="3.7109375" customWidth="1"/>
    <col min="34" max="34" style="66903" width="11.00390625" customWidth="1"/>
    <col min="35" max="35" style="66903" width="8.57421875" hidden="1" customWidth="1"/>
    <col min="36" max="36" style="66903" width="4.00390625" customWidth="1"/>
    <col min="37" max="37" style="66903" width="115.00390625" customWidth="1"/>
    <col min="38" max="42" style="65923" width="10.00390625" customWidth="1"/>
    <col min="43" max="43" style="66903" width="10.57421875" hidden="1"/>
  </cols>
  <sheetData>
    <row customHeight="1" ht="22.5" hidden="1">
      <c r="X1" s="1538"/>
      <c r="Y1" s="1538"/>
      <c r="AE1" s="1538"/>
      <c r="AF1" s="1538"/>
      <c r="AQ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704">
        <f>INDEX(PT_DIFFERENTIATION_NUM_NTAR,MATCH(A2,PT_DIFFERENTIATION_NTAR_ID,0))</f>
      </c>
      <c r="T2" s="1509" t="s">
        <v>143</v>
      </c>
      <c r="U2" s="1511"/>
      <c r="V2" s="3453"/>
      <c r="W2" s="3454"/>
      <c r="X2" s="3454"/>
      <c r="Y2" s="3454"/>
      <c r="Z2" s="3454"/>
      <c r="AA2" s="3454"/>
      <c r="AB2" s="3455"/>
      <c r="AC2" s="3453">
        <f>INDEX(PT_DIFFERENTIATION_NTAR,MATCH(A2,PT_DIFFERENTIATION_NTAR_ID,0))</f>
      </c>
      <c r="AD2" s="3454"/>
      <c r="AE2" s="3454"/>
      <c r="AF2" s="3454"/>
      <c r="AG2" s="3454"/>
      <c r="AH2" s="3454"/>
      <c r="AI2" s="3454"/>
      <c r="AJ2" s="3455"/>
      <c r="AK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711"/>
      <c r="AN2" s="1711" t="str">
        <f>IF(T2="","",T2)</f>
        <v>Наименование тарифа</v>
      </c>
      <c r="AO2" s="1711"/>
      <c r="AP2" s="1711"/>
      <c r="AQ2" s="2366">
        <v>0</v>
      </c>
    </row>
    <row customHeight="1" ht="23.25" hidden="1">
      <c r="A3" s="2574"/>
      <c r="B3" s="2574"/>
      <c r="C3" s="2574"/>
      <c r="D3" s="2574"/>
      <c r="E3" s="3470"/>
      <c r="F3" s="3469">
        <v>1</v>
      </c>
      <c r="G3" s="2574"/>
      <c r="H3" s="2574"/>
      <c r="I3" s="2574"/>
      <c r="J3" s="2574"/>
      <c r="K3" s="2574"/>
      <c r="L3" s="2575"/>
      <c r="M3" s="2576"/>
      <c r="N3" s="2576"/>
      <c r="O3" s="2576"/>
      <c r="P3" s="2698"/>
      <c r="Q3" s="1563"/>
      <c r="R3" s="1564"/>
      <c r="S3" s="2704">
        <f>INDEX(PT_DIFFERENTIATION_NUM_TER,MATCH(B3,PT_DIFFERENTIATION_TER_ID,0))</f>
      </c>
      <c r="T3" s="1519" t="s">
        <v>415</v>
      </c>
      <c r="U3" s="1511"/>
      <c r="V3" s="3453"/>
      <c r="W3" s="3454"/>
      <c r="X3" s="3454"/>
      <c r="Y3" s="3454"/>
      <c r="Z3" s="3454"/>
      <c r="AA3" s="3454"/>
      <c r="AB3" s="3455"/>
      <c r="AC3" s="3453">
        <f>INDEX(PT_DIFFERENTIATION_TER,MATCH(B3,PT_DIFFERENTIATION_TER_ID,0))</f>
      </c>
      <c r="AD3" s="3454"/>
      <c r="AE3" s="3454"/>
      <c r="AF3" s="3454"/>
      <c r="AG3" s="3454"/>
      <c r="AH3" s="3454"/>
      <c r="AI3" s="3454"/>
      <c r="AJ3" s="3455"/>
      <c r="AK3" s="2469" t="s">
        <v>416</v>
      </c>
      <c r="AM3" s="1711"/>
      <c r="AN3" s="1711" t="str">
        <f>IF(T3="","",T3)</f>
        <v>Территория действия тарифа</v>
      </c>
      <c r="AO3" s="1711"/>
      <c r="AP3" s="1711"/>
      <c r="AQ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704">
        <f>INDEX(PT_DIFFERENTIATION_NUM_CS,MATCH(C4,PT_DIFFERENTIATION_CS_ID,0))</f>
      </c>
      <c r="T4" s="1520" t="s">
        <v>534</v>
      </c>
      <c r="U4" s="1511"/>
      <c r="V4" s="3453"/>
      <c r="W4" s="3454"/>
      <c r="X4" s="3454"/>
      <c r="Y4" s="3454"/>
      <c r="Z4" s="3454"/>
      <c r="AA4" s="3454"/>
      <c r="AB4" s="3455"/>
      <c r="AC4" s="3453">
        <f>INDEX(PT_DIFFERENTIATION_CS,MATCH(C4,PT_DIFFERENTIATION_CS_ID,0))</f>
      </c>
      <c r="AD4" s="3454"/>
      <c r="AE4" s="3454"/>
      <c r="AF4" s="3454"/>
      <c r="AG4" s="3454"/>
      <c r="AH4" s="3454"/>
      <c r="AI4" s="3454"/>
      <c r="AJ4" s="3455"/>
      <c r="AK4" s="2469" t="s">
        <v>535</v>
      </c>
      <c r="AM4" s="1711"/>
      <c r="AN4" s="1711" t="str">
        <f>IF(T4="","",T4)</f>
        <v>Наименование централизованной системы водоотведения</v>
      </c>
      <c r="AO4" s="1711"/>
      <c r="AP4" s="1711"/>
      <c r="AQ4" s="2366">
        <v>0</v>
      </c>
    </row>
    <row customHeight="1" ht="23.25" hidden="1">
      <c r="A5" s="2574"/>
      <c r="B5" s="2574"/>
      <c r="C5" s="2574"/>
      <c r="D5" s="2574"/>
      <c r="E5" s="3470"/>
      <c r="F5" s="3470"/>
      <c r="G5" s="3470"/>
      <c r="H5" s="3470"/>
      <c r="I5" s="3467">
        <f>S4&amp;".1"</f>
      </c>
      <c r="J5" s="2574"/>
      <c r="K5" s="2574"/>
      <c r="L5" s="2575"/>
      <c r="P5" s="3468">
        <v>1</v>
      </c>
      <c r="Q5" s="2692"/>
      <c r="R5" s="1567"/>
      <c r="S5" s="2704">
        <f>$I5</f>
      </c>
      <c r="T5" s="1496" t="s">
        <v>501</v>
      </c>
      <c r="U5" s="1511"/>
      <c r="V5" s="3561"/>
      <c r="W5" s="3562"/>
      <c r="X5" s="3562"/>
      <c r="Y5" s="3562"/>
      <c r="Z5" s="3562"/>
      <c r="AA5" s="3562"/>
      <c r="AB5" s="3563"/>
      <c r="AC5" s="3564"/>
      <c r="AD5" s="3565"/>
      <c r="AE5" s="3565"/>
      <c r="AF5" s="3565"/>
      <c r="AG5" s="3565"/>
      <c r="AH5" s="3565"/>
      <c r="AI5" s="3565"/>
      <c r="AJ5" s="3566"/>
      <c r="AK5" s="2469" t="s">
        <v>502</v>
      </c>
      <c r="AM5" s="1711"/>
      <c r="AN5" s="1711" t="str">
        <f>IF(T5="","",T5)</f>
        <v>Наименование признака дифференциации</v>
      </c>
      <c r="AO5" s="1711"/>
      <c r="AP5" s="1711"/>
      <c r="AQ5" s="2366">
        <v>0</v>
      </c>
    </row>
    <row customHeight="1" ht="23.25" hidden="1">
      <c r="A6" s="2574"/>
      <c r="B6" s="2574"/>
      <c r="C6" s="2574"/>
      <c r="D6" s="2574"/>
      <c r="E6" s="3470"/>
      <c r="F6" s="3470"/>
      <c r="G6" s="3470"/>
      <c r="H6" s="3470"/>
      <c r="I6" s="3497"/>
      <c r="J6" s="3467">
        <f>I5&amp;".1"</f>
      </c>
      <c r="K6" s="2574"/>
      <c r="L6" s="2575" t="s">
        <v>424</v>
      </c>
      <c r="P6" s="3468"/>
      <c r="Q6" s="3468">
        <v>1</v>
      </c>
      <c r="R6" s="1568"/>
      <c r="S6" s="2704">
        <f>$J6</f>
      </c>
      <c r="T6" s="1497" t="s">
        <v>425</v>
      </c>
      <c r="U6" s="1511"/>
      <c r="V6" s="3456"/>
      <c r="W6" s="3457"/>
      <c r="X6" s="3457"/>
      <c r="Y6" s="3457"/>
      <c r="Z6" s="3457"/>
      <c r="AA6" s="3457"/>
      <c r="AB6" s="3458"/>
      <c r="AC6" s="3456"/>
      <c r="AD6" s="3457"/>
      <c r="AE6" s="3457"/>
      <c r="AF6" s="3457"/>
      <c r="AG6" s="3457"/>
      <c r="AH6" s="3457"/>
      <c r="AI6" s="3457"/>
      <c r="AJ6" s="3458"/>
      <c r="AK6" s="2518" t="s">
        <v>503</v>
      </c>
      <c r="AM6" s="1711"/>
      <c r="AN6" s="1711" t="str">
        <f>IF(T6="","",T6)</f>
        <v>Группа потребителей</v>
      </c>
      <c r="AO6" s="1711"/>
      <c r="AP6" s="1711"/>
      <c r="AQ6" s="2366">
        <v>0</v>
      </c>
    </row>
    <row customHeight="1" ht="23.25" hidden="1">
      <c r="A7" s="2574"/>
      <c r="B7" s="2574"/>
      <c r="C7" s="2574"/>
      <c r="D7" s="2574"/>
      <c r="E7" s="3470"/>
      <c r="F7" s="3470"/>
      <c r="G7" s="3470"/>
      <c r="H7" s="3470"/>
      <c r="I7" s="3497"/>
      <c r="J7" s="3497"/>
      <c r="K7" s="3467">
        <f>J6&amp;".1"</f>
      </c>
      <c r="L7" s="2575"/>
      <c r="P7" s="3468"/>
      <c r="Q7" s="3468"/>
      <c r="R7" s="1568">
        <v>1</v>
      </c>
      <c r="S7" s="2704">
        <f>$K7</f>
      </c>
      <c r="T7" s="2648"/>
      <c r="U7" s="1511"/>
      <c r="V7" s="1962"/>
      <c r="W7" s="1962"/>
      <c r="X7" s="2468"/>
      <c r="Y7" s="3476"/>
      <c r="Z7" s="3318" t="s">
        <v>62</v>
      </c>
      <c r="AA7" s="3476"/>
      <c r="AB7" s="3318" t="s">
        <v>62</v>
      </c>
      <c r="AC7" s="1962"/>
      <c r="AD7" s="1962"/>
      <c r="AE7" s="2468"/>
      <c r="AF7" s="3476"/>
      <c r="AG7" s="3318" t="s">
        <v>62</v>
      </c>
      <c r="AH7" s="3498"/>
      <c r="AI7" s="3318" t="s">
        <v>62</v>
      </c>
      <c r="AJ7" s="2649"/>
      <c r="AK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1722">
        <f>STRCHECKDATE(V8:AJ8)</f>
      </c>
      <c r="AM7" s="1711"/>
      <c r="AN7" s="1711" t="str">
        <f>IF(T7="","",T7)</f>
        <v/>
      </c>
      <c r="AO7" s="1711"/>
      <c r="AP7" s="1711"/>
      <c r="AQ7" s="2366">
        <v>0</v>
      </c>
    </row>
    <row customHeight="1" ht="14.25" hidden="1">
      <c r="A8" s="2574"/>
      <c r="B8" s="2574"/>
      <c r="C8" s="2574"/>
      <c r="D8" s="2574"/>
      <c r="E8" s="3470"/>
      <c r="F8" s="3470"/>
      <c r="G8" s="3470"/>
      <c r="H8" s="3470"/>
      <c r="I8" s="3497"/>
      <c r="J8" s="3497"/>
      <c r="K8" s="3467"/>
      <c r="L8" s="2575"/>
      <c r="P8" s="3468"/>
      <c r="Q8" s="3468"/>
      <c r="R8" s="1568"/>
      <c r="S8" s="2701"/>
      <c r="T8" s="1511"/>
      <c r="U8" s="1511"/>
      <c r="V8" s="1536"/>
      <c r="W8" s="1536"/>
      <c r="X8" s="1539" t="str">
        <f>Y7&amp;"-"&amp;AA7</f>
        <v>-</v>
      </c>
      <c r="Y8" s="3477"/>
      <c r="Z8" s="3318"/>
      <c r="AA8" s="3477"/>
      <c r="AB8" s="3318"/>
      <c r="AC8" s="1536"/>
      <c r="AD8" s="1536"/>
      <c r="AE8" s="1539" t="str">
        <f>AF7&amp;"-"&amp;AH7</f>
        <v>-</v>
      </c>
      <c r="AF8" s="3477"/>
      <c r="AG8" s="3318"/>
      <c r="AH8" s="3499"/>
      <c r="AI8" s="3318"/>
      <c r="AJ8" s="2650"/>
      <c r="AK8" s="3560"/>
      <c r="AM8" s="1711"/>
      <c r="AN8" s="1711" t="str">
        <f>IF(T8="","",T8)</f>
        <v/>
      </c>
      <c r="AO8" s="1711"/>
      <c r="AP8" s="1711"/>
      <c r="AQ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578"/>
      <c r="X9" s="1578"/>
      <c r="Y9" s="1578"/>
      <c r="Z9" s="1578"/>
      <c r="AA9" s="1578"/>
      <c r="AB9" s="1578"/>
      <c r="AC9" s="1578"/>
      <c r="AD9" s="1578"/>
      <c r="AE9" s="1578"/>
      <c r="AF9" s="1578"/>
      <c r="AG9" s="1578"/>
      <c r="AH9" s="1578"/>
      <c r="AI9" s="1578"/>
      <c r="AJ9" s="1578"/>
      <c r="AK9" s="2469" t="s">
        <v>505</v>
      </c>
      <c r="AM9" s="1711"/>
      <c r="AN9" s="1711" t="str">
        <f>IF(T9="","",T9)</f>
        <v>Добавить значение признака дифференциации</v>
      </c>
      <c r="AO9" s="1711"/>
      <c r="AP9" s="1711"/>
      <c r="AQ9" s="2366">
        <v>0</v>
      </c>
    </row>
    <row customHeight="1" ht="21" hidden="1">
      <c r="A10" s="2574"/>
      <c r="B10" s="2574"/>
      <c r="C10" s="2574"/>
      <c r="D10" s="2574"/>
      <c r="E10" s="3470"/>
      <c r="F10" s="3470"/>
      <c r="G10" s="3470"/>
      <c r="H10" s="3470"/>
      <c r="I10" s="3467"/>
      <c r="J10" s="2574"/>
      <c r="K10" s="2574"/>
      <c r="L10" s="2575"/>
      <c r="P10" s="3468"/>
      <c r="Q10" s="2692"/>
      <c r="R10" s="1567"/>
      <c r="S10" s="2489"/>
      <c r="T10" s="1576" t="s">
        <v>430</v>
      </c>
      <c r="U10" s="1578"/>
      <c r="V10" s="1578"/>
      <c r="W10" s="1578"/>
      <c r="X10" s="1578"/>
      <c r="Y10" s="1578"/>
      <c r="Z10" s="1578"/>
      <c r="AA10" s="1578"/>
      <c r="AB10" s="1577"/>
      <c r="AC10" s="1578"/>
      <c r="AD10" s="1578"/>
      <c r="AE10" s="1578"/>
      <c r="AF10" s="1578"/>
      <c r="AG10" s="1578"/>
      <c r="AH10" s="1578"/>
      <c r="AI10" s="1577"/>
      <c r="AJ10" s="1578"/>
      <c r="AK10" s="2651"/>
      <c r="AM10" s="1711"/>
      <c r="AN10" s="1711" t="str">
        <f>IF(T10="","",T10)</f>
        <v>Добавить группу потребителей</v>
      </c>
      <c r="AO10" s="1711"/>
      <c r="AP10" s="1711"/>
      <c r="AQ10" s="2366">
        <v>0</v>
      </c>
    </row>
    <row customHeight="1" ht="21"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578"/>
      <c r="X11" s="1578"/>
      <c r="Y11" s="1578"/>
      <c r="Z11" s="1578"/>
      <c r="AA11" s="1578"/>
      <c r="AB11" s="1577"/>
      <c r="AC11" s="1578"/>
      <c r="AD11" s="1578"/>
      <c r="AE11" s="1578"/>
      <c r="AF11" s="1578"/>
      <c r="AG11" s="1578"/>
      <c r="AH11" s="1578"/>
      <c r="AI11" s="1577"/>
      <c r="AJ11" s="1578"/>
      <c r="AK11" s="1514"/>
      <c r="AM11" s="1711"/>
      <c r="AN11" s="1711" t="str">
        <f>IF(T11="","",T11)</f>
        <v>Добавить наименование признака дифференциации</v>
      </c>
      <c r="AO11" s="1711"/>
      <c r="AP11" s="1711"/>
      <c r="AQ11" s="2366">
        <v>0</v>
      </c>
    </row>
    <row s="65923" customFormat="1" customHeight="1" ht="14.25" hidden="1">
      <c r="A12" s="2554"/>
      <c r="B12" s="2554"/>
      <c r="C12" s="2525"/>
      <c r="D12" s="2525"/>
      <c r="E12" s="3470"/>
      <c r="F12" s="3469"/>
      <c r="G12" s="2525"/>
      <c r="H12" s="2525"/>
      <c r="I12" s="2525"/>
      <c r="J12" s="2525"/>
      <c r="K12" s="2525"/>
      <c r="L12" s="2705"/>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M12" s="2000"/>
      <c r="AN12" s="2000" t="str">
        <f>IF(T12="","",T12)</f>
        <v>Добавить централизованную систему для дифференциации</v>
      </c>
      <c r="AO12" s="2000"/>
      <c r="AP12" s="2000"/>
      <c r="AQ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M13" s="1711"/>
      <c r="AN13" s="1711" t="str">
        <f>IF(T13="","",T13)</f>
        <v>Добавить территорию для дифференциации</v>
      </c>
      <c r="AO13" s="1711"/>
      <c r="AP13" s="1711"/>
      <c r="AQ13" s="1722">
        <v>0</v>
      </c>
    </row>
    <row customHeight="1" ht="14.25" hidden="1">
      <c r="AB14" s="1538"/>
      <c r="AI14" s="1538"/>
      <c r="AQ14" s="2366">
        <v>0</v>
      </c>
    </row>
    <row customHeight="1" ht="14.25" hidden="1">
      <c r="AC15" s="2571"/>
      <c r="AD15" s="2571"/>
      <c r="AE15" s="2572"/>
      <c r="AF15" s="3478"/>
      <c r="AG15" s="3479" t="s">
        <v>62</v>
      </c>
      <c r="AH15" s="3478"/>
      <c r="AI15" s="3479" t="s">
        <v>62</v>
      </c>
      <c r="AQ15" s="2366">
        <v>0</v>
      </c>
    </row>
    <row customHeight="1" ht="14.25" hidden="1">
      <c r="AC16" s="2571"/>
      <c r="AD16" s="2571"/>
      <c r="AE16" s="1539" t="str">
        <f>AF15&amp;"-"&amp;AH15</f>
        <v>-</v>
      </c>
      <c r="AF16" s="3479"/>
      <c r="AG16" s="3479"/>
      <c r="AH16" s="3479"/>
      <c r="AI16" s="3479"/>
      <c r="AQ16" s="2366">
        <v>0</v>
      </c>
    </row>
    <row customHeight="1" ht="14.25" hidden="1">
      <c r="AI17" s="1538"/>
      <c r="AQ17" s="2366">
        <v>0</v>
      </c>
    </row>
    <row s="66852" customFormat="1" customHeight="1" ht="22.5" hidden="1">
      <c r="L18" s="2689"/>
      <c r="M18" s="2573"/>
      <c r="N18" s="2573"/>
      <c r="O18" s="2578" t="s">
        <v>435</v>
      </c>
      <c r="P18" s="2573"/>
      <c r="Q18" s="2582"/>
      <c r="R18" s="2582"/>
      <c r="S18" s="1940"/>
      <c r="Y18" s="2578"/>
      <c r="AA18" s="2578"/>
      <c r="AB18" s="2577"/>
      <c r="AF18" s="2578"/>
      <c r="AH18" s="2578"/>
      <c r="AI18" s="2577"/>
      <c r="AL18" s="1722"/>
      <c r="AM18" s="1722"/>
      <c r="AN18" s="1722"/>
      <c r="AO18" s="1722"/>
      <c r="AP18" s="1722"/>
      <c r="AQ18" s="2371">
        <v>0</v>
      </c>
    </row>
    <row s="66852" customFormat="1" customHeight="1" ht="14.25" hidden="1">
      <c r="L19" s="2689"/>
      <c r="M19" s="2573"/>
      <c r="N19" s="2573"/>
      <c r="O19" s="2573"/>
      <c r="P19" s="2573"/>
      <c r="Q19" s="2582"/>
      <c r="R19" s="2582"/>
      <c r="S19" s="1940"/>
      <c r="AB19" s="2577"/>
      <c r="AI19" s="2577"/>
      <c r="AL19" s="1722"/>
      <c r="AM19" s="1722"/>
      <c r="AN19" s="1722"/>
      <c r="AO19" s="1722"/>
      <c r="AP19" s="1722"/>
      <c r="AQ19" s="2371">
        <v>0</v>
      </c>
    </row>
    <row s="66852" customFormat="1" customHeight="1" ht="12" hidden="1">
      <c r="L20" s="2689"/>
      <c r="M20" s="2573"/>
      <c r="N20" s="2573"/>
      <c r="O20" s="2575" t="s">
        <v>436</v>
      </c>
      <c r="P20" s="2573"/>
      <c r="Q20" s="2653"/>
      <c r="R20" s="2653"/>
      <c r="S20" s="1940"/>
      <c r="T20" s="2371" t="s">
        <v>437</v>
      </c>
      <c r="Z20" s="1397" t="s">
        <v>438</v>
      </c>
      <c r="AB20" s="1397" t="s">
        <v>439</v>
      </c>
      <c r="AC20" s="2371" t="s">
        <v>437</v>
      </c>
      <c r="AG20" s="1397" t="s">
        <v>440</v>
      </c>
      <c r="AI20" s="1397" t="s">
        <v>439</v>
      </c>
      <c r="AQ20" s="2371">
        <v>0</v>
      </c>
    </row>
    <row customHeight="1" ht="14.25" hidden="1">
      <c r="O21" s="2575"/>
      <c r="AQ21" s="2366">
        <v>0</v>
      </c>
    </row>
    <row customHeight="1" ht="14.25" hidden="1">
      <c r="O22" s="2575"/>
      <c r="AQ22" s="2366">
        <v>0</v>
      </c>
    </row>
    <row customHeight="1" ht="14.699999999999998">
      <c r="Q23" s="1587"/>
      <c r="R23" s="1587"/>
      <c r="S23" s="2486"/>
      <c r="T23" s="1574"/>
      <c r="U23" s="1574"/>
      <c r="V23" s="1720"/>
      <c r="W23" s="1720"/>
      <c r="X23" s="1720"/>
      <c r="Y23" s="1720"/>
      <c r="Z23" s="1720"/>
      <c r="AA23" s="1720"/>
      <c r="AB23" s="1720"/>
      <c r="AC23" s="1720"/>
      <c r="AD23" s="1720"/>
      <c r="AE23" s="1720"/>
      <c r="AF23" s="1720"/>
      <c r="AG23" s="1720"/>
      <c r="AH23" s="1720"/>
      <c r="AI23" s="1720"/>
      <c r="AQ23" s="2366">
        <v>14</v>
      </c>
    </row>
    <row customHeight="1" ht="14.699999999999998">
      <c r="Q24" s="1587"/>
      <c r="R24" s="1587"/>
      <c r="S24" s="345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3459"/>
      <c r="U24" s="3459"/>
      <c r="V24" s="3459"/>
      <c r="W24" s="3459"/>
      <c r="X24" s="3459"/>
      <c r="Y24" s="3459"/>
      <c r="Z24" s="3459"/>
      <c r="AA24" s="3459"/>
      <c r="AB24" s="3459"/>
      <c r="AC24" s="3459"/>
      <c r="AD24" s="3459"/>
      <c r="AE24" s="3459"/>
      <c r="AF24" s="3459"/>
      <c r="AG24" s="3459"/>
      <c r="AH24" s="3459"/>
      <c r="AI24" s="2454"/>
      <c r="AQ24" s="2366">
        <v>14</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2454"/>
      <c r="AQ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720"/>
      <c r="AQ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1537"/>
      <c r="AC27" s="3462" t="str">
        <f>IF(TITLE_NAME_OR_PR_CHANGE="",IF(TITLE_NAME_OR_PR="","",TITLE_NAME_OR_PR),TITLE_NAME_OR_PR_CHANGE)</f>
        <v/>
      </c>
      <c r="AD27" s="3462"/>
      <c r="AE27" s="3462"/>
      <c r="AF27" s="3462"/>
      <c r="AG27" s="3462"/>
      <c r="AH27" s="3462"/>
      <c r="AI27" s="1537"/>
      <c r="AJ27" s="1537"/>
      <c r="AK27" s="1491"/>
      <c r="AL27" s="1579"/>
      <c r="AM27" s="1579"/>
      <c r="AN27" s="1579"/>
      <c r="AO27" s="1579"/>
      <c r="AP27" s="1579"/>
      <c r="AQ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1537"/>
      <c r="AC28" s="3475" t="str">
        <f>IF(TITLE_DATE_PR_CHANGE="",IF(TITLE_DATE_PR="","",TITLE_DATE_PR),TITLE_DATE_PR_CHANGE)</f>
        <v/>
      </c>
      <c r="AD28" s="3475"/>
      <c r="AE28" s="3475"/>
      <c r="AF28" s="3475"/>
      <c r="AG28" s="3475"/>
      <c r="AH28" s="3475"/>
      <c r="AI28" s="1537"/>
      <c r="AJ28" s="1537"/>
      <c r="AK28" s="1491"/>
      <c r="AL28" s="1579"/>
      <c r="AM28" s="1579"/>
      <c r="AN28" s="1579"/>
      <c r="AO28" s="1579"/>
      <c r="AP28" s="1579"/>
      <c r="AQ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1537"/>
      <c r="AC29" s="3462" t="str">
        <f>IF(TITLE_NUMBER_PR_CHANGE="",IF(TITLE_NUMBER_PR="","",TITLE_NUMBER_PR),TITLE_NUMBER_PR_CHANGE)</f>
        <v/>
      </c>
      <c r="AD29" s="3462"/>
      <c r="AE29" s="3462"/>
      <c r="AF29" s="3462"/>
      <c r="AG29" s="3462"/>
      <c r="AH29" s="3462"/>
      <c r="AI29" s="1537"/>
      <c r="AJ29" s="1537"/>
      <c r="AK29" s="1491"/>
      <c r="AL29" s="1579"/>
      <c r="AM29" s="1579"/>
      <c r="AN29" s="1579"/>
      <c r="AO29" s="1579"/>
      <c r="AP29" s="1579"/>
      <c r="AQ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1537"/>
      <c r="AC30" s="3462" t="str">
        <f>IF(TITLE_IST_PUB_CHANGE="",IF(TITLE_IST_PUB="","",TITLE_IST_PUB),TITLE_IST_PUB_CHANGE)</f>
        <v/>
      </c>
      <c r="AD30" s="3462"/>
      <c r="AE30" s="3462"/>
      <c r="AF30" s="3462"/>
      <c r="AG30" s="3462"/>
      <c r="AH30" s="3462"/>
      <c r="AI30" s="1537"/>
      <c r="AJ30" s="1537"/>
      <c r="AK30" s="1491"/>
      <c r="AL30" s="1579"/>
      <c r="AM30" s="1579"/>
      <c r="AN30" s="1579"/>
      <c r="AO30" s="1579"/>
      <c r="AP30" s="1579"/>
      <c r="AQ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720"/>
      <c r="AQ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1537"/>
      <c r="AC32" s="3475" t="str">
        <f>IF(TITLE_DATE_PR_CHANGE="",IF(TITLE_DATE_PR="","",TITLE_DATE_PR),TITLE_DATE_PR_CHANGE)</f>
        <v/>
      </c>
      <c r="AD32" s="3475"/>
      <c r="AE32" s="3475"/>
      <c r="AF32" s="3475"/>
      <c r="AG32" s="3475"/>
      <c r="AH32" s="3475"/>
      <c r="AI32" s="1537"/>
      <c r="AJ32" s="1537"/>
      <c r="AK32" s="1491"/>
      <c r="AL32" s="1579"/>
      <c r="AM32" s="1579"/>
      <c r="AN32" s="1579"/>
      <c r="AO32" s="1579"/>
      <c r="AP32" s="1579"/>
      <c r="AQ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1537"/>
      <c r="AC33" s="3462" t="str">
        <f>IF(TITLE_NUMBER_PR_CHANGE="",IF(TITLE_NUMBER_PR="","",TITLE_NUMBER_PR),TITLE_NUMBER_PR_CHANGE)</f>
        <v/>
      </c>
      <c r="AD33" s="3462"/>
      <c r="AE33" s="3462"/>
      <c r="AF33" s="3462"/>
      <c r="AG33" s="3462"/>
      <c r="AH33" s="3462"/>
      <c r="AI33" s="1537"/>
      <c r="AJ33" s="1537"/>
      <c r="AK33" s="1491"/>
      <c r="AL33" s="1579"/>
      <c r="AM33" s="1579"/>
      <c r="AN33" s="1579"/>
      <c r="AO33" s="1579"/>
      <c r="AP33" s="1579"/>
      <c r="AQ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699"/>
      <c r="V34" s="1537"/>
      <c r="W34" s="1537"/>
      <c r="X34" s="1537"/>
      <c r="Y34" s="1537"/>
      <c r="Z34" s="1537"/>
      <c r="AA34" s="1537"/>
      <c r="AB34" s="1489" t="s">
        <v>445</v>
      </c>
      <c r="AC34" s="1537"/>
      <c r="AD34" s="1537"/>
      <c r="AE34" s="1537"/>
      <c r="AF34" s="1537"/>
      <c r="AG34" s="1537"/>
      <c r="AH34" s="1537"/>
      <c r="AI34" s="1489" t="s">
        <v>445</v>
      </c>
      <c r="AL34" s="1579"/>
      <c r="AM34" s="1579"/>
      <c r="AN34" s="1579"/>
      <c r="AO34" s="1579"/>
      <c r="AP34" s="1579"/>
      <c r="AQ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Q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t="s">
        <v>319</v>
      </c>
      <c r="AQ36" s="2366">
        <v>14</v>
      </c>
    </row>
    <row customHeight="1" ht="14.699999999999998">
      <c r="Q37" s="1587"/>
      <c r="R37" s="1587"/>
      <c r="S37" s="3484" t="s">
        <v>88</v>
      </c>
      <c r="T37" s="3420" t="s">
        <v>446</v>
      </c>
      <c r="U37" s="1512"/>
      <c r="V37" s="3485" t="s">
        <v>447</v>
      </c>
      <c r="W37" s="3486"/>
      <c r="X37" s="3486"/>
      <c r="Y37" s="3486"/>
      <c r="Z37" s="3486"/>
      <c r="AA37" s="3487"/>
      <c r="AB37" s="3488" t="s">
        <v>448</v>
      </c>
      <c r="AC37" s="3485" t="s">
        <v>447</v>
      </c>
      <c r="AD37" s="3486"/>
      <c r="AE37" s="3486"/>
      <c r="AF37" s="3486"/>
      <c r="AG37" s="3486"/>
      <c r="AH37" s="3487"/>
      <c r="AI37" s="3488" t="s">
        <v>449</v>
      </c>
      <c r="AJ37" s="3491" t="s">
        <v>450</v>
      </c>
      <c r="AK37" s="3338"/>
      <c r="AQ37" s="2366">
        <v>14</v>
      </c>
    </row>
    <row customHeight="1" ht="35.699999999999996">
      <c r="Q38" s="1587"/>
      <c r="R38" s="1587"/>
      <c r="S38" s="3484"/>
      <c r="T38" s="3420"/>
      <c r="U38" s="2242"/>
      <c r="V38" s="2694" t="s">
        <v>507</v>
      </c>
      <c r="W38" s="3473" t="s">
        <v>453</v>
      </c>
      <c r="X38" s="3474"/>
      <c r="Y38" s="3473" t="s">
        <v>454</v>
      </c>
      <c r="Z38" s="3480"/>
      <c r="AA38" s="3474"/>
      <c r="AB38" s="3489"/>
      <c r="AC38" s="2694" t="s">
        <v>507</v>
      </c>
      <c r="AD38" s="3473" t="s">
        <v>453</v>
      </c>
      <c r="AE38" s="3474"/>
      <c r="AF38" s="3473" t="s">
        <v>454</v>
      </c>
      <c r="AG38" s="3480"/>
      <c r="AH38" s="3474"/>
      <c r="AI38" s="3489"/>
      <c r="AJ38" s="3492"/>
      <c r="AK38" s="3338"/>
      <c r="AQ38" s="2366">
        <v>34</v>
      </c>
    </row>
    <row customHeight="1" ht="90.3">
      <c r="A39" s="2581"/>
      <c r="B39" s="2581" t="s">
        <v>155</v>
      </c>
      <c r="C39" s="2581" t="s">
        <v>156</v>
      </c>
      <c r="D39" s="2581" t="s">
        <v>157</v>
      </c>
      <c r="E39" s="2575" t="s">
        <v>455</v>
      </c>
      <c r="F39" s="2575" t="s">
        <v>456</v>
      </c>
      <c r="G39" s="2575" t="s">
        <v>457</v>
      </c>
      <c r="H39" s="2575"/>
      <c r="I39" s="2575" t="s">
        <v>508</v>
      </c>
      <c r="J39" s="2575" t="s">
        <v>460</v>
      </c>
      <c r="K39" s="2575" t="s">
        <v>509</v>
      </c>
      <c r="L39" s="2575" t="s">
        <v>436</v>
      </c>
      <c r="Q39" s="1587"/>
      <c r="R39" s="1587"/>
      <c r="S39" s="3484"/>
      <c r="T39" s="3420"/>
      <c r="U39" s="1513"/>
      <c r="V39" s="2694" t="s">
        <v>536</v>
      </c>
      <c r="W39" s="2433" t="s">
        <v>537</v>
      </c>
      <c r="X39" s="2433" t="s">
        <v>512</v>
      </c>
      <c r="Y39" s="2700" t="s">
        <v>464</v>
      </c>
      <c r="Z39" s="3481" t="s">
        <v>465</v>
      </c>
      <c r="AA39" s="3482"/>
      <c r="AB39" s="3490"/>
      <c r="AC39" s="2694" t="s">
        <v>536</v>
      </c>
      <c r="AD39" s="2433" t="s">
        <v>537</v>
      </c>
      <c r="AE39" s="2433" t="s">
        <v>512</v>
      </c>
      <c r="AF39" s="2700" t="s">
        <v>464</v>
      </c>
      <c r="AG39" s="3481" t="s">
        <v>465</v>
      </c>
      <c r="AH39" s="3482"/>
      <c r="AI39" s="3490"/>
      <c r="AJ39" s="3493"/>
      <c r="AK39" s="3338"/>
      <c r="AQ39" s="2366">
        <v>86</v>
      </c>
    </row>
    <row s="65897" customFormat="1" customHeight="1" ht="11.25" hidden="1">
      <c r="A40" s="2581"/>
      <c r="B40" s="2581"/>
      <c r="C40" s="2581"/>
      <c r="D40" s="2581"/>
      <c r="E40" s="2581"/>
      <c r="F40" s="2581"/>
      <c r="G40" s="2581"/>
      <c r="H40" s="2581"/>
      <c r="I40" s="2581"/>
      <c r="J40" s="2581"/>
      <c r="K40" s="2581"/>
      <c r="L40" s="2575"/>
      <c r="M40" s="2573"/>
      <c r="N40" s="2573"/>
      <c r="O40" s="2573"/>
      <c r="P40" s="2457"/>
      <c r="Q40" s="2458"/>
      <c r="R40" s="2465">
        <v>1</v>
      </c>
      <c r="S40" s="2488" t="s">
        <v>99</v>
      </c>
      <c r="T40" s="2466" t="s">
        <v>102</v>
      </c>
      <c r="U40" s="2456" t="str">
        <f>OFFSET(U40,0,-1)</f>
        <v>2</v>
      </c>
      <c r="V40" s="2693">
        <f>OFFSET(V40,0,-1)+1</f>
        <v>3</v>
      </c>
      <c r="W40" s="2693">
        <f>OFFSET(W40,0,-1)+1</f>
        <v>4</v>
      </c>
      <c r="X40" s="2693">
        <f>OFFSET(X40,0,-1)+1</f>
        <v>5</v>
      </c>
      <c r="Y40" s="2693">
        <f>OFFSET(Y40,0,-1)+1</f>
        <v>6</v>
      </c>
      <c r="Z40" s="3483">
        <f>OFFSET(Z40,0,-1)+1</f>
        <v>7</v>
      </c>
      <c r="AA40" s="3483"/>
      <c r="AB40" s="2693">
        <f>OFFSET(AB40,0,-2)+1</f>
        <v>8</v>
      </c>
      <c r="AC40" s="2693">
        <f>OFFSET(AC40,0,-1)+1</f>
        <v>9</v>
      </c>
      <c r="AD40" s="2693">
        <f>OFFSET(AD40,0,-1)+1</f>
        <v>10</v>
      </c>
      <c r="AE40" s="2693">
        <f>OFFSET(AE40,0,-1)+1</f>
        <v>11</v>
      </c>
      <c r="AF40" s="2693">
        <f>OFFSET(AF40,0,-1)+1</f>
        <v>12</v>
      </c>
      <c r="AG40" s="3483">
        <f>OFFSET(AG40,0,-1)+1</f>
        <v>13</v>
      </c>
      <c r="AH40" s="3483"/>
      <c r="AI40" s="2693">
        <f>OFFSET(AI40,0,-2)+1</f>
        <v>14</v>
      </c>
      <c r="AJ40" s="2456">
        <f>OFFSET(AJ40,0,-1)</f>
        <v>14</v>
      </c>
      <c r="AK40" s="2693">
        <f>OFFSET(AK40,0,-1)+1</f>
        <v>15</v>
      </c>
      <c r="AL40" s="1722"/>
      <c r="AM40" s="1722"/>
      <c r="AN40" s="1722"/>
      <c r="AO40" s="1722"/>
      <c r="AP40" s="1722"/>
      <c r="AQ40" s="1707">
        <v>0</v>
      </c>
    </row>
    <row customHeight="1" ht="24">
      <c r="A41" s="2574" t="s">
        <v>284</v>
      </c>
      <c r="B41" s="2574"/>
      <c r="C41" s="2574"/>
      <c r="D41" s="2574"/>
      <c r="E41" s="3469">
        <v>1</v>
      </c>
      <c r="F41" s="2574"/>
      <c r="G41" s="2574"/>
      <c r="H41" s="2574"/>
      <c r="I41" s="2574"/>
      <c r="J41" s="2574"/>
      <c r="K41" s="2574"/>
      <c r="L41" s="2575"/>
      <c r="M41" s="2576"/>
      <c r="N41" s="2576"/>
      <c r="O41" s="2576"/>
      <c r="P41" s="1572"/>
      <c r="Q41" s="1571"/>
      <c r="R41" s="1566"/>
      <c r="S41" s="2704">
        <f>INDEX(PT_DIFFERENTIATION_NUM_NTAR,MATCH(A41,PT_DIFFERENTIATION_NTAR_ID,0))</f>
        <v>0</v>
      </c>
      <c r="T41" s="1509" t="s">
        <v>143</v>
      </c>
      <c r="U41" s="1511"/>
      <c r="V41" s="3453"/>
      <c r="W41" s="3454"/>
      <c r="X41" s="3454"/>
      <c r="Y41" s="3454"/>
      <c r="Z41" s="3454"/>
      <c r="AA41" s="3454"/>
      <c r="AB41" s="3455"/>
      <c r="AC41" s="3453" t="str">
        <f>INDEX(PT_DIFFERENTIATION_NTAR,MATCH(A41,PT_DIFFERENTIATION_NTAR_ID,0))</f>
        <v/>
      </c>
      <c r="AD41" s="3454"/>
      <c r="AE41" s="3454"/>
      <c r="AF41" s="3454"/>
      <c r="AG41" s="3454"/>
      <c r="AH41" s="3454"/>
      <c r="AI41" s="3454"/>
      <c r="AJ41" s="3455"/>
      <c r="AK41"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711"/>
      <c r="AN41" s="1711" t="str">
        <f>IF(T41="","",T41)</f>
        <v>Наименование тарифа</v>
      </c>
      <c r="AO41" s="1711"/>
      <c r="AP41" s="1711"/>
      <c r="AQ41" s="2366">
        <v>23</v>
      </c>
    </row>
    <row customHeight="1" ht="24">
      <c r="A42" s="2574" t="s">
        <v>284</v>
      </c>
      <c r="B42" s="2574" t="s">
        <v>285</v>
      </c>
      <c r="C42" s="2574"/>
      <c r="D42" s="2574"/>
      <c r="E42" s="3470"/>
      <c r="F42" s="3469">
        <v>1</v>
      </c>
      <c r="G42" s="2574"/>
      <c r="H42" s="2574"/>
      <c r="I42" s="2574"/>
      <c r="J42" s="2574"/>
      <c r="K42" s="2574"/>
      <c r="L42" s="2575"/>
      <c r="M42" s="2576"/>
      <c r="N42" s="2576"/>
      <c r="O42" s="2576"/>
      <c r="P42" s="2698"/>
      <c r="Q42" s="1563"/>
      <c r="R42" s="1564"/>
      <c r="S42" s="2704" t="str">
        <f>INDEX(PT_DIFFERENTIATION_NUM_TER,MATCH(B42,PT_DIFFERENTIATION_TER_ID,0))</f>
        <v>.</v>
      </c>
      <c r="T42" s="1519" t="s">
        <v>415</v>
      </c>
      <c r="U42" s="1511"/>
      <c r="V42" s="3453"/>
      <c r="W42" s="3454"/>
      <c r="X42" s="3454"/>
      <c r="Y42" s="3454"/>
      <c r="Z42" s="3454"/>
      <c r="AA42" s="3454"/>
      <c r="AB42" s="3455"/>
      <c r="AC42" s="3453" t="str">
        <f>INDEX(PT_DIFFERENTIATION_TER,MATCH(B42,PT_DIFFERENTIATION_TER_ID,0))</f>
        <v/>
      </c>
      <c r="AD42" s="3454"/>
      <c r="AE42" s="3454"/>
      <c r="AF42" s="3454"/>
      <c r="AG42" s="3454"/>
      <c r="AH42" s="3454"/>
      <c r="AI42" s="3454"/>
      <c r="AJ42" s="3455"/>
      <c r="AK42" s="2469" t="s">
        <v>416</v>
      </c>
      <c r="AM42" s="1711"/>
      <c r="AN42" s="1711" t="str">
        <f>IF(T42="","",T42)</f>
        <v>Территория действия тарифа</v>
      </c>
      <c r="AO42" s="1711"/>
      <c r="AP42" s="1711"/>
      <c r="AQ42" s="2366">
        <v>23</v>
      </c>
    </row>
    <row customHeight="1" ht="24">
      <c r="A43" s="2574" t="s">
        <v>284</v>
      </c>
      <c r="B43" s="2574" t="s">
        <v>285</v>
      </c>
      <c r="C43" s="2574" t="s">
        <v>286</v>
      </c>
      <c r="D43" s="2574"/>
      <c r="E43" s="3470"/>
      <c r="F43" s="3470"/>
      <c r="G43" s="3469">
        <v>1</v>
      </c>
      <c r="H43" s="2574"/>
      <c r="I43" s="2574"/>
      <c r="J43" s="2574"/>
      <c r="K43" s="2574"/>
      <c r="L43" s="2575"/>
      <c r="M43" s="2576"/>
      <c r="N43" s="2576"/>
      <c r="O43" s="2576"/>
      <c r="P43" s="1565"/>
      <c r="Q43" s="1563"/>
      <c r="R43" s="1564"/>
      <c r="S43" s="2704" t="str">
        <f>INDEX(PT_DIFFERENTIATION_NUM_CS,MATCH(C43,PT_DIFFERENTIATION_CS_ID,0))</f>
        <v>..</v>
      </c>
      <c r="T43" s="1520" t="s">
        <v>534</v>
      </c>
      <c r="U43" s="1511"/>
      <c r="V43" s="3453"/>
      <c r="W43" s="3454"/>
      <c r="X43" s="3454"/>
      <c r="Y43" s="3454"/>
      <c r="Z43" s="3454"/>
      <c r="AA43" s="3454"/>
      <c r="AB43" s="3455"/>
      <c r="AC43" s="3453" t="str">
        <f>INDEX(PT_DIFFERENTIATION_CS,MATCH(C43,PT_DIFFERENTIATION_CS_ID,0))</f>
        <v/>
      </c>
      <c r="AD43" s="3454"/>
      <c r="AE43" s="3454"/>
      <c r="AF43" s="3454"/>
      <c r="AG43" s="3454"/>
      <c r="AH43" s="3454"/>
      <c r="AI43" s="3454"/>
      <c r="AJ43" s="3455"/>
      <c r="AK43" s="2469" t="s">
        <v>535</v>
      </c>
      <c r="AM43" s="1711"/>
      <c r="AN43" s="1711" t="str">
        <f>IF(T43="","",T43)</f>
        <v>Наименование централизованной системы водоотведения</v>
      </c>
      <c r="AO43" s="1711"/>
      <c r="AP43" s="1711"/>
      <c r="AQ43" s="2366">
        <v>23</v>
      </c>
    </row>
    <row customHeight="1" ht="24">
      <c r="A44" s="2574" t="s">
        <v>284</v>
      </c>
      <c r="B44" s="2574" t="s">
        <v>285</v>
      </c>
      <c r="C44" s="2574" t="s">
        <v>286</v>
      </c>
      <c r="D44" s="2574" t="s">
        <v>538</v>
      </c>
      <c r="E44" s="3470"/>
      <c r="F44" s="3470"/>
      <c r="G44" s="3470"/>
      <c r="H44" s="3470"/>
      <c r="I44" s="3467" t="str">
        <f>S43&amp;".1"</f>
        <v>...1</v>
      </c>
      <c r="J44" s="2574"/>
      <c r="K44" s="2574"/>
      <c r="L44" s="2575"/>
      <c r="P44" s="3468">
        <v>1</v>
      </c>
      <c r="Q44" s="2692"/>
      <c r="R44" s="1567"/>
      <c r="S44" s="2704" t="str">
        <f>$I44</f>
        <v>...1</v>
      </c>
      <c r="T44" s="1496" t="s">
        <v>501</v>
      </c>
      <c r="U44" s="1511"/>
      <c r="V44" s="3561"/>
      <c r="W44" s="3562"/>
      <c r="X44" s="3562"/>
      <c r="Y44" s="3562"/>
      <c r="Z44" s="3562"/>
      <c r="AA44" s="3562"/>
      <c r="AB44" s="3563"/>
      <c r="AC44" s="3564"/>
      <c r="AD44" s="3565"/>
      <c r="AE44" s="3565"/>
      <c r="AF44" s="3565"/>
      <c r="AG44" s="3565"/>
      <c r="AH44" s="3565"/>
      <c r="AI44" s="3565"/>
      <c r="AJ44" s="3566"/>
      <c r="AK44" s="2469" t="s">
        <v>502</v>
      </c>
      <c r="AM44" s="1711"/>
      <c r="AN44" s="1711" t="str">
        <f>IF(T44="","",T44)</f>
        <v>Наименование признака дифференциации</v>
      </c>
      <c r="AO44" s="1711"/>
      <c r="AP44" s="1711"/>
      <c r="AQ44" s="2366">
        <v>23</v>
      </c>
    </row>
    <row customHeight="1" ht="24">
      <c r="A45" s="2574" t="s">
        <v>284</v>
      </c>
      <c r="B45" s="2574" t="s">
        <v>285</v>
      </c>
      <c r="C45" s="2574" t="s">
        <v>286</v>
      </c>
      <c r="D45" s="2574" t="s">
        <v>538</v>
      </c>
      <c r="E45" s="3470"/>
      <c r="F45" s="3470"/>
      <c r="G45" s="3470"/>
      <c r="H45" s="3470"/>
      <c r="I45" s="3497"/>
      <c r="J45" s="3467" t="str">
        <f>I44&amp;".1"</f>
        <v>...1.1</v>
      </c>
      <c r="K45" s="2574"/>
      <c r="L45" s="2575" t="s">
        <v>424</v>
      </c>
      <c r="P45" s="3468"/>
      <c r="Q45" s="3468">
        <v>1</v>
      </c>
      <c r="R45" s="1568"/>
      <c r="S45" s="2704" t="str">
        <f>$J45</f>
        <v>...1.1</v>
      </c>
      <c r="T45" s="1497" t="s">
        <v>425</v>
      </c>
      <c r="U45" s="1511"/>
      <c r="V45" s="3456"/>
      <c r="W45" s="3457"/>
      <c r="X45" s="3457"/>
      <c r="Y45" s="3457"/>
      <c r="Z45" s="3457"/>
      <c r="AA45" s="3457"/>
      <c r="AB45" s="3458"/>
      <c r="AC45" s="3456"/>
      <c r="AD45" s="3457"/>
      <c r="AE45" s="3457"/>
      <c r="AF45" s="3457"/>
      <c r="AG45" s="3457"/>
      <c r="AH45" s="3457"/>
      <c r="AI45" s="3457"/>
      <c r="AJ45" s="3458"/>
      <c r="AK45" s="2518" t="s">
        <v>503</v>
      </c>
      <c r="AM45" s="1711"/>
      <c r="AN45" s="1711" t="str">
        <f>IF(T45="","",T45)</f>
        <v>Группа потребителей</v>
      </c>
      <c r="AO45" s="1711"/>
      <c r="AP45" s="1711"/>
      <c r="AQ45" s="2366">
        <v>23</v>
      </c>
    </row>
    <row customHeight="1" ht="24">
      <c r="A46" s="2574" t="s">
        <v>284</v>
      </c>
      <c r="B46" s="2574" t="s">
        <v>285</v>
      </c>
      <c r="C46" s="2574" t="s">
        <v>286</v>
      </c>
      <c r="D46" s="2574" t="s">
        <v>538</v>
      </c>
      <c r="E46" s="3470"/>
      <c r="F46" s="3470"/>
      <c r="G46" s="3470"/>
      <c r="H46" s="3470"/>
      <c r="I46" s="3497"/>
      <c r="J46" s="3497"/>
      <c r="K46" s="3467" t="str">
        <f>J45&amp;".1"</f>
        <v>...1.1.1</v>
      </c>
      <c r="L46" s="2575"/>
      <c r="P46" s="3468"/>
      <c r="Q46" s="3468"/>
      <c r="R46" s="1568">
        <v>1</v>
      </c>
      <c r="S46" s="2704" t="str">
        <f>$K46</f>
        <v>...1.1.1</v>
      </c>
      <c r="T46" s="2648"/>
      <c r="U46" s="1511"/>
      <c r="V46" s="2571"/>
      <c r="W46" s="2571"/>
      <c r="X46" s="2572"/>
      <c r="Y46" s="3478"/>
      <c r="Z46" s="3479" t="s">
        <v>62</v>
      </c>
      <c r="AA46" s="3478"/>
      <c r="AB46" s="3479" t="s">
        <v>62</v>
      </c>
      <c r="AC46" s="1962"/>
      <c r="AD46" s="1962"/>
      <c r="AE46" s="2468"/>
      <c r="AF46" s="3476"/>
      <c r="AG46" s="3318" t="s">
        <v>62</v>
      </c>
      <c r="AH46" s="3498"/>
      <c r="AI46" s="3318" t="s">
        <v>19</v>
      </c>
      <c r="AJ46" s="2649"/>
      <c r="AK46"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1722">
        <f>STRCHECKDATE(V47:AJ47)</f>
      </c>
      <c r="AM46" s="1711"/>
      <c r="AN46" s="1711" t="str">
        <f>IF(T46="","",T46)</f>
        <v/>
      </c>
      <c r="AO46" s="1711"/>
      <c r="AP46" s="1711"/>
      <c r="AQ46" s="2366">
        <v>23</v>
      </c>
    </row>
    <row customHeight="1" ht="0">
      <c r="A47" s="2574" t="s">
        <v>284</v>
      </c>
      <c r="B47" s="2574" t="s">
        <v>285</v>
      </c>
      <c r="C47" s="2574" t="s">
        <v>286</v>
      </c>
      <c r="D47" s="2574" t="s">
        <v>538</v>
      </c>
      <c r="E47" s="3470"/>
      <c r="F47" s="3470"/>
      <c r="G47" s="3470"/>
      <c r="H47" s="3470"/>
      <c r="I47" s="3497"/>
      <c r="J47" s="3497"/>
      <c r="K47" s="3467"/>
      <c r="L47" s="2575"/>
      <c r="P47" s="3468"/>
      <c r="Q47" s="3468"/>
      <c r="R47" s="1568"/>
      <c r="S47" s="2701"/>
      <c r="T47" s="1511"/>
      <c r="U47" s="1511"/>
      <c r="V47" s="2571"/>
      <c r="W47" s="2571"/>
      <c r="X47" s="1539" t="str">
        <f>Y46&amp;"-"&amp;AA46</f>
        <v>-</v>
      </c>
      <c r="Y47" s="3479"/>
      <c r="Z47" s="3479"/>
      <c r="AA47" s="3479"/>
      <c r="AB47" s="3479"/>
      <c r="AC47" s="1536"/>
      <c r="AD47" s="1536"/>
      <c r="AE47" s="1539" t="str">
        <f>AF46&amp;"-"&amp;AH46</f>
        <v>-</v>
      </c>
      <c r="AF47" s="3477"/>
      <c r="AG47" s="3318"/>
      <c r="AH47" s="3499"/>
      <c r="AI47" s="3318"/>
      <c r="AJ47" s="2650"/>
      <c r="AK47" s="3560"/>
      <c r="AM47" s="1711"/>
      <c r="AN47" s="1711" t="str">
        <f>IF(T47="","",T47)</f>
        <v/>
      </c>
      <c r="AO47" s="1711"/>
      <c r="AP47" s="1711"/>
      <c r="AQ47" s="2366">
        <v>0</v>
      </c>
    </row>
    <row customHeight="1" ht="21">
      <c r="A48" s="2574" t="s">
        <v>284</v>
      </c>
      <c r="B48" s="2574" t="s">
        <v>285</v>
      </c>
      <c r="C48" s="2574" t="s">
        <v>286</v>
      </c>
      <c r="D48" s="2574" t="s">
        <v>538</v>
      </c>
      <c r="E48" s="3470"/>
      <c r="F48" s="3470"/>
      <c r="G48" s="3470"/>
      <c r="H48" s="3470"/>
      <c r="I48" s="3497"/>
      <c r="J48" s="3467"/>
      <c r="K48" s="2574"/>
      <c r="L48" s="2575"/>
      <c r="P48" s="3468"/>
      <c r="Q48" s="3468"/>
      <c r="R48" s="1567"/>
      <c r="S48" s="2489"/>
      <c r="T48" s="1498" t="s">
        <v>504</v>
      </c>
      <c r="U48" s="1578"/>
      <c r="V48" s="1578"/>
      <c r="W48" s="1578"/>
      <c r="X48" s="1578"/>
      <c r="Y48" s="1578"/>
      <c r="Z48" s="1578"/>
      <c r="AA48" s="1578"/>
      <c r="AB48" s="1578"/>
      <c r="AC48" s="1578"/>
      <c r="AD48" s="1578"/>
      <c r="AE48" s="1578"/>
      <c r="AF48" s="1578"/>
      <c r="AG48" s="1578"/>
      <c r="AH48" s="1578"/>
      <c r="AI48" s="1578"/>
      <c r="AJ48" s="1578"/>
      <c r="AK48" s="2469" t="s">
        <v>505</v>
      </c>
      <c r="AM48" s="1711"/>
      <c r="AN48" s="1711" t="str">
        <f>IF(T48="","",T48)</f>
        <v>Добавить значение признака дифференциации</v>
      </c>
      <c r="AO48" s="1711"/>
      <c r="AP48" s="1711"/>
      <c r="AQ48" s="2366">
        <v>20</v>
      </c>
    </row>
    <row customHeight="1" ht="22.049999999999997">
      <c r="A49" s="2574" t="s">
        <v>284</v>
      </c>
      <c r="B49" s="2574" t="s">
        <v>285</v>
      </c>
      <c r="C49" s="2574" t="s">
        <v>286</v>
      </c>
      <c r="D49" s="2574" t="s">
        <v>538</v>
      </c>
      <c r="E49" s="3470"/>
      <c r="F49" s="3470"/>
      <c r="G49" s="3470"/>
      <c r="H49" s="3470"/>
      <c r="I49" s="3467"/>
      <c r="J49" s="2574"/>
      <c r="K49" s="2574"/>
      <c r="L49" s="2575"/>
      <c r="P49" s="3468"/>
      <c r="Q49" s="2692"/>
      <c r="R49" s="1567"/>
      <c r="S49" s="2489"/>
      <c r="T49" s="1576" t="s">
        <v>430</v>
      </c>
      <c r="U49" s="1578"/>
      <c r="V49" s="1578"/>
      <c r="W49" s="1578"/>
      <c r="X49" s="1578"/>
      <c r="Y49" s="1578"/>
      <c r="Z49" s="1578"/>
      <c r="AA49" s="1578"/>
      <c r="AB49" s="1577"/>
      <c r="AC49" s="1578"/>
      <c r="AD49" s="1578"/>
      <c r="AE49" s="1578"/>
      <c r="AF49" s="1578"/>
      <c r="AG49" s="1578"/>
      <c r="AH49" s="1578"/>
      <c r="AI49" s="1577"/>
      <c r="AJ49" s="1578"/>
      <c r="AK49" s="2651"/>
      <c r="AM49" s="1711"/>
      <c r="AN49" s="1711" t="str">
        <f>IF(T49="","",T49)</f>
        <v>Добавить группу потребителей</v>
      </c>
      <c r="AO49" s="1711"/>
      <c r="AP49" s="1711"/>
      <c r="AQ49" s="2366">
        <v>21</v>
      </c>
    </row>
    <row customHeight="1" ht="22.049999999999997">
      <c r="A50" s="2574" t="s">
        <v>284</v>
      </c>
      <c r="B50" s="2574" t="s">
        <v>285</v>
      </c>
      <c r="C50" s="2574" t="s">
        <v>286</v>
      </c>
      <c r="D50" s="2574" t="s">
        <v>538</v>
      </c>
      <c r="E50" s="3470"/>
      <c r="F50" s="3470"/>
      <c r="G50" s="3470"/>
      <c r="H50" s="3469"/>
      <c r="I50" s="2574"/>
      <c r="J50" s="2574"/>
      <c r="K50" s="2574"/>
      <c r="L50" s="2575"/>
      <c r="M50" s="2576"/>
      <c r="N50" s="2576"/>
      <c r="O50" s="1748"/>
      <c r="P50" s="1571"/>
      <c r="Q50" s="1586"/>
      <c r="R50" s="1566"/>
      <c r="S50" s="2489"/>
      <c r="T50" s="1583" t="s">
        <v>506</v>
      </c>
      <c r="U50" s="1578"/>
      <c r="V50" s="1578"/>
      <c r="W50" s="1578"/>
      <c r="X50" s="1578"/>
      <c r="Y50" s="1578"/>
      <c r="Z50" s="1578"/>
      <c r="AA50" s="1578"/>
      <c r="AB50" s="1577"/>
      <c r="AC50" s="1578"/>
      <c r="AD50" s="1578"/>
      <c r="AE50" s="1578"/>
      <c r="AF50" s="1578"/>
      <c r="AG50" s="1578"/>
      <c r="AH50" s="1578"/>
      <c r="AI50" s="1577"/>
      <c r="AJ50" s="1578"/>
      <c r="AK50" s="1514"/>
      <c r="AM50" s="1711"/>
      <c r="AN50" s="1711" t="str">
        <f>IF(T50="","",T50)</f>
        <v>Добавить наименование признака дифференциации</v>
      </c>
      <c r="AO50" s="1711"/>
      <c r="AP50" s="1711"/>
      <c r="AQ50" s="2366">
        <v>21</v>
      </c>
    </row>
    <row s="65923" customFormat="1" customHeight="1" ht="0">
      <c r="A51" s="2554" t="s">
        <v>284</v>
      </c>
      <c r="B51" s="2554" t="s">
        <v>285</v>
      </c>
      <c r="C51" s="2525"/>
      <c r="D51" s="2525"/>
      <c r="E51" s="3470"/>
      <c r="F51" s="3469"/>
      <c r="G51" s="2525"/>
      <c r="H51" s="2525"/>
      <c r="I51" s="2525"/>
      <c r="J51" s="2525"/>
      <c r="K51" s="2525"/>
      <c r="L51" s="2705"/>
      <c r="M51" s="2532"/>
      <c r="N51" s="2532"/>
      <c r="P51" s="2527"/>
      <c r="Q51" s="2528"/>
      <c r="R51" s="2527"/>
      <c r="S51" s="2533"/>
      <c r="T51" s="2536" t="s">
        <v>433</v>
      </c>
      <c r="U51" s="2535"/>
      <c r="V51" s="2535"/>
      <c r="W51" s="2535"/>
      <c r="X51" s="2535"/>
      <c r="Y51" s="2535"/>
      <c r="Z51" s="2535"/>
      <c r="AA51" s="2535"/>
      <c r="AB51" s="2535"/>
      <c r="AC51" s="2535"/>
      <c r="AD51" s="2535"/>
      <c r="AE51" s="2535"/>
      <c r="AF51" s="2535"/>
      <c r="AG51" s="2535"/>
      <c r="AH51" s="2535"/>
      <c r="AI51" s="2535"/>
      <c r="AJ51" s="2535"/>
      <c r="AK51" s="2535"/>
      <c r="AM51" s="2000"/>
      <c r="AN51" s="2000" t="str">
        <f>IF(T51="","",T51)</f>
        <v>Добавить централизованную систему для дифференциации</v>
      </c>
      <c r="AO51" s="2000"/>
      <c r="AP51" s="2000"/>
      <c r="AQ51" s="1729">
        <v>0</v>
      </c>
    </row>
    <row s="65923" customFormat="1" customHeight="1" ht="0">
      <c r="A52" s="2554" t="s">
        <v>284</v>
      </c>
      <c r="B52" s="2554"/>
      <c r="C52" s="2554"/>
      <c r="D52" s="2554"/>
      <c r="E52" s="3469"/>
      <c r="F52" s="2554"/>
      <c r="G52" s="2554"/>
      <c r="H52" s="2554"/>
      <c r="I52" s="2554"/>
      <c r="J52" s="2554"/>
      <c r="K52" s="2554"/>
      <c r="L52" s="2557"/>
      <c r="M52" s="2532"/>
      <c r="N52" s="2532"/>
      <c r="O52" s="1729"/>
      <c r="P52" s="1591"/>
      <c r="Q52" s="2555"/>
      <c r="R52" s="1591"/>
      <c r="S52" s="2533"/>
      <c r="T52" s="2536" t="s">
        <v>434</v>
      </c>
      <c r="U52" s="2535"/>
      <c r="V52" s="2535"/>
      <c r="W52" s="2535"/>
      <c r="X52" s="2535"/>
      <c r="Y52" s="2535"/>
      <c r="Z52" s="2535"/>
      <c r="AA52" s="2535"/>
      <c r="AB52" s="2535"/>
      <c r="AC52" s="2535"/>
      <c r="AD52" s="2535"/>
      <c r="AE52" s="2535"/>
      <c r="AF52" s="2535"/>
      <c r="AG52" s="2535"/>
      <c r="AH52" s="2535"/>
      <c r="AI52" s="2535"/>
      <c r="AJ52" s="2535"/>
      <c r="AK52" s="2535"/>
      <c r="AM52" s="1711"/>
      <c r="AN52" s="1711" t="str">
        <f>IF(T52="","",T52)</f>
        <v>Добавить территорию для дифференциации</v>
      </c>
      <c r="AO52" s="1711"/>
      <c r="AP52" s="1711"/>
      <c r="AQ52" s="1722">
        <v>0</v>
      </c>
    </row>
    <row s="65923" customFormat="1" customHeight="1" ht="0">
      <c r="A53" s="2525"/>
      <c r="B53" s="2525"/>
      <c r="C53" s="2525"/>
      <c r="D53" s="2525"/>
      <c r="E53" s="2554"/>
      <c r="F53" s="2525"/>
      <c r="G53" s="2525"/>
      <c r="H53" s="2525"/>
      <c r="I53" s="2525"/>
      <c r="J53" s="2525"/>
      <c r="K53" s="2525"/>
      <c r="L53" s="2705"/>
      <c r="M53" s="2532"/>
      <c r="N53" s="2532"/>
      <c r="P53" s="2527"/>
      <c r="Q53" s="2528"/>
      <c r="R53" s="2527"/>
      <c r="S53" s="2533"/>
      <c r="T53" s="2536" t="s">
        <v>466</v>
      </c>
      <c r="U53" s="2535"/>
      <c r="V53" s="2535"/>
      <c r="W53" s="2535"/>
      <c r="X53" s="2535"/>
      <c r="Y53" s="2535"/>
      <c r="Z53" s="2535"/>
      <c r="AA53" s="2535"/>
      <c r="AB53" s="2535"/>
      <c r="AC53" s="2535"/>
      <c r="AD53" s="2535"/>
      <c r="AE53" s="2535"/>
      <c r="AF53" s="2535"/>
      <c r="AG53" s="2535"/>
      <c r="AH53" s="2535"/>
      <c r="AI53" s="2535"/>
      <c r="AJ53" s="2535"/>
      <c r="AK53" s="2535"/>
      <c r="AM53" s="2000"/>
      <c r="AN53" s="2000" t="str">
        <f>IF(T53="","",T53)</f>
        <v>Добавить наименование тарифа</v>
      </c>
      <c r="AO53" s="2000"/>
      <c r="AP53" s="2000"/>
      <c r="AQ53" s="1729">
        <v>0</v>
      </c>
    </row>
    <row customHeight="1" ht="11.549999999999999">
      <c r="M54" s="2371"/>
      <c r="N54" s="2371"/>
      <c r="O54" s="1748"/>
      <c r="P54" s="2366"/>
      <c r="Q54" s="2366"/>
      <c r="R54" s="2366"/>
      <c r="S54" s="2366"/>
      <c r="AL54" s="2366"/>
      <c r="AM54" s="2366"/>
      <c r="AN54" s="2366"/>
      <c r="AO54" s="2366"/>
      <c r="AP54" s="2366"/>
      <c r="AQ54" s="2366">
        <v>11</v>
      </c>
    </row>
    <row customHeight="1" ht="14.699999999999998">
      <c r="O55" s="1748"/>
      <c r="S55" s="2464"/>
      <c r="T55" s="3496"/>
      <c r="U55" s="3496"/>
      <c r="V55" s="3496"/>
      <c r="W55" s="3496"/>
      <c r="X55" s="3496"/>
      <c r="Y55" s="3496"/>
      <c r="Z55" s="3496"/>
      <c r="AA55" s="3496"/>
      <c r="AB55" s="3496"/>
      <c r="AC55" s="3496"/>
      <c r="AD55" s="3496"/>
      <c r="AE55" s="3496"/>
      <c r="AF55" s="3496"/>
      <c r="AG55" s="3496"/>
      <c r="AH55" s="3496"/>
      <c r="AI55" s="3496"/>
      <c r="AJ55" s="3496"/>
      <c r="AK55" s="3496"/>
      <c r="AQ55" s="2366">
        <v>14</v>
      </c>
    </row>
    <row customHeight="1" ht="14.699999999999998">
      <c r="O56" s="1748"/>
      <c r="AQ56" s="2366">
        <v>14</v>
      </c>
    </row>
    <row customHeight="1" ht="14.699999999999998">
      <c r="O57" s="1748"/>
      <c r="S57" s="2464"/>
      <c r="T57" s="3496"/>
      <c r="U57" s="3496"/>
      <c r="V57" s="3496"/>
      <c r="W57" s="3496"/>
      <c r="X57" s="3496"/>
      <c r="Y57" s="3496"/>
      <c r="Z57" s="3496"/>
      <c r="AA57" s="3496"/>
      <c r="AB57" s="3496"/>
      <c r="AC57" s="3496"/>
      <c r="AD57" s="3496"/>
      <c r="AE57" s="3496"/>
      <c r="AF57" s="3496"/>
      <c r="AG57" s="3496"/>
      <c r="AH57" s="3496"/>
      <c r="AI57" s="3496"/>
      <c r="AJ57" s="3496"/>
      <c r="AK57" s="3496"/>
      <c r="AQ57" s="2366">
        <v>14</v>
      </c>
    </row>
    <row customHeight="1" ht="22.5" hidden="1">
      <c r="A58" s="2371" t="s">
        <v>82</v>
      </c>
      <c r="B58" s="2371">
        <v>0</v>
      </c>
      <c r="C58" s="2371">
        <v>0</v>
      </c>
      <c r="D58" s="2371">
        <v>0</v>
      </c>
      <c r="E58" s="2371">
        <v>0</v>
      </c>
      <c r="F58" s="2371">
        <v>0</v>
      </c>
      <c r="G58" s="2371">
        <v>0</v>
      </c>
      <c r="H58" s="2371">
        <v>0</v>
      </c>
      <c r="I58" s="2371">
        <v>0</v>
      </c>
      <c r="J58" s="2371">
        <v>0</v>
      </c>
      <c r="K58" s="2371">
        <v>0</v>
      </c>
      <c r="L58" s="2689">
        <v>0</v>
      </c>
      <c r="M58" s="2573">
        <v>0</v>
      </c>
      <c r="N58" s="2573">
        <v>0</v>
      </c>
      <c r="O58" s="2573">
        <v>0</v>
      </c>
      <c r="P58" s="2684">
        <v>3</v>
      </c>
      <c r="Q58" s="1555">
        <v>3</v>
      </c>
      <c r="R58" s="1555">
        <v>3</v>
      </c>
      <c r="S58" s="1792">
        <v>12</v>
      </c>
      <c r="T58" s="2366">
        <v>35</v>
      </c>
      <c r="U58" s="2366">
        <v>0</v>
      </c>
      <c r="V58" s="2366">
        <v>0</v>
      </c>
      <c r="W58" s="2366">
        <v>0</v>
      </c>
      <c r="X58" s="2366">
        <v>0</v>
      </c>
      <c r="Y58" s="2366">
        <v>0</v>
      </c>
      <c r="Z58" s="2366">
        <v>0</v>
      </c>
      <c r="AA58" s="2366">
        <v>0</v>
      </c>
      <c r="AB58" s="2366">
        <v>0</v>
      </c>
      <c r="AC58" s="2366">
        <v>24</v>
      </c>
      <c r="AD58" s="2366">
        <v>24</v>
      </c>
      <c r="AE58" s="2366">
        <v>24</v>
      </c>
      <c r="AF58" s="2366">
        <v>11</v>
      </c>
      <c r="AG58" s="2366">
        <v>3</v>
      </c>
      <c r="AH58" s="2366">
        <v>11</v>
      </c>
      <c r="AI58" s="2366">
        <v>0</v>
      </c>
      <c r="AJ58" s="2366">
        <v>4</v>
      </c>
      <c r="AK58" s="2366">
        <v>115</v>
      </c>
      <c r="AL58" s="1722">
        <v>10</v>
      </c>
      <c r="AM58" s="1722">
        <v>10</v>
      </c>
      <c r="AN58" s="1722">
        <v>10</v>
      </c>
      <c r="AO58" s="1722">
        <v>10</v>
      </c>
      <c r="AP58" s="1722">
        <v>10</v>
      </c>
      <c r="AQ58" s="23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35985E-8873-79D2-25D1-E10E74B04F6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4" style="66903" width="24.7109375" hidden="1" customWidth="1"/>
    <col min="25" max="25" style="66903" width="11.7109375" hidden="1" customWidth="1"/>
    <col min="26" max="26" style="66903" width="3.7109375" hidden="1" customWidth="1"/>
    <col min="27" max="27" style="66903" width="11.7109375" hidden="1" customWidth="1"/>
    <col min="28" max="28" style="66903" width="8.57421875" hidden="1" customWidth="1"/>
    <col min="29" max="29" style="66903" width="24.7109375" customWidth="1"/>
    <col min="30" max="31" style="66903" width="24.00390625" customWidth="1"/>
    <col min="32" max="32" style="66903" width="11.00390625" customWidth="1"/>
    <col min="33" max="33" style="66903" width="3.7109375" customWidth="1"/>
    <col min="34" max="34" style="66903" width="11.00390625" customWidth="1"/>
    <col min="35" max="35" style="66903" width="8.57421875" hidden="1" customWidth="1"/>
    <col min="36" max="36" style="66903" width="4.00390625" customWidth="1"/>
    <col min="37" max="37" style="66903" width="115.00390625" customWidth="1"/>
    <col min="38" max="42" style="65923" width="10.00390625" customWidth="1"/>
    <col min="43" max="43" style="66903" width="10.57421875" hidden="1"/>
  </cols>
  <sheetData>
    <row customHeight="1" ht="22.5" hidden="1">
      <c r="X1" s="1538"/>
      <c r="Y1" s="1538"/>
      <c r="AE1" s="1538"/>
      <c r="AF1" s="1538"/>
      <c r="AQ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704">
        <f>INDEX(PT_DIFFERENTIATION_NUM_NTAR,MATCH(A2,PT_DIFFERENTIATION_NTAR_ID,0))</f>
      </c>
      <c r="T2" s="1509" t="s">
        <v>143</v>
      </c>
      <c r="U2" s="1511"/>
      <c r="V2" s="3453"/>
      <c r="W2" s="3454"/>
      <c r="X2" s="3454"/>
      <c r="Y2" s="3454"/>
      <c r="Z2" s="3454"/>
      <c r="AA2" s="3454"/>
      <c r="AB2" s="3455"/>
      <c r="AC2" s="3453">
        <f>INDEX(PT_DIFFERENTIATION_NTAR,MATCH(A2,PT_DIFFERENTIATION_NTAR_ID,0))</f>
      </c>
      <c r="AD2" s="3454"/>
      <c r="AE2" s="3454"/>
      <c r="AF2" s="3454"/>
      <c r="AG2" s="3454"/>
      <c r="AH2" s="3454"/>
      <c r="AI2" s="3454"/>
      <c r="AJ2" s="3455"/>
      <c r="AK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711"/>
      <c r="AN2" s="1711" t="str">
        <f>IF(T2="","",T2)</f>
        <v>Наименование тарифа</v>
      </c>
      <c r="AO2" s="1711"/>
      <c r="AP2" s="1711"/>
      <c r="AQ2" s="2366">
        <v>0</v>
      </c>
    </row>
    <row customHeight="1" ht="23.25" hidden="1">
      <c r="A3" s="2574"/>
      <c r="B3" s="2574"/>
      <c r="C3" s="2574"/>
      <c r="D3" s="2574"/>
      <c r="E3" s="3470"/>
      <c r="F3" s="3469">
        <v>1</v>
      </c>
      <c r="G3" s="2574"/>
      <c r="H3" s="2574"/>
      <c r="I3" s="2574"/>
      <c r="J3" s="2574"/>
      <c r="K3" s="2574"/>
      <c r="L3" s="2575"/>
      <c r="M3" s="2576"/>
      <c r="N3" s="2576"/>
      <c r="O3" s="2576"/>
      <c r="P3" s="2698"/>
      <c r="Q3" s="1563"/>
      <c r="R3" s="1564"/>
      <c r="S3" s="2704">
        <f>INDEX(PT_DIFFERENTIATION_NUM_TER,MATCH(B3,PT_DIFFERENTIATION_TER_ID,0))</f>
      </c>
      <c r="T3" s="1519" t="s">
        <v>415</v>
      </c>
      <c r="U3" s="1511"/>
      <c r="V3" s="3453"/>
      <c r="W3" s="3454"/>
      <c r="X3" s="3454"/>
      <c r="Y3" s="3454"/>
      <c r="Z3" s="3454"/>
      <c r="AA3" s="3454"/>
      <c r="AB3" s="3455"/>
      <c r="AC3" s="3453">
        <f>INDEX(PT_DIFFERENTIATION_TER,MATCH(B3,PT_DIFFERENTIATION_TER_ID,0))</f>
      </c>
      <c r="AD3" s="3454"/>
      <c r="AE3" s="3454"/>
      <c r="AF3" s="3454"/>
      <c r="AG3" s="3454"/>
      <c r="AH3" s="3454"/>
      <c r="AI3" s="3454"/>
      <c r="AJ3" s="3455"/>
      <c r="AK3" s="2469" t="s">
        <v>416</v>
      </c>
      <c r="AM3" s="1711"/>
      <c r="AN3" s="1711" t="str">
        <f>IF(T3="","",T3)</f>
        <v>Территория действия тарифа</v>
      </c>
      <c r="AO3" s="1711"/>
      <c r="AP3" s="1711"/>
      <c r="AQ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704">
        <f>INDEX(PT_DIFFERENTIATION_NUM_CS,MATCH(C4,PT_DIFFERENTIATION_CS_ID,0))</f>
      </c>
      <c r="T4" s="1520" t="s">
        <v>534</v>
      </c>
      <c r="U4" s="1511"/>
      <c r="V4" s="3453"/>
      <c r="W4" s="3454"/>
      <c r="X4" s="3454"/>
      <c r="Y4" s="3454"/>
      <c r="Z4" s="3454"/>
      <c r="AA4" s="3454"/>
      <c r="AB4" s="3455"/>
      <c r="AC4" s="3453">
        <f>INDEX(PT_DIFFERENTIATION_CS,MATCH(C4,PT_DIFFERENTIATION_CS_ID,0))</f>
      </c>
      <c r="AD4" s="3454"/>
      <c r="AE4" s="3454"/>
      <c r="AF4" s="3454"/>
      <c r="AG4" s="3454"/>
      <c r="AH4" s="3454"/>
      <c r="AI4" s="3454"/>
      <c r="AJ4" s="3455"/>
      <c r="AK4" s="2469" t="s">
        <v>535</v>
      </c>
      <c r="AM4" s="1711"/>
      <c r="AN4" s="1711" t="str">
        <f>IF(T4="","",T4)</f>
        <v>Наименование централизованной системы водоотведения</v>
      </c>
      <c r="AO4" s="1711"/>
      <c r="AP4" s="1711"/>
      <c r="AQ4" s="2366">
        <v>0</v>
      </c>
    </row>
    <row customHeight="1" ht="23.25" hidden="1">
      <c r="A5" s="2574"/>
      <c r="B5" s="2574"/>
      <c r="C5" s="2574"/>
      <c r="D5" s="2574"/>
      <c r="E5" s="3470"/>
      <c r="F5" s="3470"/>
      <c r="G5" s="3470"/>
      <c r="H5" s="3470"/>
      <c r="I5" s="3467">
        <f>S4&amp;".1"</f>
      </c>
      <c r="J5" s="2574"/>
      <c r="K5" s="2574"/>
      <c r="L5" s="2575"/>
      <c r="P5" s="3468">
        <v>1</v>
      </c>
      <c r="Q5" s="2692"/>
      <c r="R5" s="1567"/>
      <c r="S5" s="2704">
        <f>$I5</f>
      </c>
      <c r="T5" s="1496" t="s">
        <v>501</v>
      </c>
      <c r="U5" s="1511"/>
      <c r="V5" s="3561"/>
      <c r="W5" s="3562"/>
      <c r="X5" s="3562"/>
      <c r="Y5" s="3562"/>
      <c r="Z5" s="3562"/>
      <c r="AA5" s="3562"/>
      <c r="AB5" s="3563"/>
      <c r="AC5" s="3564"/>
      <c r="AD5" s="3565"/>
      <c r="AE5" s="3565"/>
      <c r="AF5" s="3565"/>
      <c r="AG5" s="3565"/>
      <c r="AH5" s="3565"/>
      <c r="AI5" s="3565"/>
      <c r="AJ5" s="3566"/>
      <c r="AK5" s="2469" t="s">
        <v>502</v>
      </c>
      <c r="AM5" s="1711"/>
      <c r="AN5" s="1711" t="str">
        <f>IF(T5="","",T5)</f>
        <v>Наименование признака дифференциации</v>
      </c>
      <c r="AO5" s="1711"/>
      <c r="AP5" s="1711"/>
      <c r="AQ5" s="2366">
        <v>0</v>
      </c>
    </row>
    <row customHeight="1" ht="23.25" hidden="1">
      <c r="A6" s="2574"/>
      <c r="B6" s="2574"/>
      <c r="C6" s="2574"/>
      <c r="D6" s="2574"/>
      <c r="E6" s="3470"/>
      <c r="F6" s="3470"/>
      <c r="G6" s="3470"/>
      <c r="H6" s="3470"/>
      <c r="I6" s="3497"/>
      <c r="J6" s="3467">
        <f>I5&amp;".1"</f>
      </c>
      <c r="K6" s="2574"/>
      <c r="L6" s="2575" t="s">
        <v>424</v>
      </c>
      <c r="P6" s="3468"/>
      <c r="Q6" s="3468">
        <v>1</v>
      </c>
      <c r="R6" s="1568"/>
      <c r="S6" s="2704">
        <f>$J6</f>
      </c>
      <c r="T6" s="1497" t="s">
        <v>425</v>
      </c>
      <c r="U6" s="1511"/>
      <c r="V6" s="3456"/>
      <c r="W6" s="3457"/>
      <c r="X6" s="3457"/>
      <c r="Y6" s="3457"/>
      <c r="Z6" s="3457"/>
      <c r="AA6" s="3457"/>
      <c r="AB6" s="3458"/>
      <c r="AC6" s="3456"/>
      <c r="AD6" s="3457"/>
      <c r="AE6" s="3457"/>
      <c r="AF6" s="3457"/>
      <c r="AG6" s="3457"/>
      <c r="AH6" s="3457"/>
      <c r="AI6" s="3457"/>
      <c r="AJ6" s="3458"/>
      <c r="AK6" s="2518" t="s">
        <v>503</v>
      </c>
      <c r="AM6" s="1711"/>
      <c r="AN6" s="1711" t="str">
        <f>IF(T6="","",T6)</f>
        <v>Группа потребителей</v>
      </c>
      <c r="AO6" s="1711"/>
      <c r="AP6" s="1711"/>
      <c r="AQ6" s="2366">
        <v>0</v>
      </c>
    </row>
    <row customHeight="1" ht="23.25" hidden="1">
      <c r="A7" s="2574"/>
      <c r="B7" s="2574"/>
      <c r="C7" s="2574"/>
      <c r="D7" s="2574"/>
      <c r="E7" s="3470"/>
      <c r="F7" s="3470"/>
      <c r="G7" s="3470"/>
      <c r="H7" s="3470"/>
      <c r="I7" s="3497"/>
      <c r="J7" s="3497"/>
      <c r="K7" s="3467">
        <f>J6&amp;".1"</f>
      </c>
      <c r="L7" s="2575"/>
      <c r="P7" s="3468"/>
      <c r="Q7" s="3468"/>
      <c r="R7" s="1568">
        <v>1</v>
      </c>
      <c r="S7" s="2704">
        <f>$K7</f>
      </c>
      <c r="T7" s="2648"/>
      <c r="U7" s="1511"/>
      <c r="V7" s="1962"/>
      <c r="W7" s="1962"/>
      <c r="X7" s="2468"/>
      <c r="Y7" s="3476"/>
      <c r="Z7" s="3318" t="s">
        <v>62</v>
      </c>
      <c r="AA7" s="3476"/>
      <c r="AB7" s="3318" t="s">
        <v>62</v>
      </c>
      <c r="AC7" s="1962"/>
      <c r="AD7" s="1962"/>
      <c r="AE7" s="2468"/>
      <c r="AF7" s="3476"/>
      <c r="AG7" s="3318" t="s">
        <v>62</v>
      </c>
      <c r="AH7" s="3498"/>
      <c r="AI7" s="3318" t="s">
        <v>62</v>
      </c>
      <c r="AJ7" s="2649"/>
      <c r="AK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1722">
        <f>STRCHECKDATE(V8:AJ8)</f>
      </c>
      <c r="AM7" s="1711"/>
      <c r="AN7" s="1711" t="str">
        <f>IF(T7="","",T7)</f>
        <v/>
      </c>
      <c r="AO7" s="1711"/>
      <c r="AP7" s="1711"/>
      <c r="AQ7" s="2366">
        <v>0</v>
      </c>
    </row>
    <row customHeight="1" ht="14.25" hidden="1">
      <c r="A8" s="2574"/>
      <c r="B8" s="2574"/>
      <c r="C8" s="2574"/>
      <c r="D8" s="2574"/>
      <c r="E8" s="3470"/>
      <c r="F8" s="3470"/>
      <c r="G8" s="3470"/>
      <c r="H8" s="3470"/>
      <c r="I8" s="3497"/>
      <c r="J8" s="3497"/>
      <c r="K8" s="3467"/>
      <c r="L8" s="2575"/>
      <c r="P8" s="3468"/>
      <c r="Q8" s="3468"/>
      <c r="R8" s="1568"/>
      <c r="S8" s="2701"/>
      <c r="T8" s="1511"/>
      <c r="U8" s="1511"/>
      <c r="V8" s="1536"/>
      <c r="W8" s="1536"/>
      <c r="X8" s="1539" t="str">
        <f>Y7&amp;"-"&amp;AA7</f>
        <v>-</v>
      </c>
      <c r="Y8" s="3477"/>
      <c r="Z8" s="3318"/>
      <c r="AA8" s="3477"/>
      <c r="AB8" s="3318"/>
      <c r="AC8" s="1536"/>
      <c r="AD8" s="1536"/>
      <c r="AE8" s="1539" t="str">
        <f>AF7&amp;"-"&amp;AH7</f>
        <v>-</v>
      </c>
      <c r="AF8" s="3477"/>
      <c r="AG8" s="3318"/>
      <c r="AH8" s="3499"/>
      <c r="AI8" s="3318"/>
      <c r="AJ8" s="2650"/>
      <c r="AK8" s="3560"/>
      <c r="AM8" s="1711"/>
      <c r="AN8" s="1711" t="str">
        <f>IF(T8="","",T8)</f>
        <v/>
      </c>
      <c r="AO8" s="1711"/>
      <c r="AP8" s="1711"/>
      <c r="AQ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578"/>
      <c r="X9" s="1578"/>
      <c r="Y9" s="1578"/>
      <c r="Z9" s="1578"/>
      <c r="AA9" s="1578"/>
      <c r="AB9" s="1578"/>
      <c r="AC9" s="1578"/>
      <c r="AD9" s="1578"/>
      <c r="AE9" s="1578"/>
      <c r="AF9" s="1578"/>
      <c r="AG9" s="1578"/>
      <c r="AH9" s="1578"/>
      <c r="AI9" s="1578"/>
      <c r="AJ9" s="1578"/>
      <c r="AK9" s="2469" t="s">
        <v>505</v>
      </c>
      <c r="AM9" s="1711"/>
      <c r="AN9" s="1711" t="str">
        <f>IF(T9="","",T9)</f>
        <v>Добавить значение признака дифференциации</v>
      </c>
      <c r="AO9" s="1711"/>
      <c r="AP9" s="1711"/>
      <c r="AQ9" s="2366">
        <v>0</v>
      </c>
    </row>
    <row customHeight="1" ht="21" hidden="1">
      <c r="A10" s="2574"/>
      <c r="B10" s="2574"/>
      <c r="C10" s="2574"/>
      <c r="D10" s="2574"/>
      <c r="E10" s="3470"/>
      <c r="F10" s="3470"/>
      <c r="G10" s="3470"/>
      <c r="H10" s="3470"/>
      <c r="I10" s="3467"/>
      <c r="J10" s="2574"/>
      <c r="K10" s="2574"/>
      <c r="L10" s="2575"/>
      <c r="P10" s="3468"/>
      <c r="Q10" s="2692"/>
      <c r="R10" s="1567"/>
      <c r="S10" s="2489"/>
      <c r="T10" s="1576" t="s">
        <v>430</v>
      </c>
      <c r="U10" s="1578"/>
      <c r="V10" s="1578"/>
      <c r="W10" s="1578"/>
      <c r="X10" s="1578"/>
      <c r="Y10" s="1578"/>
      <c r="Z10" s="1578"/>
      <c r="AA10" s="1578"/>
      <c r="AB10" s="1577"/>
      <c r="AC10" s="1578"/>
      <c r="AD10" s="1578"/>
      <c r="AE10" s="1578"/>
      <c r="AF10" s="1578"/>
      <c r="AG10" s="1578"/>
      <c r="AH10" s="1578"/>
      <c r="AI10" s="1577"/>
      <c r="AJ10" s="1578"/>
      <c r="AK10" s="2651"/>
      <c r="AM10" s="1711"/>
      <c r="AN10" s="1711" t="str">
        <f>IF(T10="","",T10)</f>
        <v>Добавить группу потребителей</v>
      </c>
      <c r="AO10" s="1711"/>
      <c r="AP10" s="1711"/>
      <c r="AQ10" s="2366">
        <v>0</v>
      </c>
    </row>
    <row customHeight="1" ht="21"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578"/>
      <c r="X11" s="1578"/>
      <c r="Y11" s="1578"/>
      <c r="Z11" s="1578"/>
      <c r="AA11" s="1578"/>
      <c r="AB11" s="1577"/>
      <c r="AC11" s="1578"/>
      <c r="AD11" s="1578"/>
      <c r="AE11" s="1578"/>
      <c r="AF11" s="1578"/>
      <c r="AG11" s="1578"/>
      <c r="AH11" s="1578"/>
      <c r="AI11" s="1577"/>
      <c r="AJ11" s="1578"/>
      <c r="AK11" s="1514"/>
      <c r="AM11" s="1711"/>
      <c r="AN11" s="1711" t="str">
        <f>IF(T11="","",T11)</f>
        <v>Добавить наименование признака дифференциации</v>
      </c>
      <c r="AO11" s="1711"/>
      <c r="AP11" s="1711"/>
      <c r="AQ11" s="2366">
        <v>0</v>
      </c>
    </row>
    <row s="65923" customFormat="1" customHeight="1" ht="14.25" hidden="1">
      <c r="A12" s="2554"/>
      <c r="B12" s="2554"/>
      <c r="C12" s="2525"/>
      <c r="D12" s="2525"/>
      <c r="E12" s="3470"/>
      <c r="F12" s="3469"/>
      <c r="G12" s="2525"/>
      <c r="H12" s="2525"/>
      <c r="I12" s="2525"/>
      <c r="J12" s="2525"/>
      <c r="K12" s="2525"/>
      <c r="L12" s="2705"/>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M12" s="2000"/>
      <c r="AN12" s="2000" t="str">
        <f>IF(T12="","",T12)</f>
        <v>Добавить централизованную систему для дифференциации</v>
      </c>
      <c r="AO12" s="2000"/>
      <c r="AP12" s="2000"/>
      <c r="AQ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M13" s="1711"/>
      <c r="AN13" s="1711" t="str">
        <f>IF(T13="","",T13)</f>
        <v>Добавить территорию для дифференциации</v>
      </c>
      <c r="AO13" s="1711"/>
      <c r="AP13" s="1711"/>
      <c r="AQ13" s="1722">
        <v>0</v>
      </c>
    </row>
    <row customHeight="1" ht="14.25" hidden="1">
      <c r="AB14" s="1538"/>
      <c r="AI14" s="1538"/>
      <c r="AQ14" s="2366">
        <v>0</v>
      </c>
    </row>
    <row customHeight="1" ht="14.25" hidden="1">
      <c r="AC15" s="2571"/>
      <c r="AD15" s="2571"/>
      <c r="AE15" s="2572"/>
      <c r="AF15" s="3478"/>
      <c r="AG15" s="3479" t="s">
        <v>62</v>
      </c>
      <c r="AH15" s="3478"/>
      <c r="AI15" s="3479" t="s">
        <v>62</v>
      </c>
      <c r="AQ15" s="2366">
        <v>0</v>
      </c>
    </row>
    <row customHeight="1" ht="14.25" hidden="1">
      <c r="AC16" s="2571"/>
      <c r="AD16" s="2571"/>
      <c r="AE16" s="1539" t="str">
        <f>AF15&amp;"-"&amp;AH15</f>
        <v>-</v>
      </c>
      <c r="AF16" s="3479"/>
      <c r="AG16" s="3479"/>
      <c r="AH16" s="3479"/>
      <c r="AI16" s="3479"/>
      <c r="AQ16" s="2366">
        <v>0</v>
      </c>
    </row>
    <row customHeight="1" ht="14.25" hidden="1">
      <c r="AI17" s="1538"/>
      <c r="AQ17" s="2366">
        <v>0</v>
      </c>
    </row>
    <row s="66852" customFormat="1" customHeight="1" ht="22.5" hidden="1">
      <c r="L18" s="2689"/>
      <c r="M18" s="2573"/>
      <c r="N18" s="2573"/>
      <c r="O18" s="2578" t="s">
        <v>435</v>
      </c>
      <c r="P18" s="2573"/>
      <c r="Q18" s="2582"/>
      <c r="R18" s="2582"/>
      <c r="S18" s="1940"/>
      <c r="Y18" s="2578"/>
      <c r="AA18" s="2578"/>
      <c r="AB18" s="2577"/>
      <c r="AF18" s="2578"/>
      <c r="AH18" s="2578"/>
      <c r="AI18" s="2577"/>
      <c r="AL18" s="1722"/>
      <c r="AM18" s="1722"/>
      <c r="AN18" s="1722"/>
      <c r="AO18" s="1722"/>
      <c r="AP18" s="1722"/>
      <c r="AQ18" s="2371">
        <v>0</v>
      </c>
    </row>
    <row s="66852" customFormat="1" customHeight="1" ht="14.25" hidden="1">
      <c r="L19" s="2689"/>
      <c r="M19" s="2573"/>
      <c r="N19" s="2573"/>
      <c r="O19" s="2573"/>
      <c r="P19" s="2573"/>
      <c r="Q19" s="2582"/>
      <c r="R19" s="2582"/>
      <c r="S19" s="1940"/>
      <c r="AB19" s="2577"/>
      <c r="AI19" s="2577"/>
      <c r="AL19" s="1722"/>
      <c r="AM19" s="1722"/>
      <c r="AN19" s="1722"/>
      <c r="AO19" s="1722"/>
      <c r="AP19" s="1722"/>
      <c r="AQ19" s="2371">
        <v>0</v>
      </c>
    </row>
    <row s="66852" customFormat="1" customHeight="1" ht="12" hidden="1">
      <c r="L20" s="2689"/>
      <c r="M20" s="2573"/>
      <c r="N20" s="2573"/>
      <c r="O20" s="2575" t="s">
        <v>436</v>
      </c>
      <c r="P20" s="2573"/>
      <c r="Q20" s="2653"/>
      <c r="R20" s="2653"/>
      <c r="S20" s="1940"/>
      <c r="T20" s="2371" t="s">
        <v>437</v>
      </c>
      <c r="Z20" s="1397" t="s">
        <v>438</v>
      </c>
      <c r="AB20" s="1397" t="s">
        <v>439</v>
      </c>
      <c r="AC20" s="2371" t="s">
        <v>437</v>
      </c>
      <c r="AG20" s="1397" t="s">
        <v>440</v>
      </c>
      <c r="AI20" s="1397" t="s">
        <v>439</v>
      </c>
      <c r="AQ20" s="2371">
        <v>0</v>
      </c>
    </row>
    <row customHeight="1" ht="14.25" hidden="1">
      <c r="O21" s="2575"/>
      <c r="AQ21" s="2366">
        <v>0</v>
      </c>
    </row>
    <row customHeight="1" ht="14.25" hidden="1">
      <c r="O22" s="2575"/>
      <c r="AQ22" s="2366">
        <v>0</v>
      </c>
    </row>
    <row customHeight="1" ht="14.699999999999998">
      <c r="Q23" s="1587"/>
      <c r="R23" s="1587"/>
      <c r="S23" s="2486"/>
      <c r="T23" s="1574"/>
      <c r="U23" s="1574"/>
      <c r="V23" s="1720"/>
      <c r="W23" s="1720"/>
      <c r="X23" s="1720"/>
      <c r="Y23" s="1720"/>
      <c r="Z23" s="1720"/>
      <c r="AA23" s="1720"/>
      <c r="AB23" s="1720"/>
      <c r="AC23" s="1720"/>
      <c r="AD23" s="1720"/>
      <c r="AE23" s="1720"/>
      <c r="AF23" s="1720"/>
      <c r="AG23" s="1720"/>
      <c r="AH23" s="1720"/>
      <c r="AI23" s="1720"/>
      <c r="AQ23" s="2366">
        <v>14</v>
      </c>
    </row>
    <row customHeight="1" ht="14.699999999999998">
      <c r="Q24" s="1587"/>
      <c r="R24" s="1587"/>
      <c r="S24" s="345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3459"/>
      <c r="U24" s="3459"/>
      <c r="V24" s="3459"/>
      <c r="W24" s="3459"/>
      <c r="X24" s="3459"/>
      <c r="Y24" s="3459"/>
      <c r="Z24" s="3459"/>
      <c r="AA24" s="3459"/>
      <c r="AB24" s="3459"/>
      <c r="AC24" s="3459"/>
      <c r="AD24" s="3459"/>
      <c r="AE24" s="3459"/>
      <c r="AF24" s="3459"/>
      <c r="AG24" s="3459"/>
      <c r="AH24" s="3459"/>
      <c r="AI24" s="2454"/>
      <c r="AQ24" s="2366">
        <v>14</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2454"/>
      <c r="AQ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720"/>
      <c r="AQ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1537"/>
      <c r="AC27" s="3462" t="str">
        <f>IF(TITLE_NAME_OR_PR_CHANGE="",IF(TITLE_NAME_OR_PR="","",TITLE_NAME_OR_PR),TITLE_NAME_OR_PR_CHANGE)</f>
        <v/>
      </c>
      <c r="AD27" s="3462"/>
      <c r="AE27" s="3462"/>
      <c r="AF27" s="3462"/>
      <c r="AG27" s="3462"/>
      <c r="AH27" s="3462"/>
      <c r="AI27" s="1537"/>
      <c r="AJ27" s="1537"/>
      <c r="AK27" s="1491"/>
      <c r="AL27" s="1579"/>
      <c r="AM27" s="1579"/>
      <c r="AN27" s="1579"/>
      <c r="AO27" s="1579"/>
      <c r="AP27" s="1579"/>
      <c r="AQ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1537"/>
      <c r="AC28" s="3475" t="str">
        <f>IF(TITLE_DATE_PR_CHANGE="",IF(TITLE_DATE_PR="","",TITLE_DATE_PR),TITLE_DATE_PR_CHANGE)</f>
        <v/>
      </c>
      <c r="AD28" s="3475"/>
      <c r="AE28" s="3475"/>
      <c r="AF28" s="3475"/>
      <c r="AG28" s="3475"/>
      <c r="AH28" s="3475"/>
      <c r="AI28" s="1537"/>
      <c r="AJ28" s="1537"/>
      <c r="AK28" s="1491"/>
      <c r="AL28" s="1579"/>
      <c r="AM28" s="1579"/>
      <c r="AN28" s="1579"/>
      <c r="AO28" s="1579"/>
      <c r="AP28" s="1579"/>
      <c r="AQ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1537"/>
      <c r="AC29" s="3462" t="str">
        <f>IF(TITLE_NUMBER_PR_CHANGE="",IF(TITLE_NUMBER_PR="","",TITLE_NUMBER_PR),TITLE_NUMBER_PR_CHANGE)</f>
        <v/>
      </c>
      <c r="AD29" s="3462"/>
      <c r="AE29" s="3462"/>
      <c r="AF29" s="3462"/>
      <c r="AG29" s="3462"/>
      <c r="AH29" s="3462"/>
      <c r="AI29" s="1537"/>
      <c r="AJ29" s="1537"/>
      <c r="AK29" s="1491"/>
      <c r="AL29" s="1579"/>
      <c r="AM29" s="1579"/>
      <c r="AN29" s="1579"/>
      <c r="AO29" s="1579"/>
      <c r="AP29" s="1579"/>
      <c r="AQ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1537"/>
      <c r="AC30" s="3462" t="str">
        <f>IF(TITLE_IST_PUB_CHANGE="",IF(TITLE_IST_PUB="","",TITLE_IST_PUB),TITLE_IST_PUB_CHANGE)</f>
        <v/>
      </c>
      <c r="AD30" s="3462"/>
      <c r="AE30" s="3462"/>
      <c r="AF30" s="3462"/>
      <c r="AG30" s="3462"/>
      <c r="AH30" s="3462"/>
      <c r="AI30" s="1537"/>
      <c r="AJ30" s="1537"/>
      <c r="AK30" s="1491"/>
      <c r="AL30" s="1579"/>
      <c r="AM30" s="1579"/>
      <c r="AN30" s="1579"/>
      <c r="AO30" s="1579"/>
      <c r="AP30" s="1579"/>
      <c r="AQ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720"/>
      <c r="AQ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1537"/>
      <c r="AC32" s="3475" t="str">
        <f>IF(TITLE_DATE_PR_CHANGE="",IF(TITLE_DATE_PR="","",TITLE_DATE_PR),TITLE_DATE_PR_CHANGE)</f>
        <v/>
      </c>
      <c r="AD32" s="3475"/>
      <c r="AE32" s="3475"/>
      <c r="AF32" s="3475"/>
      <c r="AG32" s="3475"/>
      <c r="AH32" s="3475"/>
      <c r="AI32" s="1537"/>
      <c r="AJ32" s="1537"/>
      <c r="AK32" s="1491"/>
      <c r="AL32" s="1579"/>
      <c r="AM32" s="1579"/>
      <c r="AN32" s="1579"/>
      <c r="AO32" s="1579"/>
      <c r="AP32" s="1579"/>
      <c r="AQ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1537"/>
      <c r="AC33" s="3462" t="str">
        <f>IF(TITLE_NUMBER_PR_CHANGE="",IF(TITLE_NUMBER_PR="","",TITLE_NUMBER_PR),TITLE_NUMBER_PR_CHANGE)</f>
        <v/>
      </c>
      <c r="AD33" s="3462"/>
      <c r="AE33" s="3462"/>
      <c r="AF33" s="3462"/>
      <c r="AG33" s="3462"/>
      <c r="AH33" s="3462"/>
      <c r="AI33" s="1537"/>
      <c r="AJ33" s="1537"/>
      <c r="AK33" s="1491"/>
      <c r="AL33" s="1579"/>
      <c r="AM33" s="1579"/>
      <c r="AN33" s="1579"/>
      <c r="AO33" s="1579"/>
      <c r="AP33" s="1579"/>
      <c r="AQ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699"/>
      <c r="V34" s="1537"/>
      <c r="W34" s="1537"/>
      <c r="X34" s="1537"/>
      <c r="Y34" s="1537"/>
      <c r="Z34" s="1537"/>
      <c r="AA34" s="1537"/>
      <c r="AB34" s="1489" t="s">
        <v>445</v>
      </c>
      <c r="AC34" s="1537"/>
      <c r="AD34" s="1537"/>
      <c r="AE34" s="1537"/>
      <c r="AF34" s="1537"/>
      <c r="AG34" s="1537"/>
      <c r="AH34" s="1537"/>
      <c r="AI34" s="1489" t="s">
        <v>445</v>
      </c>
      <c r="AL34" s="1579"/>
      <c r="AM34" s="1579"/>
      <c r="AN34" s="1579"/>
      <c r="AO34" s="1579"/>
      <c r="AP34" s="1579"/>
      <c r="AQ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Q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t="s">
        <v>319</v>
      </c>
      <c r="AQ36" s="2366">
        <v>14</v>
      </c>
    </row>
    <row customHeight="1" ht="14.699999999999998">
      <c r="Q37" s="1587"/>
      <c r="R37" s="1587"/>
      <c r="S37" s="3484" t="s">
        <v>88</v>
      </c>
      <c r="T37" s="3420" t="s">
        <v>446</v>
      </c>
      <c r="U37" s="1512"/>
      <c r="V37" s="3485" t="s">
        <v>447</v>
      </c>
      <c r="W37" s="3486"/>
      <c r="X37" s="3486"/>
      <c r="Y37" s="3486"/>
      <c r="Z37" s="3486"/>
      <c r="AA37" s="3487"/>
      <c r="AB37" s="3488" t="s">
        <v>448</v>
      </c>
      <c r="AC37" s="3485" t="s">
        <v>447</v>
      </c>
      <c r="AD37" s="3486"/>
      <c r="AE37" s="3486"/>
      <c r="AF37" s="3486"/>
      <c r="AG37" s="3486"/>
      <c r="AH37" s="3487"/>
      <c r="AI37" s="3488" t="s">
        <v>449</v>
      </c>
      <c r="AJ37" s="3491" t="s">
        <v>450</v>
      </c>
      <c r="AK37" s="3338"/>
      <c r="AQ37" s="2366">
        <v>14</v>
      </c>
    </row>
    <row customHeight="1" ht="35.699999999999996">
      <c r="Q38" s="1587"/>
      <c r="R38" s="1587"/>
      <c r="S38" s="3484"/>
      <c r="T38" s="3420"/>
      <c r="U38" s="2242"/>
      <c r="V38" s="2694" t="s">
        <v>507</v>
      </c>
      <c r="W38" s="3473" t="s">
        <v>453</v>
      </c>
      <c r="X38" s="3474"/>
      <c r="Y38" s="3473" t="s">
        <v>454</v>
      </c>
      <c r="Z38" s="3480"/>
      <c r="AA38" s="3474"/>
      <c r="AB38" s="3489"/>
      <c r="AC38" s="2694" t="s">
        <v>507</v>
      </c>
      <c r="AD38" s="3473" t="s">
        <v>453</v>
      </c>
      <c r="AE38" s="3474"/>
      <c r="AF38" s="3473" t="s">
        <v>454</v>
      </c>
      <c r="AG38" s="3480"/>
      <c r="AH38" s="3474"/>
      <c r="AI38" s="3489"/>
      <c r="AJ38" s="3492"/>
      <c r="AK38" s="3338"/>
      <c r="AQ38" s="2366">
        <v>34</v>
      </c>
    </row>
    <row customHeight="1" ht="90.3">
      <c r="A39" s="2581"/>
      <c r="B39" s="2581" t="s">
        <v>155</v>
      </c>
      <c r="C39" s="2581" t="s">
        <v>156</v>
      </c>
      <c r="D39" s="2581" t="s">
        <v>157</v>
      </c>
      <c r="E39" s="2575" t="s">
        <v>455</v>
      </c>
      <c r="F39" s="2575" t="s">
        <v>456</v>
      </c>
      <c r="G39" s="2575" t="s">
        <v>457</v>
      </c>
      <c r="H39" s="2575"/>
      <c r="I39" s="2575" t="s">
        <v>508</v>
      </c>
      <c r="J39" s="2575" t="s">
        <v>460</v>
      </c>
      <c r="K39" s="2575" t="s">
        <v>509</v>
      </c>
      <c r="L39" s="2575" t="s">
        <v>436</v>
      </c>
      <c r="Q39" s="1587"/>
      <c r="R39" s="1587"/>
      <c r="S39" s="3484"/>
      <c r="T39" s="3420"/>
      <c r="U39" s="1513"/>
      <c r="V39" s="2694" t="s">
        <v>536</v>
      </c>
      <c r="W39" s="2433" t="s">
        <v>537</v>
      </c>
      <c r="X39" s="2433" t="s">
        <v>512</v>
      </c>
      <c r="Y39" s="2700" t="s">
        <v>464</v>
      </c>
      <c r="Z39" s="3481" t="s">
        <v>465</v>
      </c>
      <c r="AA39" s="3482"/>
      <c r="AB39" s="3490"/>
      <c r="AC39" s="2694" t="s">
        <v>536</v>
      </c>
      <c r="AD39" s="2433" t="s">
        <v>537</v>
      </c>
      <c r="AE39" s="2433" t="s">
        <v>512</v>
      </c>
      <c r="AF39" s="2700" t="s">
        <v>464</v>
      </c>
      <c r="AG39" s="3481" t="s">
        <v>465</v>
      </c>
      <c r="AH39" s="3482"/>
      <c r="AI39" s="3490"/>
      <c r="AJ39" s="3493"/>
      <c r="AK39" s="3338"/>
      <c r="AQ39" s="2366">
        <v>86</v>
      </c>
    </row>
    <row s="65897" customFormat="1" customHeight="1" ht="0">
      <c r="A40" s="2581"/>
      <c r="B40" s="2581"/>
      <c r="C40" s="2581"/>
      <c r="D40" s="2581"/>
      <c r="E40" s="2581"/>
      <c r="F40" s="2581"/>
      <c r="G40" s="2581"/>
      <c r="H40" s="2581"/>
      <c r="I40" s="2581"/>
      <c r="J40" s="2581"/>
      <c r="K40" s="2581"/>
      <c r="L40" s="2575"/>
      <c r="M40" s="2573"/>
      <c r="N40" s="2573"/>
      <c r="O40" s="2573"/>
      <c r="P40" s="2457"/>
      <c r="Q40" s="2458"/>
      <c r="R40" s="2465">
        <v>1</v>
      </c>
      <c r="S40" s="2488" t="s">
        <v>99</v>
      </c>
      <c r="T40" s="2466" t="s">
        <v>102</v>
      </c>
      <c r="U40" s="2456" t="str">
        <f>OFFSET(U40,0,-1)</f>
        <v>2</v>
      </c>
      <c r="V40" s="2693">
        <f>OFFSET(V40,0,-1)+1</f>
        <v>3</v>
      </c>
      <c r="W40" s="2693">
        <f>OFFSET(W40,0,-1)+1</f>
        <v>4</v>
      </c>
      <c r="X40" s="2693">
        <f>OFFSET(X40,0,-1)+1</f>
        <v>5</v>
      </c>
      <c r="Y40" s="2693">
        <f>OFFSET(Y40,0,-1)+1</f>
        <v>6</v>
      </c>
      <c r="Z40" s="3483">
        <f>OFFSET(Z40,0,-1)+1</f>
        <v>7</v>
      </c>
      <c r="AA40" s="3483"/>
      <c r="AB40" s="2693">
        <f>OFFSET(AB40,0,-2)+1</f>
        <v>8</v>
      </c>
      <c r="AC40" s="2693">
        <f>OFFSET(AC40,0,-1)+1</f>
        <v>9</v>
      </c>
      <c r="AD40" s="2693">
        <f>OFFSET(AD40,0,-1)+1</f>
        <v>10</v>
      </c>
      <c r="AE40" s="2693">
        <f>OFFSET(AE40,0,-1)+1</f>
        <v>11</v>
      </c>
      <c r="AF40" s="2693">
        <f>OFFSET(AF40,0,-1)+1</f>
        <v>12</v>
      </c>
      <c r="AG40" s="3483">
        <f>OFFSET(AG40,0,-1)+1</f>
        <v>13</v>
      </c>
      <c r="AH40" s="3483"/>
      <c r="AI40" s="2693">
        <f>OFFSET(AI40,0,-2)+1</f>
        <v>14</v>
      </c>
      <c r="AJ40" s="2456">
        <f>OFFSET(AJ40,0,-1)</f>
        <v>14</v>
      </c>
      <c r="AK40" s="2693">
        <f>OFFSET(AK40,0,-1)+1</f>
        <v>15</v>
      </c>
      <c r="AL40" s="1722"/>
      <c r="AM40" s="1722"/>
      <c r="AN40" s="1722"/>
      <c r="AO40" s="1722"/>
      <c r="AP40" s="1722"/>
      <c r="AQ40" s="1707">
        <v>0</v>
      </c>
    </row>
    <row customHeight="1" ht="24">
      <c r="A41" s="2574" t="s">
        <v>289</v>
      </c>
      <c r="B41" s="2574"/>
      <c r="C41" s="2574"/>
      <c r="D41" s="2574"/>
      <c r="E41" s="3469">
        <v>1</v>
      </c>
      <c r="F41" s="2574"/>
      <c r="G41" s="2574"/>
      <c r="H41" s="2574"/>
      <c r="I41" s="2574"/>
      <c r="J41" s="2574"/>
      <c r="K41" s="2574"/>
      <c r="L41" s="2575"/>
      <c r="M41" s="2576"/>
      <c r="N41" s="2576"/>
      <c r="O41" s="2576"/>
      <c r="P41" s="1572"/>
      <c r="Q41" s="1571"/>
      <c r="R41" s="1566"/>
      <c r="S41" s="2704">
        <f>INDEX(PT_DIFFERENTIATION_NUM_NTAR,MATCH(A41,PT_DIFFERENTIATION_NTAR_ID,0))</f>
        <v>0</v>
      </c>
      <c r="T41" s="1509" t="s">
        <v>143</v>
      </c>
      <c r="U41" s="1511"/>
      <c r="V41" s="3453"/>
      <c r="W41" s="3454"/>
      <c r="X41" s="3454"/>
      <c r="Y41" s="3454"/>
      <c r="Z41" s="3454"/>
      <c r="AA41" s="3454"/>
      <c r="AB41" s="3455"/>
      <c r="AC41" s="3453" t="str">
        <f>INDEX(PT_DIFFERENTIATION_NTAR,MATCH(A41,PT_DIFFERENTIATION_NTAR_ID,0))</f>
        <v/>
      </c>
      <c r="AD41" s="3454"/>
      <c r="AE41" s="3454"/>
      <c r="AF41" s="3454"/>
      <c r="AG41" s="3454"/>
      <c r="AH41" s="3454"/>
      <c r="AI41" s="3454"/>
      <c r="AJ41" s="3455"/>
      <c r="AK41"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711"/>
      <c r="AN41" s="1711" t="str">
        <f>IF(T41="","",T41)</f>
        <v>Наименование тарифа</v>
      </c>
      <c r="AO41" s="1711"/>
      <c r="AP41" s="1711"/>
      <c r="AQ41" s="2366">
        <v>23</v>
      </c>
    </row>
    <row customHeight="1" ht="24">
      <c r="A42" s="2574" t="s">
        <v>289</v>
      </c>
      <c r="B42" s="2574" t="s">
        <v>290</v>
      </c>
      <c r="C42" s="2574"/>
      <c r="D42" s="2574"/>
      <c r="E42" s="3470"/>
      <c r="F42" s="3469">
        <v>1</v>
      </c>
      <c r="G42" s="2574"/>
      <c r="H42" s="2574"/>
      <c r="I42" s="2574"/>
      <c r="J42" s="2574"/>
      <c r="K42" s="2574"/>
      <c r="L42" s="2575"/>
      <c r="M42" s="2576"/>
      <c r="N42" s="2576"/>
      <c r="O42" s="2576"/>
      <c r="P42" s="2698"/>
      <c r="Q42" s="1563"/>
      <c r="R42" s="1564"/>
      <c r="S42" s="2704" t="str">
        <f>INDEX(PT_DIFFERENTIATION_NUM_TER,MATCH(B42,PT_DIFFERENTIATION_TER_ID,0))</f>
        <v>.</v>
      </c>
      <c r="T42" s="1519" t="s">
        <v>415</v>
      </c>
      <c r="U42" s="1511"/>
      <c r="V42" s="3453"/>
      <c r="W42" s="3454"/>
      <c r="X42" s="3454"/>
      <c r="Y42" s="3454"/>
      <c r="Z42" s="3454"/>
      <c r="AA42" s="3454"/>
      <c r="AB42" s="3455"/>
      <c r="AC42" s="3453" t="str">
        <f>INDEX(PT_DIFFERENTIATION_TER,MATCH(B42,PT_DIFFERENTIATION_TER_ID,0))</f>
        <v/>
      </c>
      <c r="AD42" s="3454"/>
      <c r="AE42" s="3454"/>
      <c r="AF42" s="3454"/>
      <c r="AG42" s="3454"/>
      <c r="AH42" s="3454"/>
      <c r="AI42" s="3454"/>
      <c r="AJ42" s="3455"/>
      <c r="AK42" s="2469" t="s">
        <v>416</v>
      </c>
      <c r="AM42" s="1711"/>
      <c r="AN42" s="1711" t="str">
        <f>IF(T42="","",T42)</f>
        <v>Территория действия тарифа</v>
      </c>
      <c r="AO42" s="1711"/>
      <c r="AP42" s="1711"/>
      <c r="AQ42" s="2366">
        <v>23</v>
      </c>
    </row>
    <row customHeight="1" ht="24">
      <c r="A43" s="2574" t="s">
        <v>289</v>
      </c>
      <c r="B43" s="2574" t="s">
        <v>290</v>
      </c>
      <c r="C43" s="2574" t="s">
        <v>291</v>
      </c>
      <c r="D43" s="2574"/>
      <c r="E43" s="3470"/>
      <c r="F43" s="3470"/>
      <c r="G43" s="3469">
        <v>1</v>
      </c>
      <c r="H43" s="2574"/>
      <c r="I43" s="2574"/>
      <c r="J43" s="2574"/>
      <c r="K43" s="2574"/>
      <c r="L43" s="2575"/>
      <c r="M43" s="2576"/>
      <c r="N43" s="2576"/>
      <c r="O43" s="2576"/>
      <c r="P43" s="1565"/>
      <c r="Q43" s="1563"/>
      <c r="R43" s="1564"/>
      <c r="S43" s="2704" t="str">
        <f>INDEX(PT_DIFFERENTIATION_NUM_CS,MATCH(C43,PT_DIFFERENTIATION_CS_ID,0))</f>
        <v>..</v>
      </c>
      <c r="T43" s="1520" t="s">
        <v>534</v>
      </c>
      <c r="U43" s="1511"/>
      <c r="V43" s="3453"/>
      <c r="W43" s="3454"/>
      <c r="X43" s="3454"/>
      <c r="Y43" s="3454"/>
      <c r="Z43" s="3454"/>
      <c r="AA43" s="3454"/>
      <c r="AB43" s="3455"/>
      <c r="AC43" s="3453" t="str">
        <f>INDEX(PT_DIFFERENTIATION_CS,MATCH(C43,PT_DIFFERENTIATION_CS_ID,0))</f>
        <v/>
      </c>
      <c r="AD43" s="3454"/>
      <c r="AE43" s="3454"/>
      <c r="AF43" s="3454"/>
      <c r="AG43" s="3454"/>
      <c r="AH43" s="3454"/>
      <c r="AI43" s="3454"/>
      <c r="AJ43" s="3455"/>
      <c r="AK43" s="2469" t="s">
        <v>535</v>
      </c>
      <c r="AM43" s="1711"/>
      <c r="AN43" s="1711" t="str">
        <f>IF(T43="","",T43)</f>
        <v>Наименование централизованной системы водоотведения</v>
      </c>
      <c r="AO43" s="1711"/>
      <c r="AP43" s="1711"/>
      <c r="AQ43" s="2366">
        <v>23</v>
      </c>
    </row>
    <row customHeight="1" ht="24">
      <c r="A44" s="2574" t="s">
        <v>289</v>
      </c>
      <c r="B44" s="2574" t="s">
        <v>290</v>
      </c>
      <c r="C44" s="2574" t="s">
        <v>291</v>
      </c>
      <c r="D44" s="2574" t="s">
        <v>539</v>
      </c>
      <c r="E44" s="3470"/>
      <c r="F44" s="3470"/>
      <c r="G44" s="3470"/>
      <c r="H44" s="3470"/>
      <c r="I44" s="3467" t="str">
        <f>S43&amp;".1"</f>
        <v>...1</v>
      </c>
      <c r="J44" s="2574"/>
      <c r="K44" s="2574"/>
      <c r="L44" s="2575"/>
      <c r="P44" s="3468">
        <v>1</v>
      </c>
      <c r="Q44" s="2692"/>
      <c r="R44" s="1567"/>
      <c r="S44" s="2704" t="str">
        <f>$I44</f>
        <v>...1</v>
      </c>
      <c r="T44" s="1496" t="s">
        <v>501</v>
      </c>
      <c r="U44" s="1511"/>
      <c r="V44" s="3561"/>
      <c r="W44" s="3562"/>
      <c r="X44" s="3562"/>
      <c r="Y44" s="3562"/>
      <c r="Z44" s="3562"/>
      <c r="AA44" s="3562"/>
      <c r="AB44" s="3563"/>
      <c r="AC44" s="3564"/>
      <c r="AD44" s="3565"/>
      <c r="AE44" s="3565"/>
      <c r="AF44" s="3565"/>
      <c r="AG44" s="3565"/>
      <c r="AH44" s="3565"/>
      <c r="AI44" s="3565"/>
      <c r="AJ44" s="3566"/>
      <c r="AK44" s="2469" t="s">
        <v>502</v>
      </c>
      <c r="AM44" s="1711"/>
      <c r="AN44" s="1711" t="str">
        <f>IF(T44="","",T44)</f>
        <v>Наименование признака дифференциации</v>
      </c>
      <c r="AO44" s="1711"/>
      <c r="AP44" s="1711"/>
      <c r="AQ44" s="2366">
        <v>23</v>
      </c>
    </row>
    <row customHeight="1" ht="24">
      <c r="A45" s="2574" t="s">
        <v>289</v>
      </c>
      <c r="B45" s="2574" t="s">
        <v>290</v>
      </c>
      <c r="C45" s="2574" t="s">
        <v>291</v>
      </c>
      <c r="D45" s="2574" t="s">
        <v>539</v>
      </c>
      <c r="E45" s="3470"/>
      <c r="F45" s="3470"/>
      <c r="G45" s="3470"/>
      <c r="H45" s="3470"/>
      <c r="I45" s="3497"/>
      <c r="J45" s="3467" t="str">
        <f>I44&amp;".1"</f>
        <v>...1.1</v>
      </c>
      <c r="K45" s="2574"/>
      <c r="L45" s="2575" t="s">
        <v>424</v>
      </c>
      <c r="P45" s="3468"/>
      <c r="Q45" s="3468">
        <v>1</v>
      </c>
      <c r="R45" s="1568"/>
      <c r="S45" s="2704" t="str">
        <f>$J45</f>
        <v>...1.1</v>
      </c>
      <c r="T45" s="1497" t="s">
        <v>425</v>
      </c>
      <c r="U45" s="1511"/>
      <c r="V45" s="3456"/>
      <c r="W45" s="3457"/>
      <c r="X45" s="3457"/>
      <c r="Y45" s="3457"/>
      <c r="Z45" s="3457"/>
      <c r="AA45" s="3457"/>
      <c r="AB45" s="3458"/>
      <c r="AC45" s="3456"/>
      <c r="AD45" s="3457"/>
      <c r="AE45" s="3457"/>
      <c r="AF45" s="3457"/>
      <c r="AG45" s="3457"/>
      <c r="AH45" s="3457"/>
      <c r="AI45" s="3457"/>
      <c r="AJ45" s="3458"/>
      <c r="AK45" s="2518" t="s">
        <v>503</v>
      </c>
      <c r="AM45" s="1711"/>
      <c r="AN45" s="1711" t="str">
        <f>IF(T45="","",T45)</f>
        <v>Группа потребителей</v>
      </c>
      <c r="AO45" s="1711"/>
      <c r="AP45" s="1711"/>
      <c r="AQ45" s="2366">
        <v>23</v>
      </c>
    </row>
    <row customHeight="1" ht="24">
      <c r="A46" s="2574" t="s">
        <v>289</v>
      </c>
      <c r="B46" s="2574" t="s">
        <v>290</v>
      </c>
      <c r="C46" s="2574" t="s">
        <v>291</v>
      </c>
      <c r="D46" s="2574" t="s">
        <v>539</v>
      </c>
      <c r="E46" s="3470"/>
      <c r="F46" s="3470"/>
      <c r="G46" s="3470"/>
      <c r="H46" s="3470"/>
      <c r="I46" s="3497"/>
      <c r="J46" s="3497"/>
      <c r="K46" s="3467" t="str">
        <f>J45&amp;".1"</f>
        <v>...1.1.1</v>
      </c>
      <c r="L46" s="2575"/>
      <c r="P46" s="3468"/>
      <c r="Q46" s="3468"/>
      <c r="R46" s="1568">
        <v>1</v>
      </c>
      <c r="S46" s="2704" t="str">
        <f>$K46</f>
        <v>...1.1.1</v>
      </c>
      <c r="T46" s="2648"/>
      <c r="U46" s="1511"/>
      <c r="V46" s="2571"/>
      <c r="W46" s="2571"/>
      <c r="X46" s="2572"/>
      <c r="Y46" s="3478"/>
      <c r="Z46" s="3479" t="s">
        <v>62</v>
      </c>
      <c r="AA46" s="3478"/>
      <c r="AB46" s="3479" t="s">
        <v>62</v>
      </c>
      <c r="AC46" s="1962"/>
      <c r="AD46" s="1962"/>
      <c r="AE46" s="2468"/>
      <c r="AF46" s="3476"/>
      <c r="AG46" s="3318" t="s">
        <v>62</v>
      </c>
      <c r="AH46" s="3498"/>
      <c r="AI46" s="3318" t="s">
        <v>19</v>
      </c>
      <c r="AJ46" s="2649"/>
      <c r="AK46"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1722">
        <f>STRCHECKDATE(V47:AJ47)</f>
      </c>
      <c r="AM46" s="1711"/>
      <c r="AN46" s="1711" t="str">
        <f>IF(T46="","",T46)</f>
        <v/>
      </c>
      <c r="AO46" s="1711"/>
      <c r="AP46" s="1711"/>
      <c r="AQ46" s="2366">
        <v>23</v>
      </c>
    </row>
    <row customHeight="1" ht="0">
      <c r="A47" s="2574" t="s">
        <v>289</v>
      </c>
      <c r="B47" s="2574" t="s">
        <v>290</v>
      </c>
      <c r="C47" s="2574" t="s">
        <v>291</v>
      </c>
      <c r="D47" s="2574" t="s">
        <v>539</v>
      </c>
      <c r="E47" s="3470"/>
      <c r="F47" s="3470"/>
      <c r="G47" s="3470"/>
      <c r="H47" s="3470"/>
      <c r="I47" s="3497"/>
      <c r="J47" s="3497"/>
      <c r="K47" s="3467"/>
      <c r="L47" s="2575"/>
      <c r="P47" s="3468"/>
      <c r="Q47" s="3468"/>
      <c r="R47" s="1568"/>
      <c r="S47" s="2701"/>
      <c r="T47" s="1511"/>
      <c r="U47" s="1511"/>
      <c r="V47" s="2571"/>
      <c r="W47" s="2571"/>
      <c r="X47" s="1539" t="str">
        <f>Y46&amp;"-"&amp;AA46</f>
        <v>-</v>
      </c>
      <c r="Y47" s="3479"/>
      <c r="Z47" s="3479"/>
      <c r="AA47" s="3479"/>
      <c r="AB47" s="3479"/>
      <c r="AC47" s="1536"/>
      <c r="AD47" s="1536"/>
      <c r="AE47" s="1539" t="str">
        <f>AF46&amp;"-"&amp;AH46</f>
        <v>-</v>
      </c>
      <c r="AF47" s="3477"/>
      <c r="AG47" s="3318"/>
      <c r="AH47" s="3499"/>
      <c r="AI47" s="3318"/>
      <c r="AJ47" s="2650"/>
      <c r="AK47" s="3560"/>
      <c r="AM47" s="1711"/>
      <c r="AN47" s="1711" t="str">
        <f>IF(T47="","",T47)</f>
        <v/>
      </c>
      <c r="AO47" s="1711"/>
      <c r="AP47" s="1711"/>
      <c r="AQ47" s="2366">
        <v>0</v>
      </c>
    </row>
    <row customHeight="1" ht="21">
      <c r="A48" s="2574" t="s">
        <v>289</v>
      </c>
      <c r="B48" s="2574" t="s">
        <v>290</v>
      </c>
      <c r="C48" s="2574" t="s">
        <v>291</v>
      </c>
      <c r="D48" s="2574" t="s">
        <v>539</v>
      </c>
      <c r="E48" s="3470"/>
      <c r="F48" s="3470"/>
      <c r="G48" s="3470"/>
      <c r="H48" s="3470"/>
      <c r="I48" s="3497"/>
      <c r="J48" s="3467"/>
      <c r="K48" s="2574"/>
      <c r="L48" s="2575"/>
      <c r="P48" s="3468"/>
      <c r="Q48" s="3468"/>
      <c r="R48" s="1567"/>
      <c r="S48" s="2489"/>
      <c r="T48" s="1498" t="s">
        <v>504</v>
      </c>
      <c r="U48" s="1578"/>
      <c r="V48" s="1578"/>
      <c r="W48" s="1578"/>
      <c r="X48" s="1578"/>
      <c r="Y48" s="1578"/>
      <c r="Z48" s="1578"/>
      <c r="AA48" s="1578"/>
      <c r="AB48" s="1578"/>
      <c r="AC48" s="1578"/>
      <c r="AD48" s="1578"/>
      <c r="AE48" s="1578"/>
      <c r="AF48" s="1578"/>
      <c r="AG48" s="1578"/>
      <c r="AH48" s="1578"/>
      <c r="AI48" s="1578"/>
      <c r="AJ48" s="1578"/>
      <c r="AK48" s="2469" t="s">
        <v>505</v>
      </c>
      <c r="AM48" s="1711"/>
      <c r="AN48" s="1711" t="str">
        <f>IF(T48="","",T48)</f>
        <v>Добавить значение признака дифференциации</v>
      </c>
      <c r="AO48" s="1711"/>
      <c r="AP48" s="1711"/>
      <c r="AQ48" s="2366">
        <v>20</v>
      </c>
    </row>
    <row customHeight="1" ht="22.049999999999997">
      <c r="A49" s="2574" t="s">
        <v>289</v>
      </c>
      <c r="B49" s="2574" t="s">
        <v>290</v>
      </c>
      <c r="C49" s="2574" t="s">
        <v>291</v>
      </c>
      <c r="D49" s="2574" t="s">
        <v>539</v>
      </c>
      <c r="E49" s="3470"/>
      <c r="F49" s="3470"/>
      <c r="G49" s="3470"/>
      <c r="H49" s="3470"/>
      <c r="I49" s="3467"/>
      <c r="J49" s="2574"/>
      <c r="K49" s="2574"/>
      <c r="L49" s="2575"/>
      <c r="P49" s="3468"/>
      <c r="Q49" s="2692"/>
      <c r="R49" s="1567"/>
      <c r="S49" s="2489"/>
      <c r="T49" s="1576" t="s">
        <v>430</v>
      </c>
      <c r="U49" s="1578"/>
      <c r="V49" s="1578"/>
      <c r="W49" s="1578"/>
      <c r="X49" s="1578"/>
      <c r="Y49" s="1578"/>
      <c r="Z49" s="1578"/>
      <c r="AA49" s="1578"/>
      <c r="AB49" s="1577"/>
      <c r="AC49" s="1578"/>
      <c r="AD49" s="1578"/>
      <c r="AE49" s="1578"/>
      <c r="AF49" s="1578"/>
      <c r="AG49" s="1578"/>
      <c r="AH49" s="1578"/>
      <c r="AI49" s="1577"/>
      <c r="AJ49" s="1578"/>
      <c r="AK49" s="2651"/>
      <c r="AM49" s="1711"/>
      <c r="AN49" s="1711" t="str">
        <f>IF(T49="","",T49)</f>
        <v>Добавить группу потребителей</v>
      </c>
      <c r="AO49" s="1711"/>
      <c r="AP49" s="1711"/>
      <c r="AQ49" s="2366">
        <v>21</v>
      </c>
    </row>
    <row customHeight="1" ht="22.049999999999997">
      <c r="A50" s="2574" t="s">
        <v>289</v>
      </c>
      <c r="B50" s="2574" t="s">
        <v>290</v>
      </c>
      <c r="C50" s="2574" t="s">
        <v>291</v>
      </c>
      <c r="D50" s="2574" t="s">
        <v>539</v>
      </c>
      <c r="E50" s="3470"/>
      <c r="F50" s="3470"/>
      <c r="G50" s="3470"/>
      <c r="H50" s="3469"/>
      <c r="I50" s="2574"/>
      <c r="J50" s="2574"/>
      <c r="K50" s="2574"/>
      <c r="L50" s="2575"/>
      <c r="M50" s="2576"/>
      <c r="N50" s="2576"/>
      <c r="O50" s="1748"/>
      <c r="P50" s="1571"/>
      <c r="Q50" s="1586"/>
      <c r="R50" s="1566"/>
      <c r="S50" s="2489"/>
      <c r="T50" s="1583" t="s">
        <v>506</v>
      </c>
      <c r="U50" s="1578"/>
      <c r="V50" s="1578"/>
      <c r="W50" s="1578"/>
      <c r="X50" s="1578"/>
      <c r="Y50" s="1578"/>
      <c r="Z50" s="1578"/>
      <c r="AA50" s="1578"/>
      <c r="AB50" s="1577"/>
      <c r="AC50" s="1578"/>
      <c r="AD50" s="1578"/>
      <c r="AE50" s="1578"/>
      <c r="AF50" s="1578"/>
      <c r="AG50" s="1578"/>
      <c r="AH50" s="1578"/>
      <c r="AI50" s="1577"/>
      <c r="AJ50" s="1578"/>
      <c r="AK50" s="1514"/>
      <c r="AM50" s="1711"/>
      <c r="AN50" s="1711" t="str">
        <f>IF(T50="","",T50)</f>
        <v>Добавить наименование признака дифференциации</v>
      </c>
      <c r="AO50" s="1711"/>
      <c r="AP50" s="1711"/>
      <c r="AQ50" s="2366">
        <v>21</v>
      </c>
    </row>
    <row s="65923" customFormat="1" customHeight="1" ht="0">
      <c r="A51" s="2554" t="s">
        <v>289</v>
      </c>
      <c r="B51" s="2554" t="s">
        <v>290</v>
      </c>
      <c r="C51" s="2525"/>
      <c r="D51" s="2525"/>
      <c r="E51" s="3470"/>
      <c r="F51" s="3469"/>
      <c r="G51" s="2525"/>
      <c r="H51" s="2525"/>
      <c r="I51" s="2525"/>
      <c r="J51" s="2525"/>
      <c r="K51" s="2525"/>
      <c r="L51" s="2705"/>
      <c r="M51" s="2532"/>
      <c r="N51" s="2532"/>
      <c r="P51" s="2527"/>
      <c r="Q51" s="2528"/>
      <c r="R51" s="2527"/>
      <c r="S51" s="2533"/>
      <c r="T51" s="2536" t="s">
        <v>433</v>
      </c>
      <c r="U51" s="2535"/>
      <c r="V51" s="2535"/>
      <c r="W51" s="2535"/>
      <c r="X51" s="2535"/>
      <c r="Y51" s="2535"/>
      <c r="Z51" s="2535"/>
      <c r="AA51" s="2535"/>
      <c r="AB51" s="2535"/>
      <c r="AC51" s="2535"/>
      <c r="AD51" s="2535"/>
      <c r="AE51" s="2535"/>
      <c r="AF51" s="2535"/>
      <c r="AG51" s="2535"/>
      <c r="AH51" s="2535"/>
      <c r="AI51" s="2535"/>
      <c r="AJ51" s="2535"/>
      <c r="AK51" s="2535"/>
      <c r="AM51" s="2000"/>
      <c r="AN51" s="2000" t="str">
        <f>IF(T51="","",T51)</f>
        <v>Добавить централизованную систему для дифференциации</v>
      </c>
      <c r="AO51" s="2000"/>
      <c r="AP51" s="2000"/>
      <c r="AQ51" s="1729">
        <v>0</v>
      </c>
    </row>
    <row s="65923" customFormat="1" customHeight="1" ht="0">
      <c r="A52" s="2554" t="s">
        <v>289</v>
      </c>
      <c r="B52" s="2554"/>
      <c r="C52" s="2554"/>
      <c r="D52" s="2554"/>
      <c r="E52" s="3469"/>
      <c r="F52" s="2554"/>
      <c r="G52" s="2554"/>
      <c r="H52" s="2554"/>
      <c r="I52" s="2554"/>
      <c r="J52" s="2554"/>
      <c r="K52" s="2554"/>
      <c r="L52" s="2557"/>
      <c r="M52" s="2532"/>
      <c r="N52" s="2532"/>
      <c r="O52" s="1729"/>
      <c r="P52" s="1591"/>
      <c r="Q52" s="2555"/>
      <c r="R52" s="1591"/>
      <c r="S52" s="2533"/>
      <c r="T52" s="2536" t="s">
        <v>434</v>
      </c>
      <c r="U52" s="2535"/>
      <c r="V52" s="2535"/>
      <c r="W52" s="2535"/>
      <c r="X52" s="2535"/>
      <c r="Y52" s="2535"/>
      <c r="Z52" s="2535"/>
      <c r="AA52" s="2535"/>
      <c r="AB52" s="2535"/>
      <c r="AC52" s="2535"/>
      <c r="AD52" s="2535"/>
      <c r="AE52" s="2535"/>
      <c r="AF52" s="2535"/>
      <c r="AG52" s="2535"/>
      <c r="AH52" s="2535"/>
      <c r="AI52" s="2535"/>
      <c r="AJ52" s="2535"/>
      <c r="AK52" s="2535"/>
      <c r="AM52" s="1711"/>
      <c r="AN52" s="1711" t="str">
        <f>IF(T52="","",T52)</f>
        <v>Добавить территорию для дифференциации</v>
      </c>
      <c r="AO52" s="1711"/>
      <c r="AP52" s="1711"/>
      <c r="AQ52" s="1722">
        <v>0</v>
      </c>
    </row>
    <row s="65923" customFormat="1" customHeight="1" ht="0">
      <c r="A53" s="2525"/>
      <c r="B53" s="2525"/>
      <c r="C53" s="2525"/>
      <c r="D53" s="2525"/>
      <c r="E53" s="2554"/>
      <c r="F53" s="2525"/>
      <c r="G53" s="2525"/>
      <c r="H53" s="2525"/>
      <c r="I53" s="2525"/>
      <c r="J53" s="2525"/>
      <c r="K53" s="2525"/>
      <c r="L53" s="2705"/>
      <c r="M53" s="2532"/>
      <c r="N53" s="2532"/>
      <c r="P53" s="2527"/>
      <c r="Q53" s="2528"/>
      <c r="R53" s="2527"/>
      <c r="S53" s="2533"/>
      <c r="T53" s="2536" t="s">
        <v>466</v>
      </c>
      <c r="U53" s="2535"/>
      <c r="V53" s="2535"/>
      <c r="W53" s="2535"/>
      <c r="X53" s="2535"/>
      <c r="Y53" s="2535"/>
      <c r="Z53" s="2535"/>
      <c r="AA53" s="2535"/>
      <c r="AB53" s="2535"/>
      <c r="AC53" s="2535"/>
      <c r="AD53" s="2535"/>
      <c r="AE53" s="2535"/>
      <c r="AF53" s="2535"/>
      <c r="AG53" s="2535"/>
      <c r="AH53" s="2535"/>
      <c r="AI53" s="2535"/>
      <c r="AJ53" s="2535"/>
      <c r="AK53" s="2535"/>
      <c r="AM53" s="2000"/>
      <c r="AN53" s="2000" t="str">
        <f>IF(T53="","",T53)</f>
        <v>Добавить наименование тарифа</v>
      </c>
      <c r="AO53" s="2000"/>
      <c r="AP53" s="2000"/>
      <c r="AQ53" s="1729">
        <v>0</v>
      </c>
    </row>
    <row customHeight="1" ht="11.549999999999999">
      <c r="M54" s="2371"/>
      <c r="N54" s="2371"/>
      <c r="O54" s="1748"/>
      <c r="P54" s="2366"/>
      <c r="Q54" s="2366"/>
      <c r="R54" s="2366"/>
      <c r="S54" s="2366"/>
      <c r="AL54" s="2366"/>
      <c r="AM54" s="2366"/>
      <c r="AN54" s="2366"/>
      <c r="AO54" s="2366"/>
      <c r="AP54" s="2366"/>
      <c r="AQ54" s="2366">
        <v>11</v>
      </c>
    </row>
    <row customHeight="1" ht="14.699999999999998">
      <c r="O55" s="1748"/>
      <c r="S55" s="2464"/>
      <c r="T55" s="3496"/>
      <c r="U55" s="3496"/>
      <c r="V55" s="3496"/>
      <c r="W55" s="3496"/>
      <c r="X55" s="3496"/>
      <c r="Y55" s="3496"/>
      <c r="Z55" s="3496"/>
      <c r="AA55" s="3496"/>
      <c r="AB55" s="3496"/>
      <c r="AC55" s="3496"/>
      <c r="AD55" s="3496"/>
      <c r="AE55" s="3496"/>
      <c r="AF55" s="3496"/>
      <c r="AG55" s="3496"/>
      <c r="AH55" s="3496"/>
      <c r="AI55" s="3496"/>
      <c r="AJ55" s="3496"/>
      <c r="AK55" s="3496"/>
      <c r="AQ55" s="2366">
        <v>14</v>
      </c>
    </row>
    <row customHeight="1" ht="14.699999999999998">
      <c r="O56" s="1748"/>
      <c r="AQ56" s="2366">
        <v>14</v>
      </c>
    </row>
    <row customHeight="1" ht="14.699999999999998">
      <c r="O57" s="1748"/>
      <c r="S57" s="2464"/>
      <c r="T57" s="3496"/>
      <c r="U57" s="3496"/>
      <c r="V57" s="3496"/>
      <c r="W57" s="3496"/>
      <c r="X57" s="3496"/>
      <c r="Y57" s="3496"/>
      <c r="Z57" s="3496"/>
      <c r="AA57" s="3496"/>
      <c r="AB57" s="3496"/>
      <c r="AC57" s="3496"/>
      <c r="AD57" s="3496"/>
      <c r="AE57" s="3496"/>
      <c r="AF57" s="3496"/>
      <c r="AG57" s="3496"/>
      <c r="AH57" s="3496"/>
      <c r="AI57" s="3496"/>
      <c r="AJ57" s="3496"/>
      <c r="AK57" s="3496"/>
      <c r="AQ57" s="2366">
        <v>14</v>
      </c>
    </row>
    <row customHeight="1" ht="22.5" hidden="1">
      <c r="A58" s="2371" t="s">
        <v>82</v>
      </c>
      <c r="B58" s="2371">
        <v>0</v>
      </c>
      <c r="C58" s="2371">
        <v>0</v>
      </c>
      <c r="D58" s="2371">
        <v>0</v>
      </c>
      <c r="E58" s="2371">
        <v>0</v>
      </c>
      <c r="F58" s="2371">
        <v>0</v>
      </c>
      <c r="G58" s="2371">
        <v>0</v>
      </c>
      <c r="H58" s="2371">
        <v>0</v>
      </c>
      <c r="I58" s="2371">
        <v>0</v>
      </c>
      <c r="J58" s="2371">
        <v>0</v>
      </c>
      <c r="K58" s="2371">
        <v>0</v>
      </c>
      <c r="L58" s="2689">
        <v>0</v>
      </c>
      <c r="M58" s="2573">
        <v>0</v>
      </c>
      <c r="N58" s="2573">
        <v>0</v>
      </c>
      <c r="O58" s="2573">
        <v>0</v>
      </c>
      <c r="P58" s="2684">
        <v>3</v>
      </c>
      <c r="Q58" s="1555">
        <v>3</v>
      </c>
      <c r="R58" s="1555">
        <v>3</v>
      </c>
      <c r="S58" s="1792">
        <v>12</v>
      </c>
      <c r="T58" s="2366">
        <v>35</v>
      </c>
      <c r="U58" s="2366">
        <v>0</v>
      </c>
      <c r="V58" s="2366">
        <v>0</v>
      </c>
      <c r="W58" s="2366">
        <v>0</v>
      </c>
      <c r="X58" s="2366">
        <v>0</v>
      </c>
      <c r="Y58" s="2366">
        <v>0</v>
      </c>
      <c r="Z58" s="2366">
        <v>0</v>
      </c>
      <c r="AA58" s="2366">
        <v>0</v>
      </c>
      <c r="AB58" s="2366">
        <v>0</v>
      </c>
      <c r="AC58" s="2366">
        <v>24</v>
      </c>
      <c r="AD58" s="2366">
        <v>24</v>
      </c>
      <c r="AE58" s="2366">
        <v>24</v>
      </c>
      <c r="AF58" s="2366">
        <v>11</v>
      </c>
      <c r="AG58" s="2366">
        <v>3</v>
      </c>
      <c r="AH58" s="2366">
        <v>11</v>
      </c>
      <c r="AI58" s="2366">
        <v>0</v>
      </c>
      <c r="AJ58" s="2366">
        <v>4</v>
      </c>
      <c r="AK58" s="2366">
        <v>115</v>
      </c>
      <c r="AL58" s="1722">
        <v>10</v>
      </c>
      <c r="AM58" s="1722">
        <v>10</v>
      </c>
      <c r="AN58" s="1722">
        <v>10</v>
      </c>
      <c r="AO58" s="1722">
        <v>10</v>
      </c>
      <c r="AP58" s="1722">
        <v>10</v>
      </c>
      <c r="AQ58" s="236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3BAD5F-F6A8-4ABE-C078-631EA532613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66852" width="11.57421875" hidden="1" customWidth="1"/>
    <col min="2" max="2" style="66852" width="11.00390625" hidden="1" customWidth="1"/>
    <col min="3" max="3" style="66852" width="10.57421875" hidden="1"/>
    <col min="4" max="4" style="66852" width="12.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5490" width="3.7109375" hidden="1" customWidth="1"/>
    <col min="17" max="17" style="65556" width="3.7109375" hidden="1" customWidth="1"/>
    <col min="18" max="18" style="66873" width="3.00390625" customWidth="1"/>
    <col min="19" max="19" style="67434" width="12.00390625" customWidth="1"/>
    <col min="20" max="20" style="66903" width="31.00390625" customWidth="1"/>
    <col min="21" max="21" style="66903" width="0.140625" customWidth="1"/>
    <col min="22" max="25" style="66903" width="21.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3.7109375" customWidth="1"/>
    <col min="31" max="32" style="66903" width="3.00390625" customWidth="1"/>
    <col min="33" max="33" style="66903" width="24.00390625" customWidth="1"/>
    <col min="34" max="34" style="66903" width="3.7109375" customWidth="1"/>
    <col min="35" max="36" style="66903" width="3.00390625" customWidth="1"/>
    <col min="37" max="37" style="66903" width="24.00390625" customWidth="1"/>
    <col min="38" max="38" style="66903" width="3.7109375" customWidth="1"/>
    <col min="39" max="40" style="66903" width="3.00390625" customWidth="1"/>
    <col min="41" max="41" style="66903" width="18.00390625" customWidth="1"/>
    <col min="42" max="42" style="66903" width="3.7109375" customWidth="1"/>
    <col min="43" max="44" style="66903" width="3.00390625" customWidth="1"/>
    <col min="45" max="45" style="66903" width="18.00390625" customWidth="1"/>
    <col min="46" max="49" style="66903" width="21.00390625" customWidth="1"/>
    <col min="50" max="50" style="66903" width="11.00390625" customWidth="1"/>
    <col min="51" max="51" style="66903" width="3.7109375" customWidth="1"/>
    <col min="52" max="52" style="66903" width="11.00390625" customWidth="1"/>
    <col min="53" max="53" style="66903" width="8.57421875" hidden="1" customWidth="1"/>
    <col min="54" max="54" style="66903" width="4.00390625" customWidth="1"/>
    <col min="55" max="55" style="66903" width="115.00390625" customWidth="1"/>
    <col min="56" max="60" style="65923" width="10.00390625" customWidth="1"/>
    <col min="61" max="61" style="66903" width="10.57421875" hidden="1"/>
  </cols>
  <sheetData>
    <row customHeight="1" ht="22.5" hidden="1">
      <c r="W1" s="1538"/>
      <c r="Y1" s="1538"/>
      <c r="Z1" s="1538"/>
      <c r="AW1" s="1538"/>
      <c r="AX1" s="1538"/>
      <c r="BI1" s="2366" t="s">
        <v>14</v>
      </c>
    </row>
    <row customHeight="1" ht="21" hidden="1">
      <c r="A2" s="2574"/>
      <c r="B2" s="2574"/>
      <c r="C2" s="2574"/>
      <c r="D2" s="2574"/>
      <c r="E2" s="3469">
        <v>1</v>
      </c>
      <c r="F2" s="2574"/>
      <c r="G2" s="2574"/>
      <c r="H2" s="2574"/>
      <c r="I2" s="2574"/>
      <c r="J2" s="2574"/>
      <c r="K2" s="2574"/>
      <c r="L2" s="2575"/>
      <c r="M2" s="2576"/>
      <c r="N2" s="2576"/>
      <c r="O2" s="2576"/>
      <c r="P2" s="2620"/>
      <c r="Q2" s="2084"/>
      <c r="R2" s="1566"/>
      <c r="S2" s="2704">
        <f>INDEX(PT_DIFFERENTIATION_NUM_NTAR,MATCH(A2,PT_DIFFERENTIATION_NTAR_ID,0))</f>
      </c>
      <c r="T2" s="1509" t="s">
        <v>143</v>
      </c>
      <c r="U2" s="1511"/>
      <c r="V2" s="3454"/>
      <c r="W2" s="3454"/>
      <c r="X2" s="3454"/>
      <c r="Y2" s="3454"/>
      <c r="Z2" s="3454"/>
      <c r="AA2" s="3454"/>
      <c r="AB2" s="3454"/>
      <c r="AC2" s="3455"/>
      <c r="AD2" s="3453">
        <f>INDEX(PT_DIFFERENTIATION_NTAR,MATCH(A2,PT_DIFFERENTIATION_NTAR_ID,0))</f>
      </c>
      <c r="AE2" s="3454"/>
      <c r="AF2" s="3454"/>
      <c r="AG2" s="3454"/>
      <c r="AH2" s="3454"/>
      <c r="AI2" s="3454"/>
      <c r="AJ2" s="3454"/>
      <c r="AK2" s="3454"/>
      <c r="AL2" s="3454"/>
      <c r="AM2" s="3454"/>
      <c r="AN2" s="3454"/>
      <c r="AO2" s="3454"/>
      <c r="AP2" s="3454"/>
      <c r="AQ2" s="3454"/>
      <c r="AR2" s="3454"/>
      <c r="AS2" s="3454"/>
      <c r="AT2" s="3454"/>
      <c r="AU2" s="3454"/>
      <c r="AV2" s="3454"/>
      <c r="AW2" s="3454"/>
      <c r="AX2" s="3454"/>
      <c r="AY2" s="3454"/>
      <c r="AZ2" s="3454"/>
      <c r="BA2" s="3454"/>
      <c r="BB2" s="3455"/>
      <c r="BC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711"/>
      <c r="BF2" s="1711" t="str">
        <f>IF(T2="","",T2)</f>
        <v>Наименование тарифа</v>
      </c>
      <c r="BG2" s="1711"/>
      <c r="BH2" s="1711"/>
      <c r="BI2" s="2366">
        <v>0</v>
      </c>
    </row>
    <row customHeight="1" ht="21" hidden="1">
      <c r="A3" s="2574"/>
      <c r="B3" s="2574"/>
      <c r="C3" s="2574"/>
      <c r="D3" s="2574"/>
      <c r="E3" s="3470"/>
      <c r="F3" s="3469">
        <v>1</v>
      </c>
      <c r="G3" s="2574"/>
      <c r="H3" s="2574"/>
      <c r="I3" s="2574"/>
      <c r="J3" s="2574"/>
      <c r="K3" s="2574"/>
      <c r="L3" s="2575"/>
      <c r="M3" s="2576"/>
      <c r="N3" s="2576"/>
      <c r="O3" s="2576"/>
      <c r="P3" s="2621"/>
      <c r="Q3" s="2622"/>
      <c r="R3" s="1564"/>
      <c r="S3" s="2704">
        <f>INDEX(PT_DIFFERENTIATION_NUM_TER,MATCH(B3,PT_DIFFERENTIATION_TER_ID,0))</f>
      </c>
      <c r="T3" s="1519" t="s">
        <v>415</v>
      </c>
      <c r="U3" s="1511"/>
      <c r="V3" s="3454"/>
      <c r="W3" s="3454"/>
      <c r="X3" s="3454"/>
      <c r="Y3" s="3454"/>
      <c r="Z3" s="3454"/>
      <c r="AA3" s="3454"/>
      <c r="AB3" s="3454"/>
      <c r="AC3" s="3455"/>
      <c r="AD3" s="3453">
        <f>INDEX(PT_DIFFERENTIATION_TER,MATCH(B3,PT_DIFFERENTIATION_TER_ID,0))</f>
      </c>
      <c r="AE3" s="3454"/>
      <c r="AF3" s="3454"/>
      <c r="AG3" s="3454"/>
      <c r="AH3" s="3454"/>
      <c r="AI3" s="3454"/>
      <c r="AJ3" s="3454"/>
      <c r="AK3" s="3454"/>
      <c r="AL3" s="3454"/>
      <c r="AM3" s="3454"/>
      <c r="AN3" s="3454"/>
      <c r="AO3" s="3454"/>
      <c r="AP3" s="3454"/>
      <c r="AQ3" s="3454"/>
      <c r="AR3" s="3454"/>
      <c r="AS3" s="3454"/>
      <c r="AT3" s="3454"/>
      <c r="AU3" s="3454"/>
      <c r="AV3" s="3454"/>
      <c r="AW3" s="3454"/>
      <c r="AX3" s="3454"/>
      <c r="AY3" s="3454"/>
      <c r="AZ3" s="3454"/>
      <c r="BA3" s="3454"/>
      <c r="BB3" s="3455"/>
      <c r="BC3" s="2469" t="s">
        <v>416</v>
      </c>
      <c r="BE3" s="1711"/>
      <c r="BF3" s="1711" t="str">
        <f>IF(T3="","",T3)</f>
        <v>Территория действия тарифа</v>
      </c>
      <c r="BG3" s="1711"/>
      <c r="BH3" s="1711"/>
      <c r="BI3" s="2366">
        <v>0</v>
      </c>
    </row>
    <row customHeight="1" ht="33.75" hidden="1">
      <c r="A4" s="2574"/>
      <c r="B4" s="2574"/>
      <c r="C4" s="2574"/>
      <c r="D4" s="2574"/>
      <c r="E4" s="3470"/>
      <c r="F4" s="3470"/>
      <c r="G4" s="3469">
        <v>1</v>
      </c>
      <c r="H4" s="2574"/>
      <c r="I4" s="2574"/>
      <c r="J4" s="2574"/>
      <c r="K4" s="2574"/>
      <c r="L4" s="2575"/>
      <c r="M4" s="2576"/>
      <c r="N4" s="2576"/>
      <c r="O4" s="2576"/>
      <c r="P4" s="2623"/>
      <c r="Q4" s="2622"/>
      <c r="R4" s="1564"/>
      <c r="S4" s="2704">
        <f>INDEX(PT_DIFFERENTIATION_NUM_CS,MATCH(C4,PT_DIFFERENTIATION_CS_ID,0))</f>
      </c>
      <c r="T4" s="1520" t="s">
        <v>534</v>
      </c>
      <c r="U4" s="1511"/>
      <c r="V4" s="3454"/>
      <c r="W4" s="3454"/>
      <c r="X4" s="3454"/>
      <c r="Y4" s="3454"/>
      <c r="Z4" s="3454"/>
      <c r="AA4" s="3454"/>
      <c r="AB4" s="3454"/>
      <c r="AC4" s="3455"/>
      <c r="AD4" s="3453">
        <f>INDEX(PT_DIFFERENTIATION_CS,MATCH(C4,PT_DIFFERENTIATION_CS_ID,0))</f>
      </c>
      <c r="AE4" s="3454"/>
      <c r="AF4" s="3454"/>
      <c r="AG4" s="3454"/>
      <c r="AH4" s="3454"/>
      <c r="AI4" s="3454"/>
      <c r="AJ4" s="3454"/>
      <c r="AK4" s="3454"/>
      <c r="AL4" s="3454"/>
      <c r="AM4" s="3454"/>
      <c r="AN4" s="3454"/>
      <c r="AO4" s="3454"/>
      <c r="AP4" s="3454"/>
      <c r="AQ4" s="3454"/>
      <c r="AR4" s="3454"/>
      <c r="AS4" s="3454"/>
      <c r="AT4" s="3454"/>
      <c r="AU4" s="3454"/>
      <c r="AV4" s="3454"/>
      <c r="AW4" s="3454"/>
      <c r="AX4" s="3454"/>
      <c r="AY4" s="3454"/>
      <c r="AZ4" s="3454"/>
      <c r="BA4" s="3454"/>
      <c r="BB4" s="3455"/>
      <c r="BC4" s="2469" t="s">
        <v>535</v>
      </c>
      <c r="BE4" s="1711"/>
      <c r="BF4" s="1711" t="str">
        <f>IF(T4="","",T4)</f>
        <v>Наименование централизованной системы водоотведения</v>
      </c>
      <c r="BG4" s="1711"/>
      <c r="BH4" s="1711"/>
      <c r="BI4" s="2366">
        <v>0</v>
      </c>
    </row>
    <row s="65923" customFormat="1" customHeight="1" ht="14.25" hidden="1">
      <c r="A5" s="2554"/>
      <c r="B5" s="2554"/>
      <c r="C5" s="2554"/>
      <c r="D5" s="2554"/>
      <c r="E5" s="3470"/>
      <c r="F5" s="3470"/>
      <c r="G5" s="3470"/>
      <c r="H5" s="3469">
        <v>1</v>
      </c>
      <c r="I5" s="2554"/>
      <c r="J5" s="2554"/>
      <c r="K5" s="2554"/>
      <c r="L5" s="2557"/>
      <c r="M5" s="2526"/>
      <c r="N5" s="2526"/>
      <c r="O5" s="2526"/>
      <c r="P5" s="2708"/>
      <c r="Q5" s="2709"/>
      <c r="R5" s="1568"/>
      <c r="S5" s="2253"/>
      <c r="T5" s="2710"/>
      <c r="U5" s="2595"/>
      <c r="V5" s="3508"/>
      <c r="W5" s="3508"/>
      <c r="X5" s="3508"/>
      <c r="Y5" s="3508"/>
      <c r="Z5" s="3508"/>
      <c r="AA5" s="3508"/>
      <c r="AB5" s="3508"/>
      <c r="AC5" s="3509"/>
      <c r="AD5" s="3507"/>
      <c r="AE5" s="3508"/>
      <c r="AF5" s="3508"/>
      <c r="AG5" s="3508"/>
      <c r="AH5" s="3508"/>
      <c r="AI5" s="3508"/>
      <c r="AJ5" s="3508"/>
      <c r="AK5" s="3508"/>
      <c r="AL5" s="3508"/>
      <c r="AM5" s="3508"/>
      <c r="AN5" s="3508"/>
      <c r="AO5" s="3508"/>
      <c r="AP5" s="3508"/>
      <c r="AQ5" s="3508"/>
      <c r="AR5" s="3508"/>
      <c r="AS5" s="3508"/>
      <c r="AT5" s="3508"/>
      <c r="AU5" s="3508"/>
      <c r="AV5" s="3508"/>
      <c r="AW5" s="3508"/>
      <c r="AX5" s="3508"/>
      <c r="AY5" s="3508"/>
      <c r="AZ5" s="3508"/>
      <c r="BA5" s="3508"/>
      <c r="BB5" s="3509"/>
      <c r="BC5" s="2596" t="s">
        <v>420</v>
      </c>
      <c r="BE5" s="1711"/>
      <c r="BF5" s="1711" t="str">
        <f>IF(T5="","",T5)</f>
        <v/>
      </c>
      <c r="BG5" s="1711"/>
      <c r="BH5" s="1711"/>
      <c r="BI5" s="1722">
        <v>0</v>
      </c>
    </row>
    <row s="65923" customFormat="1" customHeight="1" ht="14.25" hidden="1">
      <c r="A6" s="2554"/>
      <c r="B6" s="2554"/>
      <c r="C6" s="2554"/>
      <c r="D6" s="2554"/>
      <c r="E6" s="3470"/>
      <c r="F6" s="3470"/>
      <c r="G6" s="3470"/>
      <c r="H6" s="3470"/>
      <c r="I6" s="3467" t="str">
        <f>S5&amp;".1"</f>
        <v>.1</v>
      </c>
      <c r="J6" s="2554"/>
      <c r="K6" s="2554"/>
      <c r="L6" s="2557" t="s">
        <v>421</v>
      </c>
      <c r="M6" s="1721"/>
      <c r="N6" s="1721"/>
      <c r="O6" s="1721"/>
      <c r="P6" s="3468">
        <v>1</v>
      </c>
      <c r="Q6" s="2692"/>
      <c r="R6" s="1567"/>
      <c r="S6" s="2253"/>
      <c r="T6" s="2594"/>
      <c r="U6" s="2595"/>
      <c r="V6" s="3508"/>
      <c r="W6" s="3508"/>
      <c r="X6" s="3508"/>
      <c r="Y6" s="3508"/>
      <c r="Z6" s="3508"/>
      <c r="AA6" s="3508"/>
      <c r="AB6" s="3508"/>
      <c r="AC6" s="3509"/>
      <c r="AD6" s="3507"/>
      <c r="AE6" s="3508"/>
      <c r="AF6" s="3508"/>
      <c r="AG6" s="3508"/>
      <c r="AH6" s="3508"/>
      <c r="AI6" s="3508"/>
      <c r="AJ6" s="3508"/>
      <c r="AK6" s="3508"/>
      <c r="AL6" s="3508"/>
      <c r="AM6" s="3508"/>
      <c r="AN6" s="3508"/>
      <c r="AO6" s="3508"/>
      <c r="AP6" s="3508"/>
      <c r="AQ6" s="3508"/>
      <c r="AR6" s="3508"/>
      <c r="AS6" s="3508"/>
      <c r="AT6" s="3508"/>
      <c r="AU6" s="3508"/>
      <c r="AV6" s="3508"/>
      <c r="AW6" s="3508"/>
      <c r="AX6" s="3508"/>
      <c r="AY6" s="3508"/>
      <c r="AZ6" s="3508"/>
      <c r="BA6" s="3508"/>
      <c r="BB6" s="3509"/>
      <c r="BC6" s="2596"/>
      <c r="BE6" s="1711"/>
      <c r="BF6" s="1711" t="str">
        <f>IF(T6="","",T6)</f>
        <v/>
      </c>
      <c r="BG6" s="1711"/>
      <c r="BH6" s="1711"/>
      <c r="BI6" s="1722">
        <v>0</v>
      </c>
    </row>
    <row s="65923" customFormat="1" customHeight="1" ht="14.25" hidden="1">
      <c r="A7" s="2554"/>
      <c r="B7" s="2554"/>
      <c r="C7" s="2554"/>
      <c r="D7" s="2554"/>
      <c r="E7" s="3470"/>
      <c r="F7" s="3470"/>
      <c r="G7" s="3470"/>
      <c r="H7" s="3470"/>
      <c r="I7" s="3497"/>
      <c r="J7" s="3467" t="str">
        <f>S5&amp;".1"</f>
        <v>.1</v>
      </c>
      <c r="K7" s="2554"/>
      <c r="L7" s="2557"/>
      <c r="M7" s="1721"/>
      <c r="N7" s="1721"/>
      <c r="O7" s="1721"/>
      <c r="P7" s="3468"/>
      <c r="Q7" s="3468">
        <v>1</v>
      </c>
      <c r="R7" s="1568"/>
      <c r="S7" s="2253"/>
      <c r="T7" s="2610"/>
      <c r="U7" s="2595"/>
      <c r="V7" s="3508"/>
      <c r="W7" s="3508"/>
      <c r="X7" s="3508"/>
      <c r="Y7" s="3508"/>
      <c r="Z7" s="3508"/>
      <c r="AA7" s="3508"/>
      <c r="AB7" s="3508"/>
      <c r="AC7" s="3509"/>
      <c r="AD7" s="3507"/>
      <c r="AE7" s="3508"/>
      <c r="AF7" s="3508"/>
      <c r="AG7" s="3508"/>
      <c r="AH7" s="3508"/>
      <c r="AI7" s="3508"/>
      <c r="AJ7" s="3508"/>
      <c r="AK7" s="3508"/>
      <c r="AL7" s="3508"/>
      <c r="AM7" s="3508"/>
      <c r="AN7" s="3508"/>
      <c r="AO7" s="3508"/>
      <c r="AP7" s="3508"/>
      <c r="AQ7" s="3508"/>
      <c r="AR7" s="3508"/>
      <c r="AS7" s="3508"/>
      <c r="AT7" s="3508"/>
      <c r="AU7" s="3508"/>
      <c r="AV7" s="3508"/>
      <c r="AW7" s="3508"/>
      <c r="AX7" s="3508"/>
      <c r="AY7" s="3508"/>
      <c r="AZ7" s="3508"/>
      <c r="BA7" s="3508"/>
      <c r="BB7" s="3509"/>
      <c r="BC7" s="2596"/>
      <c r="BE7" s="1711"/>
      <c r="BF7" s="1711" t="str">
        <f>IF(T7="","",T7)</f>
        <v/>
      </c>
      <c r="BG7" s="1711"/>
      <c r="BH7" s="1711"/>
      <c r="BI7" s="1722">
        <v>0</v>
      </c>
    </row>
    <row customHeight="1" ht="11.25" hidden="1">
      <c r="A8" s="2574"/>
      <c r="B8" s="2574"/>
      <c r="C8" s="2574"/>
      <c r="D8" s="2574"/>
      <c r="E8" s="3470"/>
      <c r="F8" s="3470"/>
      <c r="G8" s="3470"/>
      <c r="H8" s="3470"/>
      <c r="I8" s="3497"/>
      <c r="J8" s="3497"/>
      <c r="K8" s="3467">
        <f>S4&amp;".1"</f>
      </c>
      <c r="L8" s="2575"/>
      <c r="P8" s="3468"/>
      <c r="Q8" s="3468"/>
      <c r="R8" s="3558">
        <v>1</v>
      </c>
      <c r="S8" s="3552">
        <f>$K8</f>
      </c>
      <c r="T8" s="3571"/>
      <c r="U8" s="1511"/>
      <c r="V8" s="1962"/>
      <c r="W8" s="2468"/>
      <c r="X8" s="1962"/>
      <c r="Y8" s="2468"/>
      <c r="Z8" s="2945"/>
      <c r="AA8" s="2680" t="s">
        <v>62</v>
      </c>
      <c r="AB8" s="2945"/>
      <c r="AC8" s="2680" t="s">
        <v>62</v>
      </c>
      <c r="AD8" s="3396" t="s">
        <v>62</v>
      </c>
      <c r="AE8" s="3537"/>
      <c r="AF8" s="3416">
        <v>1</v>
      </c>
      <c r="AG8" s="3574"/>
      <c r="AH8" s="3318" t="s">
        <v>62</v>
      </c>
      <c r="AI8" s="3537"/>
      <c r="AJ8" s="3416">
        <v>1</v>
      </c>
      <c r="AK8" s="3538" t="s">
        <v>22</v>
      </c>
      <c r="AL8" s="3318" t="s">
        <v>62</v>
      </c>
      <c r="AM8" s="3403"/>
      <c r="AN8" s="3416">
        <v>1</v>
      </c>
      <c r="AO8" s="3568"/>
      <c r="AP8" s="3569" t="s">
        <v>62</v>
      </c>
      <c r="AQ8" s="1522"/>
      <c r="AR8" s="2697">
        <v>1</v>
      </c>
      <c r="AS8" s="2703" t="s">
        <v>22</v>
      </c>
      <c r="AT8" s="1962"/>
      <c r="AU8" s="2468"/>
      <c r="AV8" s="1962"/>
      <c r="AW8" s="2468"/>
      <c r="AX8" s="2945"/>
      <c r="AY8" s="2680" t="s">
        <v>62</v>
      </c>
      <c r="AZ8" s="2945"/>
      <c r="BA8" s="2680" t="s">
        <v>62</v>
      </c>
      <c r="BB8" s="2559"/>
      <c r="BC8" s="3464" t="s">
        <v>519</v>
      </c>
      <c r="BE8" s="1711"/>
      <c r="BF8" s="1711" t="str">
        <f>IF(T8="","",T8)</f>
        <v/>
      </c>
      <c r="BG8" s="1711"/>
      <c r="BH8" s="1711"/>
      <c r="BI8" s="2366">
        <v>0</v>
      </c>
    </row>
    <row customHeight="1" ht="11.25" hidden="1">
      <c r="A9" s="2574"/>
      <c r="B9" s="2574"/>
      <c r="C9" s="2574"/>
      <c r="D9" s="2574"/>
      <c r="E9" s="3470"/>
      <c r="F9" s="3470"/>
      <c r="G9" s="3470"/>
      <c r="H9" s="3470"/>
      <c r="I9" s="3497"/>
      <c r="J9" s="3497"/>
      <c r="K9" s="3467"/>
      <c r="L9" s="2575"/>
      <c r="P9" s="3468"/>
      <c r="Q9" s="3468"/>
      <c r="R9" s="3558"/>
      <c r="S9" s="3553"/>
      <c r="T9" s="3572"/>
      <c r="U9" s="1511"/>
      <c r="V9" s="2604"/>
      <c r="W9" s="2707"/>
      <c r="X9" s="2604"/>
      <c r="Y9" s="2707"/>
      <c r="Z9" s="2604"/>
      <c r="AA9" s="2604"/>
      <c r="AB9" s="2604"/>
      <c r="AC9" s="2604"/>
      <c r="AD9" s="3397"/>
      <c r="AE9" s="3537"/>
      <c r="AF9" s="3416"/>
      <c r="AG9" s="3574"/>
      <c r="AH9" s="3318"/>
      <c r="AI9" s="3537"/>
      <c r="AJ9" s="3416"/>
      <c r="AK9" s="3538"/>
      <c r="AL9" s="3318"/>
      <c r="AM9" s="3411"/>
      <c r="AN9" s="3416"/>
      <c r="AO9" s="3568"/>
      <c r="AP9" s="3570"/>
      <c r="AQ9" s="1527"/>
      <c r="AR9" s="1627"/>
      <c r="AS9" s="1627" t="s">
        <v>520</v>
      </c>
      <c r="AT9" s="2604"/>
      <c r="AU9" s="2707"/>
      <c r="AV9" s="2604"/>
      <c r="AW9" s="2707"/>
      <c r="AX9" s="2604"/>
      <c r="AY9" s="2604"/>
      <c r="AZ9" s="2604"/>
      <c r="BA9" s="2604"/>
      <c r="BB9" s="2608"/>
      <c r="BC9" s="3465"/>
      <c r="BE9" s="1711"/>
      <c r="BF9" s="1711"/>
      <c r="BG9" s="1711"/>
      <c r="BH9" s="1711"/>
      <c r="BI9" s="2366">
        <v>0</v>
      </c>
    </row>
    <row customHeight="1" ht="11.25" hidden="1">
      <c r="A10" s="2574"/>
      <c r="B10" s="2574"/>
      <c r="C10" s="2574"/>
      <c r="D10" s="2574"/>
      <c r="E10" s="3470"/>
      <c r="F10" s="3470"/>
      <c r="G10" s="3470"/>
      <c r="H10" s="3470"/>
      <c r="I10" s="3497"/>
      <c r="J10" s="3497"/>
      <c r="K10" s="3467"/>
      <c r="L10" s="2575"/>
      <c r="P10" s="3468"/>
      <c r="Q10" s="3468"/>
      <c r="R10" s="3558"/>
      <c r="S10" s="3553"/>
      <c r="T10" s="3572"/>
      <c r="U10" s="1511"/>
      <c r="V10" s="2604"/>
      <c r="W10" s="2707"/>
      <c r="X10" s="2604"/>
      <c r="Y10" s="2707"/>
      <c r="Z10" s="2604"/>
      <c r="AA10" s="2604"/>
      <c r="AB10" s="2604"/>
      <c r="AC10" s="2604"/>
      <c r="AD10" s="3397"/>
      <c r="AE10" s="3537"/>
      <c r="AF10" s="3416"/>
      <c r="AG10" s="3574"/>
      <c r="AH10" s="3318"/>
      <c r="AI10" s="3537"/>
      <c r="AJ10" s="3416"/>
      <c r="AK10" s="3538"/>
      <c r="AL10" s="3318"/>
      <c r="AM10" s="1527"/>
      <c r="AN10" s="2711"/>
      <c r="AO10" s="2711" t="s">
        <v>540</v>
      </c>
      <c r="AP10" s="1627"/>
      <c r="AQ10" s="1627"/>
      <c r="AR10" s="1627"/>
      <c r="AS10" s="2604"/>
      <c r="AT10" s="2604"/>
      <c r="AU10" s="2707"/>
      <c r="AV10" s="2604"/>
      <c r="AW10" s="2707"/>
      <c r="AX10" s="2604"/>
      <c r="AY10" s="2604"/>
      <c r="AZ10" s="2604"/>
      <c r="BA10" s="2604"/>
      <c r="BB10" s="2608"/>
      <c r="BC10" s="3465"/>
      <c r="BE10" s="1711"/>
      <c r="BF10" s="1711"/>
      <c r="BG10" s="1711"/>
      <c r="BH10" s="1711"/>
      <c r="BI10" s="2366">
        <v>0</v>
      </c>
    </row>
    <row customHeight="1" ht="11.25" hidden="1">
      <c r="A11" s="2574"/>
      <c r="B11" s="2574"/>
      <c r="C11" s="2574"/>
      <c r="D11" s="2574"/>
      <c r="E11" s="3470"/>
      <c r="F11" s="3470"/>
      <c r="G11" s="3470"/>
      <c r="H11" s="3470"/>
      <c r="I11" s="3497"/>
      <c r="J11" s="3497"/>
      <c r="K11" s="3467"/>
      <c r="L11" s="2575"/>
      <c r="P11" s="3468"/>
      <c r="Q11" s="3468"/>
      <c r="R11" s="3558"/>
      <c r="S11" s="3553"/>
      <c r="T11" s="3572"/>
      <c r="U11" s="1511"/>
      <c r="V11" s="2604"/>
      <c r="W11" s="2707"/>
      <c r="X11" s="2604"/>
      <c r="Y11" s="2707"/>
      <c r="Z11" s="2604"/>
      <c r="AA11" s="2604"/>
      <c r="AB11" s="2604"/>
      <c r="AC11" s="2604"/>
      <c r="AD11" s="3397"/>
      <c r="AE11" s="3537"/>
      <c r="AF11" s="3416"/>
      <c r="AG11" s="3574"/>
      <c r="AH11" s="3318"/>
      <c r="AI11" s="1505"/>
      <c r="AJ11" s="1626"/>
      <c r="AK11" s="1524" t="s">
        <v>541</v>
      </c>
      <c r="AL11" s="2604"/>
      <c r="AM11" s="2604"/>
      <c r="AN11" s="2604"/>
      <c r="AO11" s="2604"/>
      <c r="AP11" s="2604"/>
      <c r="AQ11" s="2604"/>
      <c r="AR11" s="2604"/>
      <c r="AS11" s="2604"/>
      <c r="AT11" s="2604"/>
      <c r="AU11" s="2707"/>
      <c r="AV11" s="2604"/>
      <c r="AW11" s="2707"/>
      <c r="AX11" s="2604"/>
      <c r="AY11" s="2604"/>
      <c r="AZ11" s="2604"/>
      <c r="BA11" s="2604"/>
      <c r="BB11" s="2608"/>
      <c r="BC11" s="3465"/>
      <c r="BE11" s="1711"/>
      <c r="BF11" s="1711"/>
      <c r="BG11" s="1711"/>
      <c r="BH11" s="1711"/>
      <c r="BI11" s="2366">
        <v>0</v>
      </c>
    </row>
    <row customHeight="1" ht="11.25" hidden="1">
      <c r="A12" s="2574"/>
      <c r="B12" s="2574"/>
      <c r="C12" s="2574"/>
      <c r="D12" s="2574"/>
      <c r="E12" s="3470"/>
      <c r="F12" s="3470"/>
      <c r="G12" s="3470"/>
      <c r="H12" s="3470"/>
      <c r="I12" s="3497"/>
      <c r="J12" s="3497"/>
      <c r="K12" s="3467"/>
      <c r="L12" s="2575"/>
      <c r="P12" s="3468"/>
      <c r="Q12" s="3468"/>
      <c r="R12" s="3558"/>
      <c r="S12" s="3554"/>
      <c r="T12" s="3573"/>
      <c r="U12" s="1511"/>
      <c r="V12" s="2604"/>
      <c r="W12" s="2605" t="str">
        <f>Z8&amp;"-"&amp;AB8</f>
        <v>-</v>
      </c>
      <c r="X12" s="2604"/>
      <c r="Y12" s="2605" t="str">
        <f>AB8&amp;"-"&amp;AD8</f>
        <v>-да</v>
      </c>
      <c r="Z12" s="2604"/>
      <c r="AA12" s="2604"/>
      <c r="AB12" s="2604"/>
      <c r="AC12" s="2604"/>
      <c r="AD12" s="3323"/>
      <c r="AE12" s="1523"/>
      <c r="AF12" s="1525"/>
      <c r="AG12" s="1627" t="s">
        <v>523</v>
      </c>
      <c r="AH12" s="2604"/>
      <c r="AI12" s="2604"/>
      <c r="AJ12" s="2604"/>
      <c r="AK12" s="2604"/>
      <c r="AL12" s="2604"/>
      <c r="AM12" s="2604"/>
      <c r="AN12" s="2604"/>
      <c r="AO12" s="2604"/>
      <c r="AP12" s="2604"/>
      <c r="AQ12" s="2604"/>
      <c r="AR12" s="2604"/>
      <c r="AS12" s="2604"/>
      <c r="AT12" s="2604"/>
      <c r="AU12" s="2605" t="str">
        <f>AX8&amp;"-"&amp;AZ8</f>
        <v>-</v>
      </c>
      <c r="AV12" s="2604"/>
      <c r="AW12" s="2605" t="str">
        <f>AZ8&amp;"-"&amp;BB8</f>
        <v>-</v>
      </c>
      <c r="AX12" s="2604"/>
      <c r="AY12" s="2604"/>
      <c r="AZ12" s="2604"/>
      <c r="BA12" s="2604"/>
      <c r="BB12" s="2607" t="str">
        <f>BE8&amp;"-"&amp;BG8</f>
        <v>-</v>
      </c>
      <c r="BC12" s="3465"/>
      <c r="BE12" s="1711"/>
      <c r="BF12" s="1711" t="str">
        <f>IF(T12="","",T12)</f>
        <v/>
      </c>
      <c r="BG12" s="1711"/>
      <c r="BH12" s="1711"/>
      <c r="BI12" s="2366">
        <v>0</v>
      </c>
    </row>
    <row customHeight="1" ht="11.25" hidden="1">
      <c r="A13" s="2574"/>
      <c r="B13" s="2574"/>
      <c r="C13" s="2574"/>
      <c r="D13" s="2574"/>
      <c r="E13" s="3470"/>
      <c r="F13" s="3470"/>
      <c r="G13" s="3470"/>
      <c r="H13" s="3470"/>
      <c r="I13" s="3497"/>
      <c r="J13" s="3467"/>
      <c r="K13" s="2574"/>
      <c r="L13" s="2575"/>
      <c r="P13" s="3468"/>
      <c r="Q13" s="3468"/>
      <c r="R13" s="1567"/>
      <c r="S13" s="2489"/>
      <c r="T13" s="1498" t="s">
        <v>486</v>
      </c>
      <c r="U13" s="1578"/>
      <c r="V13" s="1578"/>
      <c r="W13" s="1578"/>
      <c r="X13" s="1578"/>
      <c r="Y13" s="1578"/>
      <c r="Z13" s="1578"/>
      <c r="AA13" s="1578"/>
      <c r="AB13" s="1578"/>
      <c r="AC13" s="1578"/>
      <c r="AD13" s="2716"/>
      <c r="AE13" s="1578"/>
      <c r="AF13" s="1578"/>
      <c r="AG13" s="1578"/>
      <c r="AH13" s="1578"/>
      <c r="AI13" s="1578"/>
      <c r="AJ13" s="1578"/>
      <c r="AK13" s="1578"/>
      <c r="AL13" s="1578"/>
      <c r="AM13" s="1578"/>
      <c r="AN13" s="1578"/>
      <c r="AO13" s="1578"/>
      <c r="AP13" s="1578"/>
      <c r="AQ13" s="1578"/>
      <c r="AR13" s="1578"/>
      <c r="AS13" s="1578"/>
      <c r="AT13" s="1578"/>
      <c r="AU13" s="1578"/>
      <c r="AV13" s="1578"/>
      <c r="AW13" s="1578"/>
      <c r="AX13" s="1578"/>
      <c r="AY13" s="1578"/>
      <c r="AZ13" s="1578"/>
      <c r="BA13" s="1578"/>
      <c r="BB13" s="1535"/>
      <c r="BC13" s="3466"/>
      <c r="BE13" s="1711"/>
      <c r="BF13" s="1711" t="str">
        <f>IF(T13="","",T13)</f>
        <v>Добавить строку</v>
      </c>
      <c r="BG13" s="1711"/>
      <c r="BH13" s="1711"/>
      <c r="BI13" s="2366">
        <v>0</v>
      </c>
    </row>
    <row s="65923" customFormat="1" customHeight="1" ht="14.25" hidden="1">
      <c r="A14" s="2554"/>
      <c r="B14" s="2554"/>
      <c r="C14" s="2554"/>
      <c r="D14" s="2554"/>
      <c r="E14" s="3470"/>
      <c r="F14" s="3470"/>
      <c r="G14" s="3470"/>
      <c r="H14" s="3470"/>
      <c r="I14" s="3467"/>
      <c r="J14" s="2554"/>
      <c r="K14" s="2554"/>
      <c r="L14" s="2557"/>
      <c r="M14" s="1721"/>
      <c r="N14" s="1721"/>
      <c r="O14" s="1721"/>
      <c r="P14" s="3468"/>
      <c r="Q14" s="2692"/>
      <c r="R14" s="1567"/>
      <c r="S14" s="2597"/>
      <c r="T14" s="2598"/>
      <c r="U14" s="2599"/>
      <c r="V14" s="2599"/>
      <c r="W14" s="2599"/>
      <c r="X14" s="2599"/>
      <c r="Y14" s="2599"/>
      <c r="Z14" s="2599"/>
      <c r="AA14" s="2599"/>
      <c r="AB14" s="2599"/>
      <c r="AC14" s="2599"/>
      <c r="AD14" s="2599"/>
      <c r="AE14" s="2599"/>
      <c r="AF14" s="2599"/>
      <c r="AG14" s="2599"/>
      <c r="AH14" s="2599"/>
      <c r="AI14" s="2599"/>
      <c r="AJ14" s="2599"/>
      <c r="AK14" s="2599"/>
      <c r="AL14" s="2599"/>
      <c r="AM14" s="2599"/>
      <c r="AN14" s="2599"/>
      <c r="AO14" s="2599"/>
      <c r="AP14" s="2599"/>
      <c r="AQ14" s="2599"/>
      <c r="AR14" s="2599"/>
      <c r="AS14" s="2599"/>
      <c r="AT14" s="2599"/>
      <c r="AU14" s="2599"/>
      <c r="AV14" s="2599"/>
      <c r="AW14" s="2599"/>
      <c r="AX14" s="2599"/>
      <c r="AY14" s="2599"/>
      <c r="AZ14" s="2599"/>
      <c r="BA14" s="2599"/>
      <c r="BB14" s="2599"/>
      <c r="BC14" s="2600"/>
      <c r="BE14" s="1711"/>
      <c r="BF14" s="1711" t="str">
        <f>IF(T14="","",T14)</f>
        <v/>
      </c>
      <c r="BG14" s="1711"/>
      <c r="BH14" s="1711"/>
      <c r="BI14" s="1722">
        <v>0</v>
      </c>
    </row>
    <row s="65923" customFormat="1" customHeight="1" ht="14.25" hidden="1">
      <c r="A15" s="2554"/>
      <c r="B15" s="2554"/>
      <c r="C15" s="2554"/>
      <c r="D15" s="2554"/>
      <c r="E15" s="3470"/>
      <c r="F15" s="3470"/>
      <c r="G15" s="3470"/>
      <c r="H15" s="3469"/>
      <c r="I15" s="2554"/>
      <c r="J15" s="2554"/>
      <c r="K15" s="2554"/>
      <c r="L15" s="2557"/>
      <c r="M15" s="2526"/>
      <c r="N15" s="2526"/>
      <c r="O15" s="1729"/>
      <c r="P15" s="1591"/>
      <c r="Q15" s="2555"/>
      <c r="R15" s="2612"/>
      <c r="S15" s="2597"/>
      <c r="T15" s="2598"/>
      <c r="U15" s="2599"/>
      <c r="V15" s="2599"/>
      <c r="W15" s="2599"/>
      <c r="X15" s="2599"/>
      <c r="Y15" s="2599"/>
      <c r="Z15" s="2599"/>
      <c r="AA15" s="2599"/>
      <c r="AB15" s="2599"/>
      <c r="AC15" s="2599"/>
      <c r="AD15" s="2599"/>
      <c r="AE15" s="2599"/>
      <c r="AF15" s="2599"/>
      <c r="AG15" s="2599"/>
      <c r="AH15" s="2599"/>
      <c r="AI15" s="2599"/>
      <c r="AJ15" s="2599"/>
      <c r="AK15" s="2599"/>
      <c r="AL15" s="2599"/>
      <c r="AM15" s="2599"/>
      <c r="AN15" s="2599"/>
      <c r="AO15" s="2599"/>
      <c r="AP15" s="2599"/>
      <c r="AQ15" s="2599"/>
      <c r="AR15" s="2599"/>
      <c r="AS15" s="2599"/>
      <c r="AT15" s="2599"/>
      <c r="AU15" s="2599"/>
      <c r="AV15" s="2599"/>
      <c r="AW15" s="2599"/>
      <c r="AX15" s="2599"/>
      <c r="AY15" s="2599"/>
      <c r="AZ15" s="2599"/>
      <c r="BA15" s="2599"/>
      <c r="BB15" s="2599"/>
      <c r="BC15" s="2600"/>
      <c r="BE15" s="1711"/>
      <c r="BF15" s="1711" t="str">
        <f>IF(T15="","",T15)</f>
        <v/>
      </c>
      <c r="BG15" s="1711"/>
      <c r="BH15" s="1711"/>
      <c r="BI15" s="1722">
        <v>0</v>
      </c>
    </row>
    <row s="65923" customFormat="1" customHeight="1" ht="14.25" hidden="1">
      <c r="A16" s="2554"/>
      <c r="B16" s="2554"/>
      <c r="C16" s="2554"/>
      <c r="D16" s="2525"/>
      <c r="E16" s="3470"/>
      <c r="F16" s="3470"/>
      <c r="G16" s="3469"/>
      <c r="H16" s="2525"/>
      <c r="I16" s="2525"/>
      <c r="J16" s="2525"/>
      <c r="K16" s="2525"/>
      <c r="L16" s="2705"/>
      <c r="M16" s="2526"/>
      <c r="N16" s="2526"/>
      <c r="P16" s="2527"/>
      <c r="Q16" s="2528"/>
      <c r="R16" s="2527"/>
      <c r="S16" s="2533"/>
      <c r="T16" s="2536"/>
      <c r="U16" s="2535"/>
      <c r="V16" s="2535"/>
      <c r="W16" s="2535"/>
      <c r="X16" s="2535"/>
      <c r="Y16" s="2535"/>
      <c r="Z16" s="2535"/>
      <c r="AA16" s="2535"/>
      <c r="AB16" s="2535"/>
      <c r="AC16" s="2535"/>
      <c r="AD16" s="2535"/>
      <c r="AE16" s="2535"/>
      <c r="AF16" s="2535"/>
      <c r="AG16" s="2535"/>
      <c r="AH16" s="2535"/>
      <c r="AI16" s="2535"/>
      <c r="AJ16" s="2535"/>
      <c r="AK16" s="2535"/>
      <c r="AL16" s="2535"/>
      <c r="AM16" s="2535"/>
      <c r="AN16" s="2535"/>
      <c r="AO16" s="2535"/>
      <c r="AP16" s="2535"/>
      <c r="AQ16" s="2535"/>
      <c r="AR16" s="2535"/>
      <c r="AS16" s="2535"/>
      <c r="AT16" s="2535"/>
      <c r="AU16" s="2535"/>
      <c r="AV16" s="2535"/>
      <c r="AW16" s="2535"/>
      <c r="AX16" s="2535"/>
      <c r="AY16" s="2535"/>
      <c r="AZ16" s="2535"/>
      <c r="BA16" s="2535"/>
      <c r="BB16" s="2535"/>
      <c r="BC16" s="2535"/>
      <c r="BE16" s="2000"/>
      <c r="BF16" s="2000" t="str">
        <f>IF(T16="","",T16)</f>
        <v/>
      </c>
      <c r="BG16" s="2000"/>
      <c r="BH16" s="2000"/>
      <c r="BI16" s="1729">
        <v>0</v>
      </c>
    </row>
    <row s="65923" customFormat="1" customHeight="1" ht="14.25" hidden="1">
      <c r="A17" s="2554"/>
      <c r="B17" s="2554"/>
      <c r="C17" s="2525"/>
      <c r="D17" s="2525"/>
      <c r="E17" s="3470"/>
      <c r="F17" s="3469"/>
      <c r="G17" s="2525"/>
      <c r="H17" s="2525"/>
      <c r="I17" s="2525"/>
      <c r="J17" s="2525"/>
      <c r="K17" s="2525"/>
      <c r="L17" s="2705"/>
      <c r="M17" s="2532"/>
      <c r="N17" s="2532"/>
      <c r="P17" s="2527"/>
      <c r="Q17" s="2528"/>
      <c r="R17" s="2527"/>
      <c r="S17" s="2533"/>
      <c r="T17" s="2536" t="s">
        <v>433</v>
      </c>
      <c r="U17" s="2535"/>
      <c r="V17" s="2535"/>
      <c r="W17" s="2535"/>
      <c r="X17" s="2535"/>
      <c r="Y17" s="2535"/>
      <c r="Z17" s="2535"/>
      <c r="AA17" s="2535"/>
      <c r="AB17" s="2535"/>
      <c r="AC17" s="2535"/>
      <c r="AD17" s="2535"/>
      <c r="AE17" s="2535"/>
      <c r="AF17" s="2535"/>
      <c r="AG17" s="2535"/>
      <c r="AH17" s="2535"/>
      <c r="AI17" s="2535"/>
      <c r="AJ17" s="2535"/>
      <c r="AK17" s="2535"/>
      <c r="AL17" s="2535"/>
      <c r="AM17" s="2535"/>
      <c r="AN17" s="2535"/>
      <c r="AO17" s="2535"/>
      <c r="AP17" s="2535"/>
      <c r="AQ17" s="2535"/>
      <c r="AR17" s="2535"/>
      <c r="AS17" s="2535"/>
      <c r="AT17" s="2535"/>
      <c r="AU17" s="2535"/>
      <c r="AV17" s="2535"/>
      <c r="AW17" s="2535"/>
      <c r="AX17" s="2535"/>
      <c r="AY17" s="2535"/>
      <c r="AZ17" s="2535"/>
      <c r="BA17" s="2535"/>
      <c r="BB17" s="2535"/>
      <c r="BC17" s="2535"/>
      <c r="BE17" s="2000"/>
      <c r="BF17" s="2000" t="str">
        <f>IF(T17="","",T17)</f>
        <v>Добавить централизованную систему для дифференциации</v>
      </c>
      <c r="BG17" s="2000"/>
      <c r="BH17" s="2000"/>
      <c r="BI17" s="1729">
        <v>0</v>
      </c>
    </row>
    <row s="65923" customFormat="1" customHeight="1" ht="14.25" hidden="1">
      <c r="A18" s="2554"/>
      <c r="B18" s="2554"/>
      <c r="C18" s="2554"/>
      <c r="D18" s="2554"/>
      <c r="E18" s="3469"/>
      <c r="F18" s="2554"/>
      <c r="G18" s="2554"/>
      <c r="H18" s="2554"/>
      <c r="I18" s="2554"/>
      <c r="J18" s="2554"/>
      <c r="K18" s="2554"/>
      <c r="L18" s="2557"/>
      <c r="M18" s="2532"/>
      <c r="N18" s="2532"/>
      <c r="O18" s="1729"/>
      <c r="P18" s="1591"/>
      <c r="Q18" s="2555"/>
      <c r="R18" s="1591"/>
      <c r="S18" s="2533"/>
      <c r="T18" s="2536" t="s">
        <v>434</v>
      </c>
      <c r="U18" s="2535"/>
      <c r="V18" s="2535"/>
      <c r="W18" s="2535"/>
      <c r="X18" s="2535"/>
      <c r="Y18" s="2535"/>
      <c r="Z18" s="2535"/>
      <c r="AA18" s="2535"/>
      <c r="AB18" s="2535"/>
      <c r="AC18" s="2535"/>
      <c r="AD18" s="2535"/>
      <c r="AE18" s="2535"/>
      <c r="AF18" s="2535"/>
      <c r="AG18" s="2535"/>
      <c r="AH18" s="2535"/>
      <c r="AI18" s="2535"/>
      <c r="AJ18" s="2535"/>
      <c r="AK18" s="2535"/>
      <c r="AL18" s="2535"/>
      <c r="AM18" s="2535"/>
      <c r="AN18" s="2535"/>
      <c r="AO18" s="2535"/>
      <c r="AP18" s="2535"/>
      <c r="AQ18" s="2535"/>
      <c r="AR18" s="2535"/>
      <c r="AS18" s="2535"/>
      <c r="AT18" s="2535"/>
      <c r="AU18" s="2535"/>
      <c r="AV18" s="2535"/>
      <c r="AW18" s="2535"/>
      <c r="AX18" s="2535"/>
      <c r="AY18" s="2535"/>
      <c r="AZ18" s="2535"/>
      <c r="BA18" s="2535"/>
      <c r="BB18" s="2535"/>
      <c r="BC18" s="2535"/>
      <c r="BE18" s="1711"/>
      <c r="BF18" s="1711" t="str">
        <f>IF(T18="","",T18)</f>
        <v>Добавить территорию для дифференциации</v>
      </c>
      <c r="BG18" s="1711"/>
      <c r="BH18" s="1711"/>
      <c r="BI18" s="1722">
        <v>0</v>
      </c>
    </row>
    <row customHeight="1" ht="14.25" hidden="1">
      <c r="AC19" s="1538"/>
      <c r="BA19" s="1538"/>
      <c r="BI19" s="2366">
        <v>0</v>
      </c>
    </row>
    <row customHeight="1" ht="14.25" hidden="1">
      <c r="AD20" s="2535" t="s">
        <v>19</v>
      </c>
      <c r="AE20" s="2712"/>
      <c r="AF20" s="1759">
        <v>1</v>
      </c>
      <c r="AG20" s="2713"/>
      <c r="AH20" s="2535" t="s">
        <v>19</v>
      </c>
      <c r="AI20" s="2712"/>
      <c r="AJ20" s="1759">
        <v>1</v>
      </c>
      <c r="AK20" s="2713"/>
      <c r="AL20" s="2535" t="s">
        <v>19</v>
      </c>
      <c r="AM20" s="2714"/>
      <c r="AN20" s="1759">
        <v>1</v>
      </c>
      <c r="AO20" s="2715"/>
      <c r="AP20" s="2535" t="s">
        <v>19</v>
      </c>
      <c r="AQ20" s="2714"/>
      <c r="AR20" s="1759">
        <v>1</v>
      </c>
      <c r="AS20" s="2715"/>
      <c r="AT20" s="1536"/>
      <c r="AU20" s="1595"/>
      <c r="AV20" s="1536"/>
      <c r="AW20" s="1595"/>
      <c r="AX20" s="2947"/>
      <c r="AY20" s="2696" t="s">
        <v>62</v>
      </c>
      <c r="AZ20" s="2947"/>
      <c r="BA20" s="2696" t="s">
        <v>62</v>
      </c>
      <c r="BI20" s="2366">
        <v>0</v>
      </c>
    </row>
    <row customHeight="1" ht="14.25" hidden="1">
      <c r="BD21" s="1707"/>
      <c r="BE21" s="1707"/>
      <c r="BF21" s="1707"/>
      <c r="BG21" s="1707"/>
      <c r="BH21" s="1707"/>
      <c r="BI21" s="2366">
        <v>0</v>
      </c>
    </row>
    <row customHeight="1" ht="14.25" hidden="1">
      <c r="O22" s="2578" t="s">
        <v>435</v>
      </c>
      <c r="Z22" s="2556"/>
      <c r="AB22" s="2556"/>
      <c r="AC22" s="1538"/>
      <c r="AX22" s="2556"/>
      <c r="AZ22" s="2556"/>
      <c r="BA22" s="1538"/>
      <c r="BD22" s="1707"/>
      <c r="BE22" s="1707"/>
      <c r="BF22" s="1707"/>
      <c r="BG22" s="1707"/>
      <c r="BH22" s="1707"/>
      <c r="BI22" s="2366">
        <v>0</v>
      </c>
    </row>
    <row customHeight="1" ht="14.25" hidden="1">
      <c r="AC23" s="1538"/>
      <c r="BA23" s="1538"/>
      <c r="BD23" s="1707"/>
      <c r="BE23" s="1707"/>
      <c r="BF23" s="1707"/>
      <c r="BG23" s="1707"/>
      <c r="BH23" s="1707"/>
      <c r="BI23" s="2366">
        <v>0</v>
      </c>
    </row>
    <row s="65531" customFormat="1" customHeight="1" ht="14.25" hidden="1">
      <c r="M24" s="2719"/>
      <c r="N24" s="2719"/>
      <c r="O24" s="2720" t="s">
        <v>436</v>
      </c>
      <c r="P24" s="2719"/>
      <c r="Q24" s="2721"/>
      <c r="R24" s="2721"/>
      <c r="AA24" s="2718" t="s">
        <v>438</v>
      </c>
      <c r="AC24" s="2718" t="s">
        <v>439</v>
      </c>
      <c r="AD24" s="2718" t="s">
        <v>487</v>
      </c>
      <c r="AH24" s="2718" t="s">
        <v>487</v>
      </c>
      <c r="AK24" s="2718" t="s">
        <v>524</v>
      </c>
      <c r="AL24" s="2718" t="s">
        <v>487</v>
      </c>
      <c r="AP24" s="2718" t="s">
        <v>487</v>
      </c>
      <c r="AY24" s="2718" t="s">
        <v>438</v>
      </c>
      <c r="BA24" s="2718" t="s">
        <v>439</v>
      </c>
      <c r="BD24" s="2722"/>
      <c r="BE24" s="2722"/>
      <c r="BF24" s="2722"/>
      <c r="BG24" s="2722"/>
      <c r="BH24" s="2722"/>
      <c r="BI24" s="2718">
        <v>0</v>
      </c>
    </row>
    <row customHeight="1" ht="14.25" hidden="1">
      <c r="O25" s="2575"/>
      <c r="BD25" s="1707"/>
      <c r="BE25" s="1707"/>
      <c r="BF25" s="1707"/>
      <c r="BG25" s="1707"/>
      <c r="BH25" s="1707"/>
      <c r="BI25" s="2366">
        <v>0</v>
      </c>
    </row>
    <row customHeight="1" ht="14.25" hidden="1">
      <c r="O26" s="2575"/>
      <c r="BD26" s="1707"/>
      <c r="BE26" s="1707"/>
      <c r="BF26" s="1707"/>
      <c r="BG26" s="1707"/>
      <c r="BH26" s="1707"/>
      <c r="BI26" s="2366">
        <v>0</v>
      </c>
    </row>
    <row customHeight="1" ht="14.699999999999998">
      <c r="Q27" s="1502"/>
      <c r="R27" s="1587"/>
      <c r="S27" s="2486"/>
      <c r="T27" s="1574"/>
      <c r="U27" s="1574"/>
      <c r="V27" s="1720"/>
      <c r="W27" s="1720"/>
      <c r="X27" s="1720"/>
      <c r="Y27" s="1720"/>
      <c r="Z27" s="1720"/>
      <c r="AA27" s="1720"/>
      <c r="AB27" s="1720"/>
      <c r="AC27" s="1720"/>
      <c r="AD27" s="1720"/>
      <c r="AE27" s="1720"/>
      <c r="AF27" s="1720"/>
      <c r="AG27" s="1720"/>
      <c r="AH27" s="1720"/>
      <c r="AI27" s="1720"/>
      <c r="AJ27" s="1720"/>
      <c r="AK27" s="1720"/>
      <c r="AL27" s="1720"/>
      <c r="AM27" s="1720"/>
      <c r="AN27" s="1720"/>
      <c r="AO27" s="1720"/>
      <c r="AP27" s="1720"/>
      <c r="AQ27" s="1720"/>
      <c r="AR27" s="1720"/>
      <c r="AS27" s="1720"/>
      <c r="AT27" s="1720"/>
      <c r="AU27" s="1720"/>
      <c r="AV27" s="1720"/>
      <c r="AW27" s="1720"/>
      <c r="AX27" s="1720"/>
      <c r="AY27" s="1720"/>
      <c r="AZ27" s="1720"/>
      <c r="BA27" s="1720"/>
      <c r="BI27" s="2366">
        <v>14</v>
      </c>
    </row>
    <row customHeight="1" ht="14.699999999999998">
      <c r="Q28" s="1502"/>
      <c r="R28" s="1587"/>
      <c r="S28" s="345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3459"/>
      <c r="U28" s="3459"/>
      <c r="V28" s="3459"/>
      <c r="W28" s="3459"/>
      <c r="X28" s="3459"/>
      <c r="Y28" s="3459"/>
      <c r="Z28" s="3459"/>
      <c r="AA28" s="3459"/>
      <c r="AB28" s="3459"/>
      <c r="AC28" s="3459"/>
      <c r="AD28" s="3459"/>
      <c r="AE28" s="3459"/>
      <c r="AF28" s="3459"/>
      <c r="AG28" s="3459"/>
      <c r="AH28" s="3459"/>
      <c r="AI28" s="3459"/>
      <c r="AJ28" s="3459"/>
      <c r="AK28" s="3459"/>
      <c r="AL28" s="3459"/>
      <c r="AM28" s="3459"/>
      <c r="AN28" s="3459"/>
      <c r="AO28" s="3459"/>
      <c r="AP28" s="3459"/>
      <c r="AQ28" s="3459"/>
      <c r="AR28" s="3459"/>
      <c r="AS28" s="3459"/>
      <c r="AT28" s="3459"/>
      <c r="AU28" s="3459"/>
      <c r="AV28" s="3459"/>
      <c r="AW28" s="3459"/>
      <c r="AX28" s="3459"/>
      <c r="AY28" s="3459"/>
      <c r="AZ28" s="3459"/>
      <c r="BA28" s="2454"/>
      <c r="BI28" s="2366">
        <v>14</v>
      </c>
    </row>
    <row customHeight="1" ht="14.699999999999998">
      <c r="Q29" s="1502"/>
      <c r="R29" s="1587"/>
      <c r="S29" s="3460" t="str">
        <f>IF(org=0,"Не определено",org)</f>
        <v>ПАО "ТГК-2"</v>
      </c>
      <c r="T29" s="3460"/>
      <c r="U29" s="3460"/>
      <c r="V29" s="3460"/>
      <c r="W29" s="3460"/>
      <c r="X29" s="3460"/>
      <c r="Y29" s="3460"/>
      <c r="Z29" s="3460"/>
      <c r="AA29" s="3460"/>
      <c r="AB29" s="3460"/>
      <c r="AC29" s="3460"/>
      <c r="AD29" s="3460"/>
      <c r="AE29" s="3460"/>
      <c r="AF29" s="3460"/>
      <c r="AG29" s="3460"/>
      <c r="AH29" s="3460"/>
      <c r="AI29" s="3460"/>
      <c r="AJ29" s="3460"/>
      <c r="AK29" s="3460"/>
      <c r="AL29" s="3460"/>
      <c r="AM29" s="3460"/>
      <c r="AN29" s="3460"/>
      <c r="AO29" s="3460"/>
      <c r="AP29" s="3460"/>
      <c r="AQ29" s="3460"/>
      <c r="AR29" s="3460"/>
      <c r="AS29" s="3460"/>
      <c r="AT29" s="3460"/>
      <c r="AU29" s="3460"/>
      <c r="AV29" s="3460"/>
      <c r="AW29" s="3460"/>
      <c r="AX29" s="3460"/>
      <c r="AY29" s="3460"/>
      <c r="AZ29" s="3460"/>
      <c r="BA29" s="2454"/>
      <c r="BI29" s="2366">
        <v>14</v>
      </c>
    </row>
    <row customHeight="1" ht="14.25" hidden="1">
      <c r="Q30" s="1502"/>
      <c r="R30" s="1587"/>
      <c r="S30" s="2486"/>
      <c r="T30" s="1574"/>
      <c r="U30" s="1574"/>
      <c r="V30" s="1533"/>
      <c r="W30" s="1533"/>
      <c r="X30" s="1533"/>
      <c r="Y30" s="1533"/>
      <c r="Z30" s="1533"/>
      <c r="AA30" s="1533"/>
      <c r="AB30" s="1533"/>
      <c r="AC30" s="1533"/>
      <c r="AD30" s="1533"/>
      <c r="AE30" s="1533"/>
      <c r="AF30" s="1533"/>
      <c r="AG30" s="1533"/>
      <c r="AH30" s="1533"/>
      <c r="AI30" s="1533"/>
      <c r="AJ30" s="1533"/>
      <c r="AK30" s="1533"/>
      <c r="AL30" s="1533"/>
      <c r="AM30" s="1533"/>
      <c r="AN30" s="1533"/>
      <c r="AO30" s="1533"/>
      <c r="AP30" s="1533"/>
      <c r="AQ30" s="1533"/>
      <c r="AR30" s="1533"/>
      <c r="AS30" s="1533"/>
      <c r="AT30" s="1533"/>
      <c r="AU30" s="1533"/>
      <c r="AV30" s="1533"/>
      <c r="AW30" s="1533"/>
      <c r="AX30" s="1533"/>
      <c r="AY30" s="1533"/>
      <c r="AZ30" s="1533"/>
      <c r="BA30" s="1533"/>
      <c r="BB30" s="1720"/>
      <c r="BI30" s="2366">
        <v>0</v>
      </c>
    </row>
    <row s="67333" customFormat="1" customHeight="1" ht="25.5" hidden="1">
      <c r="A31" s="2579"/>
      <c r="B31" s="2579"/>
      <c r="C31" s="2579"/>
      <c r="D31" s="2579"/>
      <c r="E31" s="2579"/>
      <c r="F31" s="2579"/>
      <c r="G31" s="2579"/>
      <c r="H31" s="2579"/>
      <c r="I31" s="2579"/>
      <c r="J31" s="2579"/>
      <c r="K31" s="2579"/>
      <c r="L31" s="2580"/>
      <c r="M31" s="2579"/>
      <c r="N31" s="2579"/>
      <c r="O31" s="2579"/>
      <c r="P31" s="2579"/>
      <c r="Q31" s="2579"/>
      <c r="S31" s="3461" t="s">
        <v>41</v>
      </c>
      <c r="T31" s="3461"/>
      <c r="U31" s="2583"/>
      <c r="V31" s="3462" t="str">
        <f>IF(TITLE_NAME_OR_PR_CHANGE="",IF(TITLE_NAME_OR_PR="","",TITLE_NAME_OR_PR),TITLE_NAME_OR_PR_CHANGE)</f>
        <v/>
      </c>
      <c r="W31" s="3462"/>
      <c r="X31" s="3462"/>
      <c r="Y31" s="3462"/>
      <c r="Z31" s="3462"/>
      <c r="AA31" s="3462"/>
      <c r="AB31" s="3462"/>
      <c r="AC31" s="1537"/>
      <c r="AD31" s="3462" t="str">
        <f>IF(TITLE_NAME_OR_PR_CHANGE="",IF(TITLE_NAME_OR_PR="","",TITLE_NAME_OR_PR),TITLE_NAME_OR_PR_CHANGE)</f>
        <v/>
      </c>
      <c r="AE31" s="3462"/>
      <c r="AF31" s="3462"/>
      <c r="AG31" s="3462"/>
      <c r="AH31" s="3462"/>
      <c r="AI31" s="3462"/>
      <c r="AJ31" s="3462"/>
      <c r="AK31" s="3462"/>
      <c r="AL31" s="3462"/>
      <c r="AM31" s="3462"/>
      <c r="AN31" s="3462"/>
      <c r="AO31" s="3462"/>
      <c r="AP31" s="3462"/>
      <c r="AQ31" s="3462"/>
      <c r="AR31" s="3462"/>
      <c r="AS31" s="3462"/>
      <c r="AT31" s="3462"/>
      <c r="AU31" s="3462"/>
      <c r="AV31" s="3462"/>
      <c r="AW31" s="3462"/>
      <c r="AX31" s="3462"/>
      <c r="AY31" s="3462"/>
      <c r="AZ31" s="3462"/>
      <c r="BA31" s="1537"/>
      <c r="BB31" s="1537"/>
      <c r="BC31" s="1491"/>
      <c r="BD31" s="1579"/>
      <c r="BE31" s="1579"/>
      <c r="BF31" s="1579"/>
      <c r="BG31" s="1579"/>
      <c r="BH31" s="1579"/>
      <c r="BI31" s="1629">
        <v>0</v>
      </c>
    </row>
    <row s="67333" customFormat="1" customHeight="1" ht="18.75" hidden="1">
      <c r="A32" s="2579"/>
      <c r="B32" s="2579"/>
      <c r="C32" s="2579"/>
      <c r="D32" s="2579"/>
      <c r="E32" s="2579"/>
      <c r="F32" s="2579"/>
      <c r="G32" s="2579"/>
      <c r="H32" s="2579"/>
      <c r="I32" s="2579"/>
      <c r="J32" s="2579"/>
      <c r="K32" s="2579"/>
      <c r="L32" s="2580"/>
      <c r="M32" s="2579"/>
      <c r="N32" s="2579"/>
      <c r="O32" s="2579"/>
      <c r="P32" s="2579"/>
      <c r="Q32" s="2579"/>
      <c r="S32" s="3461" t="s">
        <v>441</v>
      </c>
      <c r="T32" s="3461"/>
      <c r="U32" s="2583"/>
      <c r="V32" s="3475" t="str">
        <f>IF(TITLE_DATE_PR_CHANGE="",IF(TITLE_DATE_PR="","",TITLE_DATE_PR),TITLE_DATE_PR_CHANGE)</f>
        <v/>
      </c>
      <c r="W32" s="3475"/>
      <c r="X32" s="3475"/>
      <c r="Y32" s="3475"/>
      <c r="Z32" s="3475"/>
      <c r="AA32" s="3475"/>
      <c r="AB32" s="3475"/>
      <c r="AC32" s="1537"/>
      <c r="AD32" s="3475" t="str">
        <f>IF(TITLE_DATE_PR_CHANGE="",IF(TITLE_DATE_PR="","",TITLE_DATE_PR),TITLE_DATE_PR_CHANGE)</f>
        <v/>
      </c>
      <c r="AE32" s="3475"/>
      <c r="AF32" s="3475"/>
      <c r="AG32" s="3475"/>
      <c r="AH32" s="3475"/>
      <c r="AI32" s="3475"/>
      <c r="AJ32" s="3475"/>
      <c r="AK32" s="3475"/>
      <c r="AL32" s="3475"/>
      <c r="AM32" s="3475"/>
      <c r="AN32" s="3475"/>
      <c r="AO32" s="3475"/>
      <c r="AP32" s="3475"/>
      <c r="AQ32" s="3475"/>
      <c r="AR32" s="3475"/>
      <c r="AS32" s="3475"/>
      <c r="AT32" s="3475"/>
      <c r="AU32" s="3475"/>
      <c r="AV32" s="3475"/>
      <c r="AW32" s="3475"/>
      <c r="AX32" s="3475"/>
      <c r="AY32" s="3475"/>
      <c r="AZ32" s="3475"/>
      <c r="BA32" s="1537"/>
      <c r="BB32" s="1537"/>
      <c r="BC32" s="1491"/>
      <c r="BD32" s="1579"/>
      <c r="BE32" s="1579"/>
      <c r="BF32" s="1579"/>
      <c r="BG32" s="1579"/>
      <c r="BH32" s="1579"/>
      <c r="BI32" s="1629">
        <v>0</v>
      </c>
    </row>
    <row s="67333" customFormat="1" customHeight="1" ht="18.75" hidden="1">
      <c r="A33" s="2579"/>
      <c r="B33" s="2579"/>
      <c r="C33" s="2579"/>
      <c r="D33" s="2579"/>
      <c r="E33" s="2579"/>
      <c r="F33" s="2579"/>
      <c r="G33" s="2579"/>
      <c r="H33" s="2579"/>
      <c r="I33" s="2579"/>
      <c r="J33" s="2579"/>
      <c r="K33" s="2579"/>
      <c r="L33" s="2580"/>
      <c r="M33" s="2579"/>
      <c r="N33" s="2579"/>
      <c r="O33" s="2579"/>
      <c r="P33" s="2579"/>
      <c r="Q33" s="2579"/>
      <c r="S33" s="3461" t="s">
        <v>442</v>
      </c>
      <c r="T33" s="3461"/>
      <c r="U33" s="2583"/>
      <c r="V33" s="3462" t="str">
        <f>IF(TITLE_NUMBER_PR_CHANGE="",IF(TITLE_NUMBER_PR="","",TITLE_NUMBER_PR),TITLE_NUMBER_PR_CHANGE)</f>
        <v/>
      </c>
      <c r="W33" s="3462"/>
      <c r="X33" s="3462"/>
      <c r="Y33" s="3462"/>
      <c r="Z33" s="3462"/>
      <c r="AA33" s="3462"/>
      <c r="AB33" s="3462"/>
      <c r="AC33" s="1537"/>
      <c r="AD33" s="3462" t="str">
        <f>IF(TITLE_NUMBER_PR_CHANGE="",IF(TITLE_NUMBER_PR="","",TITLE_NUMBER_PR),TITLE_NUMBER_PR_CHANGE)</f>
        <v/>
      </c>
      <c r="AE33" s="3462"/>
      <c r="AF33" s="3462"/>
      <c r="AG33" s="3462"/>
      <c r="AH33" s="3462"/>
      <c r="AI33" s="3462"/>
      <c r="AJ33" s="3462"/>
      <c r="AK33" s="3462"/>
      <c r="AL33" s="3462"/>
      <c r="AM33" s="3462"/>
      <c r="AN33" s="3462"/>
      <c r="AO33" s="3462"/>
      <c r="AP33" s="3462"/>
      <c r="AQ33" s="3462"/>
      <c r="AR33" s="3462"/>
      <c r="AS33" s="3462"/>
      <c r="AT33" s="3462"/>
      <c r="AU33" s="3462"/>
      <c r="AV33" s="3462"/>
      <c r="AW33" s="3462"/>
      <c r="AX33" s="3462"/>
      <c r="AY33" s="3462"/>
      <c r="AZ33" s="3462"/>
      <c r="BA33" s="1537"/>
      <c r="BB33" s="1537"/>
      <c r="BC33" s="1491"/>
      <c r="BD33" s="1579"/>
      <c r="BE33" s="1579"/>
      <c r="BF33" s="1579"/>
      <c r="BG33" s="1579"/>
      <c r="BH33" s="1579"/>
      <c r="BI33" s="1629">
        <v>0</v>
      </c>
    </row>
    <row s="67333" customFormat="1" customHeight="1" ht="18.75" hidden="1">
      <c r="A34" s="2579"/>
      <c r="B34" s="2579"/>
      <c r="C34" s="2579"/>
      <c r="D34" s="2579"/>
      <c r="E34" s="2579"/>
      <c r="F34" s="2579"/>
      <c r="G34" s="2579"/>
      <c r="H34" s="2579"/>
      <c r="I34" s="2579"/>
      <c r="J34" s="2579"/>
      <c r="K34" s="2579"/>
      <c r="L34" s="2580"/>
      <c r="M34" s="2579"/>
      <c r="N34" s="2579"/>
      <c r="O34" s="2579"/>
      <c r="P34" s="2579"/>
      <c r="Q34" s="2579"/>
      <c r="S34" s="3461" t="s">
        <v>42</v>
      </c>
      <c r="T34" s="3461"/>
      <c r="U34" s="2583"/>
      <c r="V34" s="3462" t="str">
        <f>IF(TITLE_IST_PUB_CHANGE="",IF(TITLE_IST_PUB="","",TITLE_IST_PUB),TITLE_IST_PUB_CHANGE)</f>
        <v/>
      </c>
      <c r="W34" s="3462"/>
      <c r="X34" s="3462"/>
      <c r="Y34" s="3462"/>
      <c r="Z34" s="3462"/>
      <c r="AA34" s="3462"/>
      <c r="AB34" s="3462"/>
      <c r="AC34" s="1537"/>
      <c r="AD34" s="3462" t="str">
        <f>IF(TITLE_IST_PUB_CHANGE="",IF(TITLE_IST_PUB="","",TITLE_IST_PUB),TITLE_IST_PUB_CHANGE)</f>
        <v/>
      </c>
      <c r="AE34" s="3462"/>
      <c r="AF34" s="3462"/>
      <c r="AG34" s="3462"/>
      <c r="AH34" s="3462"/>
      <c r="AI34" s="3462"/>
      <c r="AJ34" s="3462"/>
      <c r="AK34" s="3462"/>
      <c r="AL34" s="3462"/>
      <c r="AM34" s="3462"/>
      <c r="AN34" s="3462"/>
      <c r="AO34" s="3462"/>
      <c r="AP34" s="3462"/>
      <c r="AQ34" s="3462"/>
      <c r="AR34" s="3462"/>
      <c r="AS34" s="3462"/>
      <c r="AT34" s="3462"/>
      <c r="AU34" s="3462"/>
      <c r="AV34" s="3462"/>
      <c r="AW34" s="3462"/>
      <c r="AX34" s="3462"/>
      <c r="AY34" s="3462"/>
      <c r="AZ34" s="3462"/>
      <c r="BA34" s="1537"/>
      <c r="BB34" s="1537"/>
      <c r="BC34" s="1491"/>
      <c r="BD34" s="1579"/>
      <c r="BE34" s="1579"/>
      <c r="BF34" s="1579"/>
      <c r="BG34" s="1579"/>
      <c r="BH34" s="1579"/>
      <c r="BI34" s="1629">
        <v>0</v>
      </c>
    </row>
    <row customHeight="1" ht="14.25" hidden="1">
      <c r="Q35" s="1502"/>
      <c r="R35" s="1587"/>
      <c r="S35" s="2486"/>
      <c r="T35" s="1574"/>
      <c r="U35" s="1574"/>
      <c r="V35" s="1533"/>
      <c r="W35" s="1533"/>
      <c r="X35" s="1533"/>
      <c r="Y35" s="1533"/>
      <c r="Z35" s="1533"/>
      <c r="AA35" s="1533"/>
      <c r="AB35" s="1533"/>
      <c r="AC35" s="1533"/>
      <c r="AD35" s="1533"/>
      <c r="AE35" s="1533"/>
      <c r="AF35" s="1533"/>
      <c r="AG35" s="1533"/>
      <c r="AH35" s="1533"/>
      <c r="AI35" s="1533"/>
      <c r="AJ35" s="1533"/>
      <c r="AK35" s="1533"/>
      <c r="AL35" s="1533"/>
      <c r="AM35" s="1533"/>
      <c r="AN35" s="1533"/>
      <c r="AO35" s="1533"/>
      <c r="AP35" s="1533"/>
      <c r="AQ35" s="1533"/>
      <c r="AR35" s="1533"/>
      <c r="AS35" s="1533"/>
      <c r="AT35" s="1533"/>
      <c r="AU35" s="1533"/>
      <c r="AV35" s="1533"/>
      <c r="AW35" s="1533"/>
      <c r="AX35" s="1533"/>
      <c r="AY35" s="1533"/>
      <c r="AZ35" s="1533"/>
      <c r="BA35" s="1533"/>
      <c r="BB35" s="1720"/>
      <c r="BI35" s="2366">
        <v>0</v>
      </c>
    </row>
    <row s="67333" customFormat="1" customHeight="1" ht="18.75" hidden="1">
      <c r="A36" s="2579"/>
      <c r="B36" s="2579"/>
      <c r="C36" s="2579"/>
      <c r="D36" s="2579"/>
      <c r="E36" s="2579"/>
      <c r="F36" s="2579"/>
      <c r="G36" s="2579"/>
      <c r="H36" s="2579"/>
      <c r="I36" s="2579"/>
      <c r="J36" s="2579"/>
      <c r="K36" s="2579"/>
      <c r="L36" s="2580"/>
      <c r="M36" s="2579"/>
      <c r="N36" s="2579"/>
      <c r="O36" s="2579"/>
      <c r="P36" s="2579"/>
      <c r="Q36" s="2579"/>
      <c r="S36" s="3461" t="s">
        <v>441</v>
      </c>
      <c r="T36" s="3461"/>
      <c r="U36" s="2583"/>
      <c r="V36" s="3475" t="str">
        <f>IF(TITLE_DATE_PR_CHANGE="",IF(TITLE_DATE_PR="","",TITLE_DATE_PR),TITLE_DATE_PR_CHANGE)</f>
        <v/>
      </c>
      <c r="W36" s="3475"/>
      <c r="X36" s="3475"/>
      <c r="Y36" s="3475"/>
      <c r="Z36" s="3475"/>
      <c r="AA36" s="3475"/>
      <c r="AB36" s="3475"/>
      <c r="AC36" s="1537"/>
      <c r="AD36" s="3475" t="str">
        <f>IF(TITLE_DATE_PR_CHANGE="",IF(TITLE_DATE_PR="","",TITLE_DATE_PR),TITLE_DATE_PR_CHANGE)</f>
        <v/>
      </c>
      <c r="AE36" s="3475"/>
      <c r="AF36" s="3475"/>
      <c r="AG36" s="3475"/>
      <c r="AH36" s="3475"/>
      <c r="AI36" s="3475"/>
      <c r="AJ36" s="3475"/>
      <c r="AK36" s="3475"/>
      <c r="AL36" s="3475"/>
      <c r="AM36" s="3475"/>
      <c r="AN36" s="3475"/>
      <c r="AO36" s="3475"/>
      <c r="AP36" s="3475"/>
      <c r="AQ36" s="3475"/>
      <c r="AR36" s="3475"/>
      <c r="AS36" s="3475"/>
      <c r="AT36" s="3475"/>
      <c r="AU36" s="3475"/>
      <c r="AV36" s="3475"/>
      <c r="AW36" s="3475"/>
      <c r="AX36" s="3475"/>
      <c r="AY36" s="3475"/>
      <c r="AZ36" s="3475"/>
      <c r="BA36" s="1537"/>
      <c r="BB36" s="1537"/>
      <c r="BC36" s="1491"/>
      <c r="BD36" s="1579"/>
      <c r="BE36" s="1579"/>
      <c r="BF36" s="1579"/>
      <c r="BG36" s="1579"/>
      <c r="BH36" s="1579"/>
      <c r="BI36" s="1629">
        <v>0</v>
      </c>
    </row>
    <row s="67333" customFormat="1" customHeight="1" ht="18.75" hidden="1">
      <c r="A37" s="2579"/>
      <c r="B37" s="2579"/>
      <c r="C37" s="2579"/>
      <c r="D37" s="2579"/>
      <c r="E37" s="2579"/>
      <c r="F37" s="2579"/>
      <c r="G37" s="2579"/>
      <c r="H37" s="2579"/>
      <c r="I37" s="2579"/>
      <c r="J37" s="2579"/>
      <c r="K37" s="2579"/>
      <c r="L37" s="2580"/>
      <c r="M37" s="2579"/>
      <c r="N37" s="2579"/>
      <c r="O37" s="2579"/>
      <c r="P37" s="2579"/>
      <c r="Q37" s="2579"/>
      <c r="S37" s="3461" t="s">
        <v>442</v>
      </c>
      <c r="T37" s="3461"/>
      <c r="U37" s="2583"/>
      <c r="V37" s="3462" t="str">
        <f>IF(TITLE_NUMBER_PR_CHANGE="",IF(TITLE_NUMBER_PR="","",TITLE_NUMBER_PR),TITLE_NUMBER_PR_CHANGE)</f>
        <v/>
      </c>
      <c r="W37" s="3462"/>
      <c r="X37" s="3462"/>
      <c r="Y37" s="3462"/>
      <c r="Z37" s="3462"/>
      <c r="AA37" s="3462"/>
      <c r="AB37" s="3462"/>
      <c r="AC37" s="1537"/>
      <c r="AD37" s="3462" t="str">
        <f>IF(TITLE_NUMBER_PR_CHANGE="",IF(TITLE_NUMBER_PR="","",TITLE_NUMBER_PR),TITLE_NUMBER_PR_CHANGE)</f>
        <v/>
      </c>
      <c r="AE37" s="3462"/>
      <c r="AF37" s="3462"/>
      <c r="AG37" s="3462"/>
      <c r="AH37" s="3462"/>
      <c r="AI37" s="3462"/>
      <c r="AJ37" s="3462"/>
      <c r="AK37" s="3462"/>
      <c r="AL37" s="3462"/>
      <c r="AM37" s="3462"/>
      <c r="AN37" s="3462"/>
      <c r="AO37" s="3462"/>
      <c r="AP37" s="3462"/>
      <c r="AQ37" s="3462"/>
      <c r="AR37" s="3462"/>
      <c r="AS37" s="3462"/>
      <c r="AT37" s="3462"/>
      <c r="AU37" s="3462"/>
      <c r="AV37" s="3462"/>
      <c r="AW37" s="3462"/>
      <c r="AX37" s="3462"/>
      <c r="AY37" s="3462"/>
      <c r="AZ37" s="3462"/>
      <c r="BA37" s="1537"/>
      <c r="BB37" s="1537"/>
      <c r="BC37" s="1491"/>
      <c r="BD37" s="1579"/>
      <c r="BE37" s="1579"/>
      <c r="BF37" s="1579"/>
      <c r="BG37" s="1579"/>
      <c r="BH37" s="1579"/>
      <c r="BI37" s="1629">
        <v>0</v>
      </c>
    </row>
    <row s="67333" customFormat="1" customHeight="1" ht="0">
      <c r="A38" s="2579"/>
      <c r="B38" s="2579"/>
      <c r="C38" s="2579"/>
      <c r="D38" s="2579"/>
      <c r="E38" s="2579"/>
      <c r="F38" s="2579"/>
      <c r="G38" s="2579"/>
      <c r="H38" s="2579"/>
      <c r="I38" s="2579"/>
      <c r="J38" s="2579"/>
      <c r="K38" s="2579"/>
      <c r="L38" s="2580"/>
      <c r="M38" s="2579"/>
      <c r="N38" s="2579"/>
      <c r="O38" s="2579"/>
      <c r="P38" s="2579"/>
      <c r="Q38" s="2579"/>
      <c r="S38" s="1534"/>
      <c r="T38" s="1534"/>
      <c r="U38" s="2699"/>
      <c r="V38" s="1537"/>
      <c r="W38" s="1537"/>
      <c r="X38" s="1537"/>
      <c r="Y38" s="1537"/>
      <c r="Z38" s="1537"/>
      <c r="AA38" s="1537"/>
      <c r="AB38" s="1537"/>
      <c r="AC38" s="1489" t="s">
        <v>445</v>
      </c>
      <c r="AD38" s="1537"/>
      <c r="AE38" s="1537"/>
      <c r="AF38" s="1537"/>
      <c r="AG38" s="1537"/>
      <c r="AH38" s="1537"/>
      <c r="AI38" s="1537"/>
      <c r="AJ38" s="1537"/>
      <c r="AK38" s="1537"/>
      <c r="AL38" s="1537"/>
      <c r="AM38" s="1537"/>
      <c r="AN38" s="1537"/>
      <c r="AO38" s="1537"/>
      <c r="AP38" s="1537"/>
      <c r="AQ38" s="1537"/>
      <c r="AR38" s="1537"/>
      <c r="AS38" s="1537"/>
      <c r="AT38" s="1537"/>
      <c r="AU38" s="1537"/>
      <c r="AV38" s="1537"/>
      <c r="AW38" s="1537"/>
      <c r="AX38" s="1537"/>
      <c r="AY38" s="1537"/>
      <c r="AZ38" s="1537"/>
      <c r="BA38" s="1489" t="s">
        <v>445</v>
      </c>
      <c r="BD38" s="1579"/>
      <c r="BE38" s="1579"/>
      <c r="BF38" s="1579"/>
      <c r="BG38" s="1579"/>
      <c r="BH38" s="1579"/>
      <c r="BI38" s="1629">
        <v>0</v>
      </c>
    </row>
    <row customHeight="1" ht="14.699999999999998">
      <c r="Q39" s="1502"/>
      <c r="R39" s="1587"/>
      <c r="S39" s="2486"/>
      <c r="T39" s="1574"/>
      <c r="U39" s="2455"/>
      <c r="V39" s="3463"/>
      <c r="W39" s="3463"/>
      <c r="X39" s="3463"/>
      <c r="Y39" s="3463"/>
      <c r="Z39" s="3463"/>
      <c r="AA39" s="3463"/>
      <c r="AB39" s="3463"/>
      <c r="AC39" s="3463"/>
      <c r="AD39" s="3463"/>
      <c r="AE39" s="3463"/>
      <c r="AF39" s="3463"/>
      <c r="AG39" s="3463"/>
      <c r="AH39" s="3463"/>
      <c r="AI39" s="3463"/>
      <c r="AJ39" s="3463"/>
      <c r="AK39" s="3463"/>
      <c r="AL39" s="3463"/>
      <c r="AM39" s="3463"/>
      <c r="AN39" s="3463"/>
      <c r="AO39" s="3463"/>
      <c r="AP39" s="3463"/>
      <c r="AQ39" s="3463"/>
      <c r="AR39" s="3463"/>
      <c r="AS39" s="3463"/>
      <c r="AT39" s="3463"/>
      <c r="AU39" s="3463"/>
      <c r="AV39" s="3463"/>
      <c r="AW39" s="3463"/>
      <c r="AX39" s="3463"/>
      <c r="AY39" s="3463"/>
      <c r="AZ39" s="3463"/>
      <c r="BA39" s="3463"/>
      <c r="BI39" s="2366">
        <v>14</v>
      </c>
    </row>
    <row customHeight="1" ht="14.699999999999998">
      <c r="Q40" s="1502"/>
      <c r="R40" s="1587"/>
      <c r="S40" s="3338" t="s">
        <v>318</v>
      </c>
      <c r="T40" s="3338"/>
      <c r="U40" s="3338"/>
      <c r="V40" s="3338"/>
      <c r="W40" s="3338"/>
      <c r="X40" s="3338"/>
      <c r="Y40" s="3338"/>
      <c r="Z40" s="3338"/>
      <c r="AA40" s="3338"/>
      <c r="AB40" s="3338"/>
      <c r="AC40" s="3338"/>
      <c r="AD40" s="3338"/>
      <c r="AE40" s="3338"/>
      <c r="AF40" s="3338"/>
      <c r="AG40" s="3338"/>
      <c r="AH40" s="3338"/>
      <c r="AI40" s="3338"/>
      <c r="AJ40" s="3338"/>
      <c r="AK40" s="3338"/>
      <c r="AL40" s="3338"/>
      <c r="AM40" s="3338"/>
      <c r="AN40" s="3338"/>
      <c r="AO40" s="3338"/>
      <c r="AP40" s="3338"/>
      <c r="AQ40" s="3338"/>
      <c r="AR40" s="3338"/>
      <c r="AS40" s="3338"/>
      <c r="AT40" s="3338"/>
      <c r="AU40" s="3338"/>
      <c r="AV40" s="3338"/>
      <c r="AW40" s="3338"/>
      <c r="AX40" s="3338"/>
      <c r="AY40" s="3338"/>
      <c r="AZ40" s="3338"/>
      <c r="BA40" s="3338"/>
      <c r="BB40" s="3338"/>
      <c r="BC40" s="3338" t="s">
        <v>319</v>
      </c>
      <c r="BI40" s="2366">
        <v>14</v>
      </c>
    </row>
    <row customHeight="1" ht="14.699999999999998">
      <c r="Q41" s="1502"/>
      <c r="R41" s="1587"/>
      <c r="S41" s="3484" t="s">
        <v>88</v>
      </c>
      <c r="T41" s="3420" t="s">
        <v>525</v>
      </c>
      <c r="U41" s="1512"/>
      <c r="V41" s="3485" t="s">
        <v>447</v>
      </c>
      <c r="W41" s="3486"/>
      <c r="X41" s="3486"/>
      <c r="Y41" s="3486"/>
      <c r="Z41" s="3486"/>
      <c r="AA41" s="3486"/>
      <c r="AB41" s="3487"/>
      <c r="AC41" s="3488" t="s">
        <v>448</v>
      </c>
      <c r="AD41" s="3539" t="s">
        <v>542</v>
      </c>
      <c r="AE41" s="3502"/>
      <c r="AF41" s="3502"/>
      <c r="AG41" s="3540"/>
      <c r="AH41" s="3539" t="s">
        <v>543</v>
      </c>
      <c r="AI41" s="3502"/>
      <c r="AJ41" s="3502"/>
      <c r="AK41" s="3540"/>
      <c r="AL41" s="3539" t="s">
        <v>544</v>
      </c>
      <c r="AM41" s="3502"/>
      <c r="AN41" s="3502"/>
      <c r="AO41" s="3540"/>
      <c r="AP41" s="3539" t="s">
        <v>529</v>
      </c>
      <c r="AQ41" s="3502"/>
      <c r="AR41" s="3502"/>
      <c r="AS41" s="3540"/>
      <c r="AT41" s="3485" t="s">
        <v>447</v>
      </c>
      <c r="AU41" s="3486"/>
      <c r="AV41" s="3486"/>
      <c r="AW41" s="3486"/>
      <c r="AX41" s="3486"/>
      <c r="AY41" s="3486"/>
      <c r="AZ41" s="3487"/>
      <c r="BA41" s="3488" t="s">
        <v>448</v>
      </c>
      <c r="BB41" s="3491" t="s">
        <v>450</v>
      </c>
      <c r="BC41" s="3338"/>
      <c r="BI41" s="2366">
        <v>14</v>
      </c>
    </row>
    <row customHeight="1" ht="35.699999999999996">
      <c r="Q42" s="1502"/>
      <c r="R42" s="1587"/>
      <c r="S42" s="3484"/>
      <c r="T42" s="3420"/>
      <c r="U42" s="2242"/>
      <c r="V42" s="3403" t="s">
        <v>530</v>
      </c>
      <c r="W42" s="3404"/>
      <c r="X42" s="3403" t="s">
        <v>531</v>
      </c>
      <c r="Y42" s="3404"/>
      <c r="Z42" s="3505" t="s">
        <v>532</v>
      </c>
      <c r="AA42" s="3524"/>
      <c r="AB42" s="3525"/>
      <c r="AC42" s="3489"/>
      <c r="AD42" s="3541"/>
      <c r="AE42" s="3542"/>
      <c r="AF42" s="3542"/>
      <c r="AG42" s="3543"/>
      <c r="AH42" s="3541"/>
      <c r="AI42" s="3542"/>
      <c r="AJ42" s="3542"/>
      <c r="AK42" s="3543"/>
      <c r="AL42" s="3541"/>
      <c r="AM42" s="3542"/>
      <c r="AN42" s="3542"/>
      <c r="AO42" s="3543"/>
      <c r="AP42" s="3541"/>
      <c r="AQ42" s="3542"/>
      <c r="AR42" s="3542"/>
      <c r="AS42" s="3543"/>
      <c r="AT42" s="3403" t="s">
        <v>545</v>
      </c>
      <c r="AU42" s="3404"/>
      <c r="AV42" s="3403" t="s">
        <v>546</v>
      </c>
      <c r="AW42" s="3404"/>
      <c r="AX42" s="3505" t="s">
        <v>532</v>
      </c>
      <c r="AY42" s="3524"/>
      <c r="AZ42" s="3525"/>
      <c r="BA42" s="3489"/>
      <c r="BB42" s="3492"/>
      <c r="BC42" s="3338"/>
      <c r="BI42" s="2366">
        <v>34</v>
      </c>
    </row>
    <row customHeight="1" ht="14.699999999999998">
      <c r="Q43" s="1502"/>
      <c r="R43" s="1587"/>
      <c r="S43" s="3484"/>
      <c r="T43" s="3420"/>
      <c r="U43" s="2242"/>
      <c r="V43" s="3411"/>
      <c r="W43" s="3412"/>
      <c r="X43" s="3411"/>
      <c r="Y43" s="3412"/>
      <c r="Z43" s="3506"/>
      <c r="AA43" s="3526"/>
      <c r="AB43" s="3527"/>
      <c r="AC43" s="3489"/>
      <c r="AD43" s="3541"/>
      <c r="AE43" s="3542"/>
      <c r="AF43" s="3542"/>
      <c r="AG43" s="3543"/>
      <c r="AH43" s="3541"/>
      <c r="AI43" s="3542"/>
      <c r="AJ43" s="3542"/>
      <c r="AK43" s="3543"/>
      <c r="AL43" s="3541"/>
      <c r="AM43" s="3542"/>
      <c r="AN43" s="3542"/>
      <c r="AO43" s="3543"/>
      <c r="AP43" s="3541"/>
      <c r="AQ43" s="3542"/>
      <c r="AR43" s="3542"/>
      <c r="AS43" s="3543"/>
      <c r="AT43" s="3411"/>
      <c r="AU43" s="3412"/>
      <c r="AV43" s="3411"/>
      <c r="AW43" s="3412"/>
      <c r="AX43" s="3506"/>
      <c r="AY43" s="3526"/>
      <c r="AZ43" s="3527"/>
      <c r="BA43" s="3489"/>
      <c r="BB43" s="3492"/>
      <c r="BC43" s="3338"/>
      <c r="BI43" s="2366">
        <v>14</v>
      </c>
    </row>
    <row customHeight="1" ht="14.699999999999998">
      <c r="A44" s="2581"/>
      <c r="B44" s="2581" t="s">
        <v>155</v>
      </c>
      <c r="C44" s="2581" t="s">
        <v>156</v>
      </c>
      <c r="D44" s="2581" t="s">
        <v>157</v>
      </c>
      <c r="E44" s="2575" t="s">
        <v>455</v>
      </c>
      <c r="F44" s="2575" t="s">
        <v>456</v>
      </c>
      <c r="G44" s="2575" t="s">
        <v>457</v>
      </c>
      <c r="H44" s="2575" t="s">
        <v>458</v>
      </c>
      <c r="I44" s="2575" t="s">
        <v>459</v>
      </c>
      <c r="J44" s="2575" t="s">
        <v>460</v>
      </c>
      <c r="K44" s="2575" t="s">
        <v>461</v>
      </c>
      <c r="L44" s="2575" t="s">
        <v>436</v>
      </c>
      <c r="Q44" s="1502"/>
      <c r="R44" s="1587"/>
      <c r="S44" s="3484"/>
      <c r="T44" s="3420"/>
      <c r="U44" s="1513"/>
      <c r="V44" s="2690" t="s">
        <v>496</v>
      </c>
      <c r="W44" s="2690" t="s">
        <v>497</v>
      </c>
      <c r="X44" s="2690" t="s">
        <v>496</v>
      </c>
      <c r="Y44" s="2690" t="s">
        <v>497</v>
      </c>
      <c r="Z44" s="2700" t="s">
        <v>464</v>
      </c>
      <c r="AA44" s="3481" t="s">
        <v>465</v>
      </c>
      <c r="AB44" s="3482"/>
      <c r="AC44" s="3490"/>
      <c r="AD44" s="3544"/>
      <c r="AE44" s="3545"/>
      <c r="AF44" s="3545"/>
      <c r="AG44" s="3546"/>
      <c r="AH44" s="3544"/>
      <c r="AI44" s="3545"/>
      <c r="AJ44" s="3545"/>
      <c r="AK44" s="3546"/>
      <c r="AL44" s="3544"/>
      <c r="AM44" s="3545"/>
      <c r="AN44" s="3545"/>
      <c r="AO44" s="3546"/>
      <c r="AP44" s="3544"/>
      <c r="AQ44" s="3545"/>
      <c r="AR44" s="3545"/>
      <c r="AS44" s="3546"/>
      <c r="AT44" s="2690" t="s">
        <v>496</v>
      </c>
      <c r="AU44" s="2690" t="s">
        <v>497</v>
      </c>
      <c r="AV44" s="2690" t="s">
        <v>496</v>
      </c>
      <c r="AW44" s="2690" t="s">
        <v>497</v>
      </c>
      <c r="AX44" s="2700" t="s">
        <v>464</v>
      </c>
      <c r="AY44" s="3481" t="s">
        <v>465</v>
      </c>
      <c r="AZ44" s="3482"/>
      <c r="BA44" s="3490"/>
      <c r="BB44" s="3493"/>
      <c r="BC44" s="3338"/>
      <c r="BI44" s="2366">
        <v>14</v>
      </c>
    </row>
    <row s="65897" customFormat="1" customHeight="1" ht="11.25" hidden="1">
      <c r="A45" s="2581"/>
      <c r="B45" s="2581"/>
      <c r="C45" s="2581"/>
      <c r="D45" s="2581"/>
      <c r="E45" s="2581"/>
      <c r="F45" s="2581"/>
      <c r="G45" s="2581"/>
      <c r="H45" s="2581"/>
      <c r="I45" s="2581"/>
      <c r="J45" s="2581"/>
      <c r="K45" s="2581"/>
      <c r="L45" s="2575"/>
      <c r="M45" s="2573"/>
      <c r="N45" s="2573"/>
      <c r="O45" s="2573"/>
      <c r="P45" s="1721"/>
      <c r="Q45" s="2465"/>
      <c r="R45" s="2465">
        <v>1</v>
      </c>
      <c r="S45" s="2488" t="s">
        <v>99</v>
      </c>
      <c r="T45" s="2466" t="s">
        <v>102</v>
      </c>
      <c r="U45" s="2456" t="str">
        <f>OFFSET(U45,0,-1)</f>
        <v>2</v>
      </c>
      <c r="V45" s="2693">
        <f>OFFSET(V45,0,-1)+1</f>
        <v>3</v>
      </c>
      <c r="W45" s="2693">
        <f>OFFSET(W45,0,-1)+1</f>
        <v>4</v>
      </c>
      <c r="X45" s="2693">
        <f>OFFSET(X45,0,-1)+1</f>
        <v>5</v>
      </c>
      <c r="Y45" s="2693">
        <f>OFFSET(Y45,0,-1)+1</f>
        <v>6</v>
      </c>
      <c r="Z45" s="2693">
        <f>OFFSET(Z45,0,-1)+1</f>
        <v>7</v>
      </c>
      <c r="AA45" s="3483">
        <f>OFFSET(AA45,0,-1)+1</f>
        <v>8</v>
      </c>
      <c r="AB45" s="3483"/>
      <c r="AC45" s="2693">
        <f>OFFSET(AC45,0,-2)+1</f>
        <v>9</v>
      </c>
      <c r="AD45" s="2693">
        <f>OFFSET(AD45,0,-1)+1</f>
        <v>10</v>
      </c>
      <c r="AE45" s="2693"/>
      <c r="AF45" s="2693"/>
      <c r="AG45" s="2693"/>
      <c r="AH45" s="2693"/>
      <c r="AI45" s="2693"/>
      <c r="AJ45" s="2693"/>
      <c r="AK45" s="2693"/>
      <c r="AL45" s="2693"/>
      <c r="AM45" s="2693"/>
      <c r="AN45" s="2693"/>
      <c r="AO45" s="2693"/>
      <c r="AP45" s="2693"/>
      <c r="AQ45" s="2693"/>
      <c r="AR45" s="2693"/>
      <c r="AS45" s="2693"/>
      <c r="AT45" s="2693"/>
      <c r="AU45" s="2693"/>
      <c r="AV45" s="2693"/>
      <c r="AW45" s="2693">
        <f>OFFSET(AW45,0,-1)+1</f>
        <v>1</v>
      </c>
      <c r="AX45" s="2693">
        <f>OFFSET(AX45,0,-1)+1</f>
        <v>2</v>
      </c>
      <c r="AY45" s="3483">
        <f>OFFSET(AY45,0,-1)+1</f>
        <v>3</v>
      </c>
      <c r="AZ45" s="3483"/>
      <c r="BA45" s="2693">
        <f>OFFSET(BA45,0,-2)+1</f>
        <v>4</v>
      </c>
      <c r="BB45" s="2456">
        <f>OFFSET(BB45,0,-1)</f>
        <v>4</v>
      </c>
      <c r="BC45" s="2693">
        <f>OFFSET(BC45,0,-1)+1</f>
        <v>5</v>
      </c>
      <c r="BD45" s="1722"/>
      <c r="BE45" s="1722"/>
      <c r="BF45" s="1722"/>
      <c r="BG45" s="1722"/>
      <c r="BH45" s="1722"/>
      <c r="BI45" s="1707">
        <v>0</v>
      </c>
    </row>
    <row customHeight="1" ht="22.049999999999997">
      <c r="A46" s="2574" t="s">
        <v>294</v>
      </c>
      <c r="B46" s="2574"/>
      <c r="C46" s="2574"/>
      <c r="D46" s="2574"/>
      <c r="E46" s="3469">
        <v>1</v>
      </c>
      <c r="F46" s="2574"/>
      <c r="G46" s="2574"/>
      <c r="H46" s="2574"/>
      <c r="I46" s="2574"/>
      <c r="J46" s="2574"/>
      <c r="K46" s="2574"/>
      <c r="L46" s="2575"/>
      <c r="M46" s="2576"/>
      <c r="N46" s="2576"/>
      <c r="O46" s="2576"/>
      <c r="P46" s="2620"/>
      <c r="Q46" s="2084"/>
      <c r="R46" s="1566"/>
      <c r="S46" s="2704">
        <f>INDEX(PT_DIFFERENTIATION_NUM_NTAR,MATCH(A46,PT_DIFFERENTIATION_NTAR_ID,0))</f>
        <v>0</v>
      </c>
      <c r="T46" s="1509" t="s">
        <v>143</v>
      </c>
      <c r="U46" s="1511"/>
      <c r="V46" s="3454"/>
      <c r="W46" s="3454"/>
      <c r="X46" s="3454"/>
      <c r="Y46" s="3454"/>
      <c r="Z46" s="3454"/>
      <c r="AA46" s="3454"/>
      <c r="AB46" s="3454"/>
      <c r="AC46" s="3455"/>
      <c r="AD46" s="3453" t="str">
        <f>INDEX(PT_DIFFERENTIATION_NTAR,MATCH(A46,PT_DIFFERENTIATION_NTAR_ID,0))</f>
        <v/>
      </c>
      <c r="AE46" s="3454"/>
      <c r="AF46" s="3454"/>
      <c r="AG46" s="3454"/>
      <c r="AH46" s="3454"/>
      <c r="AI46" s="3454"/>
      <c r="AJ46" s="3454"/>
      <c r="AK46" s="3454"/>
      <c r="AL46" s="3454"/>
      <c r="AM46" s="3454"/>
      <c r="AN46" s="3454"/>
      <c r="AO46" s="3454"/>
      <c r="AP46" s="3454"/>
      <c r="AQ46" s="3454"/>
      <c r="AR46" s="3454"/>
      <c r="AS46" s="3454"/>
      <c r="AT46" s="3454"/>
      <c r="AU46" s="3454"/>
      <c r="AV46" s="3454"/>
      <c r="AW46" s="3454"/>
      <c r="AX46" s="3454"/>
      <c r="AY46" s="3454"/>
      <c r="AZ46" s="3454"/>
      <c r="BA46" s="3454"/>
      <c r="BB46" s="3455"/>
      <c r="BC46"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711"/>
      <c r="BF46" s="1711" t="str">
        <f>IF(T46="","",T46)</f>
        <v>Наименование тарифа</v>
      </c>
      <c r="BG46" s="1711"/>
      <c r="BH46" s="1711"/>
      <c r="BI46" s="2366">
        <v>21</v>
      </c>
    </row>
    <row customHeight="1" ht="22.049999999999997">
      <c r="A47" s="2574" t="s">
        <v>294</v>
      </c>
      <c r="B47" s="2574" t="s">
        <v>295</v>
      </c>
      <c r="C47" s="2574"/>
      <c r="D47" s="2574"/>
      <c r="E47" s="3470"/>
      <c r="F47" s="3469">
        <v>1</v>
      </c>
      <c r="G47" s="2574"/>
      <c r="H47" s="2574"/>
      <c r="I47" s="2574"/>
      <c r="J47" s="2574"/>
      <c r="K47" s="2574"/>
      <c r="L47" s="2575"/>
      <c r="M47" s="2576"/>
      <c r="N47" s="2576"/>
      <c r="O47" s="2576"/>
      <c r="P47" s="2621"/>
      <c r="Q47" s="2622"/>
      <c r="R47" s="1564"/>
      <c r="S47" s="2704" t="str">
        <f>INDEX(PT_DIFFERENTIATION_NUM_TER,MATCH(B47,PT_DIFFERENTIATION_TER_ID,0))</f>
        <v>.</v>
      </c>
      <c r="T47" s="1519" t="s">
        <v>415</v>
      </c>
      <c r="U47" s="1511"/>
      <c r="V47" s="3454"/>
      <c r="W47" s="3454"/>
      <c r="X47" s="3454"/>
      <c r="Y47" s="3454"/>
      <c r="Z47" s="3454"/>
      <c r="AA47" s="3454"/>
      <c r="AB47" s="3454"/>
      <c r="AC47" s="3455"/>
      <c r="AD47" s="3453" t="str">
        <f>INDEX(PT_DIFFERENTIATION_TER,MATCH(B47,PT_DIFFERENTIATION_TER_ID,0))</f>
        <v/>
      </c>
      <c r="AE47" s="3454"/>
      <c r="AF47" s="3454"/>
      <c r="AG47" s="3454"/>
      <c r="AH47" s="3454"/>
      <c r="AI47" s="3454"/>
      <c r="AJ47" s="3454"/>
      <c r="AK47" s="3454"/>
      <c r="AL47" s="3454"/>
      <c r="AM47" s="3454"/>
      <c r="AN47" s="3454"/>
      <c r="AO47" s="3454"/>
      <c r="AP47" s="3454"/>
      <c r="AQ47" s="3454"/>
      <c r="AR47" s="3454"/>
      <c r="AS47" s="3454"/>
      <c r="AT47" s="3454"/>
      <c r="AU47" s="3454"/>
      <c r="AV47" s="3454"/>
      <c r="AW47" s="3454"/>
      <c r="AX47" s="3454"/>
      <c r="AY47" s="3454"/>
      <c r="AZ47" s="3454"/>
      <c r="BA47" s="3454"/>
      <c r="BB47" s="3455"/>
      <c r="BC47" s="2469" t="s">
        <v>416</v>
      </c>
      <c r="BE47" s="1711"/>
      <c r="BF47" s="1711" t="str">
        <f>IF(T47="","",T47)</f>
        <v>Территория действия тарифа</v>
      </c>
      <c r="BG47" s="1711"/>
      <c r="BH47" s="1711"/>
      <c r="BI47" s="2366">
        <v>21</v>
      </c>
    </row>
    <row customHeight="1" ht="35.699999999999996">
      <c r="A48" s="2574" t="s">
        <v>294</v>
      </c>
      <c r="B48" s="2574" t="s">
        <v>295</v>
      </c>
      <c r="C48" s="2574" t="s">
        <v>296</v>
      </c>
      <c r="D48" s="2574"/>
      <c r="E48" s="3470"/>
      <c r="F48" s="3470"/>
      <c r="G48" s="3469">
        <v>1</v>
      </c>
      <c r="H48" s="2574"/>
      <c r="I48" s="2574"/>
      <c r="J48" s="2574"/>
      <c r="K48" s="2574"/>
      <c r="L48" s="2575"/>
      <c r="M48" s="2576"/>
      <c r="N48" s="2576"/>
      <c r="O48" s="2576"/>
      <c r="P48" s="2623"/>
      <c r="Q48" s="2622"/>
      <c r="R48" s="1564"/>
      <c r="S48" s="2704" t="str">
        <f>INDEX(PT_DIFFERENTIATION_NUM_CS,MATCH(C48,PT_DIFFERENTIATION_CS_ID,0))</f>
        <v>..</v>
      </c>
      <c r="T48" s="1520" t="s">
        <v>534</v>
      </c>
      <c r="U48" s="1511"/>
      <c r="V48" s="3454"/>
      <c r="W48" s="3454"/>
      <c r="X48" s="3454"/>
      <c r="Y48" s="3454"/>
      <c r="Z48" s="3454"/>
      <c r="AA48" s="3454"/>
      <c r="AB48" s="3454"/>
      <c r="AC48" s="3455"/>
      <c r="AD48" s="3453" t="str">
        <f>INDEX(PT_DIFFERENTIATION_CS,MATCH(C48,PT_DIFFERENTIATION_CS_ID,0))</f>
        <v/>
      </c>
      <c r="AE48" s="3454"/>
      <c r="AF48" s="3454"/>
      <c r="AG48" s="3454"/>
      <c r="AH48" s="3454"/>
      <c r="AI48" s="3454"/>
      <c r="AJ48" s="3454"/>
      <c r="AK48" s="3454"/>
      <c r="AL48" s="3454"/>
      <c r="AM48" s="3454"/>
      <c r="AN48" s="3454"/>
      <c r="AO48" s="3454"/>
      <c r="AP48" s="3454"/>
      <c r="AQ48" s="3454"/>
      <c r="AR48" s="3454"/>
      <c r="AS48" s="3454"/>
      <c r="AT48" s="3454"/>
      <c r="AU48" s="3454"/>
      <c r="AV48" s="3454"/>
      <c r="AW48" s="3454"/>
      <c r="AX48" s="3454"/>
      <c r="AY48" s="3454"/>
      <c r="AZ48" s="3454"/>
      <c r="BA48" s="3454"/>
      <c r="BB48" s="3455"/>
      <c r="BC48" s="2469" t="s">
        <v>535</v>
      </c>
      <c r="BE48" s="1711"/>
      <c r="BF48" s="1711" t="str">
        <f>IF(T48="","",T48)</f>
        <v>Наименование централизованной системы водоотведения</v>
      </c>
      <c r="BG48" s="1711"/>
      <c r="BH48" s="1711"/>
      <c r="BI48" s="2366">
        <v>34</v>
      </c>
    </row>
    <row s="65923" customFormat="1" customHeight="1" ht="0">
      <c r="A49" s="2554" t="s">
        <v>294</v>
      </c>
      <c r="B49" s="2554" t="s">
        <v>295</v>
      </c>
      <c r="C49" s="2554" t="s">
        <v>296</v>
      </c>
      <c r="D49" s="2554" t="s">
        <v>547</v>
      </c>
      <c r="E49" s="3470"/>
      <c r="F49" s="3470"/>
      <c r="G49" s="3470"/>
      <c r="H49" s="3469">
        <v>1</v>
      </c>
      <c r="I49" s="2554"/>
      <c r="J49" s="2554"/>
      <c r="K49" s="2554"/>
      <c r="L49" s="2557"/>
      <c r="M49" s="2526"/>
      <c r="N49" s="2526"/>
      <c r="O49" s="2526"/>
      <c r="P49" s="2708"/>
      <c r="Q49" s="2709"/>
      <c r="R49" s="1568"/>
      <c r="S49" s="2253"/>
      <c r="T49" s="2710"/>
      <c r="U49" s="2595"/>
      <c r="V49" s="3508"/>
      <c r="W49" s="3508"/>
      <c r="X49" s="3508"/>
      <c r="Y49" s="3508"/>
      <c r="Z49" s="3508"/>
      <c r="AA49" s="3508"/>
      <c r="AB49" s="3508"/>
      <c r="AC49" s="3509"/>
      <c r="AD49" s="3507"/>
      <c r="AE49" s="3508"/>
      <c r="AF49" s="3508"/>
      <c r="AG49" s="3508"/>
      <c r="AH49" s="3508"/>
      <c r="AI49" s="3508"/>
      <c r="AJ49" s="3508"/>
      <c r="AK49" s="3508"/>
      <c r="AL49" s="3508"/>
      <c r="AM49" s="3508"/>
      <c r="AN49" s="3508"/>
      <c r="AO49" s="3508"/>
      <c r="AP49" s="3508"/>
      <c r="AQ49" s="3508"/>
      <c r="AR49" s="3508"/>
      <c r="AS49" s="3508"/>
      <c r="AT49" s="3508"/>
      <c r="AU49" s="3508"/>
      <c r="AV49" s="3508"/>
      <c r="AW49" s="3508"/>
      <c r="AX49" s="3508"/>
      <c r="AY49" s="3508"/>
      <c r="AZ49" s="3508"/>
      <c r="BA49" s="3508"/>
      <c r="BB49" s="3509"/>
      <c r="BC49" s="2596" t="s">
        <v>420</v>
      </c>
      <c r="BE49" s="1711"/>
      <c r="BF49" s="1711" t="str">
        <f>IF(T49="","",T49)</f>
        <v/>
      </c>
      <c r="BG49" s="1711"/>
      <c r="BH49" s="1711"/>
      <c r="BI49" s="1722">
        <v>0</v>
      </c>
    </row>
    <row s="65923" customFormat="1" customHeight="1" ht="0">
      <c r="A50" s="2554" t="s">
        <v>294</v>
      </c>
      <c r="B50" s="2554" t="s">
        <v>295</v>
      </c>
      <c r="C50" s="2554" t="s">
        <v>296</v>
      </c>
      <c r="D50" s="2554" t="s">
        <v>547</v>
      </c>
      <c r="E50" s="3470"/>
      <c r="F50" s="3470"/>
      <c r="G50" s="3470"/>
      <c r="H50" s="3470"/>
      <c r="I50" s="3467" t="str">
        <f>S49&amp;".1"</f>
        <v>.1</v>
      </c>
      <c r="J50" s="2554"/>
      <c r="K50" s="2554"/>
      <c r="L50" s="2557" t="s">
        <v>421</v>
      </c>
      <c r="M50" s="1721"/>
      <c r="N50" s="1721"/>
      <c r="O50" s="1721"/>
      <c r="P50" s="3468">
        <v>1</v>
      </c>
      <c r="Q50" s="2692"/>
      <c r="R50" s="1567"/>
      <c r="S50" s="2253"/>
      <c r="T50" s="2594"/>
      <c r="U50" s="2595"/>
      <c r="V50" s="3508"/>
      <c r="W50" s="3508"/>
      <c r="X50" s="3508"/>
      <c r="Y50" s="3508"/>
      <c r="Z50" s="3508"/>
      <c r="AA50" s="3508"/>
      <c r="AB50" s="3508"/>
      <c r="AC50" s="3509"/>
      <c r="AD50" s="3507"/>
      <c r="AE50" s="3508"/>
      <c r="AF50" s="3508"/>
      <c r="AG50" s="3508"/>
      <c r="AH50" s="3508"/>
      <c r="AI50" s="3508"/>
      <c r="AJ50" s="3508"/>
      <c r="AK50" s="3508"/>
      <c r="AL50" s="3508"/>
      <c r="AM50" s="3508"/>
      <c r="AN50" s="3508"/>
      <c r="AO50" s="3508"/>
      <c r="AP50" s="3508"/>
      <c r="AQ50" s="3508"/>
      <c r="AR50" s="3508"/>
      <c r="AS50" s="3508"/>
      <c r="AT50" s="3508"/>
      <c r="AU50" s="3508"/>
      <c r="AV50" s="3508"/>
      <c r="AW50" s="3508"/>
      <c r="AX50" s="3508"/>
      <c r="AY50" s="3508"/>
      <c r="AZ50" s="3508"/>
      <c r="BA50" s="3508"/>
      <c r="BB50" s="3509"/>
      <c r="BC50" s="2596"/>
      <c r="BE50" s="1711"/>
      <c r="BF50" s="1711" t="str">
        <f>IF(T50="","",T50)</f>
        <v/>
      </c>
      <c r="BG50" s="1711"/>
      <c r="BH50" s="1711"/>
      <c r="BI50" s="1722">
        <v>0</v>
      </c>
    </row>
    <row s="65923" customFormat="1" customHeight="1" ht="0">
      <c r="A51" s="2554" t="s">
        <v>294</v>
      </c>
      <c r="B51" s="2554" t="s">
        <v>295</v>
      </c>
      <c r="C51" s="2554" t="s">
        <v>296</v>
      </c>
      <c r="D51" s="2554" t="s">
        <v>547</v>
      </c>
      <c r="E51" s="3470"/>
      <c r="F51" s="3470"/>
      <c r="G51" s="3470"/>
      <c r="H51" s="3470"/>
      <c r="I51" s="3497"/>
      <c r="J51" s="3467" t="str">
        <f>S49&amp;".1"</f>
        <v>.1</v>
      </c>
      <c r="K51" s="2554"/>
      <c r="L51" s="2557"/>
      <c r="M51" s="1721"/>
      <c r="N51" s="1721"/>
      <c r="O51" s="1721"/>
      <c r="P51" s="3468"/>
      <c r="Q51" s="3468">
        <v>1</v>
      </c>
      <c r="R51" s="1568"/>
      <c r="S51" s="2253"/>
      <c r="T51" s="2610"/>
      <c r="U51" s="2595"/>
      <c r="V51" s="3508"/>
      <c r="W51" s="3508"/>
      <c r="X51" s="3508"/>
      <c r="Y51" s="3508"/>
      <c r="Z51" s="3508"/>
      <c r="AA51" s="3508"/>
      <c r="AB51" s="3508"/>
      <c r="AC51" s="3509"/>
      <c r="AD51" s="3507"/>
      <c r="AE51" s="3508"/>
      <c r="AF51" s="3508"/>
      <c r="AG51" s="3508"/>
      <c r="AH51" s="3508"/>
      <c r="AI51" s="3508"/>
      <c r="AJ51" s="3508"/>
      <c r="AK51" s="3508"/>
      <c r="AL51" s="3508"/>
      <c r="AM51" s="3508"/>
      <c r="AN51" s="3575"/>
      <c r="AO51" s="3575"/>
      <c r="AP51" s="3508"/>
      <c r="AQ51" s="3508"/>
      <c r="AR51" s="3508"/>
      <c r="AS51" s="3508"/>
      <c r="AT51" s="3508"/>
      <c r="AU51" s="3508"/>
      <c r="AV51" s="3508"/>
      <c r="AW51" s="3508"/>
      <c r="AX51" s="3508"/>
      <c r="AY51" s="3508"/>
      <c r="AZ51" s="3508"/>
      <c r="BA51" s="3508"/>
      <c r="BB51" s="3509"/>
      <c r="BC51" s="2596"/>
      <c r="BE51" s="1711"/>
      <c r="BF51" s="1711" t="str">
        <f>IF(T51="","",T51)</f>
        <v/>
      </c>
      <c r="BG51" s="1711"/>
      <c r="BH51" s="1711"/>
      <c r="BI51" s="1722">
        <v>0</v>
      </c>
    </row>
    <row customHeight="1" ht="11.549999999999999">
      <c r="A52" s="2574" t="s">
        <v>294</v>
      </c>
      <c r="B52" s="2574" t="s">
        <v>295</v>
      </c>
      <c r="C52" s="2574" t="s">
        <v>296</v>
      </c>
      <c r="D52" s="2574" t="s">
        <v>547</v>
      </c>
      <c r="E52" s="3470"/>
      <c r="F52" s="3470"/>
      <c r="G52" s="3470"/>
      <c r="H52" s="3470"/>
      <c r="I52" s="3497"/>
      <c r="J52" s="3497"/>
      <c r="K52" s="3467" t="str">
        <f>S48&amp;".1"</f>
        <v>...1</v>
      </c>
      <c r="L52" s="2575"/>
      <c r="P52" s="3468"/>
      <c r="Q52" s="3468"/>
      <c r="R52" s="1568">
        <v>1</v>
      </c>
      <c r="S52" s="3552" t="str">
        <f>$K52</f>
        <v>...1</v>
      </c>
      <c r="T52" s="3571"/>
      <c r="U52" s="1511"/>
      <c r="V52" s="1962"/>
      <c r="W52" s="2468"/>
      <c r="X52" s="1962"/>
      <c r="Y52" s="2468"/>
      <c r="Z52" s="2945"/>
      <c r="AA52" s="2680" t="s">
        <v>62</v>
      </c>
      <c r="AB52" s="2945"/>
      <c r="AC52" s="2680" t="s">
        <v>62</v>
      </c>
      <c r="AD52" s="3396" t="s">
        <v>62</v>
      </c>
      <c r="AE52" s="3537"/>
      <c r="AF52" s="3416">
        <v>1</v>
      </c>
      <c r="AG52" s="3574"/>
      <c r="AH52" s="3318" t="s">
        <v>62</v>
      </c>
      <c r="AI52" s="3537"/>
      <c r="AJ52" s="3416">
        <v>1</v>
      </c>
      <c r="AK52" s="3538" t="s">
        <v>22</v>
      </c>
      <c r="AL52" s="3318" t="s">
        <v>62</v>
      </c>
      <c r="AM52" s="3403"/>
      <c r="AN52" s="3416">
        <v>1</v>
      </c>
      <c r="AO52" s="3568"/>
      <c r="AP52" s="3569" t="s">
        <v>62</v>
      </c>
      <c r="AQ52" s="1522"/>
      <c r="AR52" s="2697">
        <v>1</v>
      </c>
      <c r="AS52" s="2703" t="s">
        <v>22</v>
      </c>
      <c r="AT52" s="1962"/>
      <c r="AU52" s="2468"/>
      <c r="AV52" s="1962"/>
      <c r="AW52" s="2468"/>
      <c r="AX52" s="2945"/>
      <c r="AY52" s="2680" t="s">
        <v>62</v>
      </c>
      <c r="AZ52" s="2945"/>
      <c r="BA52" s="2680" t="s">
        <v>62</v>
      </c>
      <c r="BB52" s="2559"/>
      <c r="BC52" s="3464" t="s">
        <v>519</v>
      </c>
      <c r="BE52" s="1711"/>
      <c r="BF52" s="1711" t="str">
        <f>IF(T52="","",T52)</f>
        <v/>
      </c>
      <c r="BG52" s="1711"/>
      <c r="BH52" s="1711"/>
      <c r="BI52" s="2366">
        <v>11</v>
      </c>
    </row>
    <row customHeight="1" ht="11.549999999999999">
      <c r="A53" s="2574"/>
      <c r="B53" s="2574"/>
      <c r="C53" s="2574"/>
      <c r="D53" s="2574"/>
      <c r="E53" s="3470"/>
      <c r="F53" s="3470"/>
      <c r="G53" s="3470"/>
      <c r="H53" s="3470"/>
      <c r="I53" s="3497"/>
      <c r="J53" s="3497"/>
      <c r="K53" s="3467"/>
      <c r="L53" s="2575"/>
      <c r="P53" s="3468"/>
      <c r="Q53" s="3468"/>
      <c r="R53" s="1568"/>
      <c r="S53" s="3553"/>
      <c r="T53" s="3572"/>
      <c r="U53" s="1511"/>
      <c r="V53" s="2604"/>
      <c r="W53" s="2707"/>
      <c r="X53" s="2604"/>
      <c r="Y53" s="2707"/>
      <c r="Z53" s="2604"/>
      <c r="AA53" s="2604"/>
      <c r="AB53" s="2604"/>
      <c r="AC53" s="2604"/>
      <c r="AD53" s="3397"/>
      <c r="AE53" s="3537"/>
      <c r="AF53" s="3416"/>
      <c r="AG53" s="3574"/>
      <c r="AH53" s="3318"/>
      <c r="AI53" s="3537"/>
      <c r="AJ53" s="3416"/>
      <c r="AK53" s="3538"/>
      <c r="AL53" s="3318"/>
      <c r="AM53" s="3411"/>
      <c r="AN53" s="3416"/>
      <c r="AO53" s="3568"/>
      <c r="AP53" s="3570"/>
      <c r="AQ53" s="1527"/>
      <c r="AR53" s="1627"/>
      <c r="AS53" s="1627" t="s">
        <v>520</v>
      </c>
      <c r="AT53" s="2604"/>
      <c r="AU53" s="2707"/>
      <c r="AV53" s="2604"/>
      <c r="AW53" s="2707"/>
      <c r="AX53" s="2604"/>
      <c r="AY53" s="2604"/>
      <c r="AZ53" s="2604"/>
      <c r="BA53" s="2604"/>
      <c r="BB53" s="2608"/>
      <c r="BC53" s="3465"/>
      <c r="BE53" s="1711"/>
      <c r="BF53" s="1711"/>
      <c r="BG53" s="1711"/>
      <c r="BH53" s="1711"/>
      <c r="BI53" s="2366">
        <v>11</v>
      </c>
    </row>
    <row customHeight="1" ht="11.549999999999999">
      <c r="A54" s="2574" t="s">
        <v>294</v>
      </c>
      <c r="B54" s="2574"/>
      <c r="C54" s="2574"/>
      <c r="D54" s="2574"/>
      <c r="E54" s="3470"/>
      <c r="F54" s="3470"/>
      <c r="G54" s="3470"/>
      <c r="H54" s="3470"/>
      <c r="I54" s="3497"/>
      <c r="J54" s="3497"/>
      <c r="K54" s="3467"/>
      <c r="L54" s="2575"/>
      <c r="P54" s="3468"/>
      <c r="Q54" s="3468"/>
      <c r="R54" s="1568"/>
      <c r="S54" s="3553"/>
      <c r="T54" s="3572"/>
      <c r="U54" s="1511"/>
      <c r="V54" s="2604"/>
      <c r="W54" s="2707"/>
      <c r="X54" s="2604"/>
      <c r="Y54" s="2707"/>
      <c r="Z54" s="2604"/>
      <c r="AA54" s="2604"/>
      <c r="AB54" s="2604"/>
      <c r="AC54" s="2604"/>
      <c r="AD54" s="3397"/>
      <c r="AE54" s="3537"/>
      <c r="AF54" s="3416"/>
      <c r="AG54" s="3574"/>
      <c r="AH54" s="3318"/>
      <c r="AI54" s="3537"/>
      <c r="AJ54" s="3416"/>
      <c r="AK54" s="3538"/>
      <c r="AL54" s="3318"/>
      <c r="AM54" s="1527"/>
      <c r="AN54" s="2711"/>
      <c r="AO54" s="2711" t="s">
        <v>540</v>
      </c>
      <c r="AP54" s="1627"/>
      <c r="AQ54" s="1627"/>
      <c r="AR54" s="1627"/>
      <c r="AS54" s="2604"/>
      <c r="AT54" s="2604"/>
      <c r="AU54" s="2707"/>
      <c r="AV54" s="2604"/>
      <c r="AW54" s="2707"/>
      <c r="AX54" s="2604"/>
      <c r="AY54" s="2604"/>
      <c r="AZ54" s="2604"/>
      <c r="BA54" s="2604"/>
      <c r="BB54" s="2608"/>
      <c r="BC54" s="3465"/>
      <c r="BE54" s="1711"/>
      <c r="BF54" s="1711"/>
      <c r="BG54" s="1711"/>
      <c r="BH54" s="1711"/>
      <c r="BI54" s="2366">
        <v>11</v>
      </c>
    </row>
    <row customHeight="1" ht="11.549999999999999">
      <c r="A55" s="2574" t="s">
        <v>294</v>
      </c>
      <c r="B55" s="2574"/>
      <c r="C55" s="2574"/>
      <c r="D55" s="2574"/>
      <c r="E55" s="3470"/>
      <c r="F55" s="3470"/>
      <c r="G55" s="3470"/>
      <c r="H55" s="3470"/>
      <c r="I55" s="3497"/>
      <c r="J55" s="3497"/>
      <c r="K55" s="3467"/>
      <c r="L55" s="2575"/>
      <c r="P55" s="3468"/>
      <c r="Q55" s="3468"/>
      <c r="R55" s="1568"/>
      <c r="S55" s="3553"/>
      <c r="T55" s="3572"/>
      <c r="U55" s="1511"/>
      <c r="V55" s="2604"/>
      <c r="W55" s="2707"/>
      <c r="X55" s="2604"/>
      <c r="Y55" s="2707"/>
      <c r="Z55" s="2604"/>
      <c r="AA55" s="2604"/>
      <c r="AB55" s="2604"/>
      <c r="AC55" s="2604"/>
      <c r="AD55" s="3397"/>
      <c r="AE55" s="3537"/>
      <c r="AF55" s="3416"/>
      <c r="AG55" s="3574"/>
      <c r="AH55" s="3318"/>
      <c r="AI55" s="1505"/>
      <c r="AJ55" s="1626"/>
      <c r="AK55" s="1524" t="s">
        <v>541</v>
      </c>
      <c r="AL55" s="2604"/>
      <c r="AM55" s="2604"/>
      <c r="AN55" s="2604"/>
      <c r="AO55" s="2604"/>
      <c r="AP55" s="2604"/>
      <c r="AQ55" s="2604"/>
      <c r="AR55" s="2604"/>
      <c r="AS55" s="2604"/>
      <c r="AT55" s="2604"/>
      <c r="AU55" s="2707"/>
      <c r="AV55" s="2604"/>
      <c r="AW55" s="2707"/>
      <c r="AX55" s="2604"/>
      <c r="AY55" s="2604"/>
      <c r="AZ55" s="2604"/>
      <c r="BA55" s="2604"/>
      <c r="BB55" s="2608"/>
      <c r="BC55" s="3465"/>
      <c r="BE55" s="1711"/>
      <c r="BF55" s="1711"/>
      <c r="BG55" s="1711"/>
      <c r="BH55" s="1711"/>
      <c r="BI55" s="2366">
        <v>11</v>
      </c>
    </row>
    <row customHeight="1" ht="11.549999999999999">
      <c r="A56" s="2574" t="s">
        <v>294</v>
      </c>
      <c r="B56" s="2574" t="s">
        <v>295</v>
      </c>
      <c r="C56" s="2574" t="s">
        <v>296</v>
      </c>
      <c r="D56" s="2574" t="s">
        <v>547</v>
      </c>
      <c r="E56" s="3470"/>
      <c r="F56" s="3470"/>
      <c r="G56" s="3470"/>
      <c r="H56" s="3470"/>
      <c r="I56" s="3497"/>
      <c r="J56" s="3497"/>
      <c r="K56" s="3467"/>
      <c r="L56" s="2575"/>
      <c r="P56" s="3468"/>
      <c r="Q56" s="3468"/>
      <c r="R56" s="1568"/>
      <c r="S56" s="3554"/>
      <c r="T56" s="3573"/>
      <c r="U56" s="1511"/>
      <c r="V56" s="2604"/>
      <c r="W56" s="2605" t="str">
        <f>Z52&amp;"-"&amp;AB52</f>
        <v>-</v>
      </c>
      <c r="X56" s="2604"/>
      <c r="Y56" s="2605" t="str">
        <f>AB52&amp;"-"&amp;AD52</f>
        <v>-да</v>
      </c>
      <c r="Z56" s="2604"/>
      <c r="AA56" s="2604"/>
      <c r="AB56" s="2604"/>
      <c r="AC56" s="2604"/>
      <c r="AD56" s="3323"/>
      <c r="AE56" s="1523"/>
      <c r="AF56" s="1525"/>
      <c r="AG56" s="1627" t="s">
        <v>523</v>
      </c>
      <c r="AH56" s="2604"/>
      <c r="AI56" s="2604"/>
      <c r="AJ56" s="2604"/>
      <c r="AK56" s="2604"/>
      <c r="AL56" s="2604"/>
      <c r="AM56" s="2604"/>
      <c r="AN56" s="2604"/>
      <c r="AO56" s="2604"/>
      <c r="AP56" s="2604"/>
      <c r="AQ56" s="2604"/>
      <c r="AR56" s="2604"/>
      <c r="AS56" s="2604"/>
      <c r="AT56" s="2604"/>
      <c r="AU56" s="2605" t="str">
        <f>AX52&amp;"-"&amp;AZ52</f>
        <v>-</v>
      </c>
      <c r="AV56" s="2604"/>
      <c r="AW56" s="2605" t="str">
        <f>AZ52&amp;"-"&amp;BB52</f>
        <v>-</v>
      </c>
      <c r="AX56" s="2604"/>
      <c r="AY56" s="2604"/>
      <c r="AZ56" s="2604"/>
      <c r="BA56" s="2604"/>
      <c r="BB56" s="2607" t="str">
        <f>BE52&amp;"-"&amp;BG52</f>
        <v>-</v>
      </c>
      <c r="BC56" s="3465"/>
      <c r="BE56" s="1711"/>
      <c r="BF56" s="1711" t="str">
        <f>IF(T56="","",T56)</f>
        <v/>
      </c>
      <c r="BG56" s="1711"/>
      <c r="BH56" s="1711"/>
      <c r="BI56" s="2366">
        <v>11</v>
      </c>
    </row>
    <row customHeight="1" ht="11.549999999999999">
      <c r="A57" s="2574" t="s">
        <v>294</v>
      </c>
      <c r="B57" s="2574" t="s">
        <v>295</v>
      </c>
      <c r="C57" s="2574" t="s">
        <v>296</v>
      </c>
      <c r="D57" s="2574" t="s">
        <v>547</v>
      </c>
      <c r="E57" s="3470"/>
      <c r="F57" s="3470"/>
      <c r="G57" s="3470"/>
      <c r="H57" s="3470"/>
      <c r="I57" s="3497"/>
      <c r="J57" s="3467"/>
      <c r="K57" s="2574"/>
      <c r="L57" s="2575"/>
      <c r="P57" s="3468"/>
      <c r="Q57" s="3468"/>
      <c r="R57" s="1567"/>
      <c r="S57" s="2489"/>
      <c r="T57" s="1498" t="s">
        <v>486</v>
      </c>
      <c r="U57" s="1578"/>
      <c r="V57" s="1578"/>
      <c r="W57" s="1578"/>
      <c r="X57" s="1578"/>
      <c r="Y57" s="1578"/>
      <c r="Z57" s="1578"/>
      <c r="AA57" s="1578"/>
      <c r="AB57" s="1578"/>
      <c r="AC57" s="1535"/>
      <c r="AD57" s="2716"/>
      <c r="AE57" s="1578"/>
      <c r="AF57" s="1578"/>
      <c r="AG57" s="1578"/>
      <c r="AH57" s="1578"/>
      <c r="AI57" s="1578"/>
      <c r="AJ57" s="1578"/>
      <c r="AK57" s="1578"/>
      <c r="AL57" s="1578"/>
      <c r="AM57" s="1578"/>
      <c r="AN57" s="1578"/>
      <c r="AO57" s="1578"/>
      <c r="AP57" s="1578"/>
      <c r="AQ57" s="1578"/>
      <c r="AR57" s="1578"/>
      <c r="AS57" s="1578"/>
      <c r="AT57" s="1578"/>
      <c r="AU57" s="1578"/>
      <c r="AV57" s="1578"/>
      <c r="AW57" s="1578"/>
      <c r="AX57" s="1578"/>
      <c r="AY57" s="1578"/>
      <c r="AZ57" s="1578"/>
      <c r="BA57" s="1578"/>
      <c r="BB57" s="1535"/>
      <c r="BC57" s="3466"/>
      <c r="BE57" s="1711"/>
      <c r="BF57" s="1711" t="str">
        <f>IF(T57="","",T57)</f>
        <v>Добавить строку</v>
      </c>
      <c r="BG57" s="1711"/>
      <c r="BH57" s="1711"/>
      <c r="BI57" s="2366">
        <v>11</v>
      </c>
    </row>
    <row s="65923" customFormat="1" customHeight="1" ht="0">
      <c r="A58" s="2554" t="s">
        <v>294</v>
      </c>
      <c r="B58" s="2554" t="s">
        <v>295</v>
      </c>
      <c r="C58" s="2554" t="s">
        <v>296</v>
      </c>
      <c r="D58" s="2554" t="s">
        <v>547</v>
      </c>
      <c r="E58" s="3470"/>
      <c r="F58" s="3470"/>
      <c r="G58" s="3470"/>
      <c r="H58" s="3470"/>
      <c r="I58" s="3467"/>
      <c r="J58" s="2554"/>
      <c r="K58" s="2554"/>
      <c r="L58" s="2557"/>
      <c r="M58" s="1721"/>
      <c r="N58" s="1721"/>
      <c r="O58" s="1721"/>
      <c r="P58" s="3468"/>
      <c r="Q58" s="2692"/>
      <c r="R58" s="1567"/>
      <c r="S58" s="2597"/>
      <c r="T58" s="2598"/>
      <c r="U58" s="2599"/>
      <c r="V58" s="2599"/>
      <c r="W58" s="2599"/>
      <c r="X58" s="2599"/>
      <c r="Y58" s="2599"/>
      <c r="Z58" s="2599"/>
      <c r="AA58" s="2599"/>
      <c r="AB58" s="2599"/>
      <c r="AC58" s="2599"/>
      <c r="AD58" s="2599"/>
      <c r="AE58" s="2599"/>
      <c r="AF58" s="2599"/>
      <c r="AG58" s="2599"/>
      <c r="AH58" s="2599"/>
      <c r="AI58" s="2599"/>
      <c r="AJ58" s="2599"/>
      <c r="AK58" s="2599"/>
      <c r="AL58" s="2599"/>
      <c r="AM58" s="2599"/>
      <c r="AN58" s="2599"/>
      <c r="AO58" s="2599"/>
      <c r="AP58" s="2599"/>
      <c r="AQ58" s="2599"/>
      <c r="AR58" s="2599"/>
      <c r="AS58" s="2599"/>
      <c r="AT58" s="2599"/>
      <c r="AU58" s="2599"/>
      <c r="AV58" s="2599"/>
      <c r="AW58" s="2599"/>
      <c r="AX58" s="2599"/>
      <c r="AY58" s="2599"/>
      <c r="AZ58" s="2599"/>
      <c r="BA58" s="2599"/>
      <c r="BB58" s="2599"/>
      <c r="BC58" s="2600"/>
      <c r="BE58" s="1711"/>
      <c r="BF58" s="1711" t="str">
        <f>IF(T58="","",T58)</f>
        <v/>
      </c>
      <c r="BG58" s="1711"/>
      <c r="BH58" s="1711"/>
      <c r="BI58" s="1722">
        <v>0</v>
      </c>
    </row>
    <row s="65923" customFormat="1" customHeight="1" ht="0">
      <c r="A59" s="2554" t="s">
        <v>294</v>
      </c>
      <c r="B59" s="2554" t="s">
        <v>295</v>
      </c>
      <c r="C59" s="2554" t="s">
        <v>296</v>
      </c>
      <c r="D59" s="2554" t="s">
        <v>547</v>
      </c>
      <c r="E59" s="3470"/>
      <c r="F59" s="3470"/>
      <c r="G59" s="3470"/>
      <c r="H59" s="3469"/>
      <c r="I59" s="2554"/>
      <c r="J59" s="2554"/>
      <c r="K59" s="2554"/>
      <c r="L59" s="2557"/>
      <c r="M59" s="2526"/>
      <c r="N59" s="2526"/>
      <c r="O59" s="1729"/>
      <c r="P59" s="1591"/>
      <c r="Q59" s="2555"/>
      <c r="R59" s="2612"/>
      <c r="S59" s="2597"/>
      <c r="T59" s="2598"/>
      <c r="U59" s="2599"/>
      <c r="V59" s="2599"/>
      <c r="W59" s="2599"/>
      <c r="X59" s="2599"/>
      <c r="Y59" s="2599"/>
      <c r="Z59" s="2599"/>
      <c r="AA59" s="2599"/>
      <c r="AB59" s="2599"/>
      <c r="AC59" s="2599"/>
      <c r="AD59" s="2599"/>
      <c r="AE59" s="2599"/>
      <c r="AF59" s="2599"/>
      <c r="AG59" s="2599"/>
      <c r="AH59" s="2599"/>
      <c r="AI59" s="2599"/>
      <c r="AJ59" s="2599"/>
      <c r="AK59" s="2599"/>
      <c r="AL59" s="2599"/>
      <c r="AM59" s="2599"/>
      <c r="AN59" s="2599"/>
      <c r="AO59" s="2599"/>
      <c r="AP59" s="2599"/>
      <c r="AQ59" s="2599"/>
      <c r="AR59" s="2599"/>
      <c r="AS59" s="2599"/>
      <c r="AT59" s="2599"/>
      <c r="AU59" s="2599"/>
      <c r="AV59" s="2599"/>
      <c r="AW59" s="2599"/>
      <c r="AX59" s="2599"/>
      <c r="AY59" s="2599"/>
      <c r="AZ59" s="2599"/>
      <c r="BA59" s="2599"/>
      <c r="BB59" s="2599"/>
      <c r="BC59" s="2600"/>
      <c r="BE59" s="1711"/>
      <c r="BF59" s="1711" t="str">
        <f>IF(T59="","",T59)</f>
        <v/>
      </c>
      <c r="BG59" s="1711"/>
      <c r="BH59" s="1711"/>
      <c r="BI59" s="1722">
        <v>0</v>
      </c>
    </row>
    <row s="65923" customFormat="1" customHeight="1" ht="0">
      <c r="A60" s="2554" t="s">
        <v>294</v>
      </c>
      <c r="B60" s="2554" t="s">
        <v>295</v>
      </c>
      <c r="C60" s="2554" t="s">
        <v>296</v>
      </c>
      <c r="D60" s="2525"/>
      <c r="E60" s="3470"/>
      <c r="F60" s="3470"/>
      <c r="G60" s="3469"/>
      <c r="H60" s="2525"/>
      <c r="I60" s="2525"/>
      <c r="J60" s="2525"/>
      <c r="K60" s="2525"/>
      <c r="L60" s="2705"/>
      <c r="M60" s="2526"/>
      <c r="N60" s="2526"/>
      <c r="P60" s="2527"/>
      <c r="Q60" s="2528"/>
      <c r="R60" s="2527"/>
      <c r="S60" s="2533"/>
      <c r="T60" s="2536"/>
      <c r="U60" s="2535"/>
      <c r="V60" s="2535"/>
      <c r="W60" s="2535"/>
      <c r="X60" s="2535"/>
      <c r="Y60" s="2535"/>
      <c r="Z60" s="2535"/>
      <c r="AA60" s="2535"/>
      <c r="AB60" s="2535"/>
      <c r="AC60" s="2535"/>
      <c r="AD60" s="2535"/>
      <c r="AE60" s="2535"/>
      <c r="AF60" s="2535"/>
      <c r="AG60" s="2535"/>
      <c r="AH60" s="2535"/>
      <c r="AI60" s="2535"/>
      <c r="AJ60" s="2535"/>
      <c r="AK60" s="2535"/>
      <c r="AL60" s="2535"/>
      <c r="AM60" s="2535"/>
      <c r="AN60" s="2535"/>
      <c r="AO60" s="2535"/>
      <c r="AP60" s="2535"/>
      <c r="AQ60" s="2535"/>
      <c r="AR60" s="2535"/>
      <c r="AS60" s="2535"/>
      <c r="AT60" s="2535"/>
      <c r="AU60" s="2535"/>
      <c r="AV60" s="2535"/>
      <c r="AW60" s="2535"/>
      <c r="AX60" s="2535"/>
      <c r="AY60" s="2535"/>
      <c r="AZ60" s="2535"/>
      <c r="BA60" s="2535"/>
      <c r="BB60" s="2535"/>
      <c r="BC60" s="2535"/>
      <c r="BE60" s="2000"/>
      <c r="BF60" s="2000" t="str">
        <f>IF(T60="","",T60)</f>
        <v/>
      </c>
      <c r="BG60" s="2000"/>
      <c r="BH60" s="2000"/>
      <c r="BI60" s="1729">
        <v>0</v>
      </c>
    </row>
    <row s="65923" customFormat="1" customHeight="1" ht="0">
      <c r="A61" s="2554" t="s">
        <v>294</v>
      </c>
      <c r="B61" s="2554" t="s">
        <v>295</v>
      </c>
      <c r="C61" s="2525"/>
      <c r="D61" s="2525"/>
      <c r="E61" s="3470"/>
      <c r="F61" s="3469"/>
      <c r="G61" s="2525"/>
      <c r="H61" s="2525"/>
      <c r="I61" s="2525"/>
      <c r="J61" s="2525"/>
      <c r="K61" s="2525"/>
      <c r="L61" s="2705"/>
      <c r="M61" s="2532"/>
      <c r="N61" s="2532"/>
      <c r="P61" s="2527"/>
      <c r="Q61" s="2528"/>
      <c r="R61" s="2527"/>
      <c r="S61" s="2533"/>
      <c r="T61" s="2536" t="s">
        <v>433</v>
      </c>
      <c r="U61" s="2535"/>
      <c r="V61" s="2535"/>
      <c r="W61" s="2535"/>
      <c r="X61" s="2535"/>
      <c r="Y61" s="2535"/>
      <c r="Z61" s="2535"/>
      <c r="AA61" s="2535"/>
      <c r="AB61" s="2535"/>
      <c r="AC61" s="2535"/>
      <c r="AD61" s="2535"/>
      <c r="AE61" s="2535"/>
      <c r="AF61" s="2535"/>
      <c r="AG61" s="2535"/>
      <c r="AH61" s="2535"/>
      <c r="AI61" s="2535"/>
      <c r="AJ61" s="2535"/>
      <c r="AK61" s="2535"/>
      <c r="AL61" s="2535"/>
      <c r="AM61" s="2535"/>
      <c r="AN61" s="2535"/>
      <c r="AO61" s="2535"/>
      <c r="AP61" s="2535"/>
      <c r="AQ61" s="2535"/>
      <c r="AR61" s="2535"/>
      <c r="AS61" s="2535"/>
      <c r="AT61" s="2535"/>
      <c r="AU61" s="2535"/>
      <c r="AV61" s="2535"/>
      <c r="AW61" s="2535"/>
      <c r="AX61" s="2535"/>
      <c r="AY61" s="2535"/>
      <c r="AZ61" s="2535"/>
      <c r="BA61" s="2535"/>
      <c r="BB61" s="2535"/>
      <c r="BC61" s="2535"/>
      <c r="BE61" s="2000"/>
      <c r="BF61" s="2000" t="str">
        <f>IF(T61="","",T61)</f>
        <v>Добавить централизованную систему для дифференциации</v>
      </c>
      <c r="BG61" s="2000"/>
      <c r="BH61" s="2000"/>
      <c r="BI61" s="1729">
        <v>0</v>
      </c>
    </row>
    <row s="65923" customFormat="1" customHeight="1" ht="0">
      <c r="A62" s="2554" t="s">
        <v>294</v>
      </c>
      <c r="B62" s="2554"/>
      <c r="C62" s="2554"/>
      <c r="D62" s="2554"/>
      <c r="E62" s="3469"/>
      <c r="F62" s="2554"/>
      <c r="G62" s="2554"/>
      <c r="H62" s="2554"/>
      <c r="I62" s="2554"/>
      <c r="J62" s="2554"/>
      <c r="K62" s="2554"/>
      <c r="L62" s="2557"/>
      <c r="M62" s="2532"/>
      <c r="N62" s="2532"/>
      <c r="O62" s="1729"/>
      <c r="P62" s="1591"/>
      <c r="Q62" s="2555"/>
      <c r="R62" s="1591"/>
      <c r="S62" s="2533"/>
      <c r="T62" s="2536" t="s">
        <v>434</v>
      </c>
      <c r="U62" s="2535"/>
      <c r="V62" s="2535"/>
      <c r="W62" s="2535"/>
      <c r="X62" s="2535"/>
      <c r="Y62" s="2535"/>
      <c r="Z62" s="2535"/>
      <c r="AA62" s="2535"/>
      <c r="AB62" s="2535"/>
      <c r="AC62" s="2535"/>
      <c r="AD62" s="2535"/>
      <c r="AE62" s="2535"/>
      <c r="AF62" s="2535"/>
      <c r="AG62" s="2535"/>
      <c r="AH62" s="2535"/>
      <c r="AI62" s="2535"/>
      <c r="AJ62" s="2535"/>
      <c r="AK62" s="2535"/>
      <c r="AL62" s="2535"/>
      <c r="AM62" s="2535"/>
      <c r="AN62" s="2535"/>
      <c r="AO62" s="2535"/>
      <c r="AP62" s="2535"/>
      <c r="AQ62" s="2535"/>
      <c r="AR62" s="2535"/>
      <c r="AS62" s="2535"/>
      <c r="AT62" s="2535"/>
      <c r="AU62" s="2535"/>
      <c r="AV62" s="2535"/>
      <c r="AW62" s="2535"/>
      <c r="AX62" s="2535"/>
      <c r="AY62" s="2535"/>
      <c r="AZ62" s="2535"/>
      <c r="BA62" s="2535"/>
      <c r="BB62" s="2535"/>
      <c r="BC62" s="2535"/>
      <c r="BE62" s="1711"/>
      <c r="BF62" s="1711" t="str">
        <f>IF(T62="","",T62)</f>
        <v>Добавить территорию для дифференциации</v>
      </c>
      <c r="BG62" s="1711"/>
      <c r="BH62" s="1711"/>
      <c r="BI62" s="1722">
        <v>0</v>
      </c>
    </row>
    <row s="65923" customFormat="1" customHeight="1" ht="0">
      <c r="A63" s="2525"/>
      <c r="B63" s="2525"/>
      <c r="C63" s="2525"/>
      <c r="D63" s="2525"/>
      <c r="E63" s="2554"/>
      <c r="F63" s="2525"/>
      <c r="G63" s="2525"/>
      <c r="H63" s="2525"/>
      <c r="I63" s="2525"/>
      <c r="J63" s="2525"/>
      <c r="K63" s="2525"/>
      <c r="L63" s="2705"/>
      <c r="M63" s="2532"/>
      <c r="N63" s="2532"/>
      <c r="P63" s="2527"/>
      <c r="Q63" s="2528"/>
      <c r="R63" s="2527"/>
      <c r="S63" s="2533"/>
      <c r="T63" s="2536" t="s">
        <v>466</v>
      </c>
      <c r="U63" s="2535"/>
      <c r="V63" s="2535"/>
      <c r="W63" s="2535"/>
      <c r="X63" s="2535"/>
      <c r="Y63" s="2535"/>
      <c r="Z63" s="2535"/>
      <c r="AA63" s="2535"/>
      <c r="AB63" s="2535"/>
      <c r="AC63" s="2535"/>
      <c r="AD63" s="2535"/>
      <c r="AE63" s="2535"/>
      <c r="AF63" s="2535"/>
      <c r="AG63" s="2535"/>
      <c r="AH63" s="2535"/>
      <c r="AI63" s="2535"/>
      <c r="AJ63" s="2535"/>
      <c r="AK63" s="2535"/>
      <c r="AL63" s="2535"/>
      <c r="AM63" s="2535"/>
      <c r="AN63" s="2535"/>
      <c r="AO63" s="2535"/>
      <c r="AP63" s="2535"/>
      <c r="AQ63" s="2535"/>
      <c r="AR63" s="2535"/>
      <c r="AS63" s="2535"/>
      <c r="AT63" s="2535"/>
      <c r="AU63" s="2535"/>
      <c r="AV63" s="2535"/>
      <c r="AW63" s="2535"/>
      <c r="AX63" s="2535"/>
      <c r="AY63" s="2535"/>
      <c r="AZ63" s="2535"/>
      <c r="BA63" s="2535"/>
      <c r="BB63" s="2535"/>
      <c r="BC63" s="2535"/>
      <c r="BE63" s="2000"/>
      <c r="BF63" s="2000" t="str">
        <f>IF(T63="","",T63)</f>
        <v>Добавить наименование тарифа</v>
      </c>
      <c r="BG63" s="2000"/>
      <c r="BH63" s="2000"/>
      <c r="BI63" s="1729">
        <v>0</v>
      </c>
    </row>
    <row customHeight="1" ht="11.549999999999999">
      <c r="M64" s="2371"/>
      <c r="N64" s="2371"/>
      <c r="O64" s="1748"/>
      <c r="P64" s="2371"/>
      <c r="Q64" s="2371"/>
      <c r="R64" s="2366"/>
      <c r="S64" s="2366"/>
      <c r="BD64" s="2366"/>
      <c r="BE64" s="2366"/>
      <c r="BF64" s="2366"/>
      <c r="BG64" s="2366"/>
      <c r="BH64" s="2366"/>
      <c r="BI64" s="2366">
        <v>11</v>
      </c>
    </row>
    <row customHeight="1" ht="14.699999999999998">
      <c r="O65" s="1748"/>
      <c r="S65" s="2464"/>
      <c r="T65" s="3496"/>
      <c r="U65" s="3496"/>
      <c r="V65" s="3496"/>
      <c r="W65" s="3496"/>
      <c r="X65" s="3496"/>
      <c r="Y65" s="3496"/>
      <c r="Z65" s="3496"/>
      <c r="AA65" s="3496"/>
      <c r="AB65" s="3496"/>
      <c r="AC65" s="3496"/>
      <c r="AD65" s="3496"/>
      <c r="AE65" s="3496"/>
      <c r="AF65" s="3496"/>
      <c r="AG65" s="3496"/>
      <c r="AH65" s="3496"/>
      <c r="AI65" s="3496"/>
      <c r="AJ65" s="3496"/>
      <c r="AK65" s="3496"/>
      <c r="AL65" s="3496"/>
      <c r="AM65" s="3496"/>
      <c r="AN65" s="3496"/>
      <c r="AO65" s="3496"/>
      <c r="AP65" s="3496"/>
      <c r="AQ65" s="3496"/>
      <c r="AR65" s="3496"/>
      <c r="AS65" s="3496"/>
      <c r="AT65" s="3496"/>
      <c r="AU65" s="3496"/>
      <c r="AV65" s="3496"/>
      <c r="AW65" s="3496"/>
      <c r="AX65" s="3496"/>
      <c r="AY65" s="3496"/>
      <c r="AZ65" s="3496"/>
      <c r="BA65" s="3496"/>
      <c r="BB65" s="3496"/>
      <c r="BC65" s="3496"/>
      <c r="BI65" s="2366">
        <v>14</v>
      </c>
    </row>
    <row customHeight="1" ht="14.699999999999998">
      <c r="O66" s="1748"/>
      <c r="T66" s="2691"/>
      <c r="U66" s="2691"/>
      <c r="V66" s="2691"/>
      <c r="W66" s="2691"/>
      <c r="X66" s="2691"/>
      <c r="Y66" s="2691"/>
      <c r="Z66" s="2691"/>
      <c r="AA66" s="2691"/>
      <c r="AB66" s="2691"/>
      <c r="AC66" s="2691"/>
      <c r="AD66" s="2691"/>
      <c r="AE66" s="2691"/>
      <c r="AF66" s="2691"/>
      <c r="AG66" s="2691"/>
      <c r="AH66" s="2691"/>
      <c r="AI66" s="2691"/>
      <c r="AJ66" s="2691"/>
      <c r="AK66" s="2691"/>
      <c r="AL66" s="2691"/>
      <c r="AM66" s="2691"/>
      <c r="AN66" s="2691"/>
      <c r="AO66" s="2691"/>
      <c r="AP66" s="2691"/>
      <c r="AQ66" s="2691"/>
      <c r="AR66" s="2691"/>
      <c r="AS66" s="2691"/>
      <c r="AT66" s="2691"/>
      <c r="AU66" s="2691"/>
      <c r="AV66" s="2691"/>
      <c r="AW66" s="2691"/>
      <c r="AX66" s="2691"/>
      <c r="AY66" s="2691"/>
      <c r="AZ66" s="2691"/>
      <c r="BA66" s="2691"/>
      <c r="BB66" s="2691"/>
      <c r="BC66" s="2691"/>
      <c r="BI66" s="2366">
        <v>14</v>
      </c>
    </row>
    <row customHeight="1" ht="14.699999999999998">
      <c r="O67" s="1748"/>
      <c r="S67" s="2464"/>
      <c r="T67" s="3496"/>
      <c r="U67" s="3496"/>
      <c r="V67" s="3496"/>
      <c r="W67" s="3496"/>
      <c r="X67" s="3496"/>
      <c r="Y67" s="3496"/>
      <c r="Z67" s="3496"/>
      <c r="AA67" s="3496"/>
      <c r="AB67" s="3496"/>
      <c r="AC67" s="3496"/>
      <c r="AD67" s="3496"/>
      <c r="AE67" s="3496"/>
      <c r="AF67" s="3496"/>
      <c r="AG67" s="3496"/>
      <c r="AH67" s="3496"/>
      <c r="AI67" s="3496"/>
      <c r="AJ67" s="3496"/>
      <c r="AK67" s="3496"/>
      <c r="AL67" s="3496"/>
      <c r="AM67" s="3496"/>
      <c r="AN67" s="3496"/>
      <c r="AO67" s="3496"/>
      <c r="AP67" s="3496"/>
      <c r="AQ67" s="3496"/>
      <c r="AR67" s="3496"/>
      <c r="AS67" s="3496"/>
      <c r="AT67" s="3496"/>
      <c r="AU67" s="3496"/>
      <c r="AV67" s="3496"/>
      <c r="AW67" s="3496"/>
      <c r="AX67" s="3496"/>
      <c r="AY67" s="3496"/>
      <c r="AZ67" s="3496"/>
      <c r="BA67" s="3496"/>
      <c r="BB67" s="3496"/>
      <c r="BC67" s="3496"/>
      <c r="BI67" s="2366">
        <v>14</v>
      </c>
    </row>
    <row customHeight="1" ht="14.699999999999998">
      <c r="O68" s="1748"/>
      <c r="BI68" s="2366">
        <v>14</v>
      </c>
    </row>
    <row customHeight="1" ht="14.25" hidden="1">
      <c r="A69" s="2371" t="s">
        <v>82</v>
      </c>
      <c r="B69" s="2371">
        <v>0</v>
      </c>
      <c r="C69" s="2371">
        <v>0</v>
      </c>
      <c r="D69" s="2371">
        <v>0</v>
      </c>
      <c r="E69" s="2371">
        <v>0</v>
      </c>
      <c r="F69" s="2371">
        <v>0</v>
      </c>
      <c r="G69" s="2371">
        <v>0</v>
      </c>
      <c r="H69" s="2371">
        <v>0</v>
      </c>
      <c r="I69" s="2371">
        <v>0</v>
      </c>
      <c r="J69" s="2371">
        <v>0</v>
      </c>
      <c r="K69" s="2371">
        <v>0</v>
      </c>
      <c r="L69" s="2689">
        <v>0</v>
      </c>
      <c r="M69" s="2573">
        <v>0</v>
      </c>
      <c r="N69" s="2573">
        <v>0</v>
      </c>
      <c r="O69" s="2573">
        <v>0</v>
      </c>
      <c r="P69" s="2573">
        <v>0</v>
      </c>
      <c r="Q69" s="2582">
        <v>0</v>
      </c>
      <c r="R69" s="1555">
        <v>3</v>
      </c>
      <c r="S69" s="1792">
        <v>12</v>
      </c>
      <c r="T69" s="2366">
        <v>31</v>
      </c>
      <c r="U69" s="2366">
        <v>0</v>
      </c>
      <c r="V69" s="2366">
        <v>0</v>
      </c>
      <c r="W69" s="2366">
        <v>0</v>
      </c>
      <c r="X69" s="2366">
        <v>0</v>
      </c>
      <c r="Y69" s="2366">
        <v>0</v>
      </c>
      <c r="Z69" s="2366">
        <v>0</v>
      </c>
      <c r="AA69" s="2366">
        <v>0</v>
      </c>
      <c r="AB69" s="2366">
        <v>0</v>
      </c>
      <c r="AC69" s="2366">
        <v>0</v>
      </c>
      <c r="AD69" s="2366">
        <v>3</v>
      </c>
      <c r="AE69" s="2366">
        <v>3</v>
      </c>
      <c r="AF69" s="2366">
        <v>3</v>
      </c>
      <c r="AG69" s="2366">
        <v>24</v>
      </c>
      <c r="AH69" s="2366">
        <v>3</v>
      </c>
      <c r="AI69" s="2366">
        <v>3</v>
      </c>
      <c r="AJ69" s="2366">
        <v>3</v>
      </c>
      <c r="AK69" s="2366">
        <v>24</v>
      </c>
      <c r="AL69" s="2366">
        <v>3</v>
      </c>
      <c r="AM69" s="2366">
        <v>3</v>
      </c>
      <c r="AN69" s="2366">
        <v>3</v>
      </c>
      <c r="AO69" s="2366">
        <v>18</v>
      </c>
      <c r="AP69" s="2366">
        <v>3</v>
      </c>
      <c r="AQ69" s="2366">
        <v>3</v>
      </c>
      <c r="AR69" s="2366">
        <v>3</v>
      </c>
      <c r="AS69" s="2366">
        <v>18</v>
      </c>
      <c r="AT69" s="2366">
        <v>21</v>
      </c>
      <c r="AU69" s="2366">
        <v>21</v>
      </c>
      <c r="AV69" s="2366">
        <v>21</v>
      </c>
      <c r="AW69" s="2366">
        <v>21</v>
      </c>
      <c r="AX69" s="2366">
        <v>11</v>
      </c>
      <c r="AY69" s="2366">
        <v>3</v>
      </c>
      <c r="AZ69" s="2366">
        <v>11</v>
      </c>
      <c r="BA69" s="2366">
        <v>0</v>
      </c>
      <c r="BB69" s="2366">
        <v>4</v>
      </c>
      <c r="BC69" s="2366">
        <v>115</v>
      </c>
      <c r="BD69" s="1722">
        <v>10</v>
      </c>
      <c r="BE69" s="1722">
        <v>10</v>
      </c>
      <c r="BF69" s="1722">
        <v>10</v>
      </c>
      <c r="BG69" s="1722">
        <v>10</v>
      </c>
      <c r="BH69" s="1722">
        <v>10</v>
      </c>
      <c r="BI69" s="236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C81BB-B98C-12E3-6CD6-A4D1886EC6F9}" mc:Ignorable="x14ac xr xr2 xr3">
  <sheetPr>
    <tabColor rgb="FFCCCCFF"/>
    <pageSetUpPr fitToPage="1"/>
  </sheetPr>
  <dimension ref="A1:AC34"/>
  <sheetViews>
    <sheetView showGridLines="0" zoomScale="90" workbookViewId="0">
      <pane xSplit="6" ySplit="11" topLeftCell="G12" activePane="bottomRight" state="frozen"/>
      <selection pane="bottomLeft" activeCell="A12" sqref="A12"/>
      <selection pane="topRight" activeCell="G1" sqref="G1"/>
      <selection pane="bottomRight" activeCell="G18" sqref="G18"/>
    </sheetView>
  </sheetViews>
  <sheetFormatPr defaultColWidth="9.140625" customHeight="1" defaultRowHeight="14.25"/>
  <cols>
    <col min="1" max="1" style="66903" width="8.00390625" hidden="1" customWidth="1"/>
    <col min="2" max="2" style="66852" width="6.00390625" hidden="1" customWidth="1"/>
    <col min="3" max="3" style="66903" width="3.00390625" customWidth="1"/>
    <col min="4" max="4" style="67282" width="3.00390625" customWidth="1"/>
    <col min="5" max="5" style="66903" width="6.00390625" customWidth="1"/>
    <col min="6" max="6" style="66903" width="2.7109375" hidden="1" customWidth="1"/>
    <col min="7" max="7" style="66903" width="46.7109375" customWidth="1"/>
    <col min="8" max="8" style="66903" width="42.00390625" customWidth="1"/>
    <col min="9" max="9" style="66903" width="14.00390625" customWidth="1"/>
    <col min="10" max="10" style="66855" width="3.00390625" customWidth="1"/>
    <col min="11" max="13" style="66855" width="9.140625" hidden="1"/>
    <col min="14" max="14" style="66855" width="25.7109375" hidden="1" customWidth="1"/>
    <col min="15" max="15" style="66855" width="14.421875" hidden="1" customWidth="1"/>
    <col min="16" max="19" style="64692" width="9.140625" hidden="1"/>
    <col min="20" max="27" style="66903" width="9.140625" hidden="1"/>
    <col min="28" max="28" style="66903" width="8.00390625" customWidth="1"/>
    <col min="29" max="29" style="66903" width="9.140625" hidden="1"/>
  </cols>
  <sheetData>
    <row s="65923" customFormat="1" customHeight="1" ht="5.25" hidden="1">
      <c r="A1" s="1707"/>
      <c r="B1" s="1722"/>
      <c r="C1" s="1722"/>
      <c r="D1" s="1432"/>
      <c r="F1" s="1722"/>
      <c r="G1" s="1458" t="s">
        <v>83</v>
      </c>
      <c r="H1" s="1705" t="s">
        <v>84</v>
      </c>
      <c r="I1" s="1438" t="s">
        <v>85</v>
      </c>
      <c r="J1" s="1458" t="s">
        <v>83</v>
      </c>
      <c r="K1" s="1458"/>
      <c r="L1" s="1458"/>
      <c r="M1" s="1458"/>
      <c r="N1" s="1459"/>
      <c r="O1" s="1458"/>
      <c r="P1" s="1458"/>
      <c r="Q1" s="1458"/>
      <c r="R1" s="1458"/>
      <c r="S1" s="1458"/>
      <c r="T1" s="1438"/>
      <c r="U1" s="1438"/>
      <c r="V1" s="1438"/>
      <c r="W1" s="1438"/>
      <c r="X1" s="1438"/>
      <c r="Y1" s="1438"/>
      <c r="Z1" s="1438"/>
      <c r="AA1" s="1438"/>
      <c r="AB1" s="1438"/>
      <c r="AC1" s="1363" t="s">
        <v>14</v>
      </c>
    </row>
    <row s="65493" customFormat="1" customHeight="1" ht="11.25">
      <c r="A2" s="2042"/>
      <c r="B2" s="1439"/>
      <c r="C2" s="1439"/>
      <c r="D2" s="1440"/>
      <c r="E2" s="1439"/>
      <c r="F2" s="1439"/>
      <c r="G2" s="1439"/>
      <c r="H2" s="1439"/>
      <c r="I2" s="1439"/>
      <c r="J2" s="1458"/>
      <c r="K2" s="1458"/>
      <c r="L2" s="1458"/>
      <c r="M2" s="1458"/>
      <c r="N2" s="1459"/>
      <c r="O2" s="1458"/>
      <c r="P2" s="1441"/>
      <c r="Q2" s="1441"/>
      <c r="R2" s="1441"/>
      <c r="S2" s="1441"/>
      <c r="T2" s="1440"/>
      <c r="U2" s="1440"/>
      <c r="V2" s="1440"/>
      <c r="W2" s="1440"/>
      <c r="X2" s="1440"/>
      <c r="Y2" s="1440"/>
      <c r="Z2" s="1440"/>
      <c r="AA2" s="1440"/>
      <c r="AB2" s="1440"/>
      <c r="AC2" s="1442">
        <v>11</v>
      </c>
    </row>
    <row s="65153" customFormat="1" customHeight="1" ht="3">
      <c r="A3" s="1969"/>
      <c r="B3" s="1628"/>
      <c r="C3" s="1969"/>
      <c r="D3" s="1375"/>
      <c r="E3" s="1314"/>
      <c r="F3" s="1720"/>
      <c r="G3" s="1314"/>
      <c r="H3" s="1314"/>
      <c r="I3" s="1377"/>
      <c r="J3" s="1458"/>
      <c r="K3" s="1366"/>
      <c r="L3" s="1366"/>
      <c r="M3" s="1366"/>
      <c r="N3" s="1437"/>
      <c r="O3" s="1366"/>
      <c r="P3" s="1436"/>
      <c r="Q3" s="1436"/>
      <c r="R3" s="1436"/>
      <c r="S3" s="1436"/>
      <c r="AC3" s="1327">
        <v>3</v>
      </c>
    </row>
    <row s="65153" customFormat="1" customHeight="1" ht="27.299999999999997">
      <c r="A4" s="1969"/>
      <c r="B4" s="1628"/>
      <c r="C4" s="1969"/>
      <c r="D4" s="1375"/>
      <c r="E4" s="3311" t="str">
        <f>NameTemplatesInListMO</f>
        <v>Перечень муниципальных районов и муниципальных образований (территорий оказания услуг)</v>
      </c>
      <c r="F4" s="3311"/>
      <c r="G4" s="3311"/>
      <c r="H4" s="3311"/>
      <c r="I4" s="3311"/>
      <c r="J4" s="1458"/>
      <c r="K4" s="1366"/>
      <c r="L4" s="1366"/>
      <c r="M4" s="1366"/>
      <c r="N4" s="1437"/>
      <c r="O4" s="1366"/>
      <c r="P4" s="1436"/>
      <c r="Q4" s="1436"/>
      <c r="R4" s="1436"/>
      <c r="S4" s="1436"/>
      <c r="AC4" s="1327">
        <v>26</v>
      </c>
    </row>
    <row s="65153" customFormat="1" customHeight="1" ht="3">
      <c r="A5" s="1969"/>
      <c r="B5" s="1628"/>
      <c r="C5" s="1969"/>
      <c r="D5" s="1375"/>
      <c r="E5" s="1314"/>
      <c r="F5" s="1720"/>
      <c r="G5" s="1378"/>
      <c r="H5" s="1378"/>
      <c r="I5" s="1379"/>
      <c r="J5" s="1366"/>
      <c r="K5" s="1366"/>
      <c r="L5" s="1366"/>
      <c r="M5" s="1366"/>
      <c r="N5" s="1437"/>
      <c r="O5" s="1366"/>
      <c r="P5" s="1436"/>
      <c r="Q5" s="1436"/>
      <c r="R5" s="1436"/>
      <c r="S5" s="1436"/>
      <c r="AC5" s="1327">
        <v>3</v>
      </c>
    </row>
    <row s="65153" customFormat="1" customHeight="1" ht="20.25" hidden="1">
      <c r="A6" s="2048"/>
      <c r="B6" s="2044"/>
      <c r="C6" s="1380"/>
      <c r="D6" s="1375"/>
      <c r="E6" s="1990"/>
      <c r="F6" s="1990"/>
      <c r="G6" s="1378"/>
      <c r="H6" s="1381"/>
      <c r="I6" s="1381"/>
      <c r="J6" s="1366"/>
      <c r="K6" s="1366"/>
      <c r="L6" s="1366"/>
      <c r="M6" s="1366"/>
      <c r="N6" s="1437"/>
      <c r="O6" s="1366"/>
      <c r="P6" s="1436"/>
      <c r="Q6" s="1436"/>
      <c r="R6" s="1436"/>
      <c r="S6" s="1436"/>
      <c r="AC6" s="1327">
        <v>0</v>
      </c>
    </row>
    <row customHeight="1" ht="25.5" hidden="1">
      <c r="AC7" s="1294">
        <v>0</v>
      </c>
    </row>
    <row s="65153" customFormat="1" customHeight="1" ht="14.699999999999998">
      <c r="A8" s="1969"/>
      <c r="B8" s="1628"/>
      <c r="C8" s="1969"/>
      <c r="D8" s="1375"/>
      <c r="E8" s="3312" t="s">
        <v>86</v>
      </c>
      <c r="F8" s="3313"/>
      <c r="G8" s="3314"/>
      <c r="H8" s="3315" t="s">
        <v>87</v>
      </c>
      <c r="I8" s="3315"/>
      <c r="J8" s="1366"/>
      <c r="K8" s="1366"/>
      <c r="L8" s="1366"/>
      <c r="M8" s="1366"/>
      <c r="N8" s="1437"/>
      <c r="O8" s="1366"/>
      <c r="P8" s="1436"/>
      <c r="Q8" s="1436"/>
      <c r="R8" s="1436"/>
      <c r="S8" s="1436"/>
      <c r="AC8" s="1327">
        <v>14</v>
      </c>
    </row>
    <row s="65153" customFormat="1" customHeight="1" ht="21">
      <c r="A9" s="1969"/>
      <c r="B9" s="1628"/>
      <c r="C9" s="1969"/>
      <c r="D9" s="1375"/>
      <c r="E9" s="1988" t="s">
        <v>88</v>
      </c>
      <c r="F9" s="1988"/>
      <c r="G9" s="1383" t="s">
        <v>89</v>
      </c>
      <c r="H9" s="1383" t="s">
        <v>89</v>
      </c>
      <c r="I9" s="1383" t="s">
        <v>85</v>
      </c>
      <c r="J9" s="1366"/>
      <c r="K9" s="1366"/>
      <c r="L9" s="1366"/>
      <c r="M9" s="1366"/>
      <c r="N9" s="1437"/>
      <c r="O9" s="1366"/>
      <c r="P9" s="1436"/>
      <c r="Q9" s="1436"/>
      <c r="R9" s="1436"/>
      <c r="S9" s="1436"/>
      <c r="AC9" s="1327">
        <v>20</v>
      </c>
    </row>
    <row customHeight="1" ht="11.549999999999999">
      <c r="D10" s="1387"/>
      <c r="E10" s="1989" t="s">
        <v>90</v>
      </c>
      <c r="F10" s="1989"/>
      <c r="G10" s="1434" t="s">
        <v>91</v>
      </c>
      <c r="H10" s="1434" t="s">
        <v>92</v>
      </c>
      <c r="I10" s="1434" t="s">
        <v>93</v>
      </c>
      <c r="J10" s="1397"/>
      <c r="K10" s="1397"/>
      <c r="L10" s="1397"/>
      <c r="M10" s="1397"/>
      <c r="N10" s="1382"/>
      <c r="O10" s="1397"/>
      <c r="P10" s="1435"/>
      <c r="Q10" s="1435"/>
      <c r="R10" s="1435"/>
      <c r="S10" s="1435"/>
      <c r="AC10" s="1294">
        <v>11</v>
      </c>
    </row>
    <row s="65153" customFormat="1" customHeight="1" ht="1.05">
      <c r="A11" s="1969"/>
      <c r="B11" s="1628"/>
      <c r="C11" s="1969"/>
      <c r="D11" s="1375"/>
      <c r="E11" s="2001"/>
      <c r="F11" s="2001"/>
      <c r="G11" s="1384"/>
      <c r="H11" s="1384"/>
      <c r="I11" s="1386"/>
      <c r="J11" s="1460" t="s">
        <v>94</v>
      </c>
      <c r="K11" s="1366"/>
      <c r="L11" s="1366"/>
      <c r="M11" s="1366" t="s">
        <v>95</v>
      </c>
      <c r="N11" s="1437" t="s">
        <v>96</v>
      </c>
      <c r="O11" s="1366" t="s">
        <v>97</v>
      </c>
      <c r="P11" s="1436"/>
      <c r="Q11" s="1436"/>
      <c r="R11" s="1436"/>
      <c r="S11" s="1436"/>
      <c r="AC11" s="1327">
        <v>1</v>
      </c>
    </row>
    <row s="65153" customFormat="1" customHeight="1" ht="15">
      <c r="A12" s="3310">
        <v>1</v>
      </c>
      <c r="B12" s="1628"/>
      <c r="C12" s="1969"/>
      <c r="D12" s="1993"/>
      <c r="E12" s="1430">
        <f>A12</f>
        <v>1</v>
      </c>
      <c r="F12" s="2013" t="s">
        <v>98</v>
      </c>
      <c r="G12" s="1751" t="str">
        <f>"Территория "&amp;E12</f>
        <v>Территория 1</v>
      </c>
      <c r="H12" s="2003"/>
      <c r="I12" s="2003"/>
      <c r="J12" s="2000"/>
      <c r="K12" s="1711"/>
      <c r="L12" s="1711"/>
      <c r="M12" s="1711"/>
      <c r="N12" s="1437"/>
      <c r="O12" s="1711"/>
      <c r="P12" s="1436"/>
      <c r="Q12" s="1436"/>
      <c r="R12" s="1436"/>
      <c r="S12" s="1436"/>
      <c r="AC12" s="1718">
        <v>14</v>
      </c>
    </row>
    <row s="67502" customFormat="1" customHeight="1" ht="15.75">
      <c r="A13" s="3310"/>
      <c r="B13" s="1628">
        <v>1</v>
      </c>
      <c r="C13" s="1628"/>
      <c r="D13" s="2011"/>
      <c r="E13" s="1991" t="str">
        <f>A12&amp;"."&amp;B13</f>
        <v>1.1</v>
      </c>
      <c r="F13" s="2006" t="s">
        <v>99</v>
      </c>
      <c r="G13" s="2004" t="s">
        <v>100</v>
      </c>
      <c r="H13" s="2004" t="s">
        <v>100</v>
      </c>
      <c r="I13" s="2002" t="s">
        <v>101</v>
      </c>
      <c r="J13" s="1711">
        <f>MERGEVALUE(G13)</f>
      </c>
      <c r="K13" s="1722"/>
      <c r="L13" s="1722"/>
      <c r="M13" s="1711" t="str">
        <f t="array" ref="M13:M13">IF(ISERROR(MATCH(MID(N13,1,250),MID(note_ter,1,250),0)),"n","y")</f>
        <v>n</v>
      </c>
      <c r="N13" s="1722"/>
      <c r="O13" s="1711" t="str">
        <f>H13&amp;"("&amp;I13&amp;")"</f>
        <v>Архангельск(11701000)</v>
      </c>
      <c r="P13" s="1628"/>
      <c r="Q13" s="1628"/>
      <c r="R13" s="1631"/>
      <c r="S13" s="1628"/>
      <c r="T13" s="1628"/>
      <c r="U13" s="1628"/>
      <c r="V13" s="1633"/>
      <c r="W13" s="1633"/>
      <c r="X13" s="1630"/>
      <c r="Y13" s="1630"/>
      <c r="Z13" s="1630"/>
      <c r="AA13" s="1630"/>
      <c r="AB13" s="1630"/>
      <c r="AC13" s="1634">
        <v>15</v>
      </c>
    </row>
    <row customHeight="1" ht="15">
      <c r="A14" s="3093"/>
      <c r="B14" s="2577" t="s">
        <v>102</v>
      </c>
      <c r="C14" s="2577"/>
      <c r="D14" s="2011" t="s">
        <v>103</v>
      </c>
      <c r="E14" s="3089" t="str">
        <f>A12&amp;"."&amp;B14</f>
        <v>1.2</v>
      </c>
      <c r="F14" s="3094" t="s">
        <v>104</v>
      </c>
      <c r="G14" s="3098" t="s">
        <v>105</v>
      </c>
      <c r="H14" s="3098" t="s">
        <v>106</v>
      </c>
      <c r="I14" s="3096" t="s">
        <v>107</v>
      </c>
      <c r="J14" s="2835"/>
      <c r="K14" s="2847"/>
      <c r="L14" s="2847"/>
      <c r="M14" s="2835" t="str">
        <f t="array" ref="M14:M14">IF(ISERROR(MATCH(MID(N14,1,250),MID(note_ter,1,250),0)),"n","y")</f>
        <v>n</v>
      </c>
      <c r="N14" s="2847"/>
      <c r="O14" s="2835" t="str">
        <f>H14&amp;"("&amp;I14&amp;")"</f>
        <v>Талажское(11652460)</v>
      </c>
      <c r="P14" s="2577"/>
      <c r="Q14" s="2577"/>
      <c r="R14" s="1631"/>
      <c r="S14" s="2577"/>
      <c r="T14" s="2577"/>
      <c r="U14" s="2577"/>
      <c r="V14" s="2044"/>
      <c r="W14" s="2044"/>
      <c r="X14" s="1838"/>
      <c r="Y14" s="1838"/>
      <c r="Z14" s="1838"/>
      <c r="AA14" s="1838"/>
      <c r="AB14" s="1838"/>
      <c r="AC14" s="1838"/>
    </row>
    <row customHeight="1" ht="15">
      <c r="A15" s="3093"/>
      <c r="B15" s="2577" t="s">
        <v>90</v>
      </c>
      <c r="C15" s="2577"/>
      <c r="D15" s="2011" t="s">
        <v>103</v>
      </c>
      <c r="E15" s="3089" t="str">
        <f>A12&amp;"."&amp;B15</f>
        <v>1.3</v>
      </c>
      <c r="F15" s="3094" t="s">
        <v>108</v>
      </c>
      <c r="G15" s="3098" t="s">
        <v>105</v>
      </c>
      <c r="H15" s="3098" t="s">
        <v>109</v>
      </c>
      <c r="I15" s="3096" t="s">
        <v>110</v>
      </c>
      <c r="J15" s="2835"/>
      <c r="K15" s="2847"/>
      <c r="L15" s="2847"/>
      <c r="M15" s="2835" t="str">
        <f t="array" ref="M15:M15">IF(ISERROR(MATCH(MID(N15,1,250),MID(note_ter,1,250),0)),"n","y")</f>
        <v>n</v>
      </c>
      <c r="N15" s="2847"/>
      <c r="O15" s="2835" t="str">
        <f>H15&amp;"("&amp;I15&amp;")"</f>
        <v>Лисестровское(11652436)</v>
      </c>
      <c r="P15" s="2577"/>
      <c r="Q15" s="2577"/>
      <c r="R15" s="1631"/>
      <c r="S15" s="2577"/>
      <c r="T15" s="2577"/>
      <c r="U15" s="2577"/>
      <c r="V15" s="2044"/>
      <c r="W15" s="2044"/>
      <c r="X15" s="1838"/>
      <c r="Y15" s="1838"/>
      <c r="Z15" s="1838"/>
      <c r="AA15" s="1838"/>
      <c r="AB15" s="1838"/>
      <c r="AC15" s="1838"/>
    </row>
    <row s="67502" customFormat="1" customHeight="1" ht="15.75">
      <c r="A16" s="3310"/>
      <c r="B16" s="1628"/>
      <c r="C16" s="1623"/>
      <c r="D16" s="2012"/>
      <c r="E16" s="1632"/>
      <c r="F16" s="1388"/>
      <c r="G16" s="1626" t="s">
        <v>111</v>
      </c>
      <c r="H16" s="1398"/>
      <c r="I16" s="1635"/>
      <c r="J16" s="1722"/>
      <c r="K16" s="1722"/>
      <c r="L16" s="1722"/>
      <c r="M16" s="1722"/>
      <c r="N16" s="1711"/>
      <c r="O16" s="1722"/>
      <c r="P16" s="1628"/>
      <c r="Q16" s="1628"/>
      <c r="R16" s="1631"/>
      <c r="S16" s="1628"/>
      <c r="T16" s="1628"/>
      <c r="U16" s="1628"/>
      <c r="V16" s="1633"/>
      <c r="W16" s="1633"/>
      <c r="X16" s="1630"/>
      <c r="Y16" s="1630"/>
      <c r="Z16" s="1630"/>
      <c r="AA16" s="1630"/>
      <c r="AB16" s="1630"/>
      <c r="AC16" s="1634">
        <v>15</v>
      </c>
    </row>
    <row customHeight="1" ht="15">
      <c r="A17" s="3428" t="s">
        <v>102</v>
      </c>
      <c r="B17" s="2371"/>
      <c r="C17" s="2012" t="s">
        <v>103</v>
      </c>
      <c r="D17" s="3029"/>
      <c r="E17" s="3016" t="str">
        <f>A17</f>
        <v>2</v>
      </c>
      <c r="F17" s="2015" t="s">
        <v>112</v>
      </c>
      <c r="G17" s="1751" t="str">
        <f>"Территория "&amp;E17</f>
        <v>Территория 2</v>
      </c>
      <c r="H17" s="2003"/>
      <c r="I17" s="2003"/>
      <c r="J17" s="2000"/>
      <c r="K17" s="2835"/>
      <c r="L17" s="2835"/>
      <c r="M17" s="2835"/>
      <c r="N17" s="1437"/>
      <c r="O17" s="2835"/>
      <c r="P17" s="1436"/>
      <c r="Q17" s="1436"/>
      <c r="R17" s="1436"/>
      <c r="S17" s="1436"/>
      <c r="T17" s="6645"/>
      <c r="U17" s="6645"/>
      <c r="V17" s="6645"/>
      <c r="W17" s="6645"/>
      <c r="X17" s="6645"/>
      <c r="Y17" s="6645"/>
      <c r="Z17" s="6645"/>
      <c r="AA17" s="6645"/>
      <c r="AB17" s="6645"/>
      <c r="AC17" s="6645"/>
    </row>
    <row customHeight="1" ht="15">
      <c r="A18" s="3428"/>
      <c r="B18" s="2371">
        <v>1</v>
      </c>
      <c r="C18" s="2371"/>
      <c r="D18" s="2011"/>
      <c r="E18" s="3024" t="str">
        <f>A17&amp;"."&amp;B18</f>
        <v>2.1</v>
      </c>
      <c r="F18" s="2014" t="s">
        <v>113</v>
      </c>
      <c r="G18" s="2004" t="s">
        <v>114</v>
      </c>
      <c r="H18" s="2004" t="s">
        <v>114</v>
      </c>
      <c r="I18" s="2002" t="s">
        <v>115</v>
      </c>
      <c r="J18" s="2835"/>
      <c r="K18" s="2847"/>
      <c r="L18" s="2847"/>
      <c r="M18" s="2835" t="str">
        <f t="array" ref="M18:M18">IF(ISERROR(MATCH(MID(N18,1,250),MID(note_ter,1,250),0)),"n","y")</f>
        <v>n</v>
      </c>
      <c r="N18" s="2847"/>
      <c r="O18" s="2835" t="str">
        <f>H18&amp;"("&amp;I18&amp;")"</f>
        <v>Северодвинск(11730000)</v>
      </c>
      <c r="P18" s="2371"/>
      <c r="Q18" s="2371"/>
      <c r="R18" s="1631"/>
      <c r="S18" s="2371"/>
      <c r="T18" s="2371"/>
      <c r="U18" s="2371"/>
      <c r="V18" s="1633"/>
      <c r="W18" s="1633"/>
      <c r="X18" s="1630"/>
      <c r="Y18" s="1630"/>
      <c r="Z18" s="1630"/>
      <c r="AA18" s="1630"/>
      <c r="AB18" s="1630"/>
      <c r="AC18" s="1630"/>
    </row>
    <row customHeight="1" ht="15">
      <c r="A19" s="3428"/>
      <c r="B19" s="2371"/>
      <c r="C19" s="1623"/>
      <c r="D19" s="2012"/>
      <c r="E19" s="1632"/>
      <c r="F19" s="1388"/>
      <c r="G19" s="1626" t="s">
        <v>111</v>
      </c>
      <c r="H19" s="1398"/>
      <c r="I19" s="1635"/>
      <c r="J19" s="2847"/>
      <c r="K19" s="2847"/>
      <c r="L19" s="2847"/>
      <c r="M19" s="2847"/>
      <c r="N19" s="2835"/>
      <c r="O19" s="2847"/>
      <c r="P19" s="2371"/>
      <c r="Q19" s="2371"/>
      <c r="R19" s="1631"/>
      <c r="S19" s="2371"/>
      <c r="T19" s="2371"/>
      <c r="U19" s="2371"/>
      <c r="V19" s="1633"/>
      <c r="W19" s="1633"/>
      <c r="X19" s="1630"/>
      <c r="Y19" s="1630"/>
      <c r="Z19" s="1630"/>
      <c r="AA19" s="1630"/>
      <c r="AB19" s="1630"/>
      <c r="AC19" s="1630"/>
    </row>
    <row s="65153" customFormat="1" customHeight="1" ht="14.699999999999998">
      <c r="A20" s="1969"/>
      <c r="B20" s="1628"/>
      <c r="C20" s="1969"/>
      <c r="D20" s="1993"/>
      <c r="E20" s="2005"/>
      <c r="F20" s="1389"/>
      <c r="G20" s="1627" t="s">
        <v>116</v>
      </c>
      <c r="H20" s="1389"/>
      <c r="I20" s="1390"/>
      <c r="J20" s="1460"/>
      <c r="K20" s="1366"/>
      <c r="L20" s="1366"/>
      <c r="M20" s="1366"/>
      <c r="N20" s="1437" t="s">
        <v>117</v>
      </c>
      <c r="O20" s="1366"/>
      <c r="P20" s="1436"/>
      <c r="Q20" s="1436"/>
      <c r="R20" s="1436"/>
      <c r="S20" s="1436"/>
      <c r="AC20" s="1327">
        <v>14</v>
      </c>
    </row>
    <row s="65153" customFormat="1" customHeight="1" ht="22.049999999999997">
      <c r="A21" s="1969"/>
      <c r="B21" s="1628"/>
      <c r="C21" s="1969"/>
      <c r="D21" s="1376"/>
      <c r="E21" s="1391"/>
      <c r="F21" s="1391"/>
      <c r="G21" s="1391"/>
      <c r="H21" s="1391"/>
      <c r="I21" s="1391"/>
      <c r="J21" s="1366"/>
      <c r="K21" s="1366"/>
      <c r="L21" s="1366"/>
      <c r="M21" s="1366"/>
      <c r="N21" s="1437"/>
      <c r="O21" s="1366"/>
      <c r="P21" s="1436"/>
      <c r="Q21" s="1436"/>
      <c r="R21" s="1436"/>
      <c r="S21" s="1436"/>
      <c r="AC21" s="1327">
        <v>21</v>
      </c>
    </row>
    <row s="65153" customFormat="1" customHeight="1" ht="14.699999999999998">
      <c r="A22" s="1969"/>
      <c r="B22" s="1628"/>
      <c r="C22" s="1969"/>
      <c r="D22" s="1376"/>
      <c r="E22" s="1294"/>
      <c r="F22" s="1969"/>
      <c r="G22" s="1294"/>
      <c r="H22" s="1294"/>
      <c r="I22" s="1294"/>
      <c r="J22" s="1366"/>
      <c r="K22" s="1366"/>
      <c r="L22" s="1366"/>
      <c r="M22" s="1366"/>
      <c r="N22" s="1437"/>
      <c r="O22" s="1366"/>
      <c r="P22" s="1436"/>
      <c r="Q22" s="1436"/>
      <c r="R22" s="1436"/>
      <c r="S22" s="1436"/>
      <c r="AC22" s="1327">
        <v>14</v>
      </c>
    </row>
    <row s="65153" customFormat="1" customHeight="1" ht="1.05">
      <c r="A23" s="1969"/>
      <c r="B23" s="1628"/>
      <c r="C23" s="1969"/>
      <c r="D23" s="1376"/>
      <c r="E23" s="1294"/>
      <c r="F23" s="1969"/>
      <c r="G23" s="1294"/>
      <c r="H23" s="1294"/>
      <c r="I23" s="1294"/>
      <c r="J23" s="1366"/>
      <c r="K23" s="1366"/>
      <c r="L23" s="1366"/>
      <c r="M23" s="1366"/>
      <c r="N23" s="1437"/>
      <c r="O23" s="1366"/>
      <c r="P23" s="1436"/>
      <c r="Q23" s="1436"/>
      <c r="R23" s="1436"/>
      <c r="S23" s="1436"/>
      <c r="AC23" s="1327">
        <v>1</v>
      </c>
    </row>
    <row s="66802" customFormat="1" customHeight="1" ht="10.5">
      <c r="B24" s="2045"/>
      <c r="D24" s="1393"/>
      <c r="J24" s="1366"/>
      <c r="K24" s="1366"/>
      <c r="L24" s="1366"/>
      <c r="M24" s="1366"/>
      <c r="N24" s="1437"/>
      <c r="O24" s="1366"/>
      <c r="P24" s="1436"/>
      <c r="Q24" s="1436"/>
      <c r="R24" s="1436"/>
      <c r="S24" s="1436"/>
      <c r="AC24" s="1392">
        <v>10</v>
      </c>
    </row>
    <row s="66802" customFormat="1" customHeight="1" ht="10.5">
      <c r="B25" s="2045"/>
      <c r="D25" s="1393"/>
      <c r="J25" s="1366"/>
      <c r="K25" s="1366"/>
      <c r="L25" s="1366"/>
      <c r="M25" s="1366"/>
      <c r="N25" s="1437"/>
      <c r="O25" s="1366"/>
      <c r="P25" s="1436"/>
      <c r="Q25" s="1436"/>
      <c r="R25" s="1436"/>
      <c r="S25" s="1436"/>
      <c r="AC25" s="1392">
        <v>10</v>
      </c>
    </row>
    <row customHeight="1" ht="14.699999999999998">
      <c r="AC26" s="1294">
        <v>14</v>
      </c>
    </row>
    <row customHeight="1" ht="14.699999999999998">
      <c r="AC27" s="1294">
        <v>14</v>
      </c>
    </row>
    <row customHeight="1" ht="14.699999999999998">
      <c r="AC28" s="1294">
        <v>14</v>
      </c>
    </row>
    <row customHeight="1" ht="14.699999999999998">
      <c r="H29" s="1273"/>
      <c r="AC29" s="1294">
        <v>14</v>
      </c>
    </row>
    <row customHeight="1" ht="14.699999999999998">
      <c r="AC30" s="1294">
        <v>14</v>
      </c>
    </row>
    <row customHeight="1" ht="14.699999999999998">
      <c r="AC31" s="1294">
        <v>14</v>
      </c>
    </row>
    <row customHeight="1" ht="14.699999999999998">
      <c r="AC32" s="1294">
        <v>14</v>
      </c>
    </row>
    <row customHeight="1" ht="14.699999999999998">
      <c r="J33" s="1294"/>
      <c r="K33" s="1294"/>
      <c r="L33" s="1294"/>
      <c r="AC33" s="1294">
        <v>14</v>
      </c>
    </row>
    <row customHeight="1" ht="22.5" hidden="1">
      <c r="A34" s="1969" t="s">
        <v>82</v>
      </c>
      <c r="B34" s="1628">
        <v>0</v>
      </c>
      <c r="C34" s="1969">
        <v>3</v>
      </c>
      <c r="D34" s="1376">
        <v>3</v>
      </c>
      <c r="E34" s="1294">
        <v>6</v>
      </c>
      <c r="F34" s="1969">
        <v>0</v>
      </c>
      <c r="G34" s="1294">
        <v>46</v>
      </c>
      <c r="H34" s="1294">
        <v>42</v>
      </c>
      <c r="I34" s="1294">
        <v>14</v>
      </c>
      <c r="J34" s="1366">
        <v>3</v>
      </c>
      <c r="K34" s="1366">
        <v>0</v>
      </c>
      <c r="L34" s="1366">
        <v>0</v>
      </c>
      <c r="M34" s="1366">
        <v>0</v>
      </c>
      <c r="N34" s="1437">
        <v>0</v>
      </c>
      <c r="O34" s="1366">
        <v>0</v>
      </c>
      <c r="P34" s="1436">
        <v>0</v>
      </c>
      <c r="Q34" s="1436">
        <v>0</v>
      </c>
      <c r="R34" s="1436">
        <v>0</v>
      </c>
      <c r="S34" s="1436">
        <v>0</v>
      </c>
      <c r="T34" s="1294">
        <v>0</v>
      </c>
      <c r="U34" s="1294">
        <v>0</v>
      </c>
      <c r="V34" s="1294">
        <v>0</v>
      </c>
      <c r="W34" s="1294">
        <v>0</v>
      </c>
      <c r="X34" s="1294">
        <v>0</v>
      </c>
      <c r="Y34" s="1294">
        <v>0</v>
      </c>
      <c r="Z34" s="1294">
        <v>0</v>
      </c>
      <c r="AA34" s="1294">
        <v>0</v>
      </c>
      <c r="AB34" s="1294">
        <v>8</v>
      </c>
      <c r="AC34" s="1294">
        <v>23</v>
      </c>
    </row>
  </sheetData>
  <sheetProtection formatColumns="0" formatRows="0" autoFilter="0" sort="0" insertRows="0" insertColumns="1" deleteRows="0" deleteColumns="0"/>
  <mergeCells count="5">
    <mergeCell ref="A12:A16"/>
    <mergeCell ref="E4:I4"/>
    <mergeCell ref="E8:G8"/>
    <mergeCell ref="H8:I8"/>
    <mergeCell ref="A17:A19"/>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7">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DB276-1CB2-178D-0931-C96696C1831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8" style="66903" width="19.7109375" hidden="1" customWidth="1"/>
    <col min="29" max="29" style="66903" width="11.7109375" hidden="1" customWidth="1"/>
    <col min="30" max="30" style="66903" width="3.7109375" hidden="1" customWidth="1"/>
    <col min="31" max="31" style="66903" width="11.7109375" hidden="1" customWidth="1"/>
    <col min="32" max="32" style="66903" width="8.57421875" hidden="1" customWidth="1"/>
    <col min="33" max="33" style="66903" width="19.7109375" customWidth="1"/>
    <col min="34" max="39" style="66903" width="19.00390625" customWidth="1"/>
    <col min="40" max="40" style="66903" width="11.00390625" customWidth="1"/>
    <col min="41" max="41" style="66903" width="3.7109375" customWidth="1"/>
    <col min="42" max="42" style="66903" width="11.00390625" customWidth="1"/>
    <col min="43" max="43" style="66903" width="8.57421875" hidden="1" customWidth="1"/>
    <col min="44" max="44" style="66903" width="4.00390625" customWidth="1"/>
    <col min="45" max="45" style="66903" width="115.00390625" customWidth="1"/>
    <col min="46" max="50" style="65923" width="10.00390625" customWidth="1"/>
    <col min="51" max="51" style="66903" width="10.57421875" hidden="1"/>
  </cols>
  <sheetData>
    <row customHeight="1" ht="22.5" hidden="1">
      <c r="AC1" s="1538"/>
      <c r="AN1" s="1538"/>
      <c r="AY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704">
        <f>INDEX(PT_DIFFERENTIATION_NUM_NTAR,MATCH(A2,PT_DIFFERENTIATION_NTAR_ID,0))</f>
      </c>
      <c r="T2" s="1509" t="s">
        <v>143</v>
      </c>
      <c r="U2" s="1511"/>
      <c r="V2" s="3453"/>
      <c r="W2" s="3454"/>
      <c r="X2" s="3454"/>
      <c r="Y2" s="3454"/>
      <c r="Z2" s="3454"/>
      <c r="AA2" s="3454"/>
      <c r="AB2" s="3454"/>
      <c r="AC2" s="3454"/>
      <c r="AD2" s="3454"/>
      <c r="AE2" s="3454"/>
      <c r="AF2" s="3455"/>
      <c r="AG2" s="3453">
        <f>INDEX(PT_DIFFERENTIATION_NTAR,MATCH(A2,PT_DIFFERENTIATION_NTAR_ID,0))</f>
      </c>
      <c r="AH2" s="3454"/>
      <c r="AI2" s="3454"/>
      <c r="AJ2" s="3454"/>
      <c r="AK2" s="3454"/>
      <c r="AL2" s="3454"/>
      <c r="AM2" s="3454"/>
      <c r="AN2" s="3454"/>
      <c r="AO2" s="3454"/>
      <c r="AP2" s="3454"/>
      <c r="AQ2" s="3454"/>
      <c r="AR2" s="3455"/>
      <c r="AS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711"/>
      <c r="AV2" s="1711" t="str">
        <f>IF(T2="","",T2)</f>
        <v>Наименование тарифа</v>
      </c>
      <c r="AW2" s="1711"/>
      <c r="AX2" s="1711"/>
      <c r="AY2" s="2366">
        <v>0</v>
      </c>
    </row>
    <row customHeight="1" ht="23.25" hidden="1">
      <c r="A3" s="2574"/>
      <c r="B3" s="2574"/>
      <c r="C3" s="2574"/>
      <c r="D3" s="2574"/>
      <c r="E3" s="3470"/>
      <c r="F3" s="3469">
        <v>1</v>
      </c>
      <c r="G3" s="2574"/>
      <c r="H3" s="2574"/>
      <c r="I3" s="2574"/>
      <c r="J3" s="2574"/>
      <c r="K3" s="2574"/>
      <c r="L3" s="2575"/>
      <c r="M3" s="2576"/>
      <c r="N3" s="2576"/>
      <c r="O3" s="2576"/>
      <c r="P3" s="2698"/>
      <c r="Q3" s="1563"/>
      <c r="R3" s="1564"/>
      <c r="S3" s="2704">
        <f>INDEX(PT_DIFFERENTIATION_NUM_TER,MATCH(B3,PT_DIFFERENTIATION_TER_ID,0))</f>
      </c>
      <c r="T3" s="1519" t="s">
        <v>415</v>
      </c>
      <c r="U3" s="1511"/>
      <c r="V3" s="3453"/>
      <c r="W3" s="3454"/>
      <c r="X3" s="3454"/>
      <c r="Y3" s="3454"/>
      <c r="Z3" s="3454"/>
      <c r="AA3" s="3454"/>
      <c r="AB3" s="3454"/>
      <c r="AC3" s="3454"/>
      <c r="AD3" s="3454"/>
      <c r="AE3" s="3454"/>
      <c r="AF3" s="3455"/>
      <c r="AG3" s="3453">
        <f>INDEX(PT_DIFFERENTIATION_TER,MATCH(B3,PT_DIFFERENTIATION_TER_ID,0))</f>
      </c>
      <c r="AH3" s="3454"/>
      <c r="AI3" s="3454"/>
      <c r="AJ3" s="3454"/>
      <c r="AK3" s="3454"/>
      <c r="AL3" s="3454"/>
      <c r="AM3" s="3454"/>
      <c r="AN3" s="3454"/>
      <c r="AO3" s="3454"/>
      <c r="AP3" s="3454"/>
      <c r="AQ3" s="3454"/>
      <c r="AR3" s="3455"/>
      <c r="AS3" s="2469" t="s">
        <v>416</v>
      </c>
      <c r="AU3" s="1711"/>
      <c r="AV3" s="1711" t="str">
        <f>IF(T3="","",T3)</f>
        <v>Территория действия тарифа</v>
      </c>
      <c r="AW3" s="1711"/>
      <c r="AX3" s="1711"/>
      <c r="AY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704">
        <f>INDEX(PT_DIFFERENTIATION_NUM_CS,MATCH(C4,PT_DIFFERENTIATION_CS_ID,0))</f>
      </c>
      <c r="T4" s="1520" t="s">
        <v>548</v>
      </c>
      <c r="U4" s="1511"/>
      <c r="V4" s="3453"/>
      <c r="W4" s="3454"/>
      <c r="X4" s="3454"/>
      <c r="Y4" s="3454"/>
      <c r="Z4" s="3454"/>
      <c r="AA4" s="3454"/>
      <c r="AB4" s="3454"/>
      <c r="AC4" s="3454"/>
      <c r="AD4" s="3454"/>
      <c r="AE4" s="3454"/>
      <c r="AF4" s="3455"/>
      <c r="AG4" s="3453">
        <f>INDEX(PT_DIFFERENTIATION_CS,MATCH(C4,PT_DIFFERENTIATION_CS_ID,0))</f>
      </c>
      <c r="AH4" s="3454"/>
      <c r="AI4" s="3454"/>
      <c r="AJ4" s="3454"/>
      <c r="AK4" s="3454"/>
      <c r="AL4" s="3454"/>
      <c r="AM4" s="3454"/>
      <c r="AN4" s="3454"/>
      <c r="AO4" s="3454"/>
      <c r="AP4" s="3454"/>
      <c r="AQ4" s="3454"/>
      <c r="AR4" s="3455"/>
      <c r="AS4" s="2469" t="s">
        <v>549</v>
      </c>
      <c r="AU4" s="1711"/>
      <c r="AV4" s="1711" t="str">
        <f>IF(T4="","",T4)</f>
        <v>Наименование централизованной системы горячего водоснабжения</v>
      </c>
      <c r="AW4" s="1711"/>
      <c r="AX4" s="1711"/>
      <c r="AY4" s="2366">
        <v>0</v>
      </c>
    </row>
    <row customHeight="1" ht="23.25" hidden="1">
      <c r="A5" s="2574"/>
      <c r="B5" s="2574"/>
      <c r="C5" s="2574"/>
      <c r="D5" s="2574"/>
      <c r="E5" s="3470"/>
      <c r="F5" s="3470"/>
      <c r="G5" s="3470"/>
      <c r="H5" s="3470"/>
      <c r="I5" s="3467">
        <f>S4&amp;".1"</f>
      </c>
      <c r="J5" s="2574"/>
      <c r="K5" s="2574"/>
      <c r="L5" s="2575"/>
      <c r="P5" s="3468">
        <v>1</v>
      </c>
      <c r="Q5" s="2692"/>
      <c r="R5" s="1567"/>
      <c r="S5" s="2704">
        <f>$I5</f>
      </c>
      <c r="T5" s="1496" t="s">
        <v>501</v>
      </c>
      <c r="U5" s="1511"/>
      <c r="V5" s="3561"/>
      <c r="W5" s="3562"/>
      <c r="X5" s="3562"/>
      <c r="Y5" s="3562"/>
      <c r="Z5" s="3562"/>
      <c r="AA5" s="3562"/>
      <c r="AB5" s="3562"/>
      <c r="AC5" s="3562"/>
      <c r="AD5" s="3562"/>
      <c r="AE5" s="3562"/>
      <c r="AF5" s="3563"/>
      <c r="AG5" s="3564"/>
      <c r="AH5" s="3565"/>
      <c r="AI5" s="3565"/>
      <c r="AJ5" s="3565"/>
      <c r="AK5" s="3565"/>
      <c r="AL5" s="3565"/>
      <c r="AM5" s="3565"/>
      <c r="AN5" s="3565"/>
      <c r="AO5" s="3565"/>
      <c r="AP5" s="3565"/>
      <c r="AQ5" s="3565"/>
      <c r="AR5" s="3566"/>
      <c r="AS5" s="2469" t="s">
        <v>502</v>
      </c>
      <c r="AU5" s="1711"/>
      <c r="AV5" s="1711" t="str">
        <f>IF(T5="","",T5)</f>
        <v>Наименование признака дифференциации</v>
      </c>
      <c r="AW5" s="1711"/>
      <c r="AX5" s="1711"/>
      <c r="AY5" s="2366">
        <v>0</v>
      </c>
    </row>
    <row customHeight="1" ht="23.25" hidden="1">
      <c r="A6" s="2574"/>
      <c r="B6" s="2574"/>
      <c r="C6" s="2574"/>
      <c r="D6" s="2574"/>
      <c r="E6" s="3470"/>
      <c r="F6" s="3470"/>
      <c r="G6" s="3470"/>
      <c r="H6" s="3470"/>
      <c r="I6" s="3497"/>
      <c r="J6" s="3467">
        <f>I5&amp;".1"</f>
      </c>
      <c r="K6" s="2574"/>
      <c r="L6" s="2575" t="s">
        <v>424</v>
      </c>
      <c r="P6" s="3468"/>
      <c r="Q6" s="3468">
        <v>1</v>
      </c>
      <c r="R6" s="1568"/>
      <c r="S6" s="2704">
        <f>$J6</f>
      </c>
      <c r="T6" s="1497" t="s">
        <v>425</v>
      </c>
      <c r="U6" s="1511"/>
      <c r="V6" s="3456"/>
      <c r="W6" s="3457"/>
      <c r="X6" s="3457"/>
      <c r="Y6" s="3457"/>
      <c r="Z6" s="3457"/>
      <c r="AA6" s="3457"/>
      <c r="AB6" s="3457"/>
      <c r="AC6" s="3457"/>
      <c r="AD6" s="3457"/>
      <c r="AE6" s="3457"/>
      <c r="AF6" s="3458"/>
      <c r="AG6" s="3456"/>
      <c r="AH6" s="3457"/>
      <c r="AI6" s="3457"/>
      <c r="AJ6" s="3457"/>
      <c r="AK6" s="3457"/>
      <c r="AL6" s="3457"/>
      <c r="AM6" s="3457"/>
      <c r="AN6" s="3457"/>
      <c r="AO6" s="3457"/>
      <c r="AP6" s="3457"/>
      <c r="AQ6" s="3457"/>
      <c r="AR6" s="3458"/>
      <c r="AS6" s="2518" t="s">
        <v>503</v>
      </c>
      <c r="AU6" s="1711"/>
      <c r="AV6" s="1711" t="str">
        <f>IF(T6="","",T6)</f>
        <v>Группа потребителей</v>
      </c>
      <c r="AW6" s="1711"/>
      <c r="AX6" s="1711"/>
      <c r="AY6" s="2366">
        <v>0</v>
      </c>
    </row>
    <row customHeight="1" ht="23.25" hidden="1">
      <c r="A7" s="2574"/>
      <c r="B7" s="2574"/>
      <c r="C7" s="2574"/>
      <c r="D7" s="2574"/>
      <c r="E7" s="3470"/>
      <c r="F7" s="3470"/>
      <c r="G7" s="3470"/>
      <c r="H7" s="3470"/>
      <c r="I7" s="3497"/>
      <c r="J7" s="3497"/>
      <c r="K7" s="3467">
        <f>J6&amp;".1"</f>
      </c>
      <c r="L7" s="2575"/>
      <c r="P7" s="3468"/>
      <c r="Q7" s="3468"/>
      <c r="R7" s="1568">
        <v>1</v>
      </c>
      <c r="S7" s="2704">
        <f>$K7</f>
      </c>
      <c r="T7" s="2648"/>
      <c r="U7" s="1511"/>
      <c r="V7" s="1962"/>
      <c r="W7" s="1962"/>
      <c r="X7" s="1962"/>
      <c r="Y7" s="1962"/>
      <c r="Z7" s="1962"/>
      <c r="AA7" s="1962"/>
      <c r="AB7" s="1962"/>
      <c r="AC7" s="3476"/>
      <c r="AD7" s="3318" t="s">
        <v>62</v>
      </c>
      <c r="AE7" s="3476"/>
      <c r="AF7" s="3318" t="s">
        <v>62</v>
      </c>
      <c r="AG7" s="1962"/>
      <c r="AH7" s="1962"/>
      <c r="AI7" s="1962"/>
      <c r="AJ7" s="1962"/>
      <c r="AK7" s="1962"/>
      <c r="AL7" s="1962"/>
      <c r="AM7" s="1962"/>
      <c r="AN7" s="3476"/>
      <c r="AO7" s="3318" t="s">
        <v>62</v>
      </c>
      <c r="AP7" s="3498"/>
      <c r="AQ7" s="3318" t="s">
        <v>62</v>
      </c>
      <c r="AR7" s="2649"/>
      <c r="AS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1722">
        <f>STRCHECKDATE(V8:AR8)</f>
      </c>
      <c r="AU7" s="1711"/>
      <c r="AV7" s="1711" t="str">
        <f>IF(T7="","",T7)</f>
        <v/>
      </c>
      <c r="AW7" s="1711"/>
      <c r="AX7" s="1711"/>
      <c r="AY7" s="2366">
        <v>0</v>
      </c>
    </row>
    <row customHeight="1" ht="14.25" hidden="1">
      <c r="A8" s="2574"/>
      <c r="B8" s="2574"/>
      <c r="C8" s="2574"/>
      <c r="D8" s="2574"/>
      <c r="E8" s="3470"/>
      <c r="F8" s="3470"/>
      <c r="G8" s="3470"/>
      <c r="H8" s="3470"/>
      <c r="I8" s="3497"/>
      <c r="J8" s="3497"/>
      <c r="K8" s="3467"/>
      <c r="L8" s="2575"/>
      <c r="P8" s="3468"/>
      <c r="Q8" s="3468"/>
      <c r="R8" s="1568"/>
      <c r="S8" s="2701"/>
      <c r="T8" s="1511"/>
      <c r="U8" s="1511"/>
      <c r="V8" s="1536"/>
      <c r="W8" s="1536"/>
      <c r="X8" s="1536"/>
      <c r="Y8" s="1536"/>
      <c r="Z8" s="1536"/>
      <c r="AA8" s="1536"/>
      <c r="AB8" s="1536"/>
      <c r="AC8" s="3477"/>
      <c r="AD8" s="3318"/>
      <c r="AE8" s="3477"/>
      <c r="AF8" s="3318"/>
      <c r="AG8" s="1536"/>
      <c r="AH8" s="1536"/>
      <c r="AI8" s="1536"/>
      <c r="AJ8" s="1536"/>
      <c r="AK8" s="1536"/>
      <c r="AL8" s="1536"/>
      <c r="AM8" s="1536"/>
      <c r="AN8" s="3477"/>
      <c r="AO8" s="3318"/>
      <c r="AP8" s="3499"/>
      <c r="AQ8" s="3318"/>
      <c r="AR8" s="2650"/>
      <c r="AS8" s="3560"/>
      <c r="AU8" s="1711"/>
      <c r="AV8" s="1711" t="str">
        <f>IF(T8="","",T8)</f>
        <v/>
      </c>
      <c r="AW8" s="1711"/>
      <c r="AX8" s="1711"/>
      <c r="AY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811"/>
      <c r="X9" s="1811"/>
      <c r="Y9" s="1811"/>
      <c r="Z9" s="1811"/>
      <c r="AA9" s="1811"/>
      <c r="AB9" s="1811"/>
      <c r="AC9" s="1578"/>
      <c r="AD9" s="1578"/>
      <c r="AE9" s="1578"/>
      <c r="AF9" s="1578"/>
      <c r="AG9" s="1578"/>
      <c r="AH9" s="1811"/>
      <c r="AI9" s="1811"/>
      <c r="AJ9" s="1811"/>
      <c r="AK9" s="1811"/>
      <c r="AL9" s="1811"/>
      <c r="AM9" s="1578"/>
      <c r="AN9" s="1578"/>
      <c r="AO9" s="1578"/>
      <c r="AP9" s="1578"/>
      <c r="AQ9" s="1578"/>
      <c r="AR9" s="1578"/>
      <c r="AS9" s="2469" t="s">
        <v>505</v>
      </c>
      <c r="AU9" s="1711"/>
      <c r="AV9" s="1711" t="str">
        <f>IF(T9="","",T9)</f>
        <v>Добавить значение признака дифференциации</v>
      </c>
      <c r="AW9" s="1711"/>
      <c r="AX9" s="1711"/>
      <c r="AY9" s="2366">
        <v>0</v>
      </c>
    </row>
    <row customHeight="1" ht="21" hidden="1">
      <c r="A10" s="2574"/>
      <c r="B10" s="2574"/>
      <c r="C10" s="2574"/>
      <c r="D10" s="2574"/>
      <c r="E10" s="3470"/>
      <c r="F10" s="3470"/>
      <c r="G10" s="3470"/>
      <c r="H10" s="3470"/>
      <c r="I10" s="3467"/>
      <c r="J10" s="2574"/>
      <c r="K10" s="2574"/>
      <c r="L10" s="2575"/>
      <c r="P10" s="3468"/>
      <c r="Q10" s="2692"/>
      <c r="R10" s="1567"/>
      <c r="S10" s="2489"/>
      <c r="T10" s="1576" t="s">
        <v>430</v>
      </c>
      <c r="U10" s="1578"/>
      <c r="V10" s="1578"/>
      <c r="W10" s="1811"/>
      <c r="X10" s="1811"/>
      <c r="Y10" s="1811"/>
      <c r="Z10" s="1811"/>
      <c r="AA10" s="1811"/>
      <c r="AB10" s="1811"/>
      <c r="AC10" s="1578"/>
      <c r="AD10" s="1578"/>
      <c r="AE10" s="1578"/>
      <c r="AF10" s="1577"/>
      <c r="AG10" s="1578"/>
      <c r="AH10" s="1811"/>
      <c r="AI10" s="1811"/>
      <c r="AJ10" s="1811"/>
      <c r="AK10" s="1811"/>
      <c r="AL10" s="1811"/>
      <c r="AM10" s="1578"/>
      <c r="AN10" s="1578"/>
      <c r="AO10" s="1578"/>
      <c r="AP10" s="1578"/>
      <c r="AQ10" s="1577"/>
      <c r="AR10" s="1578"/>
      <c r="AS10" s="2651"/>
      <c r="AU10" s="1711"/>
      <c r="AV10" s="1711" t="str">
        <f>IF(T10="","",T10)</f>
        <v>Добавить группу потребителей</v>
      </c>
      <c r="AW10" s="1711"/>
      <c r="AX10" s="1711"/>
      <c r="AY10" s="2366">
        <v>0</v>
      </c>
    </row>
    <row customHeight="1" ht="21"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811"/>
      <c r="X11" s="1811"/>
      <c r="Y11" s="1811"/>
      <c r="Z11" s="1811"/>
      <c r="AA11" s="1811"/>
      <c r="AB11" s="1811"/>
      <c r="AC11" s="1578"/>
      <c r="AD11" s="1578"/>
      <c r="AE11" s="1578"/>
      <c r="AF11" s="1577"/>
      <c r="AG11" s="1578"/>
      <c r="AH11" s="1811"/>
      <c r="AI11" s="1811"/>
      <c r="AJ11" s="1811"/>
      <c r="AK11" s="1811"/>
      <c r="AL11" s="1811"/>
      <c r="AM11" s="1578"/>
      <c r="AN11" s="1578"/>
      <c r="AO11" s="1578"/>
      <c r="AP11" s="1578"/>
      <c r="AQ11" s="1577"/>
      <c r="AR11" s="1578"/>
      <c r="AS11" s="1514"/>
      <c r="AU11" s="1711"/>
      <c r="AV11" s="1711" t="str">
        <f>IF(T11="","",T11)</f>
        <v>Добавить наименование признака дифференциации</v>
      </c>
      <c r="AW11" s="1711"/>
      <c r="AX11" s="1711"/>
      <c r="AY11" s="2366">
        <v>0</v>
      </c>
    </row>
    <row s="65923" customFormat="1" customHeight="1" ht="14.25" hidden="1">
      <c r="A12" s="2554"/>
      <c r="B12" s="2554"/>
      <c r="C12" s="2525"/>
      <c r="D12" s="2525"/>
      <c r="E12" s="3470"/>
      <c r="F12" s="3469"/>
      <c r="G12" s="2525"/>
      <c r="H12" s="2525"/>
      <c r="I12" s="2525"/>
      <c r="J12" s="2525"/>
      <c r="K12" s="2525"/>
      <c r="L12" s="2705"/>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L12" s="2535"/>
      <c r="AM12" s="2535"/>
      <c r="AN12" s="2535"/>
      <c r="AO12" s="2535"/>
      <c r="AP12" s="2535"/>
      <c r="AQ12" s="2535"/>
      <c r="AR12" s="2535"/>
      <c r="AS12" s="2535"/>
      <c r="AU12" s="2000"/>
      <c r="AV12" s="2000" t="str">
        <f>IF(T12="","",T12)</f>
        <v>Добавить централизованную систему для дифференциации</v>
      </c>
      <c r="AW12" s="2000"/>
      <c r="AX12" s="2000"/>
      <c r="AY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L13" s="2535"/>
      <c r="AM13" s="2535"/>
      <c r="AN13" s="2535"/>
      <c r="AO13" s="2535"/>
      <c r="AP13" s="2535"/>
      <c r="AQ13" s="2535"/>
      <c r="AR13" s="2535"/>
      <c r="AS13" s="2535"/>
      <c r="AU13" s="1711"/>
      <c r="AV13" s="1711" t="str">
        <f>IF(T13="","",T13)</f>
        <v>Добавить территорию для дифференциации</v>
      </c>
      <c r="AW13" s="1711"/>
      <c r="AX13" s="1711"/>
      <c r="AY13" s="1722">
        <v>0</v>
      </c>
    </row>
    <row customHeight="1" ht="14.25" hidden="1">
      <c r="AF14" s="1538"/>
      <c r="AQ14" s="1538"/>
      <c r="AY14" s="2366">
        <v>0</v>
      </c>
    </row>
    <row customHeight="1" ht="14.25" hidden="1">
      <c r="AG15" s="2571"/>
      <c r="AH15" s="2571"/>
      <c r="AI15" s="2571"/>
      <c r="AJ15" s="2571"/>
      <c r="AK15" s="2571"/>
      <c r="AL15" s="2571"/>
      <c r="AM15" s="2571"/>
      <c r="AN15" s="3478"/>
      <c r="AO15" s="3479" t="s">
        <v>62</v>
      </c>
      <c r="AP15" s="3478"/>
      <c r="AQ15" s="3479" t="s">
        <v>62</v>
      </c>
      <c r="AY15" s="2366">
        <v>0</v>
      </c>
    </row>
    <row customHeight="1" ht="14.25" hidden="1">
      <c r="AG16" s="2571"/>
      <c r="AH16" s="2571"/>
      <c r="AI16" s="2571"/>
      <c r="AJ16" s="2571"/>
      <c r="AK16" s="2571"/>
      <c r="AL16" s="2571"/>
      <c r="AM16" s="2571"/>
      <c r="AN16" s="3479"/>
      <c r="AO16" s="3479"/>
      <c r="AP16" s="3479"/>
      <c r="AQ16" s="3479"/>
      <c r="AY16" s="2366">
        <v>0</v>
      </c>
    </row>
    <row customHeight="1" ht="14.25" hidden="1">
      <c r="AQ17" s="1538"/>
      <c r="AY17" s="2366">
        <v>0</v>
      </c>
    </row>
    <row s="66852" customFormat="1" customHeight="1" ht="22.5" hidden="1">
      <c r="L18" s="2689"/>
      <c r="M18" s="2573"/>
      <c r="N18" s="2573"/>
      <c r="O18" s="2578" t="s">
        <v>435</v>
      </c>
      <c r="P18" s="2573"/>
      <c r="Q18" s="2582"/>
      <c r="R18" s="2582"/>
      <c r="S18" s="1940"/>
      <c r="W18" s="2577"/>
      <c r="X18" s="2577"/>
      <c r="Y18" s="2577"/>
      <c r="Z18" s="2577"/>
      <c r="AA18" s="2577"/>
      <c r="AB18" s="2577"/>
      <c r="AC18" s="2578"/>
      <c r="AE18" s="2578"/>
      <c r="AF18" s="2577"/>
      <c r="AH18" s="2577"/>
      <c r="AI18" s="2577"/>
      <c r="AJ18" s="2577"/>
      <c r="AK18" s="2577"/>
      <c r="AL18" s="2577"/>
      <c r="AN18" s="2578"/>
      <c r="AP18" s="2578"/>
      <c r="AQ18" s="2577"/>
      <c r="AT18" s="1722"/>
      <c r="AU18" s="1722"/>
      <c r="AV18" s="1722"/>
      <c r="AW18" s="1722"/>
      <c r="AX18" s="1722"/>
      <c r="AY18" s="2371">
        <v>0</v>
      </c>
    </row>
    <row s="66852" customFormat="1" customHeight="1" ht="14.25" hidden="1">
      <c r="L19" s="2689"/>
      <c r="M19" s="2573"/>
      <c r="N19" s="2573"/>
      <c r="O19" s="2573"/>
      <c r="P19" s="2573"/>
      <c r="Q19" s="2582"/>
      <c r="R19" s="2582"/>
      <c r="S19" s="1940"/>
      <c r="W19" s="2577"/>
      <c r="X19" s="2577"/>
      <c r="Y19" s="2577"/>
      <c r="Z19" s="2577"/>
      <c r="AA19" s="2577"/>
      <c r="AB19" s="2577"/>
      <c r="AF19" s="2577"/>
      <c r="AH19" s="2577"/>
      <c r="AI19" s="2577"/>
      <c r="AJ19" s="2577"/>
      <c r="AK19" s="2577"/>
      <c r="AL19" s="2577"/>
      <c r="AQ19" s="2577"/>
      <c r="AT19" s="1722"/>
      <c r="AU19" s="1722"/>
      <c r="AV19" s="1722"/>
      <c r="AW19" s="1722"/>
      <c r="AX19" s="1722"/>
      <c r="AY19" s="2371">
        <v>0</v>
      </c>
    </row>
    <row s="66852" customFormat="1" customHeight="1" ht="12" hidden="1">
      <c r="L20" s="2689"/>
      <c r="M20" s="2573"/>
      <c r="N20" s="2573"/>
      <c r="O20" s="2575" t="s">
        <v>436</v>
      </c>
      <c r="P20" s="2573"/>
      <c r="Q20" s="2653"/>
      <c r="R20" s="2653"/>
      <c r="S20" s="1940"/>
      <c r="T20" s="2371" t="s">
        <v>437</v>
      </c>
      <c r="W20" s="2577"/>
      <c r="X20" s="2577"/>
      <c r="Y20" s="2577"/>
      <c r="Z20" s="2577"/>
      <c r="AA20" s="2577"/>
      <c r="AB20" s="2577"/>
      <c r="AD20" s="1397" t="s">
        <v>438</v>
      </c>
      <c r="AF20" s="1397" t="s">
        <v>439</v>
      </c>
      <c r="AG20" s="2371" t="s">
        <v>437</v>
      </c>
      <c r="AH20" s="2577"/>
      <c r="AI20" s="2577"/>
      <c r="AJ20" s="2577"/>
      <c r="AK20" s="2577"/>
      <c r="AL20" s="2577"/>
      <c r="AO20" s="1397" t="s">
        <v>440</v>
      </c>
      <c r="AQ20" s="1397" t="s">
        <v>439</v>
      </c>
      <c r="AY20" s="2371">
        <v>0</v>
      </c>
    </row>
    <row customHeight="1" ht="14.25" hidden="1">
      <c r="O21" s="2575"/>
      <c r="AY21" s="2366">
        <v>0</v>
      </c>
    </row>
    <row customHeight="1" ht="14.25" hidden="1">
      <c r="O22" s="2575"/>
      <c r="AY22" s="2366">
        <v>0</v>
      </c>
    </row>
    <row customHeight="1" ht="14.699999999999998">
      <c r="Q23" s="1587"/>
      <c r="R23" s="1587"/>
      <c r="S23" s="2486"/>
      <c r="T23" s="1574"/>
      <c r="U23" s="1574"/>
      <c r="V23" s="1720"/>
      <c r="W23" s="2846"/>
      <c r="X23" s="2846"/>
      <c r="Y23" s="2846"/>
      <c r="Z23" s="2846"/>
      <c r="AA23" s="2846"/>
      <c r="AB23" s="2846"/>
      <c r="AC23" s="1720"/>
      <c r="AD23" s="1720"/>
      <c r="AE23" s="1720"/>
      <c r="AF23" s="1720"/>
      <c r="AG23" s="1720"/>
      <c r="AH23" s="2846"/>
      <c r="AI23" s="2846"/>
      <c r="AJ23" s="2846"/>
      <c r="AK23" s="2846"/>
      <c r="AL23" s="2846"/>
      <c r="AM23" s="1720"/>
      <c r="AN23" s="1720"/>
      <c r="AO23" s="1720"/>
      <c r="AP23" s="1720"/>
      <c r="AQ23" s="1720"/>
      <c r="AY23" s="2366">
        <v>14</v>
      </c>
    </row>
    <row customHeight="1" ht="26.25">
      <c r="Q24" s="1587"/>
      <c r="R24" s="1587"/>
      <c r="S24" s="345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3459"/>
      <c r="U24" s="3459"/>
      <c r="V24" s="3459"/>
      <c r="W24" s="3459"/>
      <c r="X24" s="3459"/>
      <c r="Y24" s="3459"/>
      <c r="Z24" s="3459"/>
      <c r="AA24" s="3459"/>
      <c r="AB24" s="3459"/>
      <c r="AC24" s="3459"/>
      <c r="AD24" s="3459"/>
      <c r="AE24" s="3459"/>
      <c r="AF24" s="3459"/>
      <c r="AG24" s="3459"/>
      <c r="AH24" s="3459"/>
      <c r="AI24" s="3459"/>
      <c r="AJ24" s="3459"/>
      <c r="AK24" s="3459"/>
      <c r="AL24" s="3459"/>
      <c r="AM24" s="3459"/>
      <c r="AN24" s="3459"/>
      <c r="AO24" s="3459"/>
      <c r="AP24" s="3459"/>
      <c r="AQ24" s="2454"/>
      <c r="AY24" s="2366">
        <v>25</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3460"/>
      <c r="AJ25" s="3460"/>
      <c r="AK25" s="3460"/>
      <c r="AL25" s="3460"/>
      <c r="AM25" s="3460"/>
      <c r="AN25" s="3460"/>
      <c r="AO25" s="3460"/>
      <c r="AP25" s="3460"/>
      <c r="AQ25" s="2454"/>
      <c r="AY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533"/>
      <c r="AK26" s="1533"/>
      <c r="AL26" s="1533"/>
      <c r="AM26" s="1533"/>
      <c r="AN26" s="1533"/>
      <c r="AO26" s="1533"/>
      <c r="AP26" s="1533"/>
      <c r="AQ26" s="1533"/>
      <c r="AR26" s="1720"/>
      <c r="AY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3462"/>
      <c r="AC27" s="3462"/>
      <c r="AD27" s="3462"/>
      <c r="AE27" s="3462"/>
      <c r="AF27" s="1537"/>
      <c r="AG27" s="3462" t="str">
        <f>IF(TITLE_NAME_OR_PR_CHANGE="",IF(TITLE_NAME_OR_PR="","",TITLE_NAME_OR_PR),TITLE_NAME_OR_PR_CHANGE)</f>
        <v/>
      </c>
      <c r="AH27" s="3462"/>
      <c r="AI27" s="3462"/>
      <c r="AJ27" s="3462"/>
      <c r="AK27" s="3462"/>
      <c r="AL27" s="3462"/>
      <c r="AM27" s="3462"/>
      <c r="AN27" s="3462"/>
      <c r="AO27" s="3462"/>
      <c r="AP27" s="3462"/>
      <c r="AQ27" s="1537"/>
      <c r="AR27" s="1537"/>
      <c r="AS27" s="1491"/>
      <c r="AT27" s="1579"/>
      <c r="AU27" s="1579"/>
      <c r="AV27" s="1579"/>
      <c r="AW27" s="1579"/>
      <c r="AX27" s="1579"/>
      <c r="AY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3475"/>
      <c r="AC28" s="3475"/>
      <c r="AD28" s="3475"/>
      <c r="AE28" s="3475"/>
      <c r="AF28" s="1537"/>
      <c r="AG28" s="3475" t="str">
        <f>IF(TITLE_DATE_PR_CHANGE="",IF(TITLE_DATE_PR="","",TITLE_DATE_PR),TITLE_DATE_PR_CHANGE)</f>
        <v/>
      </c>
      <c r="AH28" s="3475"/>
      <c r="AI28" s="3475"/>
      <c r="AJ28" s="3475"/>
      <c r="AK28" s="3475"/>
      <c r="AL28" s="3475"/>
      <c r="AM28" s="3475"/>
      <c r="AN28" s="3475"/>
      <c r="AO28" s="3475"/>
      <c r="AP28" s="3475"/>
      <c r="AQ28" s="1537"/>
      <c r="AR28" s="1537"/>
      <c r="AS28" s="1491"/>
      <c r="AT28" s="1579"/>
      <c r="AU28" s="1579"/>
      <c r="AV28" s="1579"/>
      <c r="AW28" s="1579"/>
      <c r="AX28" s="1579"/>
      <c r="AY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3462"/>
      <c r="AC29" s="3462"/>
      <c r="AD29" s="3462"/>
      <c r="AE29" s="3462"/>
      <c r="AF29" s="1537"/>
      <c r="AG29" s="3462" t="str">
        <f>IF(TITLE_NUMBER_PR_CHANGE="",IF(TITLE_NUMBER_PR="","",TITLE_NUMBER_PR),TITLE_NUMBER_PR_CHANGE)</f>
        <v/>
      </c>
      <c r="AH29" s="3462"/>
      <c r="AI29" s="3462"/>
      <c r="AJ29" s="3462"/>
      <c r="AK29" s="3462"/>
      <c r="AL29" s="3462"/>
      <c r="AM29" s="3462"/>
      <c r="AN29" s="3462"/>
      <c r="AO29" s="3462"/>
      <c r="AP29" s="3462"/>
      <c r="AQ29" s="1537"/>
      <c r="AR29" s="1537"/>
      <c r="AS29" s="1491"/>
      <c r="AT29" s="1579"/>
      <c r="AU29" s="1579"/>
      <c r="AV29" s="1579"/>
      <c r="AW29" s="1579"/>
      <c r="AX29" s="1579"/>
      <c r="AY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3462"/>
      <c r="AC30" s="3462"/>
      <c r="AD30" s="3462"/>
      <c r="AE30" s="3462"/>
      <c r="AF30" s="1537"/>
      <c r="AG30" s="3462" t="str">
        <f>IF(TITLE_IST_PUB_CHANGE="",IF(TITLE_IST_PUB="","",TITLE_IST_PUB),TITLE_IST_PUB_CHANGE)</f>
        <v/>
      </c>
      <c r="AH30" s="3462"/>
      <c r="AI30" s="3462"/>
      <c r="AJ30" s="3462"/>
      <c r="AK30" s="3462"/>
      <c r="AL30" s="3462"/>
      <c r="AM30" s="3462"/>
      <c r="AN30" s="3462"/>
      <c r="AO30" s="3462"/>
      <c r="AP30" s="3462"/>
      <c r="AQ30" s="1537"/>
      <c r="AR30" s="1537"/>
      <c r="AS30" s="1491"/>
      <c r="AT30" s="1579"/>
      <c r="AU30" s="1579"/>
      <c r="AV30" s="1579"/>
      <c r="AW30" s="1579"/>
      <c r="AX30" s="1579"/>
      <c r="AY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533"/>
      <c r="AK31" s="1533"/>
      <c r="AL31" s="1533"/>
      <c r="AM31" s="1533"/>
      <c r="AN31" s="1533"/>
      <c r="AO31" s="1533"/>
      <c r="AP31" s="1533"/>
      <c r="AQ31" s="1533"/>
      <c r="AR31" s="1720"/>
      <c r="AY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3475"/>
      <c r="AC32" s="3475"/>
      <c r="AD32" s="3475"/>
      <c r="AE32" s="3475"/>
      <c r="AF32" s="1537"/>
      <c r="AG32" s="3475" t="str">
        <f>IF(TITLE_DATE_PR_CHANGE="",IF(TITLE_DATE_PR="","",TITLE_DATE_PR),TITLE_DATE_PR_CHANGE)</f>
        <v/>
      </c>
      <c r="AH32" s="3475"/>
      <c r="AI32" s="3475"/>
      <c r="AJ32" s="3475"/>
      <c r="AK32" s="3475"/>
      <c r="AL32" s="3475"/>
      <c r="AM32" s="3475"/>
      <c r="AN32" s="3475"/>
      <c r="AO32" s="3475"/>
      <c r="AP32" s="3475"/>
      <c r="AQ32" s="1537"/>
      <c r="AR32" s="1537"/>
      <c r="AS32" s="1491"/>
      <c r="AT32" s="1579"/>
      <c r="AU32" s="1579"/>
      <c r="AV32" s="1579"/>
      <c r="AW32" s="1579"/>
      <c r="AX32" s="1579"/>
      <c r="AY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3462"/>
      <c r="AC33" s="3462"/>
      <c r="AD33" s="3462"/>
      <c r="AE33" s="3462"/>
      <c r="AF33" s="1537"/>
      <c r="AG33" s="3462" t="str">
        <f>IF(TITLE_NUMBER_PR_CHANGE="",IF(TITLE_NUMBER_PR="","",TITLE_NUMBER_PR),TITLE_NUMBER_PR_CHANGE)</f>
        <v/>
      </c>
      <c r="AH33" s="3462"/>
      <c r="AI33" s="3462"/>
      <c r="AJ33" s="3462"/>
      <c r="AK33" s="3462"/>
      <c r="AL33" s="3462"/>
      <c r="AM33" s="3462"/>
      <c r="AN33" s="3462"/>
      <c r="AO33" s="3462"/>
      <c r="AP33" s="3462"/>
      <c r="AQ33" s="1537"/>
      <c r="AR33" s="1537"/>
      <c r="AS33" s="1491"/>
      <c r="AT33" s="1579"/>
      <c r="AU33" s="1579"/>
      <c r="AV33" s="1579"/>
      <c r="AW33" s="1579"/>
      <c r="AX33" s="1579"/>
      <c r="AY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699"/>
      <c r="V34" s="1537"/>
      <c r="W34" s="2846"/>
      <c r="X34" s="2846"/>
      <c r="Y34" s="2846"/>
      <c r="Z34" s="2846"/>
      <c r="AA34" s="2846"/>
      <c r="AB34" s="2846"/>
      <c r="AC34" s="1537"/>
      <c r="AD34" s="1537"/>
      <c r="AE34" s="1537"/>
      <c r="AF34" s="1489" t="s">
        <v>445</v>
      </c>
      <c r="AG34" s="1537"/>
      <c r="AH34" s="2846"/>
      <c r="AI34" s="2846"/>
      <c r="AJ34" s="2846"/>
      <c r="AK34" s="2846"/>
      <c r="AL34" s="2846"/>
      <c r="AM34" s="1537"/>
      <c r="AN34" s="1537"/>
      <c r="AO34" s="1537"/>
      <c r="AP34" s="1537"/>
      <c r="AQ34" s="1489" t="s">
        <v>445</v>
      </c>
      <c r="AT34" s="1579"/>
      <c r="AU34" s="1579"/>
      <c r="AV34" s="1579"/>
      <c r="AW34" s="1579"/>
      <c r="AX34" s="1579"/>
      <c r="AY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J35" s="3463"/>
      <c r="AK35" s="3463"/>
      <c r="AL35" s="3463"/>
      <c r="AM35" s="3463"/>
      <c r="AN35" s="3463"/>
      <c r="AO35" s="3463"/>
      <c r="AP35" s="3463"/>
      <c r="AQ35" s="3463"/>
      <c r="AY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c r="AL36" s="3338"/>
      <c r="AM36" s="3338"/>
      <c r="AN36" s="3338"/>
      <c r="AO36" s="3338"/>
      <c r="AP36" s="3338"/>
      <c r="AQ36" s="3338"/>
      <c r="AR36" s="3338"/>
      <c r="AS36" s="3338" t="s">
        <v>319</v>
      </c>
      <c r="AY36" s="2366">
        <v>14</v>
      </c>
    </row>
    <row customHeight="1" ht="14.699999999999998">
      <c r="Q37" s="1587"/>
      <c r="R37" s="1587"/>
      <c r="S37" s="3484" t="s">
        <v>88</v>
      </c>
      <c r="T37" s="3420" t="s">
        <v>446</v>
      </c>
      <c r="U37" s="1512"/>
      <c r="V37" s="3485" t="s">
        <v>447</v>
      </c>
      <c r="W37" s="3502"/>
      <c r="X37" s="3502"/>
      <c r="Y37" s="3502"/>
      <c r="Z37" s="3502"/>
      <c r="AA37" s="3502"/>
      <c r="AB37" s="3502"/>
      <c r="AC37" s="3486"/>
      <c r="AD37" s="3486"/>
      <c r="AE37" s="3487"/>
      <c r="AF37" s="3488" t="s">
        <v>448</v>
      </c>
      <c r="AG37" s="3485" t="s">
        <v>447</v>
      </c>
      <c r="AH37" s="3486"/>
      <c r="AI37" s="3486"/>
      <c r="AJ37" s="3486"/>
      <c r="AK37" s="3486"/>
      <c r="AL37" s="3486"/>
      <c r="AM37" s="3486"/>
      <c r="AN37" s="3486"/>
      <c r="AO37" s="3486"/>
      <c r="AP37" s="3487"/>
      <c r="AQ37" s="3488" t="s">
        <v>449</v>
      </c>
      <c r="AR37" s="3491" t="s">
        <v>450</v>
      </c>
      <c r="AS37" s="3338"/>
      <c r="AY37" s="2366">
        <v>14</v>
      </c>
    </row>
    <row customHeight="1" ht="19.95">
      <c r="Q38" s="1587"/>
      <c r="R38" s="1587"/>
      <c r="S38" s="3484"/>
      <c r="T38" s="3420"/>
      <c r="U38" s="2242"/>
      <c r="V38" s="3577" t="s">
        <v>550</v>
      </c>
      <c r="W38" s="3576" t="s">
        <v>551</v>
      </c>
      <c r="X38" s="3576"/>
      <c r="Y38" s="3576"/>
      <c r="Z38" s="3576" t="s">
        <v>552</v>
      </c>
      <c r="AA38" s="3576"/>
      <c r="AB38" s="3576"/>
      <c r="AC38" s="3505" t="s">
        <v>454</v>
      </c>
      <c r="AD38" s="3524"/>
      <c r="AE38" s="3525"/>
      <c r="AF38" s="3489"/>
      <c r="AG38" s="3577" t="s">
        <v>550</v>
      </c>
      <c r="AH38" s="3576" t="s">
        <v>551</v>
      </c>
      <c r="AI38" s="3576"/>
      <c r="AJ38" s="3576"/>
      <c r="AK38" s="3576" t="s">
        <v>552</v>
      </c>
      <c r="AL38" s="3576"/>
      <c r="AM38" s="3576"/>
      <c r="AN38" s="3505" t="s">
        <v>454</v>
      </c>
      <c r="AO38" s="3524"/>
      <c r="AP38" s="3525"/>
      <c r="AQ38" s="3489"/>
      <c r="AR38" s="3492"/>
      <c r="AS38" s="3338"/>
      <c r="AY38" s="2366">
        <v>19</v>
      </c>
    </row>
    <row s="66903" customFormat="1" customHeight="1" ht="19.95">
      <c r="A39" s="2577"/>
      <c r="B39" s="2577"/>
      <c r="C39" s="2577"/>
      <c r="D39" s="2577"/>
      <c r="E39" s="2577"/>
      <c r="F39" s="2577"/>
      <c r="G39" s="2577"/>
      <c r="H39" s="2577"/>
      <c r="I39" s="2577"/>
      <c r="J39" s="2577"/>
      <c r="K39" s="2577"/>
      <c r="L39" s="3162"/>
      <c r="M39" s="2573"/>
      <c r="N39" s="2573"/>
      <c r="O39" s="2573"/>
      <c r="P39" s="3176"/>
      <c r="Q39" s="1587"/>
      <c r="R39" s="1587"/>
      <c r="S39" s="3484"/>
      <c r="T39" s="3420"/>
      <c r="U39" s="2242"/>
      <c r="V39" s="3577"/>
      <c r="W39" s="3576" t="s">
        <v>553</v>
      </c>
      <c r="X39" s="3576" t="s">
        <v>554</v>
      </c>
      <c r="Y39" s="3576"/>
      <c r="Z39" s="3576" t="s">
        <v>555</v>
      </c>
      <c r="AA39" s="3576" t="s">
        <v>554</v>
      </c>
      <c r="AB39" s="3576"/>
      <c r="AC39" s="3506"/>
      <c r="AD39" s="3526"/>
      <c r="AE39" s="3527"/>
      <c r="AF39" s="3489"/>
      <c r="AG39" s="3577"/>
      <c r="AH39" s="3576" t="s">
        <v>553</v>
      </c>
      <c r="AI39" s="3576" t="s">
        <v>554</v>
      </c>
      <c r="AJ39" s="3576"/>
      <c r="AK39" s="3576" t="s">
        <v>555</v>
      </c>
      <c r="AL39" s="3576" t="s">
        <v>554</v>
      </c>
      <c r="AM39" s="3576"/>
      <c r="AN39" s="3506"/>
      <c r="AO39" s="3526"/>
      <c r="AP39" s="3527"/>
      <c r="AQ39" s="3489"/>
      <c r="AR39" s="3492"/>
      <c r="AS39" s="3338"/>
      <c r="AT39" s="2847"/>
      <c r="AU39" s="2847"/>
      <c r="AV39" s="2847"/>
      <c r="AW39" s="2847"/>
      <c r="AX39" s="2847"/>
      <c r="AY39" s="2842">
        <v>19</v>
      </c>
    </row>
    <row customHeight="1" ht="61.949999999999996">
      <c r="A40" s="2581"/>
      <c r="B40" s="2581" t="s">
        <v>155</v>
      </c>
      <c r="C40" s="2581" t="s">
        <v>156</v>
      </c>
      <c r="D40" s="2581" t="s">
        <v>157</v>
      </c>
      <c r="E40" s="2575" t="s">
        <v>455</v>
      </c>
      <c r="F40" s="2575" t="s">
        <v>456</v>
      </c>
      <c r="G40" s="2575" t="s">
        <v>457</v>
      </c>
      <c r="H40" s="2575"/>
      <c r="I40" s="2575" t="s">
        <v>508</v>
      </c>
      <c r="J40" s="2575" t="s">
        <v>460</v>
      </c>
      <c r="K40" s="2575" t="s">
        <v>509</v>
      </c>
      <c r="L40" s="2575" t="s">
        <v>436</v>
      </c>
      <c r="Q40" s="1587"/>
      <c r="R40" s="1587"/>
      <c r="S40" s="3484"/>
      <c r="T40" s="3420"/>
      <c r="U40" s="1513"/>
      <c r="V40" s="3577"/>
      <c r="W40" s="3576"/>
      <c r="X40" s="3194" t="s">
        <v>556</v>
      </c>
      <c r="Y40" s="3194" t="s">
        <v>557</v>
      </c>
      <c r="Z40" s="3576"/>
      <c r="AA40" s="3194" t="s">
        <v>558</v>
      </c>
      <c r="AB40" s="3194" t="s">
        <v>559</v>
      </c>
      <c r="AC40" s="2700" t="s">
        <v>464</v>
      </c>
      <c r="AD40" s="3481" t="s">
        <v>465</v>
      </c>
      <c r="AE40" s="3482"/>
      <c r="AF40" s="3490"/>
      <c r="AG40" s="3577"/>
      <c r="AH40" s="3576"/>
      <c r="AI40" s="3194" t="s">
        <v>556</v>
      </c>
      <c r="AJ40" s="3194" t="s">
        <v>557</v>
      </c>
      <c r="AK40" s="3576"/>
      <c r="AL40" s="3194" t="s">
        <v>558</v>
      </c>
      <c r="AM40" s="3194" t="s">
        <v>559</v>
      </c>
      <c r="AN40" s="2700" t="s">
        <v>464</v>
      </c>
      <c r="AO40" s="3481" t="s">
        <v>465</v>
      </c>
      <c r="AP40" s="3482"/>
      <c r="AQ40" s="3490"/>
      <c r="AR40" s="3493"/>
      <c r="AS40" s="3338"/>
      <c r="AY40" s="2366">
        <v>59</v>
      </c>
    </row>
    <row s="65897" customFormat="1" customHeight="1" ht="11.25" hidden="1">
      <c r="A41" s="2581"/>
      <c r="B41" s="2581"/>
      <c r="C41" s="2581"/>
      <c r="D41" s="2581"/>
      <c r="E41" s="2581"/>
      <c r="F41" s="2581"/>
      <c r="G41" s="2581"/>
      <c r="H41" s="2581"/>
      <c r="I41" s="2581"/>
      <c r="J41" s="2581"/>
      <c r="K41" s="2581"/>
      <c r="L41" s="2575"/>
      <c r="M41" s="2573"/>
      <c r="N41" s="2573"/>
      <c r="O41" s="2573"/>
      <c r="P41" s="2457"/>
      <c r="Q41" s="2458"/>
      <c r="R41" s="2465">
        <v>1</v>
      </c>
      <c r="S41" s="2488" t="s">
        <v>99</v>
      </c>
      <c r="T41" s="2466" t="s">
        <v>102</v>
      </c>
      <c r="U41" s="2456" t="str">
        <f>OFFSET(U41,0,-1)</f>
        <v>2</v>
      </c>
      <c r="V41" s="2693">
        <f>OFFSET(V41,0,-1)+1</f>
        <v>3</v>
      </c>
      <c r="W41" s="2552"/>
      <c r="X41" s="2552"/>
      <c r="Y41" s="2552"/>
      <c r="Z41" s="2552"/>
      <c r="AA41" s="2552"/>
      <c r="AB41" s="2552"/>
      <c r="AC41" s="2693">
        <f>OFFSET(AC41,0,-1)+1</f>
        <v>1</v>
      </c>
      <c r="AD41" s="3483">
        <f>OFFSET(AD41,0,-1)+1</f>
        <v>2</v>
      </c>
      <c r="AE41" s="3483"/>
      <c r="AF41" s="2693">
        <f>OFFSET(AF41,0,-2)+1</f>
        <v>3</v>
      </c>
      <c r="AG41" s="2693">
        <f>OFFSET(AG41,0,-1)+1</f>
        <v>4</v>
      </c>
      <c r="AH41" s="3167"/>
      <c r="AI41" s="3167"/>
      <c r="AJ41" s="3167"/>
      <c r="AK41" s="3167"/>
      <c r="AL41" s="3167"/>
      <c r="AM41" s="2693">
        <f>OFFSET(AM41,0,-1)+1</f>
        <v>1</v>
      </c>
      <c r="AN41" s="2693">
        <f>OFFSET(AN41,0,-1)+1</f>
        <v>2</v>
      </c>
      <c r="AO41" s="3483">
        <f>OFFSET(AO41,0,-1)+1</f>
        <v>3</v>
      </c>
      <c r="AP41" s="3483"/>
      <c r="AQ41" s="2693">
        <f>OFFSET(AQ41,0,-2)+1</f>
        <v>4</v>
      </c>
      <c r="AR41" s="2456">
        <f>OFFSET(AR41,0,-1)</f>
        <v>4</v>
      </c>
      <c r="AS41" s="2693">
        <f>OFFSET(AS41,0,-1)+1</f>
        <v>5</v>
      </c>
      <c r="AT41" s="1722"/>
      <c r="AU41" s="1722"/>
      <c r="AV41" s="1722"/>
      <c r="AW41" s="1722"/>
      <c r="AX41" s="1722"/>
      <c r="AY41" s="1707">
        <v>0</v>
      </c>
    </row>
    <row customHeight="1" ht="24">
      <c r="A42" s="2574" t="s">
        <v>269</v>
      </c>
      <c r="B42" s="2574"/>
      <c r="C42" s="2574"/>
      <c r="D42" s="2574"/>
      <c r="E42" s="3469">
        <v>1</v>
      </c>
      <c r="F42" s="2574"/>
      <c r="G42" s="2574"/>
      <c r="H42" s="2574"/>
      <c r="I42" s="2574"/>
      <c r="J42" s="2574"/>
      <c r="K42" s="2574"/>
      <c r="L42" s="2575"/>
      <c r="M42" s="2576"/>
      <c r="N42" s="2576"/>
      <c r="O42" s="2576"/>
      <c r="P42" s="1572"/>
      <c r="Q42" s="1571"/>
      <c r="R42" s="1566"/>
      <c r="S42" s="2704">
        <f>INDEX(PT_DIFFERENTIATION_NUM_NTAR,MATCH(A42,PT_DIFFERENTIATION_NTAR_ID,0))</f>
        <v>0</v>
      </c>
      <c r="T42" s="1509" t="s">
        <v>143</v>
      </c>
      <c r="U42" s="1511"/>
      <c r="V42" s="3453"/>
      <c r="W42" s="3454"/>
      <c r="X42" s="3454"/>
      <c r="Y42" s="3454"/>
      <c r="Z42" s="3454"/>
      <c r="AA42" s="3454"/>
      <c r="AB42" s="3454"/>
      <c r="AC42" s="3454"/>
      <c r="AD42" s="3454"/>
      <c r="AE42" s="3454"/>
      <c r="AF42" s="3455"/>
      <c r="AG42" s="3453" t="str">
        <f>INDEX(PT_DIFFERENTIATION_NTAR,MATCH(A42,PT_DIFFERENTIATION_NTAR_ID,0))</f>
        <v/>
      </c>
      <c r="AH42" s="3454"/>
      <c r="AI42" s="3454"/>
      <c r="AJ42" s="3454"/>
      <c r="AK42" s="3454"/>
      <c r="AL42" s="3454"/>
      <c r="AM42" s="3454"/>
      <c r="AN42" s="3454"/>
      <c r="AO42" s="3454"/>
      <c r="AP42" s="3454"/>
      <c r="AQ42" s="3454"/>
      <c r="AR42" s="3455"/>
      <c r="AS4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711"/>
      <c r="AV42" s="1711" t="str">
        <f>IF(T42="","",T42)</f>
        <v>Наименование тарифа</v>
      </c>
      <c r="AW42" s="1711"/>
      <c r="AX42" s="1711"/>
      <c r="AY42" s="2366">
        <v>23</v>
      </c>
    </row>
    <row customHeight="1" ht="24">
      <c r="A43" s="2574" t="s">
        <v>269</v>
      </c>
      <c r="B43" s="2574" t="s">
        <v>270</v>
      </c>
      <c r="C43" s="2574"/>
      <c r="D43" s="2574"/>
      <c r="E43" s="3470"/>
      <c r="F43" s="3469">
        <v>1</v>
      </c>
      <c r="G43" s="2574"/>
      <c r="H43" s="2574"/>
      <c r="I43" s="2574"/>
      <c r="J43" s="2574"/>
      <c r="K43" s="2574"/>
      <c r="L43" s="2575"/>
      <c r="M43" s="2576"/>
      <c r="N43" s="2576"/>
      <c r="O43" s="2576"/>
      <c r="P43" s="2698"/>
      <c r="Q43" s="1563"/>
      <c r="R43" s="1564"/>
      <c r="S43" s="2704" t="str">
        <f>INDEX(PT_DIFFERENTIATION_NUM_TER,MATCH(B43,PT_DIFFERENTIATION_TER_ID,0))</f>
        <v>.</v>
      </c>
      <c r="T43" s="1519" t="s">
        <v>415</v>
      </c>
      <c r="U43" s="1511"/>
      <c r="V43" s="3453"/>
      <c r="W43" s="3454"/>
      <c r="X43" s="3454"/>
      <c r="Y43" s="3454"/>
      <c r="Z43" s="3454"/>
      <c r="AA43" s="3454"/>
      <c r="AB43" s="3454"/>
      <c r="AC43" s="3454"/>
      <c r="AD43" s="3454"/>
      <c r="AE43" s="3454"/>
      <c r="AF43" s="3455"/>
      <c r="AG43" s="3453" t="str">
        <f>INDEX(PT_DIFFERENTIATION_TER,MATCH(B43,PT_DIFFERENTIATION_TER_ID,0))</f>
        <v/>
      </c>
      <c r="AH43" s="3454"/>
      <c r="AI43" s="3454"/>
      <c r="AJ43" s="3454"/>
      <c r="AK43" s="3454"/>
      <c r="AL43" s="3454"/>
      <c r="AM43" s="3454"/>
      <c r="AN43" s="3454"/>
      <c r="AO43" s="3454"/>
      <c r="AP43" s="3454"/>
      <c r="AQ43" s="3454"/>
      <c r="AR43" s="3455"/>
      <c r="AS43" s="2469" t="s">
        <v>416</v>
      </c>
      <c r="AU43" s="1711"/>
      <c r="AV43" s="1711" t="str">
        <f>IF(T43="","",T43)</f>
        <v>Территория действия тарифа</v>
      </c>
      <c r="AW43" s="1711"/>
      <c r="AX43" s="1711"/>
      <c r="AY43" s="2366">
        <v>23</v>
      </c>
    </row>
    <row customHeight="1" ht="24">
      <c r="A44" s="2574" t="s">
        <v>269</v>
      </c>
      <c r="B44" s="2574" t="s">
        <v>270</v>
      </c>
      <c r="C44" s="2574" t="s">
        <v>271</v>
      </c>
      <c r="D44" s="2574"/>
      <c r="E44" s="3470"/>
      <c r="F44" s="3470"/>
      <c r="G44" s="3469">
        <v>1</v>
      </c>
      <c r="H44" s="2574"/>
      <c r="I44" s="2574"/>
      <c r="J44" s="2574"/>
      <c r="K44" s="2574"/>
      <c r="L44" s="2575"/>
      <c r="M44" s="2576"/>
      <c r="N44" s="2576"/>
      <c r="O44" s="2576"/>
      <c r="P44" s="1565"/>
      <c r="Q44" s="1563"/>
      <c r="R44" s="1564"/>
      <c r="S44" s="2704" t="str">
        <f>INDEX(PT_DIFFERENTIATION_NUM_CS,MATCH(C44,PT_DIFFERENTIATION_CS_ID,0))</f>
        <v>..</v>
      </c>
      <c r="T44" s="1520" t="s">
        <v>548</v>
      </c>
      <c r="U44" s="1511"/>
      <c r="V44" s="3453"/>
      <c r="W44" s="3454"/>
      <c r="X44" s="3454"/>
      <c r="Y44" s="3454"/>
      <c r="Z44" s="3454"/>
      <c r="AA44" s="3454"/>
      <c r="AB44" s="3454"/>
      <c r="AC44" s="3454"/>
      <c r="AD44" s="3454"/>
      <c r="AE44" s="3454"/>
      <c r="AF44" s="3455"/>
      <c r="AG44" s="3453" t="str">
        <f>INDEX(PT_DIFFERENTIATION_CS,MATCH(C44,PT_DIFFERENTIATION_CS_ID,0))</f>
        <v/>
      </c>
      <c r="AH44" s="3454"/>
      <c r="AI44" s="3454"/>
      <c r="AJ44" s="3454"/>
      <c r="AK44" s="3454"/>
      <c r="AL44" s="3454"/>
      <c r="AM44" s="3454"/>
      <c r="AN44" s="3454"/>
      <c r="AO44" s="3454"/>
      <c r="AP44" s="3454"/>
      <c r="AQ44" s="3454"/>
      <c r="AR44" s="3455"/>
      <c r="AS44" s="2469" t="s">
        <v>549</v>
      </c>
      <c r="AU44" s="1711"/>
      <c r="AV44" s="1711" t="str">
        <f>IF(T44="","",T44)</f>
        <v>Наименование централизованной системы горячего водоснабжения</v>
      </c>
      <c r="AW44" s="1711"/>
      <c r="AX44" s="1711"/>
      <c r="AY44" s="2366">
        <v>23</v>
      </c>
    </row>
    <row customHeight="1" ht="24">
      <c r="A45" s="2574" t="s">
        <v>269</v>
      </c>
      <c r="B45" s="2574" t="s">
        <v>270</v>
      </c>
      <c r="C45" s="2574" t="s">
        <v>271</v>
      </c>
      <c r="D45" s="2574" t="s">
        <v>560</v>
      </c>
      <c r="E45" s="3470"/>
      <c r="F45" s="3470"/>
      <c r="G45" s="3470"/>
      <c r="H45" s="3470"/>
      <c r="I45" s="3467" t="str">
        <f>S44&amp;".1"</f>
        <v>...1</v>
      </c>
      <c r="J45" s="2574"/>
      <c r="K45" s="2574"/>
      <c r="L45" s="2575"/>
      <c r="P45" s="3468">
        <v>1</v>
      </c>
      <c r="Q45" s="2692"/>
      <c r="R45" s="1567"/>
      <c r="S45" s="2704" t="str">
        <f>$I45</f>
        <v>...1</v>
      </c>
      <c r="T45" s="1496" t="s">
        <v>501</v>
      </c>
      <c r="U45" s="1511"/>
      <c r="V45" s="3561"/>
      <c r="W45" s="3562"/>
      <c r="X45" s="3562"/>
      <c r="Y45" s="3562"/>
      <c r="Z45" s="3562"/>
      <c r="AA45" s="3562"/>
      <c r="AB45" s="3562"/>
      <c r="AC45" s="3562"/>
      <c r="AD45" s="3562"/>
      <c r="AE45" s="3562"/>
      <c r="AF45" s="3563"/>
      <c r="AG45" s="3564"/>
      <c r="AH45" s="3565"/>
      <c r="AI45" s="3565"/>
      <c r="AJ45" s="3565"/>
      <c r="AK45" s="3565"/>
      <c r="AL45" s="3565"/>
      <c r="AM45" s="3565"/>
      <c r="AN45" s="3565"/>
      <c r="AO45" s="3565"/>
      <c r="AP45" s="3565"/>
      <c r="AQ45" s="3565"/>
      <c r="AR45" s="3566"/>
      <c r="AS45" s="2469" t="s">
        <v>502</v>
      </c>
      <c r="AU45" s="1711"/>
      <c r="AV45" s="1711" t="str">
        <f>IF(T45="","",T45)</f>
        <v>Наименование признака дифференциации</v>
      </c>
      <c r="AW45" s="1711"/>
      <c r="AX45" s="1711"/>
      <c r="AY45" s="2366">
        <v>23</v>
      </c>
    </row>
    <row customHeight="1" ht="24">
      <c r="A46" s="2574" t="s">
        <v>269</v>
      </c>
      <c r="B46" s="2574" t="s">
        <v>270</v>
      </c>
      <c r="C46" s="2574" t="s">
        <v>271</v>
      </c>
      <c r="D46" s="2574" t="s">
        <v>560</v>
      </c>
      <c r="E46" s="3470"/>
      <c r="F46" s="3470"/>
      <c r="G46" s="3470"/>
      <c r="H46" s="3470"/>
      <c r="I46" s="3497"/>
      <c r="J46" s="3467" t="str">
        <f>I45&amp;".1"</f>
        <v>...1.1</v>
      </c>
      <c r="K46" s="2574"/>
      <c r="L46" s="2575" t="s">
        <v>424</v>
      </c>
      <c r="P46" s="3468"/>
      <c r="Q46" s="3468">
        <v>1</v>
      </c>
      <c r="R46" s="1568"/>
      <c r="S46" s="2704" t="str">
        <f>$J46</f>
        <v>...1.1</v>
      </c>
      <c r="T46" s="1497" t="s">
        <v>425</v>
      </c>
      <c r="U46" s="1511"/>
      <c r="V46" s="3456"/>
      <c r="W46" s="3457"/>
      <c r="X46" s="3457"/>
      <c r="Y46" s="3457"/>
      <c r="Z46" s="3457"/>
      <c r="AA46" s="3457"/>
      <c r="AB46" s="3457"/>
      <c r="AC46" s="3457"/>
      <c r="AD46" s="3457"/>
      <c r="AE46" s="3457"/>
      <c r="AF46" s="3458"/>
      <c r="AG46" s="3456"/>
      <c r="AH46" s="3457"/>
      <c r="AI46" s="3457"/>
      <c r="AJ46" s="3457"/>
      <c r="AK46" s="3457"/>
      <c r="AL46" s="3457"/>
      <c r="AM46" s="3457"/>
      <c r="AN46" s="3457"/>
      <c r="AO46" s="3457"/>
      <c r="AP46" s="3457"/>
      <c r="AQ46" s="3457"/>
      <c r="AR46" s="3458"/>
      <c r="AS46" s="2518" t="s">
        <v>503</v>
      </c>
      <c r="AU46" s="1711"/>
      <c r="AV46" s="1711" t="str">
        <f>IF(T46="","",T46)</f>
        <v>Группа потребителей</v>
      </c>
      <c r="AW46" s="1711"/>
      <c r="AX46" s="1711"/>
      <c r="AY46" s="2366">
        <v>23</v>
      </c>
    </row>
    <row customHeight="1" ht="24">
      <c r="A47" s="2574" t="s">
        <v>269</v>
      </c>
      <c r="B47" s="2574" t="s">
        <v>270</v>
      </c>
      <c r="C47" s="2574" t="s">
        <v>271</v>
      </c>
      <c r="D47" s="2574" t="s">
        <v>560</v>
      </c>
      <c r="E47" s="3470"/>
      <c r="F47" s="3470"/>
      <c r="G47" s="3470"/>
      <c r="H47" s="3470"/>
      <c r="I47" s="3497"/>
      <c r="J47" s="3497"/>
      <c r="K47" s="3467" t="str">
        <f>J46&amp;".1"</f>
        <v>...1.1.1</v>
      </c>
      <c r="L47" s="2575"/>
      <c r="P47" s="3468"/>
      <c r="Q47" s="3468"/>
      <c r="R47" s="1568">
        <v>1</v>
      </c>
      <c r="S47" s="2704" t="str">
        <f>$K47</f>
        <v>...1.1.1</v>
      </c>
      <c r="T47" s="2648"/>
      <c r="U47" s="1511"/>
      <c r="V47" s="1962"/>
      <c r="W47" s="1962"/>
      <c r="X47" s="1962"/>
      <c r="Y47" s="1962"/>
      <c r="Z47" s="1962"/>
      <c r="AA47" s="1962"/>
      <c r="AB47" s="1962"/>
      <c r="AC47" s="3478"/>
      <c r="AD47" s="3479" t="s">
        <v>62</v>
      </c>
      <c r="AE47" s="3478"/>
      <c r="AF47" s="3479" t="s">
        <v>62</v>
      </c>
      <c r="AG47" s="1962"/>
      <c r="AH47" s="1962"/>
      <c r="AI47" s="1962"/>
      <c r="AJ47" s="1962"/>
      <c r="AK47" s="1962"/>
      <c r="AL47" s="1962"/>
      <c r="AM47" s="1962"/>
      <c r="AN47" s="3476"/>
      <c r="AO47" s="3318" t="s">
        <v>62</v>
      </c>
      <c r="AP47" s="3498"/>
      <c r="AQ47" s="3318" t="s">
        <v>19</v>
      </c>
      <c r="AR47" s="2649"/>
      <c r="AS4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1722">
        <f>STRCHECKDATE(V48:AR48)</f>
      </c>
      <c r="AU47" s="1711"/>
      <c r="AV47" s="1711" t="str">
        <f>IF(T47="","",T47)</f>
        <v/>
      </c>
      <c r="AW47" s="1711"/>
      <c r="AX47" s="1711"/>
      <c r="AY47" s="2366">
        <v>23</v>
      </c>
    </row>
    <row customHeight="1" ht="0">
      <c r="A48" s="2574" t="s">
        <v>269</v>
      </c>
      <c r="B48" s="2574" t="s">
        <v>270</v>
      </c>
      <c r="C48" s="2574" t="s">
        <v>271</v>
      </c>
      <c r="D48" s="2574" t="s">
        <v>560</v>
      </c>
      <c r="E48" s="3470"/>
      <c r="F48" s="3470"/>
      <c r="G48" s="3470"/>
      <c r="H48" s="3470"/>
      <c r="I48" s="3497"/>
      <c r="J48" s="3497"/>
      <c r="K48" s="3467"/>
      <c r="L48" s="2575"/>
      <c r="P48" s="3468"/>
      <c r="Q48" s="3468"/>
      <c r="R48" s="1568"/>
      <c r="S48" s="2701"/>
      <c r="T48" s="1511"/>
      <c r="U48" s="1511"/>
      <c r="V48" s="2571"/>
      <c r="W48" s="2571"/>
      <c r="X48" s="2571"/>
      <c r="Y48" s="2571"/>
      <c r="Z48" s="2571"/>
      <c r="AA48" s="2571"/>
      <c r="AB48" s="2571"/>
      <c r="AC48" s="3479"/>
      <c r="AD48" s="3479"/>
      <c r="AE48" s="3479"/>
      <c r="AF48" s="3479"/>
      <c r="AG48" s="1536"/>
      <c r="AH48" s="1536"/>
      <c r="AI48" s="1536"/>
      <c r="AJ48" s="1536"/>
      <c r="AK48" s="1536"/>
      <c r="AL48" s="1536"/>
      <c r="AM48" s="1536"/>
      <c r="AN48" s="3477"/>
      <c r="AO48" s="3318"/>
      <c r="AP48" s="3499"/>
      <c r="AQ48" s="3318"/>
      <c r="AR48" s="2650"/>
      <c r="AS48" s="3560"/>
      <c r="AU48" s="1711"/>
      <c r="AV48" s="1711" t="str">
        <f>IF(T48="","",T48)</f>
        <v/>
      </c>
      <c r="AW48" s="1711"/>
      <c r="AX48" s="1711"/>
      <c r="AY48" s="2366">
        <v>0</v>
      </c>
    </row>
    <row customHeight="1" ht="21">
      <c r="A49" s="2574" t="s">
        <v>269</v>
      </c>
      <c r="B49" s="2574" t="s">
        <v>270</v>
      </c>
      <c r="C49" s="2574" t="s">
        <v>271</v>
      </c>
      <c r="D49" s="2574" t="s">
        <v>560</v>
      </c>
      <c r="E49" s="3470"/>
      <c r="F49" s="3470"/>
      <c r="G49" s="3470"/>
      <c r="H49" s="3470"/>
      <c r="I49" s="3497"/>
      <c r="J49" s="3467"/>
      <c r="K49" s="2574"/>
      <c r="L49" s="2575"/>
      <c r="P49" s="3468"/>
      <c r="Q49" s="3468"/>
      <c r="R49" s="1567"/>
      <c r="S49" s="2489"/>
      <c r="T49" s="1498" t="s">
        <v>504</v>
      </c>
      <c r="U49" s="1578"/>
      <c r="V49" s="1578"/>
      <c r="W49" s="1811"/>
      <c r="X49" s="1811"/>
      <c r="Y49" s="1811"/>
      <c r="Z49" s="1811"/>
      <c r="AA49" s="1811"/>
      <c r="AB49" s="1811"/>
      <c r="AC49" s="1578"/>
      <c r="AD49" s="1578"/>
      <c r="AE49" s="1578"/>
      <c r="AF49" s="1578"/>
      <c r="AG49" s="1578"/>
      <c r="AH49" s="1811"/>
      <c r="AI49" s="1811"/>
      <c r="AJ49" s="1811"/>
      <c r="AK49" s="1811"/>
      <c r="AL49" s="1811"/>
      <c r="AM49" s="1578"/>
      <c r="AN49" s="1578"/>
      <c r="AO49" s="1578"/>
      <c r="AP49" s="1578"/>
      <c r="AQ49" s="1578"/>
      <c r="AR49" s="1578"/>
      <c r="AS49" s="2469" t="s">
        <v>505</v>
      </c>
      <c r="AU49" s="1711"/>
      <c r="AV49" s="1711" t="str">
        <f>IF(T49="","",T49)</f>
        <v>Добавить значение признака дифференциации</v>
      </c>
      <c r="AW49" s="1711"/>
      <c r="AX49" s="1711"/>
      <c r="AY49" s="2366">
        <v>20</v>
      </c>
    </row>
    <row customHeight="1" ht="22.049999999999997">
      <c r="A50" s="2574" t="s">
        <v>269</v>
      </c>
      <c r="B50" s="2574" t="s">
        <v>270</v>
      </c>
      <c r="C50" s="2574" t="s">
        <v>271</v>
      </c>
      <c r="D50" s="2574" t="s">
        <v>560</v>
      </c>
      <c r="E50" s="3470"/>
      <c r="F50" s="3470"/>
      <c r="G50" s="3470"/>
      <c r="H50" s="3470"/>
      <c r="I50" s="3467"/>
      <c r="J50" s="2574"/>
      <c r="K50" s="2574"/>
      <c r="L50" s="2575"/>
      <c r="P50" s="3468"/>
      <c r="Q50" s="2692"/>
      <c r="R50" s="1567"/>
      <c r="S50" s="2489"/>
      <c r="T50" s="1576" t="s">
        <v>430</v>
      </c>
      <c r="U50" s="1578"/>
      <c r="V50" s="1578"/>
      <c r="W50" s="1811"/>
      <c r="X50" s="1811"/>
      <c r="Y50" s="1811"/>
      <c r="Z50" s="1811"/>
      <c r="AA50" s="1811"/>
      <c r="AB50" s="1811"/>
      <c r="AC50" s="1578"/>
      <c r="AD50" s="1578"/>
      <c r="AE50" s="1578"/>
      <c r="AF50" s="1577"/>
      <c r="AG50" s="1578"/>
      <c r="AH50" s="1811"/>
      <c r="AI50" s="1811"/>
      <c r="AJ50" s="1811"/>
      <c r="AK50" s="1811"/>
      <c r="AL50" s="1811"/>
      <c r="AM50" s="1578"/>
      <c r="AN50" s="1578"/>
      <c r="AO50" s="1578"/>
      <c r="AP50" s="1578"/>
      <c r="AQ50" s="1577"/>
      <c r="AR50" s="1578"/>
      <c r="AS50" s="2651"/>
      <c r="AU50" s="1711"/>
      <c r="AV50" s="1711" t="str">
        <f>IF(T50="","",T50)</f>
        <v>Добавить группу потребителей</v>
      </c>
      <c r="AW50" s="1711"/>
      <c r="AX50" s="1711"/>
      <c r="AY50" s="2366">
        <v>21</v>
      </c>
    </row>
    <row customHeight="1" ht="22.049999999999997">
      <c r="A51" s="2574" t="s">
        <v>269</v>
      </c>
      <c r="B51" s="2574" t="s">
        <v>270</v>
      </c>
      <c r="C51" s="2574" t="s">
        <v>271</v>
      </c>
      <c r="D51" s="2574" t="s">
        <v>560</v>
      </c>
      <c r="E51" s="3470"/>
      <c r="F51" s="3470"/>
      <c r="G51" s="3470"/>
      <c r="H51" s="3469"/>
      <c r="I51" s="2574"/>
      <c r="J51" s="2574"/>
      <c r="K51" s="2574"/>
      <c r="L51" s="2575"/>
      <c r="M51" s="2576"/>
      <c r="N51" s="2576"/>
      <c r="O51" s="1748"/>
      <c r="P51" s="1571"/>
      <c r="Q51" s="1586"/>
      <c r="R51" s="1566"/>
      <c r="S51" s="2489"/>
      <c r="T51" s="1583" t="s">
        <v>506</v>
      </c>
      <c r="U51" s="1578"/>
      <c r="V51" s="1578"/>
      <c r="W51" s="1811"/>
      <c r="X51" s="1811"/>
      <c r="Y51" s="1811"/>
      <c r="Z51" s="1811"/>
      <c r="AA51" s="1811"/>
      <c r="AB51" s="1811"/>
      <c r="AC51" s="1578"/>
      <c r="AD51" s="1578"/>
      <c r="AE51" s="1578"/>
      <c r="AF51" s="1577"/>
      <c r="AG51" s="1578"/>
      <c r="AH51" s="1811"/>
      <c r="AI51" s="1811"/>
      <c r="AJ51" s="1811"/>
      <c r="AK51" s="1811"/>
      <c r="AL51" s="1811"/>
      <c r="AM51" s="1578"/>
      <c r="AN51" s="1578"/>
      <c r="AO51" s="1578"/>
      <c r="AP51" s="1578"/>
      <c r="AQ51" s="1577"/>
      <c r="AR51" s="1578"/>
      <c r="AS51" s="1514"/>
      <c r="AU51" s="1711"/>
      <c r="AV51" s="1711" t="str">
        <f>IF(T51="","",T51)</f>
        <v>Добавить наименование признака дифференциации</v>
      </c>
      <c r="AW51" s="1711"/>
      <c r="AX51" s="1711"/>
      <c r="AY51" s="2366">
        <v>21</v>
      </c>
    </row>
    <row s="65923" customFormat="1" customHeight="1" ht="0">
      <c r="A52" s="2554" t="s">
        <v>269</v>
      </c>
      <c r="B52" s="2554" t="s">
        <v>270</v>
      </c>
      <c r="C52" s="2525"/>
      <c r="D52" s="2525"/>
      <c r="E52" s="3470"/>
      <c r="F52" s="3469"/>
      <c r="G52" s="2525"/>
      <c r="H52" s="2525"/>
      <c r="I52" s="2525"/>
      <c r="J52" s="2525"/>
      <c r="K52" s="2525"/>
      <c r="L52" s="2705"/>
      <c r="M52" s="2532"/>
      <c r="N52" s="2532"/>
      <c r="P52" s="2527"/>
      <c r="Q52" s="2528"/>
      <c r="R52" s="2527"/>
      <c r="S52" s="2533"/>
      <c r="T52" s="2536" t="s">
        <v>433</v>
      </c>
      <c r="U52" s="2535"/>
      <c r="V52" s="2535"/>
      <c r="W52" s="2535"/>
      <c r="X52" s="2535"/>
      <c r="Y52" s="2535"/>
      <c r="Z52" s="2535"/>
      <c r="AA52" s="2535"/>
      <c r="AB52" s="2535"/>
      <c r="AC52" s="2535"/>
      <c r="AD52" s="2535"/>
      <c r="AE52" s="2535"/>
      <c r="AF52" s="2535"/>
      <c r="AG52" s="2535"/>
      <c r="AH52" s="2535"/>
      <c r="AI52" s="2535"/>
      <c r="AJ52" s="2535"/>
      <c r="AK52" s="2535"/>
      <c r="AL52" s="2535"/>
      <c r="AM52" s="2535"/>
      <c r="AN52" s="2535"/>
      <c r="AO52" s="2535"/>
      <c r="AP52" s="2535"/>
      <c r="AQ52" s="2535"/>
      <c r="AR52" s="2535"/>
      <c r="AS52" s="2535"/>
      <c r="AU52" s="2000"/>
      <c r="AV52" s="2000" t="str">
        <f>IF(T52="","",T52)</f>
        <v>Добавить централизованную систему для дифференциации</v>
      </c>
      <c r="AW52" s="2000"/>
      <c r="AX52" s="2000"/>
      <c r="AY52" s="1729">
        <v>0</v>
      </c>
    </row>
    <row s="65923" customFormat="1" customHeight="1" ht="0">
      <c r="A53" s="2554" t="s">
        <v>269</v>
      </c>
      <c r="B53" s="2554"/>
      <c r="C53" s="2554"/>
      <c r="D53" s="2554"/>
      <c r="E53" s="3469"/>
      <c r="F53" s="2554"/>
      <c r="G53" s="2554"/>
      <c r="H53" s="2554"/>
      <c r="I53" s="2554"/>
      <c r="J53" s="2554"/>
      <c r="K53" s="2554"/>
      <c r="L53" s="2557"/>
      <c r="M53" s="2532"/>
      <c r="N53" s="2532"/>
      <c r="O53" s="1729"/>
      <c r="P53" s="1591"/>
      <c r="Q53" s="2555"/>
      <c r="R53" s="1591"/>
      <c r="S53" s="2533"/>
      <c r="T53" s="2536" t="s">
        <v>434</v>
      </c>
      <c r="U53" s="2535"/>
      <c r="V53" s="2535"/>
      <c r="W53" s="2535"/>
      <c r="X53" s="2535"/>
      <c r="Y53" s="2535"/>
      <c r="Z53" s="2535"/>
      <c r="AA53" s="2535"/>
      <c r="AB53" s="2535"/>
      <c r="AC53" s="2535"/>
      <c r="AD53" s="2535"/>
      <c r="AE53" s="2535"/>
      <c r="AF53" s="2535"/>
      <c r="AG53" s="2535"/>
      <c r="AH53" s="2535"/>
      <c r="AI53" s="2535"/>
      <c r="AJ53" s="2535"/>
      <c r="AK53" s="2535"/>
      <c r="AL53" s="2535"/>
      <c r="AM53" s="2535"/>
      <c r="AN53" s="2535"/>
      <c r="AO53" s="2535"/>
      <c r="AP53" s="2535"/>
      <c r="AQ53" s="2535"/>
      <c r="AR53" s="2535"/>
      <c r="AS53" s="2535"/>
      <c r="AU53" s="1711"/>
      <c r="AV53" s="1711" t="str">
        <f>IF(T53="","",T53)</f>
        <v>Добавить территорию для дифференциации</v>
      </c>
      <c r="AW53" s="1711"/>
      <c r="AX53" s="1711"/>
      <c r="AY53" s="1722">
        <v>0</v>
      </c>
    </row>
    <row s="65923" customFormat="1" customHeight="1" ht="0">
      <c r="A54" s="2525"/>
      <c r="B54" s="2525"/>
      <c r="C54" s="2525"/>
      <c r="D54" s="2525"/>
      <c r="E54" s="2554"/>
      <c r="F54" s="2525"/>
      <c r="G54" s="2525"/>
      <c r="H54" s="2525"/>
      <c r="I54" s="2525"/>
      <c r="J54" s="2525"/>
      <c r="K54" s="2525"/>
      <c r="L54" s="2705"/>
      <c r="M54" s="2532"/>
      <c r="N54" s="2532"/>
      <c r="P54" s="2527"/>
      <c r="Q54" s="2528"/>
      <c r="R54" s="2527"/>
      <c r="S54" s="2533"/>
      <c r="T54" s="2536" t="s">
        <v>466</v>
      </c>
      <c r="U54" s="2535"/>
      <c r="V54" s="2535"/>
      <c r="W54" s="2535"/>
      <c r="X54" s="2535"/>
      <c r="Y54" s="2535"/>
      <c r="Z54" s="2535"/>
      <c r="AA54" s="2535"/>
      <c r="AB54" s="2535"/>
      <c r="AC54" s="2535"/>
      <c r="AD54" s="2535"/>
      <c r="AE54" s="2535"/>
      <c r="AF54" s="2535"/>
      <c r="AG54" s="2535"/>
      <c r="AH54" s="2535"/>
      <c r="AI54" s="2535"/>
      <c r="AJ54" s="2535"/>
      <c r="AK54" s="2535"/>
      <c r="AL54" s="2535"/>
      <c r="AM54" s="2535"/>
      <c r="AN54" s="2535"/>
      <c r="AO54" s="2535"/>
      <c r="AP54" s="2535"/>
      <c r="AQ54" s="2535"/>
      <c r="AR54" s="2535"/>
      <c r="AS54" s="2535"/>
      <c r="AU54" s="2000"/>
      <c r="AV54" s="2000" t="str">
        <f>IF(T54="","",T54)</f>
        <v>Добавить наименование тарифа</v>
      </c>
      <c r="AW54" s="2000"/>
      <c r="AX54" s="2000"/>
      <c r="AY54" s="1729">
        <v>0</v>
      </c>
    </row>
    <row customHeight="1" ht="11.549999999999999">
      <c r="M55" s="2371"/>
      <c r="N55" s="2371"/>
      <c r="O55" s="1748"/>
      <c r="P55" s="2366"/>
      <c r="Q55" s="2366"/>
      <c r="R55" s="2366"/>
      <c r="S55" s="2366"/>
      <c r="AT55" s="2366"/>
      <c r="AU55" s="2366"/>
      <c r="AV55" s="2366"/>
      <c r="AW55" s="2366"/>
      <c r="AX55" s="2366"/>
      <c r="AY55" s="2366">
        <v>11</v>
      </c>
    </row>
    <row customHeight="1" ht="14.699999999999998">
      <c r="O56" s="1748"/>
      <c r="S56" s="2464"/>
      <c r="T56" s="3496"/>
      <c r="U56" s="3496"/>
      <c r="V56" s="3496"/>
      <c r="W56" s="3496"/>
      <c r="X56" s="3496"/>
      <c r="Y56" s="3496"/>
      <c r="Z56" s="3496"/>
      <c r="AA56" s="3496"/>
      <c r="AB56" s="3496"/>
      <c r="AC56" s="3496"/>
      <c r="AD56" s="3496"/>
      <c r="AE56" s="3496"/>
      <c r="AF56" s="3496"/>
      <c r="AG56" s="3496"/>
      <c r="AH56" s="3496"/>
      <c r="AI56" s="3496"/>
      <c r="AJ56" s="3496"/>
      <c r="AK56" s="3496"/>
      <c r="AL56" s="3496"/>
      <c r="AM56" s="3496"/>
      <c r="AN56" s="3496"/>
      <c r="AO56" s="3496"/>
      <c r="AP56" s="3496"/>
      <c r="AQ56" s="3496"/>
      <c r="AR56" s="3496"/>
      <c r="AS56" s="3496"/>
      <c r="AY56" s="2366">
        <v>14</v>
      </c>
    </row>
    <row customHeight="1" ht="14.699999999999998">
      <c r="O57" s="1748"/>
      <c r="AY57" s="2366">
        <v>14</v>
      </c>
    </row>
    <row customHeight="1" ht="14.699999999999998">
      <c r="O58" s="1748"/>
      <c r="S58" s="2464"/>
      <c r="T58" s="3496"/>
      <c r="U58" s="3496"/>
      <c r="V58" s="3496"/>
      <c r="W58" s="3496"/>
      <c r="X58" s="3496"/>
      <c r="Y58" s="3496"/>
      <c r="Z58" s="3496"/>
      <c r="AA58" s="3496"/>
      <c r="AB58" s="3496"/>
      <c r="AC58" s="3496"/>
      <c r="AD58" s="3496"/>
      <c r="AE58" s="3496"/>
      <c r="AF58" s="3496"/>
      <c r="AG58" s="3496"/>
      <c r="AH58" s="3496"/>
      <c r="AI58" s="3496"/>
      <c r="AJ58" s="3496"/>
      <c r="AK58" s="3496"/>
      <c r="AL58" s="3496"/>
      <c r="AM58" s="3496"/>
      <c r="AN58" s="3496"/>
      <c r="AO58" s="3496"/>
      <c r="AP58" s="3496"/>
      <c r="AQ58" s="3496"/>
      <c r="AR58" s="3496"/>
      <c r="AS58" s="3496"/>
      <c r="AY58" s="2366">
        <v>14</v>
      </c>
    </row>
    <row customHeight="1" ht="22.5" hidden="1">
      <c r="A59" s="2371" t="s">
        <v>82</v>
      </c>
      <c r="B59" s="2371">
        <v>0</v>
      </c>
      <c r="C59" s="2371">
        <v>0</v>
      </c>
      <c r="D59" s="2371">
        <v>0</v>
      </c>
      <c r="E59" s="2371">
        <v>0</v>
      </c>
      <c r="F59" s="2371">
        <v>0</v>
      </c>
      <c r="G59" s="2371">
        <v>0</v>
      </c>
      <c r="H59" s="2371">
        <v>0</v>
      </c>
      <c r="I59" s="2371">
        <v>0</v>
      </c>
      <c r="J59" s="2371">
        <v>0</v>
      </c>
      <c r="K59" s="2371">
        <v>0</v>
      </c>
      <c r="L59" s="2689">
        <v>0</v>
      </c>
      <c r="M59" s="2573">
        <v>0</v>
      </c>
      <c r="N59" s="2573">
        <v>0</v>
      </c>
      <c r="O59" s="2573">
        <v>0</v>
      </c>
      <c r="P59" s="2684">
        <v>3</v>
      </c>
      <c r="Q59" s="1555">
        <v>3</v>
      </c>
      <c r="R59" s="1555">
        <v>3</v>
      </c>
      <c r="S59" s="1792">
        <v>12</v>
      </c>
      <c r="T59" s="2366">
        <v>35</v>
      </c>
      <c r="U59" s="2366">
        <v>0</v>
      </c>
      <c r="V59" s="2366">
        <v>0</v>
      </c>
      <c r="W59" s="2842">
        <v>0</v>
      </c>
      <c r="X59" s="2842">
        <v>0</v>
      </c>
      <c r="Y59" s="2842">
        <v>0</v>
      </c>
      <c r="Z59" s="2842">
        <v>0</v>
      </c>
      <c r="AA59" s="2842">
        <v>0</v>
      </c>
      <c r="AB59" s="2842">
        <v>0</v>
      </c>
      <c r="AC59" s="2366">
        <v>0</v>
      </c>
      <c r="AD59" s="2366">
        <v>0</v>
      </c>
      <c r="AE59" s="2366">
        <v>0</v>
      </c>
      <c r="AF59" s="2366">
        <v>0</v>
      </c>
      <c r="AG59" s="2366">
        <v>19</v>
      </c>
      <c r="AH59" s="2842">
        <v>19</v>
      </c>
      <c r="AI59" s="2842">
        <v>19</v>
      </c>
      <c r="AJ59" s="2842">
        <v>19</v>
      </c>
      <c r="AK59" s="2842">
        <v>19</v>
      </c>
      <c r="AL59" s="2842">
        <v>19</v>
      </c>
      <c r="AM59" s="2366">
        <v>19</v>
      </c>
      <c r="AN59" s="2366">
        <v>11</v>
      </c>
      <c r="AO59" s="2366">
        <v>3</v>
      </c>
      <c r="AP59" s="2366">
        <v>11</v>
      </c>
      <c r="AQ59" s="2366">
        <v>0</v>
      </c>
      <c r="AR59" s="2366">
        <v>4</v>
      </c>
      <c r="AS59" s="2366">
        <v>115</v>
      </c>
      <c r="AT59" s="1722">
        <v>10</v>
      </c>
      <c r="AU59" s="1722">
        <v>10</v>
      </c>
      <c r="AV59" s="1722">
        <v>10</v>
      </c>
      <c r="AW59" s="1722">
        <v>10</v>
      </c>
      <c r="AX59" s="1722">
        <v>10</v>
      </c>
      <c r="AY59" s="236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6401E7-62CA-3E55-2BCF-D682E539462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4.140625" hidden="1" customWidth="1"/>
    <col min="10" max="10" style="66852" width="9.8515625" hidden="1" customWidth="1"/>
    <col min="11" max="11" style="66852" width="14.7109375" hidden="1" customWidth="1"/>
    <col min="12" max="12" style="67442" width="19.140625" hidden="1" customWidth="1"/>
    <col min="13" max="14" style="65490" width="12.28125" hidden="1" customWidth="1"/>
    <col min="15" max="15" style="65490" width="23.421875" hidden="1" customWidth="1"/>
    <col min="16" max="16" style="67462" width="3.00390625" customWidth="1"/>
    <col min="17" max="18" style="66873" width="3.00390625" customWidth="1"/>
    <col min="19" max="19" style="67434" width="12.00390625" customWidth="1"/>
    <col min="20" max="20" style="66903" width="35.00390625" customWidth="1"/>
    <col min="21" max="21" style="66903" width="0.140625" customWidth="1"/>
    <col min="22" max="28" style="66903" width="19.7109375" hidden="1" customWidth="1"/>
    <col min="29" max="29" style="66903" width="11.7109375" hidden="1" customWidth="1"/>
    <col min="30" max="30" style="66903" width="3.7109375" hidden="1" customWidth="1"/>
    <col min="31" max="31" style="66903" width="11.7109375" hidden="1" customWidth="1"/>
    <col min="32" max="32" style="66903" width="8.57421875" hidden="1" customWidth="1"/>
    <col min="33" max="33" style="66903" width="19.7109375" customWidth="1"/>
    <col min="34" max="39" style="66903" width="19.00390625" customWidth="1"/>
    <col min="40" max="40" style="66903" width="11.00390625" customWidth="1"/>
    <col min="41" max="41" style="66903" width="3.7109375" customWidth="1"/>
    <col min="42" max="42" style="66903" width="11.00390625" customWidth="1"/>
    <col min="43" max="43" style="66903" width="8.57421875" hidden="1" customWidth="1"/>
    <col min="44" max="44" style="66903" width="4.00390625" customWidth="1"/>
    <col min="45" max="45" style="66903" width="115.00390625" customWidth="1"/>
    <col min="46" max="50" style="65923" width="10.00390625" customWidth="1"/>
    <col min="51" max="51" style="66903" width="10.57421875" hidden="1"/>
  </cols>
  <sheetData>
    <row customHeight="1" ht="22.5" hidden="1">
      <c r="AB1" s="1538"/>
      <c r="AC1" s="1538"/>
      <c r="AM1" s="1538"/>
      <c r="AN1" s="1538"/>
      <c r="AY1" s="2366" t="s">
        <v>14</v>
      </c>
    </row>
    <row customHeight="1" ht="23.25" hidden="1">
      <c r="A2" s="2574"/>
      <c r="B2" s="2574"/>
      <c r="C2" s="2574"/>
      <c r="D2" s="2574"/>
      <c r="E2" s="3469">
        <v>1</v>
      </c>
      <c r="F2" s="2574"/>
      <c r="G2" s="2574"/>
      <c r="H2" s="2574"/>
      <c r="I2" s="2574"/>
      <c r="J2" s="2574"/>
      <c r="K2" s="2574"/>
      <c r="L2" s="2575"/>
      <c r="M2" s="2576"/>
      <c r="N2" s="2576"/>
      <c r="O2" s="2576"/>
      <c r="P2" s="1572"/>
      <c r="Q2" s="1571"/>
      <c r="R2" s="1566"/>
      <c r="S2" s="2704">
        <f>INDEX(PT_DIFFERENTIATION_NUM_NTAR,MATCH(A2,PT_DIFFERENTIATION_NTAR_ID,0))</f>
      </c>
      <c r="T2" s="1509" t="s">
        <v>143</v>
      </c>
      <c r="U2" s="1511"/>
      <c r="V2" s="3453"/>
      <c r="W2" s="3454"/>
      <c r="X2" s="3454"/>
      <c r="Y2" s="3454"/>
      <c r="Z2" s="3454"/>
      <c r="AA2" s="3454"/>
      <c r="AB2" s="3454"/>
      <c r="AC2" s="3454"/>
      <c r="AD2" s="3454"/>
      <c r="AE2" s="3454"/>
      <c r="AF2" s="3455"/>
      <c r="AG2" s="3453">
        <f>INDEX(PT_DIFFERENTIATION_NTAR,MATCH(A2,PT_DIFFERENTIATION_NTAR_ID,0))</f>
      </c>
      <c r="AH2" s="3454"/>
      <c r="AI2" s="3454"/>
      <c r="AJ2" s="3454"/>
      <c r="AK2" s="3454"/>
      <c r="AL2" s="3454"/>
      <c r="AM2" s="3454"/>
      <c r="AN2" s="3454"/>
      <c r="AO2" s="3454"/>
      <c r="AP2" s="3454"/>
      <c r="AQ2" s="3454"/>
      <c r="AR2" s="3455"/>
      <c r="AS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711"/>
      <c r="AV2" s="1711" t="str">
        <f>IF(T2="","",T2)</f>
        <v>Наименование тарифа</v>
      </c>
      <c r="AW2" s="1711"/>
      <c r="AX2" s="1711"/>
      <c r="AY2" s="2366">
        <v>0</v>
      </c>
    </row>
    <row customHeight="1" ht="23.25" hidden="1">
      <c r="A3" s="2574"/>
      <c r="B3" s="2574"/>
      <c r="C3" s="2574"/>
      <c r="D3" s="2574"/>
      <c r="E3" s="3470"/>
      <c r="F3" s="3469">
        <v>1</v>
      </c>
      <c r="G3" s="2574"/>
      <c r="H3" s="2574"/>
      <c r="I3" s="2574"/>
      <c r="J3" s="2574"/>
      <c r="K3" s="2574"/>
      <c r="L3" s="2575"/>
      <c r="M3" s="2576"/>
      <c r="N3" s="2576"/>
      <c r="O3" s="2576"/>
      <c r="P3" s="2698"/>
      <c r="Q3" s="1563"/>
      <c r="R3" s="1564"/>
      <c r="S3" s="2704">
        <f>INDEX(PT_DIFFERENTIATION_NUM_TER,MATCH(B3,PT_DIFFERENTIATION_TER_ID,0))</f>
      </c>
      <c r="T3" s="1519" t="s">
        <v>415</v>
      </c>
      <c r="U3" s="1511"/>
      <c r="V3" s="3453"/>
      <c r="W3" s="3454"/>
      <c r="X3" s="3454"/>
      <c r="Y3" s="3454"/>
      <c r="Z3" s="3454"/>
      <c r="AA3" s="3454"/>
      <c r="AB3" s="3454"/>
      <c r="AC3" s="3454"/>
      <c r="AD3" s="3454"/>
      <c r="AE3" s="3454"/>
      <c r="AF3" s="3455"/>
      <c r="AG3" s="3453">
        <f>INDEX(PT_DIFFERENTIATION_TER,MATCH(B3,PT_DIFFERENTIATION_TER_ID,0))</f>
      </c>
      <c r="AH3" s="3454"/>
      <c r="AI3" s="3454"/>
      <c r="AJ3" s="3454"/>
      <c r="AK3" s="3454"/>
      <c r="AL3" s="3454"/>
      <c r="AM3" s="3454"/>
      <c r="AN3" s="3454"/>
      <c r="AO3" s="3454"/>
      <c r="AP3" s="3454"/>
      <c r="AQ3" s="3454"/>
      <c r="AR3" s="3455"/>
      <c r="AS3" s="2469" t="s">
        <v>416</v>
      </c>
      <c r="AU3" s="1711"/>
      <c r="AV3" s="1711" t="str">
        <f>IF(T3="","",T3)</f>
        <v>Территория действия тарифа</v>
      </c>
      <c r="AW3" s="1711"/>
      <c r="AX3" s="1711"/>
      <c r="AY3" s="2366">
        <v>0</v>
      </c>
    </row>
    <row customHeight="1" ht="23.25" hidden="1">
      <c r="A4" s="2574"/>
      <c r="B4" s="2574"/>
      <c r="C4" s="2574"/>
      <c r="D4" s="2574"/>
      <c r="E4" s="3470"/>
      <c r="F4" s="3470"/>
      <c r="G4" s="3469">
        <v>1</v>
      </c>
      <c r="H4" s="2574"/>
      <c r="I4" s="2574"/>
      <c r="J4" s="2574"/>
      <c r="K4" s="2574"/>
      <c r="L4" s="2575"/>
      <c r="M4" s="2576"/>
      <c r="N4" s="2576"/>
      <c r="O4" s="2576"/>
      <c r="P4" s="1565"/>
      <c r="Q4" s="1563"/>
      <c r="R4" s="1564"/>
      <c r="S4" s="2704">
        <f>INDEX(PT_DIFFERENTIATION_NUM_CS,MATCH(C4,PT_DIFFERENTIATION_CS_ID,0))</f>
      </c>
      <c r="T4" s="1520" t="s">
        <v>548</v>
      </c>
      <c r="U4" s="1511"/>
      <c r="V4" s="3453"/>
      <c r="W4" s="3454"/>
      <c r="X4" s="3454"/>
      <c r="Y4" s="3454"/>
      <c r="Z4" s="3454"/>
      <c r="AA4" s="3454"/>
      <c r="AB4" s="3454"/>
      <c r="AC4" s="3454"/>
      <c r="AD4" s="3454"/>
      <c r="AE4" s="3454"/>
      <c r="AF4" s="3455"/>
      <c r="AG4" s="3453">
        <f>INDEX(PT_DIFFERENTIATION_CS,MATCH(C4,PT_DIFFERENTIATION_CS_ID,0))</f>
      </c>
      <c r="AH4" s="3454"/>
      <c r="AI4" s="3454"/>
      <c r="AJ4" s="3454"/>
      <c r="AK4" s="3454"/>
      <c r="AL4" s="3454"/>
      <c r="AM4" s="3454"/>
      <c r="AN4" s="3454"/>
      <c r="AO4" s="3454"/>
      <c r="AP4" s="3454"/>
      <c r="AQ4" s="3454"/>
      <c r="AR4" s="3455"/>
      <c r="AS4" s="2469" t="s">
        <v>549</v>
      </c>
      <c r="AU4" s="1711"/>
      <c r="AV4" s="1711" t="str">
        <f>IF(T4="","",T4)</f>
        <v>Наименование централизованной системы горячего водоснабжения</v>
      </c>
      <c r="AW4" s="1711"/>
      <c r="AX4" s="1711"/>
      <c r="AY4" s="2366">
        <v>0</v>
      </c>
    </row>
    <row customHeight="1" ht="23.25" hidden="1">
      <c r="A5" s="2574"/>
      <c r="B5" s="2574"/>
      <c r="C5" s="2574"/>
      <c r="D5" s="2574"/>
      <c r="E5" s="3470"/>
      <c r="F5" s="3470"/>
      <c r="G5" s="3470"/>
      <c r="H5" s="3470"/>
      <c r="I5" s="3467">
        <f>S4&amp;".1"</f>
      </c>
      <c r="J5" s="2574"/>
      <c r="K5" s="2574"/>
      <c r="L5" s="2575"/>
      <c r="P5" s="3468">
        <v>1</v>
      </c>
      <c r="Q5" s="2692"/>
      <c r="R5" s="1567"/>
      <c r="S5" s="2704">
        <f>$I5</f>
      </c>
      <c r="T5" s="1496" t="s">
        <v>501</v>
      </c>
      <c r="U5" s="1511"/>
      <c r="V5" s="3561"/>
      <c r="W5" s="3562"/>
      <c r="X5" s="3562"/>
      <c r="Y5" s="3562"/>
      <c r="Z5" s="3562"/>
      <c r="AA5" s="3562"/>
      <c r="AB5" s="3562"/>
      <c r="AC5" s="3562"/>
      <c r="AD5" s="3562"/>
      <c r="AE5" s="3562"/>
      <c r="AF5" s="3563"/>
      <c r="AG5" s="3564"/>
      <c r="AH5" s="3565"/>
      <c r="AI5" s="3565"/>
      <c r="AJ5" s="3565"/>
      <c r="AK5" s="3565"/>
      <c r="AL5" s="3565"/>
      <c r="AM5" s="3565"/>
      <c r="AN5" s="3565"/>
      <c r="AO5" s="3565"/>
      <c r="AP5" s="3565"/>
      <c r="AQ5" s="3565"/>
      <c r="AR5" s="3566"/>
      <c r="AS5" s="2469" t="s">
        <v>502</v>
      </c>
      <c r="AU5" s="1711"/>
      <c r="AV5" s="1711" t="str">
        <f>IF(T5="","",T5)</f>
        <v>Наименование признака дифференциации</v>
      </c>
      <c r="AW5" s="1711"/>
      <c r="AX5" s="1711"/>
      <c r="AY5" s="2366">
        <v>0</v>
      </c>
    </row>
    <row customHeight="1" ht="23.25" hidden="1">
      <c r="A6" s="2574"/>
      <c r="B6" s="2574"/>
      <c r="C6" s="2574"/>
      <c r="D6" s="2574"/>
      <c r="E6" s="3470"/>
      <c r="F6" s="3470"/>
      <c r="G6" s="3470"/>
      <c r="H6" s="3470"/>
      <c r="I6" s="3497"/>
      <c r="J6" s="3467">
        <f>I5&amp;".1"</f>
      </c>
      <c r="K6" s="2574"/>
      <c r="L6" s="2575" t="s">
        <v>424</v>
      </c>
      <c r="P6" s="3468"/>
      <c r="Q6" s="3468">
        <v>1</v>
      </c>
      <c r="R6" s="1568"/>
      <c r="S6" s="2704">
        <f>$J6</f>
      </c>
      <c r="T6" s="1497" t="s">
        <v>425</v>
      </c>
      <c r="U6" s="1511"/>
      <c r="V6" s="3456"/>
      <c r="W6" s="3457"/>
      <c r="X6" s="3457"/>
      <c r="Y6" s="3457"/>
      <c r="Z6" s="3457"/>
      <c r="AA6" s="3457"/>
      <c r="AB6" s="3457"/>
      <c r="AC6" s="3457"/>
      <c r="AD6" s="3457"/>
      <c r="AE6" s="3457"/>
      <c r="AF6" s="3458"/>
      <c r="AG6" s="3456"/>
      <c r="AH6" s="3457"/>
      <c r="AI6" s="3457"/>
      <c r="AJ6" s="3457"/>
      <c r="AK6" s="3457"/>
      <c r="AL6" s="3457"/>
      <c r="AM6" s="3457"/>
      <c r="AN6" s="3457"/>
      <c r="AO6" s="3457"/>
      <c r="AP6" s="3457"/>
      <c r="AQ6" s="3457"/>
      <c r="AR6" s="3458"/>
      <c r="AS6" s="2518" t="s">
        <v>503</v>
      </c>
      <c r="AU6" s="1711"/>
      <c r="AV6" s="1711" t="str">
        <f>IF(T6="","",T6)</f>
        <v>Группа потребителей</v>
      </c>
      <c r="AW6" s="1711"/>
      <c r="AX6" s="1711"/>
      <c r="AY6" s="2366">
        <v>0</v>
      </c>
    </row>
    <row customHeight="1" ht="23.25" hidden="1">
      <c r="A7" s="2574"/>
      <c r="B7" s="2574"/>
      <c r="C7" s="2574"/>
      <c r="D7" s="2574"/>
      <c r="E7" s="3470"/>
      <c r="F7" s="3470"/>
      <c r="G7" s="3470"/>
      <c r="H7" s="3470"/>
      <c r="I7" s="3497"/>
      <c r="J7" s="3497"/>
      <c r="K7" s="3467">
        <f>J6&amp;".1"</f>
      </c>
      <c r="L7" s="2575"/>
      <c r="P7" s="3468"/>
      <c r="Q7" s="3468"/>
      <c r="R7" s="1568">
        <v>1</v>
      </c>
      <c r="S7" s="2704">
        <f>$K7</f>
      </c>
      <c r="T7" s="2648"/>
      <c r="U7" s="1511"/>
      <c r="V7" s="1962"/>
      <c r="W7" s="1962"/>
      <c r="X7" s="1962"/>
      <c r="Y7" s="1962"/>
      <c r="Z7" s="1962"/>
      <c r="AA7" s="1962"/>
      <c r="AB7" s="2468"/>
      <c r="AC7" s="3476"/>
      <c r="AD7" s="3318" t="s">
        <v>62</v>
      </c>
      <c r="AE7" s="3476"/>
      <c r="AF7" s="3318" t="s">
        <v>62</v>
      </c>
      <c r="AG7" s="1962"/>
      <c r="AH7" s="1962"/>
      <c r="AI7" s="1962"/>
      <c r="AJ7" s="1962"/>
      <c r="AK7" s="1962"/>
      <c r="AL7" s="1962"/>
      <c r="AM7" s="2468"/>
      <c r="AN7" s="3476"/>
      <c r="AO7" s="3318" t="s">
        <v>62</v>
      </c>
      <c r="AP7" s="3498"/>
      <c r="AQ7" s="3318" t="s">
        <v>62</v>
      </c>
      <c r="AR7" s="2649"/>
      <c r="AS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1722">
        <f>STRCHECKDATE(V8:AR8)</f>
      </c>
      <c r="AU7" s="1711"/>
      <c r="AV7" s="1711" t="str">
        <f>IF(T7="","",T7)</f>
        <v/>
      </c>
      <c r="AW7" s="1711"/>
      <c r="AX7" s="1711"/>
      <c r="AY7" s="2366">
        <v>0</v>
      </c>
    </row>
    <row customHeight="1" ht="14.25" hidden="1">
      <c r="A8" s="2574"/>
      <c r="B8" s="2574"/>
      <c r="C8" s="2574"/>
      <c r="D8" s="2574"/>
      <c r="E8" s="3470"/>
      <c r="F8" s="3470"/>
      <c r="G8" s="3470"/>
      <c r="H8" s="3470"/>
      <c r="I8" s="3497"/>
      <c r="J8" s="3497"/>
      <c r="K8" s="3467"/>
      <c r="L8" s="2575"/>
      <c r="P8" s="3468"/>
      <c r="Q8" s="3468"/>
      <c r="R8" s="1568"/>
      <c r="S8" s="2701"/>
      <c r="T8" s="1511"/>
      <c r="U8" s="1511"/>
      <c r="V8" s="1536"/>
      <c r="W8" s="1536"/>
      <c r="X8" s="1536"/>
      <c r="Y8" s="1536"/>
      <c r="Z8" s="1536"/>
      <c r="AA8" s="1536"/>
      <c r="AB8" s="1539" t="str">
        <f>AC7&amp;"-"&amp;AE7</f>
        <v>-</v>
      </c>
      <c r="AC8" s="3477"/>
      <c r="AD8" s="3318"/>
      <c r="AE8" s="3477"/>
      <c r="AF8" s="3318"/>
      <c r="AG8" s="1536"/>
      <c r="AH8" s="1536"/>
      <c r="AI8" s="1536"/>
      <c r="AJ8" s="1536"/>
      <c r="AK8" s="1536"/>
      <c r="AL8" s="1536"/>
      <c r="AM8" s="1539" t="str">
        <f>AN7&amp;"-"&amp;AP7</f>
        <v>-</v>
      </c>
      <c r="AN8" s="3477"/>
      <c r="AO8" s="3318"/>
      <c r="AP8" s="3499"/>
      <c r="AQ8" s="3318"/>
      <c r="AR8" s="2650"/>
      <c r="AS8" s="3560"/>
      <c r="AU8" s="1711"/>
      <c r="AV8" s="1711" t="str">
        <f>IF(T8="","",T8)</f>
        <v/>
      </c>
      <c r="AW8" s="1711"/>
      <c r="AX8" s="1711"/>
      <c r="AY8" s="2366">
        <v>0</v>
      </c>
    </row>
    <row customHeight="1" ht="21" hidden="1">
      <c r="A9" s="2574"/>
      <c r="B9" s="2574"/>
      <c r="C9" s="2574"/>
      <c r="D9" s="2574"/>
      <c r="E9" s="3470"/>
      <c r="F9" s="3470"/>
      <c r="G9" s="3470"/>
      <c r="H9" s="3470"/>
      <c r="I9" s="3497"/>
      <c r="J9" s="3467"/>
      <c r="K9" s="2574"/>
      <c r="L9" s="2575"/>
      <c r="P9" s="3468"/>
      <c r="Q9" s="3468"/>
      <c r="R9" s="1567"/>
      <c r="S9" s="2489"/>
      <c r="T9" s="1498" t="s">
        <v>504</v>
      </c>
      <c r="U9" s="1578"/>
      <c r="V9" s="1578"/>
      <c r="W9" s="1811"/>
      <c r="X9" s="1811"/>
      <c r="Y9" s="1811"/>
      <c r="Z9" s="1811"/>
      <c r="AA9" s="1811"/>
      <c r="AB9" s="1578"/>
      <c r="AC9" s="1578"/>
      <c r="AD9" s="1578"/>
      <c r="AE9" s="1578"/>
      <c r="AF9" s="1578"/>
      <c r="AG9" s="1578"/>
      <c r="AH9" s="1811"/>
      <c r="AI9" s="1811"/>
      <c r="AJ9" s="1811"/>
      <c r="AK9" s="1811"/>
      <c r="AL9" s="1811"/>
      <c r="AM9" s="1578"/>
      <c r="AN9" s="1578"/>
      <c r="AO9" s="1578"/>
      <c r="AP9" s="1578"/>
      <c r="AQ9" s="1578"/>
      <c r="AR9" s="1578"/>
      <c r="AS9" s="2469" t="s">
        <v>505</v>
      </c>
      <c r="AU9" s="1711"/>
      <c r="AV9" s="1711" t="str">
        <f>IF(T9="","",T9)</f>
        <v>Добавить значение признака дифференциации</v>
      </c>
      <c r="AW9" s="1711"/>
      <c r="AX9" s="1711"/>
      <c r="AY9" s="2366">
        <v>0</v>
      </c>
    </row>
    <row customHeight="1" ht="21" hidden="1">
      <c r="A10" s="2574"/>
      <c r="B10" s="2574"/>
      <c r="C10" s="2574"/>
      <c r="D10" s="2574"/>
      <c r="E10" s="3470"/>
      <c r="F10" s="3470"/>
      <c r="G10" s="3470"/>
      <c r="H10" s="3470"/>
      <c r="I10" s="3467"/>
      <c r="J10" s="2574"/>
      <c r="K10" s="2574"/>
      <c r="L10" s="2575"/>
      <c r="P10" s="3468"/>
      <c r="Q10" s="2692"/>
      <c r="R10" s="1567"/>
      <c r="S10" s="2489"/>
      <c r="T10" s="1576" t="s">
        <v>430</v>
      </c>
      <c r="U10" s="1578"/>
      <c r="V10" s="1578"/>
      <c r="W10" s="1811"/>
      <c r="X10" s="1811"/>
      <c r="Y10" s="1811"/>
      <c r="Z10" s="1811"/>
      <c r="AA10" s="1811"/>
      <c r="AB10" s="1578"/>
      <c r="AC10" s="1578"/>
      <c r="AD10" s="1578"/>
      <c r="AE10" s="1578"/>
      <c r="AF10" s="1577"/>
      <c r="AG10" s="1578"/>
      <c r="AH10" s="1811"/>
      <c r="AI10" s="1811"/>
      <c r="AJ10" s="1811"/>
      <c r="AK10" s="1811"/>
      <c r="AL10" s="1811"/>
      <c r="AM10" s="1578"/>
      <c r="AN10" s="1578"/>
      <c r="AO10" s="1578"/>
      <c r="AP10" s="1578"/>
      <c r="AQ10" s="1577"/>
      <c r="AR10" s="1578"/>
      <c r="AS10" s="2651"/>
      <c r="AU10" s="1711"/>
      <c r="AV10" s="1711" t="str">
        <f>IF(T10="","",T10)</f>
        <v>Добавить группу потребителей</v>
      </c>
      <c r="AW10" s="1711"/>
      <c r="AX10" s="1711"/>
      <c r="AY10" s="2366">
        <v>0</v>
      </c>
    </row>
    <row customHeight="1" ht="21" hidden="1">
      <c r="A11" s="2574"/>
      <c r="B11" s="2574"/>
      <c r="C11" s="2574"/>
      <c r="D11" s="2574"/>
      <c r="E11" s="3470"/>
      <c r="F11" s="3470"/>
      <c r="G11" s="3470"/>
      <c r="H11" s="3469"/>
      <c r="I11" s="2574"/>
      <c r="J11" s="2574"/>
      <c r="K11" s="2574"/>
      <c r="L11" s="2575"/>
      <c r="M11" s="2576"/>
      <c r="N11" s="2576"/>
      <c r="O11" s="1748"/>
      <c r="P11" s="1571"/>
      <c r="Q11" s="1586"/>
      <c r="R11" s="1566"/>
      <c r="S11" s="2489"/>
      <c r="T11" s="1583" t="s">
        <v>506</v>
      </c>
      <c r="U11" s="1578"/>
      <c r="V11" s="1578"/>
      <c r="W11" s="1811"/>
      <c r="X11" s="1811"/>
      <c r="Y11" s="1811"/>
      <c r="Z11" s="1811"/>
      <c r="AA11" s="1811"/>
      <c r="AB11" s="1578"/>
      <c r="AC11" s="1578"/>
      <c r="AD11" s="1578"/>
      <c r="AE11" s="1578"/>
      <c r="AF11" s="1577"/>
      <c r="AG11" s="1578"/>
      <c r="AH11" s="1811"/>
      <c r="AI11" s="1811"/>
      <c r="AJ11" s="1811"/>
      <c r="AK11" s="1811"/>
      <c r="AL11" s="1811"/>
      <c r="AM11" s="1578"/>
      <c r="AN11" s="1578"/>
      <c r="AO11" s="1578"/>
      <c r="AP11" s="1578"/>
      <c r="AQ11" s="1577"/>
      <c r="AR11" s="1578"/>
      <c r="AS11" s="1514"/>
      <c r="AU11" s="1711"/>
      <c r="AV11" s="1711" t="str">
        <f>IF(T11="","",T11)</f>
        <v>Добавить наименование признака дифференциации</v>
      </c>
      <c r="AW11" s="1711"/>
      <c r="AX11" s="1711"/>
      <c r="AY11" s="2366">
        <v>0</v>
      </c>
    </row>
    <row s="65923" customFormat="1" customHeight="1" ht="14.25" hidden="1">
      <c r="A12" s="2554"/>
      <c r="B12" s="2554"/>
      <c r="C12" s="2525"/>
      <c r="D12" s="2525"/>
      <c r="E12" s="3470"/>
      <c r="F12" s="3469"/>
      <c r="G12" s="2525"/>
      <c r="H12" s="2525"/>
      <c r="I12" s="2525"/>
      <c r="J12" s="2525"/>
      <c r="K12" s="2525"/>
      <c r="L12" s="2705"/>
      <c r="M12" s="2532"/>
      <c r="N12" s="2532"/>
      <c r="P12" s="2527"/>
      <c r="Q12" s="2528"/>
      <c r="R12" s="2527"/>
      <c r="S12" s="2533"/>
      <c r="T12" s="2536" t="s">
        <v>433</v>
      </c>
      <c r="U12" s="2535"/>
      <c r="V12" s="2535"/>
      <c r="W12" s="2535"/>
      <c r="X12" s="2535"/>
      <c r="Y12" s="2535"/>
      <c r="Z12" s="2535"/>
      <c r="AA12" s="2535"/>
      <c r="AB12" s="2535"/>
      <c r="AC12" s="2535"/>
      <c r="AD12" s="2535"/>
      <c r="AE12" s="2535"/>
      <c r="AF12" s="2535"/>
      <c r="AG12" s="2535"/>
      <c r="AH12" s="2535"/>
      <c r="AI12" s="2535"/>
      <c r="AJ12" s="2535"/>
      <c r="AK12" s="2535"/>
      <c r="AL12" s="2535"/>
      <c r="AM12" s="2535"/>
      <c r="AN12" s="2535"/>
      <c r="AO12" s="2535"/>
      <c r="AP12" s="2535"/>
      <c r="AQ12" s="2535"/>
      <c r="AR12" s="2535"/>
      <c r="AS12" s="2535"/>
      <c r="AU12" s="2000"/>
      <c r="AV12" s="2000" t="str">
        <f>IF(T12="","",T12)</f>
        <v>Добавить централизованную систему для дифференциации</v>
      </c>
      <c r="AW12" s="2000"/>
      <c r="AX12" s="2000"/>
      <c r="AY12" s="1729">
        <v>0</v>
      </c>
    </row>
    <row s="65923" customFormat="1" customHeight="1" ht="14.25" hidden="1">
      <c r="A13" s="2554"/>
      <c r="B13" s="2554"/>
      <c r="C13" s="2554"/>
      <c r="D13" s="2554"/>
      <c r="E13" s="3469"/>
      <c r="F13" s="2554"/>
      <c r="G13" s="2554"/>
      <c r="H13" s="2554"/>
      <c r="I13" s="2554"/>
      <c r="J13" s="2554"/>
      <c r="K13" s="2554"/>
      <c r="L13" s="2557"/>
      <c r="M13" s="2532"/>
      <c r="N13" s="2532"/>
      <c r="O13" s="1729"/>
      <c r="P13" s="1591"/>
      <c r="Q13" s="2555"/>
      <c r="R13" s="1591"/>
      <c r="S13" s="2533"/>
      <c r="T13" s="2536" t="s">
        <v>434</v>
      </c>
      <c r="U13" s="2535"/>
      <c r="V13" s="2535"/>
      <c r="W13" s="2535"/>
      <c r="X13" s="2535"/>
      <c r="Y13" s="2535"/>
      <c r="Z13" s="2535"/>
      <c r="AA13" s="2535"/>
      <c r="AB13" s="2535"/>
      <c r="AC13" s="2535"/>
      <c r="AD13" s="2535"/>
      <c r="AE13" s="2535"/>
      <c r="AF13" s="2535"/>
      <c r="AG13" s="2535"/>
      <c r="AH13" s="2535"/>
      <c r="AI13" s="2535"/>
      <c r="AJ13" s="2535"/>
      <c r="AK13" s="2535"/>
      <c r="AL13" s="2535"/>
      <c r="AM13" s="2535"/>
      <c r="AN13" s="2535"/>
      <c r="AO13" s="2535"/>
      <c r="AP13" s="2535"/>
      <c r="AQ13" s="2535"/>
      <c r="AR13" s="2535"/>
      <c r="AS13" s="2535"/>
      <c r="AU13" s="1711"/>
      <c r="AV13" s="1711" t="str">
        <f>IF(T13="","",T13)</f>
        <v>Добавить территорию для дифференциации</v>
      </c>
      <c r="AW13" s="1711"/>
      <c r="AX13" s="1711"/>
      <c r="AY13" s="1722">
        <v>0</v>
      </c>
    </row>
    <row customHeight="1" ht="14.25" hidden="1">
      <c r="AF14" s="1538"/>
      <c r="AQ14" s="1538"/>
      <c r="AY14" s="2366">
        <v>0</v>
      </c>
    </row>
    <row customHeight="1" ht="14.25" hidden="1">
      <c r="AG15" s="2571"/>
      <c r="AH15" s="2571"/>
      <c r="AI15" s="2571"/>
      <c r="AJ15" s="2571"/>
      <c r="AK15" s="2571"/>
      <c r="AL15" s="2571"/>
      <c r="AM15" s="2572"/>
      <c r="AN15" s="3478"/>
      <c r="AO15" s="3479" t="s">
        <v>62</v>
      </c>
      <c r="AP15" s="3478"/>
      <c r="AQ15" s="3479" t="s">
        <v>62</v>
      </c>
      <c r="AY15" s="2366">
        <v>0</v>
      </c>
    </row>
    <row customHeight="1" ht="14.25" hidden="1">
      <c r="AG16" s="2571"/>
      <c r="AH16" s="2571"/>
      <c r="AI16" s="2571"/>
      <c r="AJ16" s="2571"/>
      <c r="AK16" s="2571"/>
      <c r="AL16" s="2571"/>
      <c r="AM16" s="1539" t="str">
        <f>AN15&amp;"-"&amp;AP15</f>
        <v>-</v>
      </c>
      <c r="AN16" s="3479"/>
      <c r="AO16" s="3479"/>
      <c r="AP16" s="3479"/>
      <c r="AQ16" s="3479"/>
      <c r="AY16" s="2366">
        <v>0</v>
      </c>
    </row>
    <row customHeight="1" ht="14.25" hidden="1">
      <c r="AQ17" s="1538"/>
      <c r="AY17" s="2366">
        <v>0</v>
      </c>
    </row>
    <row s="66852" customFormat="1" customHeight="1" ht="22.5" hidden="1">
      <c r="L18" s="2689"/>
      <c r="M18" s="2573"/>
      <c r="N18" s="2573"/>
      <c r="O18" s="2578" t="s">
        <v>435</v>
      </c>
      <c r="P18" s="2573"/>
      <c r="Q18" s="2582"/>
      <c r="R18" s="2582"/>
      <c r="S18" s="1940"/>
      <c r="W18" s="2577"/>
      <c r="X18" s="2577"/>
      <c r="Y18" s="2577"/>
      <c r="Z18" s="2577"/>
      <c r="AA18" s="2577"/>
      <c r="AC18" s="2578"/>
      <c r="AE18" s="2578"/>
      <c r="AF18" s="2577"/>
      <c r="AH18" s="2577"/>
      <c r="AI18" s="2577"/>
      <c r="AJ18" s="2577"/>
      <c r="AK18" s="2577"/>
      <c r="AL18" s="2577"/>
      <c r="AN18" s="2578"/>
      <c r="AP18" s="2578"/>
      <c r="AQ18" s="2577"/>
      <c r="AT18" s="1722"/>
      <c r="AU18" s="1722"/>
      <c r="AV18" s="1722"/>
      <c r="AW18" s="1722"/>
      <c r="AX18" s="1722"/>
      <c r="AY18" s="2371">
        <v>0</v>
      </c>
    </row>
    <row s="66852" customFormat="1" customHeight="1" ht="14.25" hidden="1">
      <c r="L19" s="2689"/>
      <c r="M19" s="2573"/>
      <c r="N19" s="2573"/>
      <c r="O19" s="2573"/>
      <c r="P19" s="2573"/>
      <c r="Q19" s="2582"/>
      <c r="R19" s="2582"/>
      <c r="S19" s="1940"/>
      <c r="W19" s="2577"/>
      <c r="X19" s="2577"/>
      <c r="Y19" s="2577"/>
      <c r="Z19" s="2577"/>
      <c r="AA19" s="2577"/>
      <c r="AF19" s="2577"/>
      <c r="AH19" s="2577"/>
      <c r="AI19" s="2577"/>
      <c r="AJ19" s="2577"/>
      <c r="AK19" s="2577"/>
      <c r="AL19" s="2577"/>
      <c r="AQ19" s="2577"/>
      <c r="AT19" s="1722"/>
      <c r="AU19" s="1722"/>
      <c r="AV19" s="1722"/>
      <c r="AW19" s="1722"/>
      <c r="AX19" s="1722"/>
      <c r="AY19" s="2371">
        <v>0</v>
      </c>
    </row>
    <row s="66852" customFormat="1" customHeight="1" ht="12" hidden="1">
      <c r="L20" s="2689"/>
      <c r="M20" s="2573"/>
      <c r="N20" s="2573"/>
      <c r="O20" s="2575" t="s">
        <v>436</v>
      </c>
      <c r="P20" s="2573"/>
      <c r="Q20" s="2653"/>
      <c r="R20" s="2653"/>
      <c r="S20" s="1940"/>
      <c r="T20" s="2371" t="s">
        <v>437</v>
      </c>
      <c r="W20" s="2577"/>
      <c r="X20" s="2577"/>
      <c r="Y20" s="2577"/>
      <c r="Z20" s="2577"/>
      <c r="AA20" s="2577"/>
      <c r="AD20" s="1397" t="s">
        <v>438</v>
      </c>
      <c r="AF20" s="1397" t="s">
        <v>439</v>
      </c>
      <c r="AG20" s="2371" t="s">
        <v>437</v>
      </c>
      <c r="AH20" s="2577"/>
      <c r="AI20" s="2577"/>
      <c r="AJ20" s="2577"/>
      <c r="AK20" s="2577"/>
      <c r="AL20" s="2577"/>
      <c r="AO20" s="1397" t="s">
        <v>440</v>
      </c>
      <c r="AQ20" s="1397" t="s">
        <v>439</v>
      </c>
      <c r="AY20" s="2371">
        <v>0</v>
      </c>
    </row>
    <row customHeight="1" ht="14.25" hidden="1">
      <c r="O21" s="2575"/>
      <c r="AY21" s="2366">
        <v>0</v>
      </c>
    </row>
    <row customHeight="1" ht="14.25" hidden="1">
      <c r="O22" s="2575"/>
      <c r="AY22" s="2366">
        <v>0</v>
      </c>
    </row>
    <row customHeight="1" ht="14.699999999999998">
      <c r="Q23" s="1587"/>
      <c r="R23" s="1587"/>
      <c r="S23" s="2486"/>
      <c r="T23" s="1574"/>
      <c r="U23" s="1574"/>
      <c r="V23" s="1720"/>
      <c r="W23" s="2846"/>
      <c r="X23" s="2846"/>
      <c r="Y23" s="2846"/>
      <c r="Z23" s="2846"/>
      <c r="AA23" s="2846"/>
      <c r="AB23" s="1720"/>
      <c r="AC23" s="1720"/>
      <c r="AD23" s="1720"/>
      <c r="AE23" s="1720"/>
      <c r="AF23" s="1720"/>
      <c r="AG23" s="1720"/>
      <c r="AH23" s="2846"/>
      <c r="AI23" s="2846"/>
      <c r="AJ23" s="2846"/>
      <c r="AK23" s="2846"/>
      <c r="AL23" s="2846"/>
      <c r="AM23" s="1720"/>
      <c r="AN23" s="1720"/>
      <c r="AO23" s="1720"/>
      <c r="AP23" s="1720"/>
      <c r="AQ23" s="1720"/>
      <c r="AY23" s="2366">
        <v>14</v>
      </c>
    </row>
    <row customHeight="1" ht="26.25">
      <c r="Q24" s="1587"/>
      <c r="R24" s="1587"/>
      <c r="S24" s="345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3459"/>
      <c r="U24" s="3459"/>
      <c r="V24" s="3459"/>
      <c r="W24" s="3459"/>
      <c r="X24" s="3459"/>
      <c r="Y24" s="3459"/>
      <c r="Z24" s="3459"/>
      <c r="AA24" s="3459"/>
      <c r="AB24" s="3459"/>
      <c r="AC24" s="3459"/>
      <c r="AD24" s="3459"/>
      <c r="AE24" s="3459"/>
      <c r="AF24" s="3459"/>
      <c r="AG24" s="3459"/>
      <c r="AH24" s="3459"/>
      <c r="AI24" s="3459"/>
      <c r="AJ24" s="3459"/>
      <c r="AK24" s="3459"/>
      <c r="AL24" s="3459"/>
      <c r="AM24" s="3459"/>
      <c r="AN24" s="3459"/>
      <c r="AO24" s="3459"/>
      <c r="AP24" s="3459"/>
      <c r="AQ24" s="2454"/>
      <c r="AY24" s="2366">
        <v>25</v>
      </c>
    </row>
    <row customHeight="1" ht="14.699999999999998">
      <c r="Q25" s="1587"/>
      <c r="R25" s="1587"/>
      <c r="S25" s="3460" t="str">
        <f>IF(org=0,"Не определено",org)</f>
        <v>ПАО "ТГК-2"</v>
      </c>
      <c r="T25" s="3460"/>
      <c r="U25" s="3460"/>
      <c r="V25" s="3460"/>
      <c r="W25" s="3460"/>
      <c r="X25" s="3460"/>
      <c r="Y25" s="3460"/>
      <c r="Z25" s="3460"/>
      <c r="AA25" s="3460"/>
      <c r="AB25" s="3460"/>
      <c r="AC25" s="3460"/>
      <c r="AD25" s="3460"/>
      <c r="AE25" s="3460"/>
      <c r="AF25" s="3460"/>
      <c r="AG25" s="3460"/>
      <c r="AH25" s="3460"/>
      <c r="AI25" s="3460"/>
      <c r="AJ25" s="3460"/>
      <c r="AK25" s="3460"/>
      <c r="AL25" s="3460"/>
      <c r="AM25" s="3460"/>
      <c r="AN25" s="3460"/>
      <c r="AO25" s="3460"/>
      <c r="AP25" s="3460"/>
      <c r="AQ25" s="2454"/>
      <c r="AY25" s="2366">
        <v>14</v>
      </c>
    </row>
    <row customHeight="1" ht="14.25" hidden="1">
      <c r="Q26" s="1587"/>
      <c r="R26" s="1587"/>
      <c r="S26" s="2486"/>
      <c r="T26" s="1574"/>
      <c r="U26" s="1574"/>
      <c r="V26" s="1533"/>
      <c r="W26" s="1533"/>
      <c r="X26" s="1533"/>
      <c r="Y26" s="1533"/>
      <c r="Z26" s="1533"/>
      <c r="AA26" s="1533"/>
      <c r="AB26" s="1533"/>
      <c r="AC26" s="1533"/>
      <c r="AD26" s="1533"/>
      <c r="AE26" s="1533"/>
      <c r="AF26" s="1533"/>
      <c r="AG26" s="1533"/>
      <c r="AH26" s="1533"/>
      <c r="AI26" s="1533"/>
      <c r="AJ26" s="1533"/>
      <c r="AK26" s="1533"/>
      <c r="AL26" s="1533"/>
      <c r="AM26" s="1533"/>
      <c r="AN26" s="1533"/>
      <c r="AO26" s="1533"/>
      <c r="AP26" s="1533"/>
      <c r="AQ26" s="1533"/>
      <c r="AR26" s="1720"/>
      <c r="AY26" s="2366">
        <v>0</v>
      </c>
    </row>
    <row s="67333" customFormat="1" customHeight="1" ht="25.5" hidden="1">
      <c r="A27" s="2579"/>
      <c r="B27" s="2579"/>
      <c r="C27" s="2579"/>
      <c r="D27" s="2579"/>
      <c r="E27" s="2579"/>
      <c r="F27" s="2579"/>
      <c r="G27" s="2579"/>
      <c r="H27" s="2579"/>
      <c r="I27" s="2579"/>
      <c r="J27" s="2579"/>
      <c r="K27" s="2579"/>
      <c r="L27" s="2580"/>
      <c r="M27" s="2579"/>
      <c r="N27" s="2579"/>
      <c r="O27" s="2579"/>
      <c r="S27" s="3461" t="s">
        <v>41</v>
      </c>
      <c r="T27" s="3461"/>
      <c r="U27" s="2583"/>
      <c r="V27" s="3462" t="str">
        <f>IF(TITLE_NAME_OR_PR_CHANGE="",IF(TITLE_NAME_OR_PR="","",TITLE_NAME_OR_PR),TITLE_NAME_OR_PR_CHANGE)</f>
        <v/>
      </c>
      <c r="W27" s="3462"/>
      <c r="X27" s="3462"/>
      <c r="Y27" s="3462"/>
      <c r="Z27" s="3462"/>
      <c r="AA27" s="3462"/>
      <c r="AB27" s="3462"/>
      <c r="AC27" s="3462"/>
      <c r="AD27" s="3462"/>
      <c r="AE27" s="3462"/>
      <c r="AF27" s="1537"/>
      <c r="AG27" s="3462" t="str">
        <f>IF(TITLE_NAME_OR_PR_CHANGE="",IF(TITLE_NAME_OR_PR="","",TITLE_NAME_OR_PR),TITLE_NAME_OR_PR_CHANGE)</f>
        <v/>
      </c>
      <c r="AH27" s="3462"/>
      <c r="AI27" s="3462"/>
      <c r="AJ27" s="3462"/>
      <c r="AK27" s="3462"/>
      <c r="AL27" s="3462"/>
      <c r="AM27" s="3462"/>
      <c r="AN27" s="3462"/>
      <c r="AO27" s="3462"/>
      <c r="AP27" s="3462"/>
      <c r="AQ27" s="1537"/>
      <c r="AR27" s="1537"/>
      <c r="AS27" s="1491"/>
      <c r="AT27" s="1579"/>
      <c r="AU27" s="1579"/>
      <c r="AV27" s="1579"/>
      <c r="AW27" s="1579"/>
      <c r="AX27" s="1579"/>
      <c r="AY27" s="1629">
        <v>0</v>
      </c>
    </row>
    <row s="67333" customFormat="1" customHeight="1" ht="18.75" hidden="1">
      <c r="A28" s="2579"/>
      <c r="B28" s="2579"/>
      <c r="C28" s="2579"/>
      <c r="D28" s="2579"/>
      <c r="E28" s="2579"/>
      <c r="F28" s="2579"/>
      <c r="G28" s="2579"/>
      <c r="H28" s="2579"/>
      <c r="I28" s="2579"/>
      <c r="J28" s="2579"/>
      <c r="K28" s="2579"/>
      <c r="L28" s="2580"/>
      <c r="M28" s="2579"/>
      <c r="N28" s="2579"/>
      <c r="O28" s="2579"/>
      <c r="S28" s="3461" t="s">
        <v>441</v>
      </c>
      <c r="T28" s="3461"/>
      <c r="U28" s="2583"/>
      <c r="V28" s="3475" t="str">
        <f>IF(TITLE_DATE_PR_CHANGE="",IF(TITLE_DATE_PR="","",TITLE_DATE_PR),TITLE_DATE_PR_CHANGE)</f>
        <v/>
      </c>
      <c r="W28" s="3475"/>
      <c r="X28" s="3475"/>
      <c r="Y28" s="3475"/>
      <c r="Z28" s="3475"/>
      <c r="AA28" s="3475"/>
      <c r="AB28" s="3475"/>
      <c r="AC28" s="3475"/>
      <c r="AD28" s="3475"/>
      <c r="AE28" s="3475"/>
      <c r="AF28" s="1537"/>
      <c r="AG28" s="3475" t="str">
        <f>IF(TITLE_DATE_PR_CHANGE="",IF(TITLE_DATE_PR="","",TITLE_DATE_PR),TITLE_DATE_PR_CHANGE)</f>
        <v/>
      </c>
      <c r="AH28" s="3475"/>
      <c r="AI28" s="3475"/>
      <c r="AJ28" s="3475"/>
      <c r="AK28" s="3475"/>
      <c r="AL28" s="3475"/>
      <c r="AM28" s="3475"/>
      <c r="AN28" s="3475"/>
      <c r="AO28" s="3475"/>
      <c r="AP28" s="3475"/>
      <c r="AQ28" s="1537"/>
      <c r="AR28" s="1537"/>
      <c r="AS28" s="1491"/>
      <c r="AT28" s="1579"/>
      <c r="AU28" s="1579"/>
      <c r="AV28" s="1579"/>
      <c r="AW28" s="1579"/>
      <c r="AX28" s="1579"/>
      <c r="AY28" s="1629">
        <v>0</v>
      </c>
    </row>
    <row s="67333" customFormat="1" customHeight="1" ht="18.75" hidden="1">
      <c r="A29" s="2579"/>
      <c r="B29" s="2579"/>
      <c r="C29" s="2579"/>
      <c r="D29" s="2579"/>
      <c r="E29" s="2579"/>
      <c r="F29" s="2579"/>
      <c r="G29" s="2579"/>
      <c r="H29" s="2579"/>
      <c r="I29" s="2579"/>
      <c r="J29" s="2579"/>
      <c r="K29" s="2579"/>
      <c r="L29" s="2580"/>
      <c r="M29" s="2579"/>
      <c r="N29" s="2579"/>
      <c r="O29" s="2579"/>
      <c r="S29" s="3461" t="s">
        <v>442</v>
      </c>
      <c r="T29" s="3461"/>
      <c r="U29" s="2583"/>
      <c r="V29" s="3462" t="str">
        <f>IF(TITLE_NUMBER_PR_CHANGE="",IF(TITLE_NUMBER_PR="","",TITLE_NUMBER_PR),TITLE_NUMBER_PR_CHANGE)</f>
        <v/>
      </c>
      <c r="W29" s="3462"/>
      <c r="X29" s="3462"/>
      <c r="Y29" s="3462"/>
      <c r="Z29" s="3462"/>
      <c r="AA29" s="3462"/>
      <c r="AB29" s="3462"/>
      <c r="AC29" s="3462"/>
      <c r="AD29" s="3462"/>
      <c r="AE29" s="3462"/>
      <c r="AF29" s="1537"/>
      <c r="AG29" s="3462" t="str">
        <f>IF(TITLE_NUMBER_PR_CHANGE="",IF(TITLE_NUMBER_PR="","",TITLE_NUMBER_PR),TITLE_NUMBER_PR_CHANGE)</f>
        <v/>
      </c>
      <c r="AH29" s="3462"/>
      <c r="AI29" s="3462"/>
      <c r="AJ29" s="3462"/>
      <c r="AK29" s="3462"/>
      <c r="AL29" s="3462"/>
      <c r="AM29" s="3462"/>
      <c r="AN29" s="3462"/>
      <c r="AO29" s="3462"/>
      <c r="AP29" s="3462"/>
      <c r="AQ29" s="1537"/>
      <c r="AR29" s="1537"/>
      <c r="AS29" s="1491"/>
      <c r="AT29" s="1579"/>
      <c r="AU29" s="1579"/>
      <c r="AV29" s="1579"/>
      <c r="AW29" s="1579"/>
      <c r="AX29" s="1579"/>
      <c r="AY29" s="1629">
        <v>0</v>
      </c>
    </row>
    <row s="67333" customFormat="1" customHeight="1" ht="18.75" hidden="1">
      <c r="A30" s="2579"/>
      <c r="B30" s="2579"/>
      <c r="C30" s="2579"/>
      <c r="D30" s="2579"/>
      <c r="E30" s="2579"/>
      <c r="F30" s="2579"/>
      <c r="G30" s="2579"/>
      <c r="H30" s="2579"/>
      <c r="I30" s="2579"/>
      <c r="J30" s="2579"/>
      <c r="K30" s="2579"/>
      <c r="L30" s="2580"/>
      <c r="M30" s="2579"/>
      <c r="N30" s="2579"/>
      <c r="O30" s="2579"/>
      <c r="S30" s="3461" t="s">
        <v>42</v>
      </c>
      <c r="T30" s="3461"/>
      <c r="U30" s="2583"/>
      <c r="V30" s="3462" t="str">
        <f>IF(TITLE_IST_PUB_CHANGE="",IF(TITLE_IST_PUB="","",TITLE_IST_PUB),TITLE_IST_PUB_CHANGE)</f>
        <v/>
      </c>
      <c r="W30" s="3462"/>
      <c r="X30" s="3462"/>
      <c r="Y30" s="3462"/>
      <c r="Z30" s="3462"/>
      <c r="AA30" s="3462"/>
      <c r="AB30" s="3462"/>
      <c r="AC30" s="3462"/>
      <c r="AD30" s="3462"/>
      <c r="AE30" s="3462"/>
      <c r="AF30" s="1537"/>
      <c r="AG30" s="3462" t="str">
        <f>IF(TITLE_IST_PUB_CHANGE="",IF(TITLE_IST_PUB="","",TITLE_IST_PUB),TITLE_IST_PUB_CHANGE)</f>
        <v/>
      </c>
      <c r="AH30" s="3462"/>
      <c r="AI30" s="3462"/>
      <c r="AJ30" s="3462"/>
      <c r="AK30" s="3462"/>
      <c r="AL30" s="3462"/>
      <c r="AM30" s="3462"/>
      <c r="AN30" s="3462"/>
      <c r="AO30" s="3462"/>
      <c r="AP30" s="3462"/>
      <c r="AQ30" s="1537"/>
      <c r="AR30" s="1537"/>
      <c r="AS30" s="1491"/>
      <c r="AT30" s="1579"/>
      <c r="AU30" s="1579"/>
      <c r="AV30" s="1579"/>
      <c r="AW30" s="1579"/>
      <c r="AX30" s="1579"/>
      <c r="AY30" s="1629">
        <v>0</v>
      </c>
    </row>
    <row customHeight="1" ht="14.25" hidden="1">
      <c r="Q31" s="1587"/>
      <c r="R31" s="1587"/>
      <c r="S31" s="2486"/>
      <c r="T31" s="1574"/>
      <c r="U31" s="1574"/>
      <c r="V31" s="1533"/>
      <c r="W31" s="1533"/>
      <c r="X31" s="1533"/>
      <c r="Y31" s="1533"/>
      <c r="Z31" s="1533"/>
      <c r="AA31" s="1533"/>
      <c r="AB31" s="1533"/>
      <c r="AC31" s="1533"/>
      <c r="AD31" s="1533"/>
      <c r="AE31" s="1533"/>
      <c r="AF31" s="1533"/>
      <c r="AG31" s="1533"/>
      <c r="AH31" s="1533"/>
      <c r="AI31" s="1533"/>
      <c r="AJ31" s="1533"/>
      <c r="AK31" s="1533"/>
      <c r="AL31" s="1533"/>
      <c r="AM31" s="1533"/>
      <c r="AN31" s="1533"/>
      <c r="AO31" s="1533"/>
      <c r="AP31" s="1533"/>
      <c r="AQ31" s="1533"/>
      <c r="AR31" s="1720"/>
      <c r="AY31" s="2366">
        <v>0</v>
      </c>
    </row>
    <row s="67333" customFormat="1" customHeight="1" ht="18.75" hidden="1">
      <c r="A32" s="2579"/>
      <c r="B32" s="2579"/>
      <c r="C32" s="2579"/>
      <c r="D32" s="2579"/>
      <c r="E32" s="2579"/>
      <c r="F32" s="2579"/>
      <c r="G32" s="2579"/>
      <c r="H32" s="2579"/>
      <c r="I32" s="2579"/>
      <c r="J32" s="2579"/>
      <c r="K32" s="2579"/>
      <c r="L32" s="2580"/>
      <c r="M32" s="2579"/>
      <c r="N32" s="2579"/>
      <c r="O32" s="2579"/>
      <c r="S32" s="3461" t="s">
        <v>443</v>
      </c>
      <c r="T32" s="3461"/>
      <c r="U32" s="2583"/>
      <c r="V32" s="3475" t="str">
        <f>IF(TITLE_DATE_PR_CHANGE="",IF(TITLE_DATE_PR="","",TITLE_DATE_PR),TITLE_DATE_PR_CHANGE)</f>
        <v/>
      </c>
      <c r="W32" s="3475"/>
      <c r="X32" s="3475"/>
      <c r="Y32" s="3475"/>
      <c r="Z32" s="3475"/>
      <c r="AA32" s="3475"/>
      <c r="AB32" s="3475"/>
      <c r="AC32" s="3475"/>
      <c r="AD32" s="3475"/>
      <c r="AE32" s="3475"/>
      <c r="AF32" s="1537"/>
      <c r="AG32" s="3475" t="str">
        <f>IF(TITLE_DATE_PR_CHANGE="",IF(TITLE_DATE_PR="","",TITLE_DATE_PR),TITLE_DATE_PR_CHANGE)</f>
        <v/>
      </c>
      <c r="AH32" s="3475"/>
      <c r="AI32" s="3475"/>
      <c r="AJ32" s="3475"/>
      <c r="AK32" s="3475"/>
      <c r="AL32" s="3475"/>
      <c r="AM32" s="3475"/>
      <c r="AN32" s="3475"/>
      <c r="AO32" s="3475"/>
      <c r="AP32" s="3475"/>
      <c r="AQ32" s="1537"/>
      <c r="AR32" s="1537"/>
      <c r="AS32" s="1491"/>
      <c r="AT32" s="1579"/>
      <c r="AU32" s="1579"/>
      <c r="AV32" s="1579"/>
      <c r="AW32" s="1579"/>
      <c r="AX32" s="1579"/>
      <c r="AY32" s="1629">
        <v>0</v>
      </c>
    </row>
    <row s="67333" customFormat="1" customHeight="1" ht="18.75" hidden="1">
      <c r="A33" s="2579"/>
      <c r="B33" s="2579"/>
      <c r="C33" s="2579"/>
      <c r="D33" s="2579"/>
      <c r="E33" s="2579"/>
      <c r="F33" s="2579"/>
      <c r="G33" s="2579"/>
      <c r="H33" s="2579"/>
      <c r="I33" s="2579"/>
      <c r="J33" s="2579"/>
      <c r="K33" s="2579"/>
      <c r="L33" s="2580"/>
      <c r="M33" s="2579"/>
      <c r="N33" s="2579"/>
      <c r="O33" s="2579"/>
      <c r="S33" s="3461" t="s">
        <v>444</v>
      </c>
      <c r="T33" s="3461"/>
      <c r="U33" s="2583"/>
      <c r="V33" s="3462" t="str">
        <f>IF(TITLE_NUMBER_PR_CHANGE="",IF(TITLE_NUMBER_PR="","",TITLE_NUMBER_PR),TITLE_NUMBER_PR_CHANGE)</f>
        <v/>
      </c>
      <c r="W33" s="3462"/>
      <c r="X33" s="3462"/>
      <c r="Y33" s="3462"/>
      <c r="Z33" s="3462"/>
      <c r="AA33" s="3462"/>
      <c r="AB33" s="3462"/>
      <c r="AC33" s="3462"/>
      <c r="AD33" s="3462"/>
      <c r="AE33" s="3462"/>
      <c r="AF33" s="1537"/>
      <c r="AG33" s="3462" t="str">
        <f>IF(TITLE_NUMBER_PR_CHANGE="",IF(TITLE_NUMBER_PR="","",TITLE_NUMBER_PR),TITLE_NUMBER_PR_CHANGE)</f>
        <v/>
      </c>
      <c r="AH33" s="3462"/>
      <c r="AI33" s="3462"/>
      <c r="AJ33" s="3462"/>
      <c r="AK33" s="3462"/>
      <c r="AL33" s="3462"/>
      <c r="AM33" s="3462"/>
      <c r="AN33" s="3462"/>
      <c r="AO33" s="3462"/>
      <c r="AP33" s="3462"/>
      <c r="AQ33" s="1537"/>
      <c r="AR33" s="1537"/>
      <c r="AS33" s="1491"/>
      <c r="AT33" s="1579"/>
      <c r="AU33" s="1579"/>
      <c r="AV33" s="1579"/>
      <c r="AW33" s="1579"/>
      <c r="AX33" s="1579"/>
      <c r="AY33" s="1629">
        <v>0</v>
      </c>
    </row>
    <row s="67333" customFormat="1" customHeight="1" ht="1.05">
      <c r="A34" s="2579"/>
      <c r="B34" s="2579"/>
      <c r="C34" s="2579"/>
      <c r="D34" s="2579"/>
      <c r="E34" s="2579"/>
      <c r="F34" s="2579"/>
      <c r="G34" s="2579"/>
      <c r="H34" s="2579"/>
      <c r="I34" s="2579"/>
      <c r="J34" s="2579"/>
      <c r="K34" s="2579"/>
      <c r="L34" s="2580"/>
      <c r="M34" s="2579"/>
      <c r="N34" s="2579"/>
      <c r="O34" s="2579"/>
      <c r="S34" s="1534"/>
      <c r="T34" s="1534"/>
      <c r="U34" s="2699"/>
      <c r="V34" s="1537"/>
      <c r="W34" s="2846"/>
      <c r="X34" s="2846"/>
      <c r="Y34" s="2846"/>
      <c r="Z34" s="2846"/>
      <c r="AA34" s="2846"/>
      <c r="AB34" s="1537"/>
      <c r="AC34" s="1537"/>
      <c r="AD34" s="1537"/>
      <c r="AE34" s="1537"/>
      <c r="AF34" s="1489" t="s">
        <v>445</v>
      </c>
      <c r="AG34" s="1537"/>
      <c r="AH34" s="2846"/>
      <c r="AI34" s="2846"/>
      <c r="AJ34" s="2846"/>
      <c r="AK34" s="2846"/>
      <c r="AL34" s="2846"/>
      <c r="AM34" s="1537"/>
      <c r="AN34" s="1537"/>
      <c r="AO34" s="1537"/>
      <c r="AP34" s="1537"/>
      <c r="AQ34" s="1489" t="s">
        <v>445</v>
      </c>
      <c r="AT34" s="1579"/>
      <c r="AU34" s="1579"/>
      <c r="AV34" s="1579"/>
      <c r="AW34" s="1579"/>
      <c r="AX34" s="1579"/>
      <c r="AY34" s="1629">
        <v>1</v>
      </c>
    </row>
    <row customHeight="1" ht="14.699999999999998">
      <c r="Q35" s="1587"/>
      <c r="R35" s="1587"/>
      <c r="S35" s="2486"/>
      <c r="T35" s="1574"/>
      <c r="U35" s="2455"/>
      <c r="V35" s="3463"/>
      <c r="W35" s="3463"/>
      <c r="X35" s="3463"/>
      <c r="Y35" s="3463"/>
      <c r="Z35" s="3463"/>
      <c r="AA35" s="3463"/>
      <c r="AB35" s="3463"/>
      <c r="AC35" s="3463"/>
      <c r="AD35" s="3463"/>
      <c r="AE35" s="3463"/>
      <c r="AF35" s="3463"/>
      <c r="AG35" s="3463"/>
      <c r="AH35" s="3463"/>
      <c r="AI35" s="3463"/>
      <c r="AJ35" s="3463"/>
      <c r="AK35" s="3463"/>
      <c r="AL35" s="3463"/>
      <c r="AM35" s="3463"/>
      <c r="AN35" s="3463"/>
      <c r="AO35" s="3463"/>
      <c r="AP35" s="3463"/>
      <c r="AQ35" s="3463"/>
      <c r="AY35" s="2366">
        <v>14</v>
      </c>
    </row>
    <row customHeight="1" ht="14.699999999999998">
      <c r="Q36" s="1587"/>
      <c r="R36" s="1587"/>
      <c r="S36" s="3338" t="s">
        <v>318</v>
      </c>
      <c r="T36" s="3338"/>
      <c r="U36" s="3338"/>
      <c r="V36" s="3338"/>
      <c r="W36" s="3338"/>
      <c r="X36" s="3338"/>
      <c r="Y36" s="3338"/>
      <c r="Z36" s="3338"/>
      <c r="AA36" s="3338"/>
      <c r="AB36" s="3338"/>
      <c r="AC36" s="3338"/>
      <c r="AD36" s="3338"/>
      <c r="AE36" s="3338"/>
      <c r="AF36" s="3338"/>
      <c r="AG36" s="3338"/>
      <c r="AH36" s="3338"/>
      <c r="AI36" s="3338"/>
      <c r="AJ36" s="3338"/>
      <c r="AK36" s="3338"/>
      <c r="AL36" s="3338"/>
      <c r="AM36" s="3338"/>
      <c r="AN36" s="3338"/>
      <c r="AO36" s="3338"/>
      <c r="AP36" s="3338"/>
      <c r="AQ36" s="3338"/>
      <c r="AR36" s="3338"/>
      <c r="AS36" s="3338" t="s">
        <v>319</v>
      </c>
      <c r="AY36" s="2366">
        <v>14</v>
      </c>
    </row>
    <row customHeight="1" ht="14.699999999999998">
      <c r="Q37" s="1587"/>
      <c r="R37" s="1587"/>
      <c r="S37" s="3484" t="s">
        <v>88</v>
      </c>
      <c r="T37" s="3420" t="s">
        <v>446</v>
      </c>
      <c r="U37" s="1512"/>
      <c r="V37" s="3485" t="s">
        <v>447</v>
      </c>
      <c r="W37" s="3486"/>
      <c r="X37" s="3486"/>
      <c r="Y37" s="3486"/>
      <c r="Z37" s="3486"/>
      <c r="AA37" s="3486"/>
      <c r="AB37" s="3486"/>
      <c r="AC37" s="3486"/>
      <c r="AD37" s="3486"/>
      <c r="AE37" s="3487"/>
      <c r="AF37" s="3488" t="s">
        <v>448</v>
      </c>
      <c r="AG37" s="3485" t="s">
        <v>447</v>
      </c>
      <c r="AH37" s="3486"/>
      <c r="AI37" s="3486"/>
      <c r="AJ37" s="3486"/>
      <c r="AK37" s="3486"/>
      <c r="AL37" s="3486"/>
      <c r="AM37" s="3486"/>
      <c r="AN37" s="3486"/>
      <c r="AO37" s="3486"/>
      <c r="AP37" s="3487"/>
      <c r="AQ37" s="3488" t="s">
        <v>449</v>
      </c>
      <c r="AR37" s="3491" t="s">
        <v>450</v>
      </c>
      <c r="AS37" s="3338"/>
      <c r="AY37" s="2366">
        <v>14</v>
      </c>
    </row>
    <row s="66903" customFormat="1" customHeight="1" ht="19.95">
      <c r="A38" s="2577"/>
      <c r="B38" s="2577"/>
      <c r="C38" s="2577"/>
      <c r="D38" s="2577"/>
      <c r="E38" s="2577"/>
      <c r="F38" s="2577"/>
      <c r="G38" s="2577"/>
      <c r="H38" s="2577"/>
      <c r="I38" s="2577"/>
      <c r="J38" s="2577"/>
      <c r="K38" s="2577"/>
      <c r="L38" s="3191"/>
      <c r="M38" s="2573"/>
      <c r="N38" s="2573"/>
      <c r="O38" s="2573"/>
      <c r="P38" s="3192"/>
      <c r="Q38" s="1587"/>
      <c r="R38" s="1587"/>
      <c r="S38" s="3484"/>
      <c r="T38" s="3420"/>
      <c r="U38" s="2242"/>
      <c r="V38" s="3577" t="s">
        <v>550</v>
      </c>
      <c r="W38" s="3576" t="s">
        <v>551</v>
      </c>
      <c r="X38" s="3576"/>
      <c r="Y38" s="3576"/>
      <c r="Z38" s="3576" t="s">
        <v>552</v>
      </c>
      <c r="AA38" s="3576"/>
      <c r="AB38" s="3576"/>
      <c r="AC38" s="3505" t="s">
        <v>454</v>
      </c>
      <c r="AD38" s="3524"/>
      <c r="AE38" s="3525"/>
      <c r="AF38" s="3489"/>
      <c r="AG38" s="3577" t="s">
        <v>550</v>
      </c>
      <c r="AH38" s="3576" t="s">
        <v>551</v>
      </c>
      <c r="AI38" s="3576"/>
      <c r="AJ38" s="3576"/>
      <c r="AK38" s="3576" t="s">
        <v>552</v>
      </c>
      <c r="AL38" s="3576"/>
      <c r="AM38" s="3576"/>
      <c r="AN38" s="3505" t="s">
        <v>454</v>
      </c>
      <c r="AO38" s="3524"/>
      <c r="AP38" s="3525"/>
      <c r="AQ38" s="3489"/>
      <c r="AR38" s="3492"/>
      <c r="AS38" s="3338"/>
      <c r="AT38" s="2847"/>
      <c r="AU38" s="2847"/>
      <c r="AV38" s="2847"/>
      <c r="AW38" s="2847"/>
      <c r="AX38" s="2847"/>
      <c r="AY38" s="2842">
        <v>19</v>
      </c>
    </row>
    <row customHeight="1" ht="19.95">
      <c r="Q39" s="1587"/>
      <c r="R39" s="1587"/>
      <c r="S39" s="3484"/>
      <c r="T39" s="3420"/>
      <c r="U39" s="2242"/>
      <c r="V39" s="3577"/>
      <c r="W39" s="3576" t="s">
        <v>553</v>
      </c>
      <c r="X39" s="3576" t="s">
        <v>554</v>
      </c>
      <c r="Y39" s="3576"/>
      <c r="Z39" s="3576" t="s">
        <v>555</v>
      </c>
      <c r="AA39" s="3576" t="s">
        <v>554</v>
      </c>
      <c r="AB39" s="3576"/>
      <c r="AC39" s="3506"/>
      <c r="AD39" s="3526"/>
      <c r="AE39" s="3527"/>
      <c r="AF39" s="3489"/>
      <c r="AG39" s="3577"/>
      <c r="AH39" s="3576" t="s">
        <v>553</v>
      </c>
      <c r="AI39" s="3576" t="s">
        <v>554</v>
      </c>
      <c r="AJ39" s="3576"/>
      <c r="AK39" s="3576" t="s">
        <v>555</v>
      </c>
      <c r="AL39" s="3576" t="s">
        <v>554</v>
      </c>
      <c r="AM39" s="3576"/>
      <c r="AN39" s="3506"/>
      <c r="AO39" s="3526"/>
      <c r="AP39" s="3527"/>
      <c r="AQ39" s="3489"/>
      <c r="AR39" s="3492"/>
      <c r="AS39" s="3338"/>
      <c r="AY39" s="2366">
        <v>19</v>
      </c>
    </row>
    <row customHeight="1" ht="61.949999999999996">
      <c r="A40" s="2581"/>
      <c r="B40" s="2581" t="s">
        <v>155</v>
      </c>
      <c r="C40" s="2581" t="s">
        <v>156</v>
      </c>
      <c r="D40" s="2581" t="s">
        <v>157</v>
      </c>
      <c r="E40" s="2575" t="s">
        <v>455</v>
      </c>
      <c r="F40" s="2575" t="s">
        <v>456</v>
      </c>
      <c r="G40" s="2575" t="s">
        <v>457</v>
      </c>
      <c r="H40" s="2575"/>
      <c r="I40" s="2575" t="s">
        <v>508</v>
      </c>
      <c r="J40" s="2575" t="s">
        <v>460</v>
      </c>
      <c r="K40" s="2575" t="s">
        <v>509</v>
      </c>
      <c r="L40" s="2575" t="s">
        <v>436</v>
      </c>
      <c r="Q40" s="1587"/>
      <c r="R40" s="1587"/>
      <c r="S40" s="3484"/>
      <c r="T40" s="3420"/>
      <c r="U40" s="1513"/>
      <c r="V40" s="3577"/>
      <c r="W40" s="3576"/>
      <c r="X40" s="3194" t="s">
        <v>556</v>
      </c>
      <c r="Y40" s="3194" t="s">
        <v>557</v>
      </c>
      <c r="Z40" s="3576"/>
      <c r="AA40" s="3194" t="s">
        <v>558</v>
      </c>
      <c r="AB40" s="3194" t="s">
        <v>559</v>
      </c>
      <c r="AC40" s="2700" t="s">
        <v>464</v>
      </c>
      <c r="AD40" s="3481" t="s">
        <v>465</v>
      </c>
      <c r="AE40" s="3482"/>
      <c r="AF40" s="3490"/>
      <c r="AG40" s="3577"/>
      <c r="AH40" s="3576"/>
      <c r="AI40" s="3194" t="s">
        <v>556</v>
      </c>
      <c r="AJ40" s="3194" t="s">
        <v>557</v>
      </c>
      <c r="AK40" s="3576"/>
      <c r="AL40" s="3194" t="s">
        <v>558</v>
      </c>
      <c r="AM40" s="3194" t="s">
        <v>559</v>
      </c>
      <c r="AN40" s="2700" t="s">
        <v>464</v>
      </c>
      <c r="AO40" s="3481" t="s">
        <v>465</v>
      </c>
      <c r="AP40" s="3482"/>
      <c r="AQ40" s="3490"/>
      <c r="AR40" s="3493"/>
      <c r="AS40" s="3338"/>
      <c r="AY40" s="2366">
        <v>59</v>
      </c>
    </row>
    <row s="65897" customFormat="1" customHeight="1" ht="11.25" hidden="1">
      <c r="A41" s="2581"/>
      <c r="B41" s="2581"/>
      <c r="C41" s="2581"/>
      <c r="D41" s="2581"/>
      <c r="E41" s="2581"/>
      <c r="F41" s="2581"/>
      <c r="G41" s="2581"/>
      <c r="H41" s="2581"/>
      <c r="I41" s="2581"/>
      <c r="J41" s="2581"/>
      <c r="K41" s="2581"/>
      <c r="L41" s="2575"/>
      <c r="M41" s="2573"/>
      <c r="N41" s="2573"/>
      <c r="O41" s="2573"/>
      <c r="P41" s="2457"/>
      <c r="Q41" s="2458"/>
      <c r="R41" s="2465">
        <v>1</v>
      </c>
      <c r="S41" s="2488" t="s">
        <v>99</v>
      </c>
      <c r="T41" s="2466" t="s">
        <v>102</v>
      </c>
      <c r="U41" s="2456" t="str">
        <f>OFFSET(U41,0,-1)</f>
        <v>2</v>
      </c>
      <c r="V41" s="2693">
        <f>OFFSET(V41,0,-1)+1</f>
        <v>3</v>
      </c>
      <c r="W41" s="3190"/>
      <c r="X41" s="3190"/>
      <c r="Y41" s="3190"/>
      <c r="Z41" s="3190"/>
      <c r="AA41" s="3190"/>
      <c r="AB41" s="2693">
        <f>OFFSET(AB41,0,-1)+1</f>
        <v>1</v>
      </c>
      <c r="AC41" s="2693">
        <f>OFFSET(AC41,0,-1)+1</f>
        <v>2</v>
      </c>
      <c r="AD41" s="3483">
        <f>OFFSET(AD41,0,-1)+1</f>
        <v>3</v>
      </c>
      <c r="AE41" s="3483"/>
      <c r="AF41" s="2693">
        <f>OFFSET(AF41,0,-2)+1</f>
        <v>4</v>
      </c>
      <c r="AG41" s="2693">
        <f>OFFSET(AG41,0,-1)+1</f>
        <v>5</v>
      </c>
      <c r="AH41" s="3190"/>
      <c r="AI41" s="3190"/>
      <c r="AJ41" s="3190"/>
      <c r="AK41" s="3190"/>
      <c r="AL41" s="3190"/>
      <c r="AM41" s="2693">
        <f>OFFSET(AM41,0,-1)+1</f>
        <v>1</v>
      </c>
      <c r="AN41" s="2693">
        <f>OFFSET(AN41,0,-1)+1</f>
        <v>2</v>
      </c>
      <c r="AO41" s="3483">
        <f>OFFSET(AO41,0,-1)+1</f>
        <v>3</v>
      </c>
      <c r="AP41" s="3483"/>
      <c r="AQ41" s="2693">
        <f>OFFSET(AQ41,0,-2)+1</f>
        <v>4</v>
      </c>
      <c r="AR41" s="2456">
        <f>OFFSET(AR41,0,-1)</f>
        <v>4</v>
      </c>
      <c r="AS41" s="2693">
        <f>OFFSET(AS41,0,-1)+1</f>
        <v>5</v>
      </c>
      <c r="AT41" s="1722"/>
      <c r="AU41" s="1722"/>
      <c r="AV41" s="1722"/>
      <c r="AW41" s="1722"/>
      <c r="AX41" s="1722"/>
      <c r="AY41" s="1707">
        <v>0</v>
      </c>
    </row>
    <row customHeight="1" ht="24">
      <c r="A42" s="2574" t="s">
        <v>274</v>
      </c>
      <c r="B42" s="2574"/>
      <c r="C42" s="2574"/>
      <c r="D42" s="2574"/>
      <c r="E42" s="3469">
        <v>1</v>
      </c>
      <c r="F42" s="2574"/>
      <c r="G42" s="2574"/>
      <c r="H42" s="2574"/>
      <c r="I42" s="2574"/>
      <c r="J42" s="2574"/>
      <c r="K42" s="2574"/>
      <c r="L42" s="2575"/>
      <c r="M42" s="2576"/>
      <c r="N42" s="2576"/>
      <c r="O42" s="2576"/>
      <c r="P42" s="1572"/>
      <c r="Q42" s="1571"/>
      <c r="R42" s="1566"/>
      <c r="S42" s="2704">
        <f>INDEX(PT_DIFFERENTIATION_NUM_NTAR,MATCH(A42,PT_DIFFERENTIATION_NTAR_ID,0))</f>
        <v>0</v>
      </c>
      <c r="T42" s="1509" t="s">
        <v>143</v>
      </c>
      <c r="U42" s="1511"/>
      <c r="V42" s="3453"/>
      <c r="W42" s="3454"/>
      <c r="X42" s="3454"/>
      <c r="Y42" s="3454"/>
      <c r="Z42" s="3454"/>
      <c r="AA42" s="3454"/>
      <c r="AB42" s="3454"/>
      <c r="AC42" s="3454"/>
      <c r="AD42" s="3454"/>
      <c r="AE42" s="3454"/>
      <c r="AF42" s="3455"/>
      <c r="AG42" s="3453" t="str">
        <f>INDEX(PT_DIFFERENTIATION_NTAR,MATCH(A42,PT_DIFFERENTIATION_NTAR_ID,0))</f>
        <v/>
      </c>
      <c r="AH42" s="3454"/>
      <c r="AI42" s="3454"/>
      <c r="AJ42" s="3454"/>
      <c r="AK42" s="3454"/>
      <c r="AL42" s="3454"/>
      <c r="AM42" s="3454"/>
      <c r="AN42" s="3454"/>
      <c r="AO42" s="3454"/>
      <c r="AP42" s="3454"/>
      <c r="AQ42" s="3454"/>
      <c r="AR42" s="3455"/>
      <c r="AS4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711"/>
      <c r="AV42" s="1711" t="str">
        <f>IF(T42="","",T42)</f>
        <v>Наименование тарифа</v>
      </c>
      <c r="AW42" s="1711"/>
      <c r="AX42" s="1711"/>
      <c r="AY42" s="2366">
        <v>23</v>
      </c>
    </row>
    <row customHeight="1" ht="24">
      <c r="A43" s="2574" t="s">
        <v>274</v>
      </c>
      <c r="B43" s="2574" t="s">
        <v>275</v>
      </c>
      <c r="C43" s="2574"/>
      <c r="D43" s="2574"/>
      <c r="E43" s="3470"/>
      <c r="F43" s="3469">
        <v>1</v>
      </c>
      <c r="G43" s="2574"/>
      <c r="H43" s="2574"/>
      <c r="I43" s="2574"/>
      <c r="J43" s="2574"/>
      <c r="K43" s="2574"/>
      <c r="L43" s="2575"/>
      <c r="M43" s="2576"/>
      <c r="N43" s="2576"/>
      <c r="O43" s="2576"/>
      <c r="P43" s="2698"/>
      <c r="Q43" s="1563"/>
      <c r="R43" s="1564"/>
      <c r="S43" s="2704" t="str">
        <f>INDEX(PT_DIFFERENTIATION_NUM_TER,MATCH(B43,PT_DIFFERENTIATION_TER_ID,0))</f>
        <v>.</v>
      </c>
      <c r="T43" s="1519" t="s">
        <v>415</v>
      </c>
      <c r="U43" s="1511"/>
      <c r="V43" s="3453"/>
      <c r="W43" s="3454"/>
      <c r="X43" s="3454"/>
      <c r="Y43" s="3454"/>
      <c r="Z43" s="3454"/>
      <c r="AA43" s="3454"/>
      <c r="AB43" s="3454"/>
      <c r="AC43" s="3454"/>
      <c r="AD43" s="3454"/>
      <c r="AE43" s="3454"/>
      <c r="AF43" s="3455"/>
      <c r="AG43" s="3453" t="str">
        <f>INDEX(PT_DIFFERENTIATION_TER,MATCH(B43,PT_DIFFERENTIATION_TER_ID,0))</f>
        <v/>
      </c>
      <c r="AH43" s="3454"/>
      <c r="AI43" s="3454"/>
      <c r="AJ43" s="3454"/>
      <c r="AK43" s="3454"/>
      <c r="AL43" s="3454"/>
      <c r="AM43" s="3454"/>
      <c r="AN43" s="3454"/>
      <c r="AO43" s="3454"/>
      <c r="AP43" s="3454"/>
      <c r="AQ43" s="3454"/>
      <c r="AR43" s="3455"/>
      <c r="AS43" s="2469" t="s">
        <v>416</v>
      </c>
      <c r="AU43" s="1711"/>
      <c r="AV43" s="1711" t="str">
        <f>IF(T43="","",T43)</f>
        <v>Территория действия тарифа</v>
      </c>
      <c r="AW43" s="1711"/>
      <c r="AX43" s="1711"/>
      <c r="AY43" s="2366">
        <v>23</v>
      </c>
    </row>
    <row customHeight="1" ht="24">
      <c r="A44" s="2574" t="s">
        <v>274</v>
      </c>
      <c r="B44" s="2574" t="s">
        <v>275</v>
      </c>
      <c r="C44" s="2574" t="s">
        <v>276</v>
      </c>
      <c r="D44" s="2574"/>
      <c r="E44" s="3470"/>
      <c r="F44" s="3470"/>
      <c r="G44" s="3469">
        <v>1</v>
      </c>
      <c r="H44" s="2574"/>
      <c r="I44" s="2574"/>
      <c r="J44" s="2574"/>
      <c r="K44" s="2574"/>
      <c r="L44" s="2575"/>
      <c r="M44" s="2576"/>
      <c r="N44" s="2576"/>
      <c r="O44" s="2576"/>
      <c r="P44" s="1565"/>
      <c r="Q44" s="1563"/>
      <c r="R44" s="1564"/>
      <c r="S44" s="2704" t="str">
        <f>INDEX(PT_DIFFERENTIATION_NUM_CS,MATCH(C44,PT_DIFFERENTIATION_CS_ID,0))</f>
        <v>..</v>
      </c>
      <c r="T44" s="1520" t="s">
        <v>548</v>
      </c>
      <c r="U44" s="1511"/>
      <c r="V44" s="3453"/>
      <c r="W44" s="3454"/>
      <c r="X44" s="3454"/>
      <c r="Y44" s="3454"/>
      <c r="Z44" s="3454"/>
      <c r="AA44" s="3454"/>
      <c r="AB44" s="3454"/>
      <c r="AC44" s="3454"/>
      <c r="AD44" s="3454"/>
      <c r="AE44" s="3454"/>
      <c r="AF44" s="3455"/>
      <c r="AG44" s="3453" t="str">
        <f>INDEX(PT_DIFFERENTIATION_CS,MATCH(C44,PT_DIFFERENTIATION_CS_ID,0))</f>
        <v/>
      </c>
      <c r="AH44" s="3454"/>
      <c r="AI44" s="3454"/>
      <c r="AJ44" s="3454"/>
      <c r="AK44" s="3454"/>
      <c r="AL44" s="3454"/>
      <c r="AM44" s="3454"/>
      <c r="AN44" s="3454"/>
      <c r="AO44" s="3454"/>
      <c r="AP44" s="3454"/>
      <c r="AQ44" s="3454"/>
      <c r="AR44" s="3455"/>
      <c r="AS44" s="2469" t="s">
        <v>549</v>
      </c>
      <c r="AU44" s="1711"/>
      <c r="AV44" s="1711" t="str">
        <f>IF(T44="","",T44)</f>
        <v>Наименование централизованной системы горячего водоснабжения</v>
      </c>
      <c r="AW44" s="1711"/>
      <c r="AX44" s="1711"/>
      <c r="AY44" s="2366">
        <v>23</v>
      </c>
    </row>
    <row customHeight="1" ht="24">
      <c r="A45" s="2574" t="s">
        <v>274</v>
      </c>
      <c r="B45" s="2574" t="s">
        <v>275</v>
      </c>
      <c r="C45" s="2574" t="s">
        <v>276</v>
      </c>
      <c r="D45" s="2574" t="s">
        <v>561</v>
      </c>
      <c r="E45" s="3470"/>
      <c r="F45" s="3470"/>
      <c r="G45" s="3470"/>
      <c r="H45" s="3470"/>
      <c r="I45" s="3467" t="str">
        <f>S44&amp;".1"</f>
        <v>...1</v>
      </c>
      <c r="J45" s="2574"/>
      <c r="K45" s="2574"/>
      <c r="L45" s="2575"/>
      <c r="P45" s="3468">
        <v>1</v>
      </c>
      <c r="Q45" s="2692"/>
      <c r="R45" s="1567"/>
      <c r="S45" s="2704" t="str">
        <f>$I45</f>
        <v>...1</v>
      </c>
      <c r="T45" s="1496" t="s">
        <v>501</v>
      </c>
      <c r="U45" s="1511"/>
      <c r="V45" s="3561"/>
      <c r="W45" s="3562"/>
      <c r="X45" s="3562"/>
      <c r="Y45" s="3562"/>
      <c r="Z45" s="3562"/>
      <c r="AA45" s="3562"/>
      <c r="AB45" s="3562"/>
      <c r="AC45" s="3562"/>
      <c r="AD45" s="3562"/>
      <c r="AE45" s="3562"/>
      <c r="AF45" s="3563"/>
      <c r="AG45" s="3564"/>
      <c r="AH45" s="3565"/>
      <c r="AI45" s="3565"/>
      <c r="AJ45" s="3565"/>
      <c r="AK45" s="3565"/>
      <c r="AL45" s="3565"/>
      <c r="AM45" s="3565"/>
      <c r="AN45" s="3565"/>
      <c r="AO45" s="3565"/>
      <c r="AP45" s="3565"/>
      <c r="AQ45" s="3565"/>
      <c r="AR45" s="3566"/>
      <c r="AS45" s="2469" t="s">
        <v>502</v>
      </c>
      <c r="AU45" s="1711"/>
      <c r="AV45" s="1711" t="str">
        <f>IF(T45="","",T45)</f>
        <v>Наименование признака дифференциации</v>
      </c>
      <c r="AW45" s="1711"/>
      <c r="AX45" s="1711"/>
      <c r="AY45" s="2366">
        <v>23</v>
      </c>
    </row>
    <row customHeight="1" ht="24">
      <c r="A46" s="2574" t="s">
        <v>274</v>
      </c>
      <c r="B46" s="2574" t="s">
        <v>275</v>
      </c>
      <c r="C46" s="2574" t="s">
        <v>276</v>
      </c>
      <c r="D46" s="2574" t="s">
        <v>561</v>
      </c>
      <c r="E46" s="3470"/>
      <c r="F46" s="3470"/>
      <c r="G46" s="3470"/>
      <c r="H46" s="3470"/>
      <c r="I46" s="3497"/>
      <c r="J46" s="3467" t="str">
        <f>I45&amp;".1"</f>
        <v>...1.1</v>
      </c>
      <c r="K46" s="2574"/>
      <c r="L46" s="2575" t="s">
        <v>424</v>
      </c>
      <c r="P46" s="3468"/>
      <c r="Q46" s="3468">
        <v>1</v>
      </c>
      <c r="R46" s="1568"/>
      <c r="S46" s="2704" t="str">
        <f>$J46</f>
        <v>...1.1</v>
      </c>
      <c r="T46" s="1497" t="s">
        <v>425</v>
      </c>
      <c r="U46" s="1511"/>
      <c r="V46" s="3456"/>
      <c r="W46" s="3457"/>
      <c r="X46" s="3457"/>
      <c r="Y46" s="3457"/>
      <c r="Z46" s="3457"/>
      <c r="AA46" s="3457"/>
      <c r="AB46" s="3457"/>
      <c r="AC46" s="3457"/>
      <c r="AD46" s="3457"/>
      <c r="AE46" s="3457"/>
      <c r="AF46" s="3458"/>
      <c r="AG46" s="3456"/>
      <c r="AH46" s="3457"/>
      <c r="AI46" s="3457"/>
      <c r="AJ46" s="3457"/>
      <c r="AK46" s="3457"/>
      <c r="AL46" s="3457"/>
      <c r="AM46" s="3457"/>
      <c r="AN46" s="3457"/>
      <c r="AO46" s="3457"/>
      <c r="AP46" s="3457"/>
      <c r="AQ46" s="3457"/>
      <c r="AR46" s="3458"/>
      <c r="AS46" s="2518" t="s">
        <v>503</v>
      </c>
      <c r="AU46" s="1711"/>
      <c r="AV46" s="1711" t="str">
        <f>IF(T46="","",T46)</f>
        <v>Группа потребителей</v>
      </c>
      <c r="AW46" s="1711"/>
      <c r="AX46" s="1711"/>
      <c r="AY46" s="2366">
        <v>23</v>
      </c>
    </row>
    <row customHeight="1" ht="24">
      <c r="A47" s="2574" t="s">
        <v>274</v>
      </c>
      <c r="B47" s="2574" t="s">
        <v>275</v>
      </c>
      <c r="C47" s="2574" t="s">
        <v>276</v>
      </c>
      <c r="D47" s="2574" t="s">
        <v>561</v>
      </c>
      <c r="E47" s="3470"/>
      <c r="F47" s="3470"/>
      <c r="G47" s="3470"/>
      <c r="H47" s="3470"/>
      <c r="I47" s="3497"/>
      <c r="J47" s="3497"/>
      <c r="K47" s="3467" t="str">
        <f>J46&amp;".1"</f>
        <v>...1.1.1</v>
      </c>
      <c r="L47" s="2575"/>
      <c r="P47" s="3468"/>
      <c r="Q47" s="3468"/>
      <c r="R47" s="1568">
        <v>1</v>
      </c>
      <c r="S47" s="2704" t="str">
        <f>$K47</f>
        <v>...1.1.1</v>
      </c>
      <c r="T47" s="2648"/>
      <c r="U47" s="1511"/>
      <c r="V47" s="2571"/>
      <c r="W47" s="2571"/>
      <c r="X47" s="2571"/>
      <c r="Y47" s="2571"/>
      <c r="Z47" s="2571"/>
      <c r="AA47" s="2571"/>
      <c r="AB47" s="2572"/>
      <c r="AC47" s="3478"/>
      <c r="AD47" s="3479" t="s">
        <v>62</v>
      </c>
      <c r="AE47" s="3478"/>
      <c r="AF47" s="3479" t="s">
        <v>62</v>
      </c>
      <c r="AG47" s="1962"/>
      <c r="AH47" s="1962"/>
      <c r="AI47" s="1962"/>
      <c r="AJ47" s="1962"/>
      <c r="AK47" s="1962"/>
      <c r="AL47" s="1962"/>
      <c r="AM47" s="2468"/>
      <c r="AN47" s="3476"/>
      <c r="AO47" s="3318" t="s">
        <v>62</v>
      </c>
      <c r="AP47" s="3498"/>
      <c r="AQ47" s="3318" t="s">
        <v>19</v>
      </c>
      <c r="AR47" s="2649"/>
      <c r="AS47" s="35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1722">
        <f>STRCHECKDATE(V48:AR48)</f>
      </c>
      <c r="AU47" s="1711"/>
      <c r="AV47" s="1711" t="str">
        <f>IF(T47="","",T47)</f>
        <v/>
      </c>
      <c r="AW47" s="1711"/>
      <c r="AX47" s="1711"/>
      <c r="AY47" s="2366">
        <v>23</v>
      </c>
    </row>
    <row customHeight="1" ht="0">
      <c r="A48" s="2574" t="s">
        <v>274</v>
      </c>
      <c r="B48" s="2574" t="s">
        <v>275</v>
      </c>
      <c r="C48" s="2574" t="s">
        <v>276</v>
      </c>
      <c r="D48" s="2574" t="s">
        <v>561</v>
      </c>
      <c r="E48" s="3470"/>
      <c r="F48" s="3470"/>
      <c r="G48" s="3470"/>
      <c r="H48" s="3470"/>
      <c r="I48" s="3497"/>
      <c r="J48" s="3497"/>
      <c r="K48" s="3467"/>
      <c r="L48" s="2575"/>
      <c r="P48" s="3468"/>
      <c r="Q48" s="3468"/>
      <c r="R48" s="1568"/>
      <c r="S48" s="2701"/>
      <c r="T48" s="1511"/>
      <c r="U48" s="1511"/>
      <c r="V48" s="2571"/>
      <c r="W48" s="2571"/>
      <c r="X48" s="2571"/>
      <c r="Y48" s="2571"/>
      <c r="Z48" s="2571"/>
      <c r="AA48" s="2571"/>
      <c r="AB48" s="1539" t="str">
        <f>AC47&amp;"-"&amp;AE47</f>
        <v>-</v>
      </c>
      <c r="AC48" s="3479"/>
      <c r="AD48" s="3479"/>
      <c r="AE48" s="3479"/>
      <c r="AF48" s="3479"/>
      <c r="AG48" s="1536"/>
      <c r="AH48" s="1536"/>
      <c r="AI48" s="1536"/>
      <c r="AJ48" s="1536"/>
      <c r="AK48" s="1536"/>
      <c r="AL48" s="1536"/>
      <c r="AM48" s="1539" t="str">
        <f>AN47&amp;"-"&amp;AP47</f>
        <v>-</v>
      </c>
      <c r="AN48" s="3477"/>
      <c r="AO48" s="3318"/>
      <c r="AP48" s="3499"/>
      <c r="AQ48" s="3318"/>
      <c r="AR48" s="2650"/>
      <c r="AS48" s="3560"/>
      <c r="AU48" s="1711"/>
      <c r="AV48" s="1711" t="str">
        <f>IF(T48="","",T48)</f>
        <v/>
      </c>
      <c r="AW48" s="1711"/>
      <c r="AX48" s="1711"/>
      <c r="AY48" s="2366">
        <v>0</v>
      </c>
    </row>
    <row customHeight="1" ht="21">
      <c r="A49" s="2574" t="s">
        <v>274</v>
      </c>
      <c r="B49" s="2574" t="s">
        <v>275</v>
      </c>
      <c r="C49" s="2574" t="s">
        <v>276</v>
      </c>
      <c r="D49" s="2574" t="s">
        <v>561</v>
      </c>
      <c r="E49" s="3470"/>
      <c r="F49" s="3470"/>
      <c r="G49" s="3470"/>
      <c r="H49" s="3470"/>
      <c r="I49" s="3497"/>
      <c r="J49" s="3467"/>
      <c r="K49" s="2574"/>
      <c r="L49" s="2575"/>
      <c r="P49" s="3468"/>
      <c r="Q49" s="3468"/>
      <c r="R49" s="1567"/>
      <c r="S49" s="2489"/>
      <c r="T49" s="1498" t="s">
        <v>504</v>
      </c>
      <c r="U49" s="1578"/>
      <c r="V49" s="1578"/>
      <c r="W49" s="1811"/>
      <c r="X49" s="1811"/>
      <c r="Y49" s="1811"/>
      <c r="Z49" s="1811"/>
      <c r="AA49" s="1811"/>
      <c r="AB49" s="1578"/>
      <c r="AC49" s="1578"/>
      <c r="AD49" s="1578"/>
      <c r="AE49" s="1578"/>
      <c r="AF49" s="1578"/>
      <c r="AG49" s="1578"/>
      <c r="AH49" s="1811"/>
      <c r="AI49" s="1811"/>
      <c r="AJ49" s="1811"/>
      <c r="AK49" s="1811"/>
      <c r="AL49" s="1811"/>
      <c r="AM49" s="1578"/>
      <c r="AN49" s="1578"/>
      <c r="AO49" s="1578"/>
      <c r="AP49" s="1578"/>
      <c r="AQ49" s="1578"/>
      <c r="AR49" s="1578"/>
      <c r="AS49" s="2469" t="s">
        <v>505</v>
      </c>
      <c r="AU49" s="1711"/>
      <c r="AV49" s="1711" t="str">
        <f>IF(T49="","",T49)</f>
        <v>Добавить значение признака дифференциации</v>
      </c>
      <c r="AW49" s="1711"/>
      <c r="AX49" s="1711"/>
      <c r="AY49" s="2366">
        <v>20</v>
      </c>
    </row>
    <row customHeight="1" ht="22.049999999999997">
      <c r="A50" s="2574" t="s">
        <v>274</v>
      </c>
      <c r="B50" s="2574" t="s">
        <v>275</v>
      </c>
      <c r="C50" s="2574" t="s">
        <v>276</v>
      </c>
      <c r="D50" s="2574" t="s">
        <v>561</v>
      </c>
      <c r="E50" s="3470"/>
      <c r="F50" s="3470"/>
      <c r="G50" s="3470"/>
      <c r="H50" s="3470"/>
      <c r="I50" s="3467"/>
      <c r="J50" s="2574"/>
      <c r="K50" s="2574"/>
      <c r="L50" s="2575"/>
      <c r="P50" s="3468"/>
      <c r="Q50" s="2692"/>
      <c r="R50" s="1567"/>
      <c r="S50" s="2489"/>
      <c r="T50" s="1576" t="s">
        <v>430</v>
      </c>
      <c r="U50" s="1578"/>
      <c r="V50" s="1578"/>
      <c r="W50" s="1811"/>
      <c r="X50" s="1811"/>
      <c r="Y50" s="1811"/>
      <c r="Z50" s="1811"/>
      <c r="AA50" s="1811"/>
      <c r="AB50" s="1578"/>
      <c r="AC50" s="1578"/>
      <c r="AD50" s="1578"/>
      <c r="AE50" s="1578"/>
      <c r="AF50" s="1577"/>
      <c r="AG50" s="1578"/>
      <c r="AH50" s="1811"/>
      <c r="AI50" s="1811"/>
      <c r="AJ50" s="1811"/>
      <c r="AK50" s="1811"/>
      <c r="AL50" s="1811"/>
      <c r="AM50" s="1578"/>
      <c r="AN50" s="1578"/>
      <c r="AO50" s="1578"/>
      <c r="AP50" s="1578"/>
      <c r="AQ50" s="1577"/>
      <c r="AR50" s="1578"/>
      <c r="AS50" s="2651"/>
      <c r="AU50" s="1711"/>
      <c r="AV50" s="1711" t="str">
        <f>IF(T50="","",T50)</f>
        <v>Добавить группу потребителей</v>
      </c>
      <c r="AW50" s="1711"/>
      <c r="AX50" s="1711"/>
      <c r="AY50" s="2366">
        <v>21</v>
      </c>
    </row>
    <row customHeight="1" ht="22.049999999999997">
      <c r="A51" s="2574" t="s">
        <v>274</v>
      </c>
      <c r="B51" s="2574" t="s">
        <v>275</v>
      </c>
      <c r="C51" s="2574" t="s">
        <v>276</v>
      </c>
      <c r="D51" s="2574" t="s">
        <v>561</v>
      </c>
      <c r="E51" s="3470"/>
      <c r="F51" s="3470"/>
      <c r="G51" s="3470"/>
      <c r="H51" s="3469"/>
      <c r="I51" s="2574"/>
      <c r="J51" s="2574"/>
      <c r="K51" s="2574"/>
      <c r="L51" s="2575"/>
      <c r="M51" s="2576"/>
      <c r="N51" s="2576"/>
      <c r="O51" s="1748"/>
      <c r="P51" s="1571"/>
      <c r="Q51" s="1586"/>
      <c r="R51" s="1566"/>
      <c r="S51" s="2489"/>
      <c r="T51" s="1583" t="s">
        <v>506</v>
      </c>
      <c r="U51" s="1578"/>
      <c r="V51" s="1578"/>
      <c r="W51" s="1811"/>
      <c r="X51" s="1811"/>
      <c r="Y51" s="1811"/>
      <c r="Z51" s="1811"/>
      <c r="AA51" s="1811"/>
      <c r="AB51" s="1578"/>
      <c r="AC51" s="1578"/>
      <c r="AD51" s="1578"/>
      <c r="AE51" s="1578"/>
      <c r="AF51" s="1577"/>
      <c r="AG51" s="1578"/>
      <c r="AH51" s="1811"/>
      <c r="AI51" s="1811"/>
      <c r="AJ51" s="1811"/>
      <c r="AK51" s="1811"/>
      <c r="AL51" s="1811"/>
      <c r="AM51" s="1578"/>
      <c r="AN51" s="1578"/>
      <c r="AO51" s="1578"/>
      <c r="AP51" s="1578"/>
      <c r="AQ51" s="1577"/>
      <c r="AR51" s="1578"/>
      <c r="AS51" s="1514"/>
      <c r="AU51" s="1711"/>
      <c r="AV51" s="1711" t="str">
        <f>IF(T51="","",T51)</f>
        <v>Добавить наименование признака дифференциации</v>
      </c>
      <c r="AW51" s="1711"/>
      <c r="AX51" s="1711"/>
      <c r="AY51" s="2366">
        <v>21</v>
      </c>
    </row>
    <row s="65923" customFormat="1" customHeight="1" ht="0">
      <c r="A52" s="2554" t="s">
        <v>274</v>
      </c>
      <c r="B52" s="2554" t="s">
        <v>275</v>
      </c>
      <c r="C52" s="2525"/>
      <c r="D52" s="2525"/>
      <c r="E52" s="3470"/>
      <c r="F52" s="3469"/>
      <c r="G52" s="2525"/>
      <c r="H52" s="2525"/>
      <c r="I52" s="2525"/>
      <c r="J52" s="2525"/>
      <c r="K52" s="2525"/>
      <c r="L52" s="2705"/>
      <c r="M52" s="2532"/>
      <c r="N52" s="2532"/>
      <c r="P52" s="2527"/>
      <c r="Q52" s="2528"/>
      <c r="R52" s="2527"/>
      <c r="S52" s="2533"/>
      <c r="T52" s="2536" t="s">
        <v>433</v>
      </c>
      <c r="U52" s="2535"/>
      <c r="V52" s="2535"/>
      <c r="W52" s="2535"/>
      <c r="X52" s="2535"/>
      <c r="Y52" s="2535"/>
      <c r="Z52" s="2535"/>
      <c r="AA52" s="2535"/>
      <c r="AB52" s="2535"/>
      <c r="AC52" s="2535"/>
      <c r="AD52" s="2535"/>
      <c r="AE52" s="2535"/>
      <c r="AF52" s="2535"/>
      <c r="AG52" s="2535"/>
      <c r="AH52" s="2535"/>
      <c r="AI52" s="2535"/>
      <c r="AJ52" s="2535"/>
      <c r="AK52" s="2535"/>
      <c r="AL52" s="2535"/>
      <c r="AM52" s="2535"/>
      <c r="AN52" s="2535"/>
      <c r="AO52" s="2535"/>
      <c r="AP52" s="2535"/>
      <c r="AQ52" s="2535"/>
      <c r="AR52" s="2535"/>
      <c r="AS52" s="2535"/>
      <c r="AU52" s="2000"/>
      <c r="AV52" s="2000" t="str">
        <f>IF(T52="","",T52)</f>
        <v>Добавить централизованную систему для дифференциации</v>
      </c>
      <c r="AW52" s="2000"/>
      <c r="AX52" s="2000"/>
      <c r="AY52" s="1729">
        <v>0</v>
      </c>
    </row>
    <row s="65923" customFormat="1" customHeight="1" ht="0">
      <c r="A53" s="2554" t="s">
        <v>274</v>
      </c>
      <c r="B53" s="2554"/>
      <c r="C53" s="2554"/>
      <c r="D53" s="2554"/>
      <c r="E53" s="3469"/>
      <c r="F53" s="2554"/>
      <c r="G53" s="2554"/>
      <c r="H53" s="2554"/>
      <c r="I53" s="2554"/>
      <c r="J53" s="2554"/>
      <c r="K53" s="2554"/>
      <c r="L53" s="2557"/>
      <c r="M53" s="2532"/>
      <c r="N53" s="2532"/>
      <c r="O53" s="1729"/>
      <c r="P53" s="1591"/>
      <c r="Q53" s="2555"/>
      <c r="R53" s="1591"/>
      <c r="S53" s="2533"/>
      <c r="T53" s="2536" t="s">
        <v>434</v>
      </c>
      <c r="U53" s="2535"/>
      <c r="V53" s="2535"/>
      <c r="W53" s="2535"/>
      <c r="X53" s="2535"/>
      <c r="Y53" s="2535"/>
      <c r="Z53" s="2535"/>
      <c r="AA53" s="2535"/>
      <c r="AB53" s="2535"/>
      <c r="AC53" s="2535"/>
      <c r="AD53" s="2535"/>
      <c r="AE53" s="2535"/>
      <c r="AF53" s="2535"/>
      <c r="AG53" s="2535"/>
      <c r="AH53" s="2535"/>
      <c r="AI53" s="2535"/>
      <c r="AJ53" s="2535"/>
      <c r="AK53" s="2535"/>
      <c r="AL53" s="2535"/>
      <c r="AM53" s="2535"/>
      <c r="AN53" s="2535"/>
      <c r="AO53" s="2535"/>
      <c r="AP53" s="2535"/>
      <c r="AQ53" s="2535"/>
      <c r="AR53" s="2535"/>
      <c r="AS53" s="2535"/>
      <c r="AU53" s="1711"/>
      <c r="AV53" s="1711" t="str">
        <f>IF(T53="","",T53)</f>
        <v>Добавить территорию для дифференциации</v>
      </c>
      <c r="AW53" s="1711"/>
      <c r="AX53" s="1711"/>
      <c r="AY53" s="1722">
        <v>0</v>
      </c>
    </row>
    <row s="65923" customFormat="1" customHeight="1" ht="0">
      <c r="A54" s="2525"/>
      <c r="B54" s="2525"/>
      <c r="C54" s="2525"/>
      <c r="D54" s="2525"/>
      <c r="E54" s="2554"/>
      <c r="F54" s="2525"/>
      <c r="G54" s="2525"/>
      <c r="H54" s="2525"/>
      <c r="I54" s="2525"/>
      <c r="J54" s="2525"/>
      <c r="K54" s="2525"/>
      <c r="L54" s="2705"/>
      <c r="M54" s="2532"/>
      <c r="N54" s="2532"/>
      <c r="P54" s="2527"/>
      <c r="Q54" s="2528"/>
      <c r="R54" s="2527"/>
      <c r="S54" s="2533"/>
      <c r="T54" s="2536" t="s">
        <v>466</v>
      </c>
      <c r="U54" s="2535"/>
      <c r="V54" s="2535"/>
      <c r="W54" s="2535"/>
      <c r="X54" s="2535"/>
      <c r="Y54" s="2535"/>
      <c r="Z54" s="2535"/>
      <c r="AA54" s="2535"/>
      <c r="AB54" s="2535"/>
      <c r="AC54" s="2535"/>
      <c r="AD54" s="2535"/>
      <c r="AE54" s="2535"/>
      <c r="AF54" s="2535"/>
      <c r="AG54" s="2535"/>
      <c r="AH54" s="2535"/>
      <c r="AI54" s="2535"/>
      <c r="AJ54" s="2535"/>
      <c r="AK54" s="2535"/>
      <c r="AL54" s="2535"/>
      <c r="AM54" s="2535"/>
      <c r="AN54" s="2535"/>
      <c r="AO54" s="2535"/>
      <c r="AP54" s="2535"/>
      <c r="AQ54" s="2535"/>
      <c r="AR54" s="2535"/>
      <c r="AS54" s="2535"/>
      <c r="AU54" s="2000"/>
      <c r="AV54" s="2000" t="str">
        <f>IF(T54="","",T54)</f>
        <v>Добавить наименование тарифа</v>
      </c>
      <c r="AW54" s="2000"/>
      <c r="AX54" s="2000"/>
      <c r="AY54" s="1729">
        <v>0</v>
      </c>
    </row>
    <row customHeight="1" ht="11.549999999999999">
      <c r="M55" s="2371"/>
      <c r="N55" s="2371"/>
      <c r="O55" s="1748"/>
      <c r="P55" s="2366"/>
      <c r="Q55" s="2366"/>
      <c r="R55" s="2366"/>
      <c r="S55" s="2366"/>
      <c r="AT55" s="2366"/>
      <c r="AU55" s="2366"/>
      <c r="AV55" s="2366"/>
      <c r="AW55" s="2366"/>
      <c r="AX55" s="2366"/>
      <c r="AY55" s="2366">
        <v>11</v>
      </c>
    </row>
    <row customHeight="1" ht="14.699999999999998">
      <c r="O56" s="1748"/>
      <c r="S56" s="2464"/>
      <c r="T56" s="3496"/>
      <c r="U56" s="3496"/>
      <c r="V56" s="3496"/>
      <c r="W56" s="3496"/>
      <c r="X56" s="3496"/>
      <c r="Y56" s="3496"/>
      <c r="Z56" s="3496"/>
      <c r="AA56" s="3496"/>
      <c r="AB56" s="3496"/>
      <c r="AC56" s="3496"/>
      <c r="AD56" s="3496"/>
      <c r="AE56" s="3496"/>
      <c r="AF56" s="3496"/>
      <c r="AG56" s="3496"/>
      <c r="AH56" s="3496"/>
      <c r="AI56" s="3496"/>
      <c r="AJ56" s="3496"/>
      <c r="AK56" s="3496"/>
      <c r="AL56" s="3496"/>
      <c r="AM56" s="3496"/>
      <c r="AN56" s="3496"/>
      <c r="AO56" s="3496"/>
      <c r="AP56" s="3496"/>
      <c r="AQ56" s="3496"/>
      <c r="AR56" s="3496"/>
      <c r="AS56" s="3496"/>
      <c r="AY56" s="2366">
        <v>14</v>
      </c>
    </row>
    <row customHeight="1" ht="14.699999999999998">
      <c r="O57" s="1748"/>
      <c r="AY57" s="2366">
        <v>14</v>
      </c>
    </row>
    <row customHeight="1" ht="14.699999999999998">
      <c r="O58" s="1748"/>
      <c r="S58" s="2464"/>
      <c r="T58" s="3496"/>
      <c r="U58" s="3496"/>
      <c r="V58" s="3496"/>
      <c r="W58" s="3496"/>
      <c r="X58" s="3496"/>
      <c r="Y58" s="3496"/>
      <c r="Z58" s="3496"/>
      <c r="AA58" s="3496"/>
      <c r="AB58" s="3496"/>
      <c r="AC58" s="3496"/>
      <c r="AD58" s="3496"/>
      <c r="AE58" s="3496"/>
      <c r="AF58" s="3496"/>
      <c r="AG58" s="3496"/>
      <c r="AH58" s="3496"/>
      <c r="AI58" s="3496"/>
      <c r="AJ58" s="3496"/>
      <c r="AK58" s="3496"/>
      <c r="AL58" s="3496"/>
      <c r="AM58" s="3496"/>
      <c r="AN58" s="3496"/>
      <c r="AO58" s="3496"/>
      <c r="AP58" s="3496"/>
      <c r="AQ58" s="3496"/>
      <c r="AR58" s="3496"/>
      <c r="AS58" s="3496"/>
      <c r="AY58" s="2366">
        <v>14</v>
      </c>
    </row>
    <row customHeight="1" ht="22.5" hidden="1">
      <c r="A59" s="2371" t="s">
        <v>82</v>
      </c>
      <c r="B59" s="2371">
        <v>0</v>
      </c>
      <c r="C59" s="2371">
        <v>0</v>
      </c>
      <c r="D59" s="2371">
        <v>0</v>
      </c>
      <c r="E59" s="2371">
        <v>0</v>
      </c>
      <c r="F59" s="2371">
        <v>0</v>
      </c>
      <c r="G59" s="2371">
        <v>0</v>
      </c>
      <c r="H59" s="2371">
        <v>0</v>
      </c>
      <c r="I59" s="2371">
        <v>0</v>
      </c>
      <c r="J59" s="2371">
        <v>0</v>
      </c>
      <c r="K59" s="2371">
        <v>0</v>
      </c>
      <c r="L59" s="2689">
        <v>0</v>
      </c>
      <c r="M59" s="2573">
        <v>0</v>
      </c>
      <c r="N59" s="2573">
        <v>0</v>
      </c>
      <c r="O59" s="2573">
        <v>0</v>
      </c>
      <c r="P59" s="2684">
        <v>3</v>
      </c>
      <c r="Q59" s="1555">
        <v>3</v>
      </c>
      <c r="R59" s="1555">
        <v>3</v>
      </c>
      <c r="S59" s="1792">
        <v>12</v>
      </c>
      <c r="T59" s="2366">
        <v>35</v>
      </c>
      <c r="U59" s="2366">
        <v>0</v>
      </c>
      <c r="V59" s="2366">
        <v>0</v>
      </c>
      <c r="W59" s="2842">
        <v>0</v>
      </c>
      <c r="X59" s="2842">
        <v>0</v>
      </c>
      <c r="Y59" s="2842">
        <v>0</v>
      </c>
      <c r="Z59" s="2842">
        <v>0</v>
      </c>
      <c r="AA59" s="2842">
        <v>0</v>
      </c>
      <c r="AB59" s="2366">
        <v>0</v>
      </c>
      <c r="AC59" s="2366">
        <v>0</v>
      </c>
      <c r="AD59" s="2366">
        <v>0</v>
      </c>
      <c r="AE59" s="2366">
        <v>0</v>
      </c>
      <c r="AF59" s="2366">
        <v>0</v>
      </c>
      <c r="AG59" s="2366">
        <v>19</v>
      </c>
      <c r="AH59" s="2842">
        <v>19</v>
      </c>
      <c r="AI59" s="2842">
        <v>19</v>
      </c>
      <c r="AJ59" s="2842">
        <v>19</v>
      </c>
      <c r="AK59" s="2842">
        <v>19</v>
      </c>
      <c r="AL59" s="2842">
        <v>19</v>
      </c>
      <c r="AM59" s="2366">
        <v>19</v>
      </c>
      <c r="AN59" s="2366">
        <v>11</v>
      </c>
      <c r="AO59" s="2366">
        <v>3</v>
      </c>
      <c r="AP59" s="2366">
        <v>11</v>
      </c>
      <c r="AQ59" s="2366">
        <v>0</v>
      </c>
      <c r="AR59" s="2366">
        <v>4</v>
      </c>
      <c r="AS59" s="2366">
        <v>115</v>
      </c>
      <c r="AT59" s="1722">
        <v>10</v>
      </c>
      <c r="AU59" s="1722">
        <v>10</v>
      </c>
      <c r="AV59" s="1722">
        <v>10</v>
      </c>
      <c r="AW59" s="1722">
        <v>10</v>
      </c>
      <c r="AX59" s="1722">
        <v>10</v>
      </c>
      <c r="AY59" s="236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807A4-AE89-DC2B-D702-36EDCFD4754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66852" width="11.57421875" hidden="1" customWidth="1"/>
    <col min="2" max="2" style="66852" width="11.00390625" hidden="1" customWidth="1"/>
    <col min="3" max="3" style="66852" width="10.57421875" hidden="1"/>
    <col min="4" max="4" style="66852" width="12.8515625" hidden="1" customWidth="1"/>
    <col min="5" max="5" style="66852" width="10.00390625" hidden="1" customWidth="1"/>
    <col min="6" max="6" style="66852" width="8.7109375" hidden="1" customWidth="1"/>
    <col min="7" max="7" style="66852" width="7.57421875" hidden="1" customWidth="1"/>
    <col min="8" max="8" style="66852" width="11.421875" hidden="1" customWidth="1"/>
    <col min="9" max="9" style="66852" width="12.00390625" hidden="1" customWidth="1"/>
    <col min="10" max="10" style="66852" width="9.8515625" hidden="1" customWidth="1"/>
    <col min="11" max="11" style="66852" width="11.421875" hidden="1" customWidth="1"/>
    <col min="12" max="12" style="67442" width="19.140625" hidden="1" customWidth="1"/>
    <col min="13" max="14" style="65490" width="12.28125" hidden="1" customWidth="1"/>
    <col min="15" max="15" style="65490" width="23.421875" hidden="1" customWidth="1"/>
    <col min="16" max="16" style="65490" width="3.7109375" hidden="1" customWidth="1"/>
    <col min="17" max="17" style="65556" width="3.7109375" hidden="1" customWidth="1"/>
    <col min="18" max="18" style="66873" width="3.00390625" customWidth="1"/>
    <col min="19" max="19" style="67434" width="12.00390625" customWidth="1"/>
    <col min="20" max="20" style="66903" width="31.00390625" customWidth="1"/>
    <col min="21" max="21" style="66903" width="0.140625" customWidth="1"/>
    <col min="22" max="25" style="66903" width="21.7109375" hidden="1" customWidth="1"/>
    <col min="26" max="26" style="66903" width="11.7109375" hidden="1" customWidth="1"/>
    <col min="27" max="27" style="66903" width="3.7109375" hidden="1" customWidth="1"/>
    <col min="28" max="28" style="66903" width="11.7109375" hidden="1" customWidth="1"/>
    <col min="29" max="29" style="66903" width="8.57421875" hidden="1" customWidth="1"/>
    <col min="30" max="30" style="66903" width="3.7109375" customWidth="1"/>
    <col min="31" max="32" style="66903" width="3.00390625" customWidth="1"/>
    <col min="33" max="33" style="66903" width="24.00390625" customWidth="1"/>
    <col min="34" max="34" style="66903" width="3.7109375" customWidth="1"/>
    <col min="35" max="36" style="66903" width="3.00390625" customWidth="1"/>
    <col min="37" max="37" style="66903" width="24.00390625" customWidth="1"/>
    <col min="38" max="38" style="66903" width="3.7109375" customWidth="1"/>
    <col min="39" max="40" style="66903" width="3.00390625" customWidth="1"/>
    <col min="41" max="41" style="66903" width="18.00390625" customWidth="1"/>
    <col min="42" max="42" style="66903" width="3.7109375" customWidth="1"/>
    <col min="43" max="44" style="66903" width="3.00390625" customWidth="1"/>
    <col min="45" max="45" style="66903" width="18.00390625" customWidth="1"/>
    <col min="46" max="49" style="66903" width="21.00390625" customWidth="1"/>
    <col min="50" max="50" style="66903" width="11.00390625" customWidth="1"/>
    <col min="51" max="51" style="66903" width="3.7109375" customWidth="1"/>
    <col min="52" max="52" style="66903" width="11.00390625" customWidth="1"/>
    <col min="53" max="53" style="66903" width="8.57421875" hidden="1" customWidth="1"/>
    <col min="54" max="54" style="66903" width="4.00390625" customWidth="1"/>
    <col min="55" max="55" style="66903" width="115.00390625" customWidth="1"/>
    <col min="56" max="60" style="65923" width="10.00390625" customWidth="1"/>
    <col min="61" max="61" style="66903" width="10.57421875" hidden="1"/>
  </cols>
  <sheetData>
    <row customHeight="1" ht="22.5" hidden="1">
      <c r="W1" s="1538"/>
      <c r="Y1" s="1538"/>
      <c r="Z1" s="1538"/>
      <c r="AW1" s="1538"/>
      <c r="AX1" s="1538"/>
      <c r="BI1" s="2366" t="s">
        <v>14</v>
      </c>
    </row>
    <row customHeight="1" ht="21" hidden="1">
      <c r="A2" s="2574"/>
      <c r="B2" s="2574"/>
      <c r="C2" s="2574"/>
      <c r="D2" s="2574"/>
      <c r="E2" s="3469">
        <v>1</v>
      </c>
      <c r="F2" s="2574"/>
      <c r="G2" s="2574"/>
      <c r="H2" s="2574"/>
      <c r="I2" s="2574"/>
      <c r="J2" s="2574"/>
      <c r="K2" s="2574"/>
      <c r="L2" s="2575"/>
      <c r="M2" s="2576"/>
      <c r="N2" s="2576"/>
      <c r="O2" s="2576"/>
      <c r="P2" s="2620"/>
      <c r="Q2" s="2084"/>
      <c r="R2" s="1566"/>
      <c r="S2" s="2704">
        <f>INDEX(PT_DIFFERENTIATION_NUM_NTAR,MATCH(A2,PT_DIFFERENTIATION_NTAR_ID,0))</f>
      </c>
      <c r="T2" s="1509" t="s">
        <v>143</v>
      </c>
      <c r="U2" s="1511"/>
      <c r="V2" s="3454"/>
      <c r="W2" s="3454"/>
      <c r="X2" s="3454"/>
      <c r="Y2" s="3454"/>
      <c r="Z2" s="3454"/>
      <c r="AA2" s="3454"/>
      <c r="AB2" s="3454"/>
      <c r="AC2" s="3455"/>
      <c r="AD2" s="3453">
        <f>INDEX(PT_DIFFERENTIATION_NTAR,MATCH(A2,PT_DIFFERENTIATION_NTAR_ID,0))</f>
      </c>
      <c r="AE2" s="3454"/>
      <c r="AF2" s="3454"/>
      <c r="AG2" s="3454"/>
      <c r="AH2" s="3454"/>
      <c r="AI2" s="3454"/>
      <c r="AJ2" s="3454"/>
      <c r="AK2" s="3454"/>
      <c r="AL2" s="3454"/>
      <c r="AM2" s="3454"/>
      <c r="AN2" s="3454"/>
      <c r="AO2" s="3454"/>
      <c r="AP2" s="3454"/>
      <c r="AQ2" s="3454"/>
      <c r="AR2" s="3454"/>
      <c r="AS2" s="3454"/>
      <c r="AT2" s="3454"/>
      <c r="AU2" s="3454"/>
      <c r="AV2" s="3454"/>
      <c r="AW2" s="3454"/>
      <c r="AX2" s="3454"/>
      <c r="AY2" s="3454"/>
      <c r="AZ2" s="3454"/>
      <c r="BA2" s="3454"/>
      <c r="BB2" s="3455"/>
      <c r="BC2"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711"/>
      <c r="BF2" s="1711" t="str">
        <f>IF(T2="","",T2)</f>
        <v>Наименование тарифа</v>
      </c>
      <c r="BG2" s="1711"/>
      <c r="BH2" s="1711"/>
      <c r="BI2" s="2366">
        <v>0</v>
      </c>
    </row>
    <row customHeight="1" ht="21" hidden="1">
      <c r="A3" s="2574"/>
      <c r="B3" s="2574"/>
      <c r="C3" s="2574"/>
      <c r="D3" s="2574"/>
      <c r="E3" s="3470"/>
      <c r="F3" s="3469">
        <v>1</v>
      </c>
      <c r="G3" s="2574"/>
      <c r="H3" s="2574"/>
      <c r="I3" s="2574"/>
      <c r="J3" s="2574"/>
      <c r="K3" s="2574"/>
      <c r="L3" s="2575"/>
      <c r="M3" s="2576"/>
      <c r="N3" s="2576"/>
      <c r="O3" s="2576"/>
      <c r="P3" s="2621"/>
      <c r="Q3" s="2622"/>
      <c r="R3" s="1564"/>
      <c r="S3" s="2704">
        <f>INDEX(PT_DIFFERENTIATION_NUM_TER,MATCH(B3,PT_DIFFERENTIATION_TER_ID,0))</f>
      </c>
      <c r="T3" s="1519" t="s">
        <v>415</v>
      </c>
      <c r="U3" s="1511"/>
      <c r="V3" s="3454"/>
      <c r="W3" s="3454"/>
      <c r="X3" s="3454"/>
      <c r="Y3" s="3454"/>
      <c r="Z3" s="3454"/>
      <c r="AA3" s="3454"/>
      <c r="AB3" s="3454"/>
      <c r="AC3" s="3455"/>
      <c r="AD3" s="3453">
        <f>INDEX(PT_DIFFERENTIATION_TER,MATCH(B3,PT_DIFFERENTIATION_TER_ID,0))</f>
      </c>
      <c r="AE3" s="3454"/>
      <c r="AF3" s="3454"/>
      <c r="AG3" s="3454"/>
      <c r="AH3" s="3454"/>
      <c r="AI3" s="3454"/>
      <c r="AJ3" s="3454"/>
      <c r="AK3" s="3454"/>
      <c r="AL3" s="3454"/>
      <c r="AM3" s="3454"/>
      <c r="AN3" s="3454"/>
      <c r="AO3" s="3454"/>
      <c r="AP3" s="3454"/>
      <c r="AQ3" s="3454"/>
      <c r="AR3" s="3454"/>
      <c r="AS3" s="3454"/>
      <c r="AT3" s="3454"/>
      <c r="AU3" s="3454"/>
      <c r="AV3" s="3454"/>
      <c r="AW3" s="3454"/>
      <c r="AX3" s="3454"/>
      <c r="AY3" s="3454"/>
      <c r="AZ3" s="3454"/>
      <c r="BA3" s="3454"/>
      <c r="BB3" s="3455"/>
      <c r="BC3" s="2469" t="s">
        <v>416</v>
      </c>
      <c r="BE3" s="1711"/>
      <c r="BF3" s="1711" t="str">
        <f>IF(T3="","",T3)</f>
        <v>Территория действия тарифа</v>
      </c>
      <c r="BG3" s="1711"/>
      <c r="BH3" s="1711"/>
      <c r="BI3" s="2366">
        <v>0</v>
      </c>
    </row>
    <row customHeight="1" ht="33.75" hidden="1">
      <c r="A4" s="2574"/>
      <c r="B4" s="2574"/>
      <c r="C4" s="2574"/>
      <c r="D4" s="2574"/>
      <c r="E4" s="3470"/>
      <c r="F4" s="3470"/>
      <c r="G4" s="3469">
        <v>1</v>
      </c>
      <c r="H4" s="2574"/>
      <c r="I4" s="2574"/>
      <c r="J4" s="2574"/>
      <c r="K4" s="2574"/>
      <c r="L4" s="2575"/>
      <c r="M4" s="2576"/>
      <c r="N4" s="2576"/>
      <c r="O4" s="2576"/>
      <c r="P4" s="2623"/>
      <c r="Q4" s="2622"/>
      <c r="R4" s="1564"/>
      <c r="S4" s="2704">
        <f>INDEX(PT_DIFFERENTIATION_NUM_CS,MATCH(C4,PT_DIFFERENTIATION_CS_ID,0))</f>
      </c>
      <c r="T4" s="1520" t="s">
        <v>548</v>
      </c>
      <c r="U4" s="1511"/>
      <c r="V4" s="3454"/>
      <c r="W4" s="3454"/>
      <c r="X4" s="3454"/>
      <c r="Y4" s="3454"/>
      <c r="Z4" s="3454"/>
      <c r="AA4" s="3454"/>
      <c r="AB4" s="3454"/>
      <c r="AC4" s="3455"/>
      <c r="AD4" s="3453">
        <f>INDEX(PT_DIFFERENTIATION_CS,MATCH(C4,PT_DIFFERENTIATION_CS_ID,0))</f>
      </c>
      <c r="AE4" s="3454"/>
      <c r="AF4" s="3454"/>
      <c r="AG4" s="3454"/>
      <c r="AH4" s="3454"/>
      <c r="AI4" s="3454"/>
      <c r="AJ4" s="3454"/>
      <c r="AK4" s="3454"/>
      <c r="AL4" s="3454"/>
      <c r="AM4" s="3454"/>
      <c r="AN4" s="3454"/>
      <c r="AO4" s="3454"/>
      <c r="AP4" s="3454"/>
      <c r="AQ4" s="3454"/>
      <c r="AR4" s="3454"/>
      <c r="AS4" s="3454"/>
      <c r="AT4" s="3454"/>
      <c r="AU4" s="3454"/>
      <c r="AV4" s="3454"/>
      <c r="AW4" s="3454"/>
      <c r="AX4" s="3454"/>
      <c r="AY4" s="3454"/>
      <c r="AZ4" s="3454"/>
      <c r="BA4" s="3454"/>
      <c r="BB4" s="3455"/>
      <c r="BC4" s="2469" t="s">
        <v>549</v>
      </c>
      <c r="BE4" s="1711"/>
      <c r="BF4" s="1711" t="str">
        <f>IF(T4="","",T4)</f>
        <v>Наименование централизованной системы горячего водоснабжения</v>
      </c>
      <c r="BG4" s="1711"/>
      <c r="BH4" s="1711"/>
      <c r="BI4" s="2366">
        <v>0</v>
      </c>
    </row>
    <row s="65923" customFormat="1" customHeight="1" ht="14.25" hidden="1">
      <c r="A5" s="2554"/>
      <c r="B5" s="2554"/>
      <c r="C5" s="2554"/>
      <c r="D5" s="2554"/>
      <c r="E5" s="3470"/>
      <c r="F5" s="3470"/>
      <c r="G5" s="3470"/>
      <c r="H5" s="3469">
        <v>1</v>
      </c>
      <c r="I5" s="2554"/>
      <c r="J5" s="2554"/>
      <c r="K5" s="2554"/>
      <c r="L5" s="2557"/>
      <c r="M5" s="2526"/>
      <c r="N5" s="2526"/>
      <c r="O5" s="2526"/>
      <c r="P5" s="2708"/>
      <c r="Q5" s="2709"/>
      <c r="R5" s="1568"/>
      <c r="S5" s="2253"/>
      <c r="T5" s="2710"/>
      <c r="U5" s="2595"/>
      <c r="V5" s="3508"/>
      <c r="W5" s="3508"/>
      <c r="X5" s="3508"/>
      <c r="Y5" s="3508"/>
      <c r="Z5" s="3508"/>
      <c r="AA5" s="3508"/>
      <c r="AB5" s="3508"/>
      <c r="AC5" s="3509"/>
      <c r="AD5" s="3507"/>
      <c r="AE5" s="3508"/>
      <c r="AF5" s="3508"/>
      <c r="AG5" s="3508"/>
      <c r="AH5" s="3508"/>
      <c r="AI5" s="3508"/>
      <c r="AJ5" s="3508"/>
      <c r="AK5" s="3508"/>
      <c r="AL5" s="3508"/>
      <c r="AM5" s="3508"/>
      <c r="AN5" s="3508"/>
      <c r="AO5" s="3508"/>
      <c r="AP5" s="3508"/>
      <c r="AQ5" s="3508"/>
      <c r="AR5" s="3508"/>
      <c r="AS5" s="3508"/>
      <c r="AT5" s="3508"/>
      <c r="AU5" s="3508"/>
      <c r="AV5" s="3508"/>
      <c r="AW5" s="3508"/>
      <c r="AX5" s="3508"/>
      <c r="AY5" s="3508"/>
      <c r="AZ5" s="3508"/>
      <c r="BA5" s="3508"/>
      <c r="BB5" s="3509"/>
      <c r="BC5" s="2596" t="s">
        <v>420</v>
      </c>
      <c r="BE5" s="1711"/>
      <c r="BF5" s="1711" t="str">
        <f>IF(T5="","",T5)</f>
        <v/>
      </c>
      <c r="BG5" s="1711"/>
      <c r="BH5" s="1711"/>
      <c r="BI5" s="1722">
        <v>0</v>
      </c>
    </row>
    <row s="65923" customFormat="1" customHeight="1" ht="14.25" hidden="1">
      <c r="A6" s="2554"/>
      <c r="B6" s="2554"/>
      <c r="C6" s="2554"/>
      <c r="D6" s="2554"/>
      <c r="E6" s="3470"/>
      <c r="F6" s="3470"/>
      <c r="G6" s="3470"/>
      <c r="H6" s="3470"/>
      <c r="I6" s="3467" t="str">
        <f>S5&amp;".1"</f>
        <v>.1</v>
      </c>
      <c r="J6" s="2554"/>
      <c r="K6" s="2554"/>
      <c r="L6" s="2557" t="s">
        <v>421</v>
      </c>
      <c r="M6" s="1721"/>
      <c r="N6" s="1721"/>
      <c r="O6" s="1721"/>
      <c r="P6" s="3468">
        <v>1</v>
      </c>
      <c r="Q6" s="2692"/>
      <c r="R6" s="1567"/>
      <c r="S6" s="2253"/>
      <c r="T6" s="2594"/>
      <c r="U6" s="2595"/>
      <c r="V6" s="3508"/>
      <c r="W6" s="3508"/>
      <c r="X6" s="3508"/>
      <c r="Y6" s="3508"/>
      <c r="Z6" s="3508"/>
      <c r="AA6" s="3508"/>
      <c r="AB6" s="3508"/>
      <c r="AC6" s="3509"/>
      <c r="AD6" s="3507"/>
      <c r="AE6" s="3508"/>
      <c r="AF6" s="3508"/>
      <c r="AG6" s="3508"/>
      <c r="AH6" s="3508"/>
      <c r="AI6" s="3508"/>
      <c r="AJ6" s="3508"/>
      <c r="AK6" s="3508"/>
      <c r="AL6" s="3508"/>
      <c r="AM6" s="3508"/>
      <c r="AN6" s="3508"/>
      <c r="AO6" s="3508"/>
      <c r="AP6" s="3508"/>
      <c r="AQ6" s="3508"/>
      <c r="AR6" s="3508"/>
      <c r="AS6" s="3508"/>
      <c r="AT6" s="3508"/>
      <c r="AU6" s="3508"/>
      <c r="AV6" s="3508"/>
      <c r="AW6" s="3508"/>
      <c r="AX6" s="3508"/>
      <c r="AY6" s="3508"/>
      <c r="AZ6" s="3508"/>
      <c r="BA6" s="3508"/>
      <c r="BB6" s="3509"/>
      <c r="BC6" s="2596"/>
      <c r="BE6" s="1711"/>
      <c r="BF6" s="1711" t="str">
        <f>IF(T6="","",T6)</f>
        <v/>
      </c>
      <c r="BG6" s="1711"/>
      <c r="BH6" s="1711"/>
      <c r="BI6" s="1722">
        <v>0</v>
      </c>
    </row>
    <row s="65923" customFormat="1" customHeight="1" ht="14.25" hidden="1">
      <c r="A7" s="2554"/>
      <c r="B7" s="2554"/>
      <c r="C7" s="2554"/>
      <c r="D7" s="2554"/>
      <c r="E7" s="3470"/>
      <c r="F7" s="3470"/>
      <c r="G7" s="3470"/>
      <c r="H7" s="3470"/>
      <c r="I7" s="3497"/>
      <c r="J7" s="3467" t="str">
        <f>S5&amp;".1"</f>
        <v>.1</v>
      </c>
      <c r="K7" s="2554"/>
      <c r="L7" s="2557"/>
      <c r="M7" s="1721"/>
      <c r="N7" s="1721"/>
      <c r="O7" s="1721"/>
      <c r="P7" s="3468"/>
      <c r="Q7" s="3468">
        <v>1</v>
      </c>
      <c r="R7" s="1568"/>
      <c r="S7" s="2253"/>
      <c r="T7" s="2610"/>
      <c r="U7" s="2595"/>
      <c r="V7" s="3508"/>
      <c r="W7" s="3508"/>
      <c r="X7" s="3508"/>
      <c r="Y7" s="3508"/>
      <c r="Z7" s="3508"/>
      <c r="AA7" s="3508"/>
      <c r="AB7" s="3508"/>
      <c r="AC7" s="3509"/>
      <c r="AD7" s="3507"/>
      <c r="AE7" s="3508"/>
      <c r="AF7" s="3508"/>
      <c r="AG7" s="3508"/>
      <c r="AH7" s="3508"/>
      <c r="AI7" s="3508"/>
      <c r="AJ7" s="3508"/>
      <c r="AK7" s="3508"/>
      <c r="AL7" s="3508"/>
      <c r="AM7" s="3508"/>
      <c r="AN7" s="3508"/>
      <c r="AO7" s="3508"/>
      <c r="AP7" s="3508"/>
      <c r="AQ7" s="3508"/>
      <c r="AR7" s="3508"/>
      <c r="AS7" s="3508"/>
      <c r="AT7" s="3508"/>
      <c r="AU7" s="3508"/>
      <c r="AV7" s="3508"/>
      <c r="AW7" s="3508"/>
      <c r="AX7" s="3508"/>
      <c r="AY7" s="3508"/>
      <c r="AZ7" s="3508"/>
      <c r="BA7" s="3508"/>
      <c r="BB7" s="3509"/>
      <c r="BC7" s="2596"/>
      <c r="BE7" s="1711"/>
      <c r="BF7" s="1711" t="str">
        <f>IF(T7="","",T7)</f>
        <v/>
      </c>
      <c r="BG7" s="1711"/>
      <c r="BH7" s="1711"/>
      <c r="BI7" s="1722">
        <v>0</v>
      </c>
    </row>
    <row customHeight="1" ht="11.25" hidden="1">
      <c r="A8" s="2574"/>
      <c r="B8" s="2574"/>
      <c r="C8" s="2574"/>
      <c r="D8" s="2574"/>
      <c r="E8" s="3470"/>
      <c r="F8" s="3470"/>
      <c r="G8" s="3470"/>
      <c r="H8" s="3470"/>
      <c r="I8" s="3497"/>
      <c r="J8" s="3497"/>
      <c r="K8" s="3467">
        <f>S4&amp;".1"</f>
      </c>
      <c r="L8" s="2575"/>
      <c r="P8" s="3468"/>
      <c r="Q8" s="3468"/>
      <c r="R8" s="3558">
        <v>1</v>
      </c>
      <c r="S8" s="3552">
        <f>$K8</f>
      </c>
      <c r="T8" s="3571"/>
      <c r="U8" s="1511"/>
      <c r="V8" s="1962"/>
      <c r="W8" s="2468"/>
      <c r="X8" s="1962"/>
      <c r="Y8" s="2468"/>
      <c r="Z8" s="2945"/>
      <c r="AA8" s="2680" t="s">
        <v>62</v>
      </c>
      <c r="AB8" s="2945"/>
      <c r="AC8" s="2680" t="s">
        <v>62</v>
      </c>
      <c r="AD8" s="3396" t="s">
        <v>62</v>
      </c>
      <c r="AE8" s="3537"/>
      <c r="AF8" s="3416">
        <v>1</v>
      </c>
      <c r="AG8" s="3574"/>
      <c r="AH8" s="3318" t="s">
        <v>62</v>
      </c>
      <c r="AI8" s="3537"/>
      <c r="AJ8" s="3416">
        <v>1</v>
      </c>
      <c r="AK8" s="3538" t="s">
        <v>22</v>
      </c>
      <c r="AL8" s="3318" t="s">
        <v>62</v>
      </c>
      <c r="AM8" s="3403"/>
      <c r="AN8" s="3416">
        <v>1</v>
      </c>
      <c r="AO8" s="3568"/>
      <c r="AP8" s="3569" t="s">
        <v>62</v>
      </c>
      <c r="AQ8" s="1522"/>
      <c r="AR8" s="2697">
        <v>1</v>
      </c>
      <c r="AS8" s="2703" t="s">
        <v>22</v>
      </c>
      <c r="AT8" s="1962"/>
      <c r="AU8" s="2468"/>
      <c r="AV8" s="1962"/>
      <c r="AW8" s="2468"/>
      <c r="AX8" s="2945"/>
      <c r="AY8" s="2680" t="s">
        <v>62</v>
      </c>
      <c r="AZ8" s="2945"/>
      <c r="BA8" s="2680" t="s">
        <v>62</v>
      </c>
      <c r="BB8" s="2559"/>
      <c r="BC8" s="3464" t="s">
        <v>519</v>
      </c>
      <c r="BE8" s="1711"/>
      <c r="BF8" s="1711" t="str">
        <f>IF(T8="","",T8)</f>
        <v/>
      </c>
      <c r="BG8" s="1711"/>
      <c r="BH8" s="1711"/>
      <c r="BI8" s="2366">
        <v>0</v>
      </c>
    </row>
    <row customHeight="1" ht="11.25" hidden="1">
      <c r="A9" s="2574"/>
      <c r="B9" s="2574"/>
      <c r="C9" s="2574"/>
      <c r="D9" s="2574"/>
      <c r="E9" s="3470"/>
      <c r="F9" s="3470"/>
      <c r="G9" s="3470"/>
      <c r="H9" s="3470"/>
      <c r="I9" s="3497"/>
      <c r="J9" s="3497"/>
      <c r="K9" s="3467"/>
      <c r="L9" s="2575"/>
      <c r="P9" s="3468"/>
      <c r="Q9" s="3468"/>
      <c r="R9" s="3558"/>
      <c r="S9" s="3553"/>
      <c r="T9" s="3572"/>
      <c r="U9" s="1511"/>
      <c r="V9" s="2604"/>
      <c r="W9" s="2707"/>
      <c r="X9" s="2604"/>
      <c r="Y9" s="2707"/>
      <c r="Z9" s="2604"/>
      <c r="AA9" s="2604"/>
      <c r="AB9" s="2604"/>
      <c r="AC9" s="2604"/>
      <c r="AD9" s="3397"/>
      <c r="AE9" s="3537"/>
      <c r="AF9" s="3416"/>
      <c r="AG9" s="3574"/>
      <c r="AH9" s="3318"/>
      <c r="AI9" s="3537"/>
      <c r="AJ9" s="3416"/>
      <c r="AK9" s="3538"/>
      <c r="AL9" s="3318"/>
      <c r="AM9" s="3411"/>
      <c r="AN9" s="3416"/>
      <c r="AO9" s="3568"/>
      <c r="AP9" s="3570"/>
      <c r="AQ9" s="1527"/>
      <c r="AR9" s="1627"/>
      <c r="AS9" s="1627" t="s">
        <v>520</v>
      </c>
      <c r="AT9" s="2604"/>
      <c r="AU9" s="2707"/>
      <c r="AV9" s="2604"/>
      <c r="AW9" s="2707"/>
      <c r="AX9" s="2604"/>
      <c r="AY9" s="2604"/>
      <c r="AZ9" s="2604"/>
      <c r="BA9" s="2604"/>
      <c r="BB9" s="2608"/>
      <c r="BC9" s="3465"/>
      <c r="BE9" s="1711"/>
      <c r="BF9" s="1711"/>
      <c r="BG9" s="1711"/>
      <c r="BH9" s="1711"/>
      <c r="BI9" s="2366">
        <v>0</v>
      </c>
    </row>
    <row customHeight="1" ht="11.25" hidden="1">
      <c r="A10" s="2574"/>
      <c r="B10" s="2574"/>
      <c r="C10" s="2574"/>
      <c r="D10" s="2574"/>
      <c r="E10" s="3470"/>
      <c r="F10" s="3470"/>
      <c r="G10" s="3470"/>
      <c r="H10" s="3470"/>
      <c r="I10" s="3497"/>
      <c r="J10" s="3497"/>
      <c r="K10" s="3467"/>
      <c r="L10" s="2575"/>
      <c r="P10" s="3468"/>
      <c r="Q10" s="3468"/>
      <c r="R10" s="3558"/>
      <c r="S10" s="3553"/>
      <c r="T10" s="3572"/>
      <c r="U10" s="1511"/>
      <c r="V10" s="2604"/>
      <c r="W10" s="2707"/>
      <c r="X10" s="2604"/>
      <c r="Y10" s="2707"/>
      <c r="Z10" s="2604"/>
      <c r="AA10" s="2604"/>
      <c r="AB10" s="2604"/>
      <c r="AC10" s="2604"/>
      <c r="AD10" s="3397"/>
      <c r="AE10" s="3537"/>
      <c r="AF10" s="3416"/>
      <c r="AG10" s="3574"/>
      <c r="AH10" s="3318"/>
      <c r="AI10" s="3537"/>
      <c r="AJ10" s="3416"/>
      <c r="AK10" s="3538"/>
      <c r="AL10" s="3318"/>
      <c r="AM10" s="1527"/>
      <c r="AN10" s="2711"/>
      <c r="AO10" s="2711" t="s">
        <v>521</v>
      </c>
      <c r="AP10" s="1627"/>
      <c r="AQ10" s="1627"/>
      <c r="AR10" s="1627"/>
      <c r="AS10" s="2604"/>
      <c r="AT10" s="2604"/>
      <c r="AU10" s="2707"/>
      <c r="AV10" s="2604"/>
      <c r="AW10" s="2707"/>
      <c r="AX10" s="2604"/>
      <c r="AY10" s="2604"/>
      <c r="AZ10" s="2604"/>
      <c r="BA10" s="2604"/>
      <c r="BB10" s="2608"/>
      <c r="BC10" s="3465"/>
      <c r="BE10" s="1711"/>
      <c r="BF10" s="1711"/>
      <c r="BG10" s="1711"/>
      <c r="BH10" s="1711"/>
      <c r="BI10" s="2366">
        <v>0</v>
      </c>
    </row>
    <row customHeight="1" ht="11.25" hidden="1">
      <c r="A11" s="2574"/>
      <c r="B11" s="2574"/>
      <c r="C11" s="2574"/>
      <c r="D11" s="2574"/>
      <c r="E11" s="3470"/>
      <c r="F11" s="3470"/>
      <c r="G11" s="3470"/>
      <c r="H11" s="3470"/>
      <c r="I11" s="3497"/>
      <c r="J11" s="3497"/>
      <c r="K11" s="3467"/>
      <c r="L11" s="2575"/>
      <c r="P11" s="3468"/>
      <c r="Q11" s="3468"/>
      <c r="R11" s="3558"/>
      <c r="S11" s="3553"/>
      <c r="T11" s="3572"/>
      <c r="U11" s="1511"/>
      <c r="V11" s="2604"/>
      <c r="W11" s="2707"/>
      <c r="X11" s="2604"/>
      <c r="Y11" s="2707"/>
      <c r="Z11" s="2604"/>
      <c r="AA11" s="2604"/>
      <c r="AB11" s="2604"/>
      <c r="AC11" s="2604"/>
      <c r="AD11" s="3397"/>
      <c r="AE11" s="3537"/>
      <c r="AF11" s="3416"/>
      <c r="AG11" s="3574"/>
      <c r="AH11" s="3318"/>
      <c r="AI11" s="1505"/>
      <c r="AJ11" s="1626"/>
      <c r="AK11" s="1524" t="s">
        <v>522</v>
      </c>
      <c r="AL11" s="2604"/>
      <c r="AM11" s="2604"/>
      <c r="AN11" s="2604"/>
      <c r="AO11" s="2604"/>
      <c r="AP11" s="2604"/>
      <c r="AQ11" s="2604"/>
      <c r="AR11" s="2604"/>
      <c r="AS11" s="2604"/>
      <c r="AT11" s="2604"/>
      <c r="AU11" s="2707"/>
      <c r="AV11" s="2604"/>
      <c r="AW11" s="2707"/>
      <c r="AX11" s="2604"/>
      <c r="AY11" s="2604"/>
      <c r="AZ11" s="2604"/>
      <c r="BA11" s="2604"/>
      <c r="BB11" s="2608"/>
      <c r="BC11" s="3465"/>
      <c r="BE11" s="1711"/>
      <c r="BF11" s="1711"/>
      <c r="BG11" s="1711"/>
      <c r="BH11" s="1711"/>
      <c r="BI11" s="2366">
        <v>0</v>
      </c>
    </row>
    <row customHeight="1" ht="11.25" hidden="1">
      <c r="A12" s="2574"/>
      <c r="B12" s="2574"/>
      <c r="C12" s="2574"/>
      <c r="D12" s="2574"/>
      <c r="E12" s="3470"/>
      <c r="F12" s="3470"/>
      <c r="G12" s="3470"/>
      <c r="H12" s="3470"/>
      <c r="I12" s="3497"/>
      <c r="J12" s="3497"/>
      <c r="K12" s="3467"/>
      <c r="L12" s="2575"/>
      <c r="P12" s="3468"/>
      <c r="Q12" s="3468"/>
      <c r="R12" s="3558"/>
      <c r="S12" s="3554"/>
      <c r="T12" s="3573"/>
      <c r="U12" s="1511"/>
      <c r="V12" s="2604"/>
      <c r="W12" s="2605" t="str">
        <f>Z8&amp;"-"&amp;AB8</f>
        <v>-</v>
      </c>
      <c r="X12" s="2604"/>
      <c r="Y12" s="2605" t="str">
        <f>AB8&amp;"-"&amp;AD8</f>
        <v>-да</v>
      </c>
      <c r="Z12" s="2604"/>
      <c r="AA12" s="2604"/>
      <c r="AB12" s="2604"/>
      <c r="AC12" s="2604"/>
      <c r="AD12" s="3323"/>
      <c r="AE12" s="1523"/>
      <c r="AF12" s="1525"/>
      <c r="AG12" s="1627" t="s">
        <v>523</v>
      </c>
      <c r="AH12" s="2604"/>
      <c r="AI12" s="2604"/>
      <c r="AJ12" s="2604"/>
      <c r="AK12" s="2604"/>
      <c r="AL12" s="2604"/>
      <c r="AM12" s="2604"/>
      <c r="AN12" s="2604"/>
      <c r="AO12" s="2604"/>
      <c r="AP12" s="2604"/>
      <c r="AQ12" s="2604"/>
      <c r="AR12" s="2604"/>
      <c r="AS12" s="2604"/>
      <c r="AT12" s="2604"/>
      <c r="AU12" s="2605" t="str">
        <f>AX8&amp;"-"&amp;AZ8</f>
        <v>-</v>
      </c>
      <c r="AV12" s="2604"/>
      <c r="AW12" s="2605" t="str">
        <f>AZ8&amp;"-"&amp;BB8</f>
        <v>-</v>
      </c>
      <c r="AX12" s="2604"/>
      <c r="AY12" s="2604"/>
      <c r="AZ12" s="2604"/>
      <c r="BA12" s="2604"/>
      <c r="BB12" s="2607" t="str">
        <f>BE8&amp;"-"&amp;BG8</f>
        <v>-</v>
      </c>
      <c r="BC12" s="3465"/>
      <c r="BE12" s="1711"/>
      <c r="BF12" s="1711" t="str">
        <f>IF(T12="","",T12)</f>
        <v/>
      </c>
      <c r="BG12" s="1711"/>
      <c r="BH12" s="1711"/>
      <c r="BI12" s="2366">
        <v>0</v>
      </c>
    </row>
    <row customHeight="1" ht="11.25" hidden="1">
      <c r="A13" s="2574"/>
      <c r="B13" s="2574"/>
      <c r="C13" s="2574"/>
      <c r="D13" s="2574"/>
      <c r="E13" s="3470"/>
      <c r="F13" s="3470"/>
      <c r="G13" s="3470"/>
      <c r="H13" s="3470"/>
      <c r="I13" s="3497"/>
      <c r="J13" s="3467"/>
      <c r="K13" s="2574"/>
      <c r="L13" s="2575"/>
      <c r="P13" s="3468"/>
      <c r="Q13" s="3468"/>
      <c r="R13" s="1567"/>
      <c r="S13" s="2489"/>
      <c r="T13" s="1498" t="s">
        <v>486</v>
      </c>
      <c r="U13" s="1578"/>
      <c r="V13" s="1578"/>
      <c r="W13" s="1578"/>
      <c r="X13" s="1578"/>
      <c r="Y13" s="1578"/>
      <c r="Z13" s="1578"/>
      <c r="AA13" s="1578"/>
      <c r="AB13" s="1578"/>
      <c r="AC13" s="1578"/>
      <c r="AD13" s="2716"/>
      <c r="AE13" s="1578"/>
      <c r="AF13" s="1578"/>
      <c r="AG13" s="1578"/>
      <c r="AH13" s="1578"/>
      <c r="AI13" s="1578"/>
      <c r="AJ13" s="1578"/>
      <c r="AK13" s="1578"/>
      <c r="AL13" s="1578"/>
      <c r="AM13" s="1578"/>
      <c r="AN13" s="1578"/>
      <c r="AO13" s="1578"/>
      <c r="AP13" s="1578"/>
      <c r="AQ13" s="1578"/>
      <c r="AR13" s="1578"/>
      <c r="AS13" s="1578"/>
      <c r="AT13" s="1578"/>
      <c r="AU13" s="1578"/>
      <c r="AV13" s="1578"/>
      <c r="AW13" s="1578"/>
      <c r="AX13" s="1578"/>
      <c r="AY13" s="1578"/>
      <c r="AZ13" s="1578"/>
      <c r="BA13" s="1578"/>
      <c r="BB13" s="1535"/>
      <c r="BC13" s="3466"/>
      <c r="BE13" s="1711"/>
      <c r="BF13" s="1711" t="str">
        <f>IF(T13="","",T13)</f>
        <v>Добавить строку</v>
      </c>
      <c r="BG13" s="1711"/>
      <c r="BH13" s="1711"/>
      <c r="BI13" s="2366">
        <v>0</v>
      </c>
    </row>
    <row s="65923" customFormat="1" customHeight="1" ht="14.25" hidden="1">
      <c r="A14" s="2554"/>
      <c r="B14" s="2554"/>
      <c r="C14" s="2554"/>
      <c r="D14" s="2554"/>
      <c r="E14" s="3470"/>
      <c r="F14" s="3470"/>
      <c r="G14" s="3470"/>
      <c r="H14" s="3470"/>
      <c r="I14" s="3467"/>
      <c r="J14" s="2554"/>
      <c r="K14" s="2554"/>
      <c r="L14" s="2557"/>
      <c r="M14" s="1721"/>
      <c r="N14" s="1721"/>
      <c r="O14" s="1721"/>
      <c r="P14" s="3468"/>
      <c r="Q14" s="2692"/>
      <c r="R14" s="1567"/>
      <c r="S14" s="2597"/>
      <c r="T14" s="2598"/>
      <c r="U14" s="2599"/>
      <c r="V14" s="2599"/>
      <c r="W14" s="2599"/>
      <c r="X14" s="2599"/>
      <c r="Y14" s="2599"/>
      <c r="Z14" s="2599"/>
      <c r="AA14" s="2599"/>
      <c r="AB14" s="2599"/>
      <c r="AC14" s="2599"/>
      <c r="AD14" s="2599"/>
      <c r="AE14" s="2599"/>
      <c r="AF14" s="2599"/>
      <c r="AG14" s="2599"/>
      <c r="AH14" s="2599"/>
      <c r="AI14" s="2599"/>
      <c r="AJ14" s="2599"/>
      <c r="AK14" s="2599"/>
      <c r="AL14" s="2599"/>
      <c r="AM14" s="2599"/>
      <c r="AN14" s="2599"/>
      <c r="AO14" s="2599"/>
      <c r="AP14" s="2599"/>
      <c r="AQ14" s="2599"/>
      <c r="AR14" s="2599"/>
      <c r="AS14" s="2599"/>
      <c r="AT14" s="2599"/>
      <c r="AU14" s="2599"/>
      <c r="AV14" s="2599"/>
      <c r="AW14" s="2599"/>
      <c r="AX14" s="2599"/>
      <c r="AY14" s="2599"/>
      <c r="AZ14" s="2599"/>
      <c r="BA14" s="2599"/>
      <c r="BB14" s="2599"/>
      <c r="BC14" s="2600"/>
      <c r="BE14" s="1711"/>
      <c r="BF14" s="1711" t="str">
        <f>IF(T14="","",T14)</f>
        <v/>
      </c>
      <c r="BG14" s="1711"/>
      <c r="BH14" s="1711"/>
      <c r="BI14" s="1722">
        <v>0</v>
      </c>
    </row>
    <row s="65923" customFormat="1" customHeight="1" ht="14.25" hidden="1">
      <c r="A15" s="2554"/>
      <c r="B15" s="2554"/>
      <c r="C15" s="2554"/>
      <c r="D15" s="2554"/>
      <c r="E15" s="3470"/>
      <c r="F15" s="3470"/>
      <c r="G15" s="3470"/>
      <c r="H15" s="3469"/>
      <c r="I15" s="2554"/>
      <c r="J15" s="2554"/>
      <c r="K15" s="2554"/>
      <c r="L15" s="2557"/>
      <c r="M15" s="2526"/>
      <c r="N15" s="2526"/>
      <c r="O15" s="1729"/>
      <c r="P15" s="1591"/>
      <c r="Q15" s="2555"/>
      <c r="R15" s="2612"/>
      <c r="S15" s="2597"/>
      <c r="T15" s="2598"/>
      <c r="U15" s="2599"/>
      <c r="V15" s="2599"/>
      <c r="W15" s="2599"/>
      <c r="X15" s="2599"/>
      <c r="Y15" s="2599"/>
      <c r="Z15" s="2599"/>
      <c r="AA15" s="2599"/>
      <c r="AB15" s="2599"/>
      <c r="AC15" s="2599"/>
      <c r="AD15" s="2599"/>
      <c r="AE15" s="2599"/>
      <c r="AF15" s="2599"/>
      <c r="AG15" s="2599"/>
      <c r="AH15" s="2599"/>
      <c r="AI15" s="2599"/>
      <c r="AJ15" s="2599"/>
      <c r="AK15" s="2599"/>
      <c r="AL15" s="2599"/>
      <c r="AM15" s="2599"/>
      <c r="AN15" s="2599"/>
      <c r="AO15" s="2599"/>
      <c r="AP15" s="2599"/>
      <c r="AQ15" s="2599"/>
      <c r="AR15" s="2599"/>
      <c r="AS15" s="2599"/>
      <c r="AT15" s="2599"/>
      <c r="AU15" s="2599"/>
      <c r="AV15" s="2599"/>
      <c r="AW15" s="2599"/>
      <c r="AX15" s="2599"/>
      <c r="AY15" s="2599"/>
      <c r="AZ15" s="2599"/>
      <c r="BA15" s="2599"/>
      <c r="BB15" s="2599"/>
      <c r="BC15" s="2600"/>
      <c r="BE15" s="1711"/>
      <c r="BF15" s="1711" t="str">
        <f>IF(T15="","",T15)</f>
        <v/>
      </c>
      <c r="BG15" s="1711"/>
      <c r="BH15" s="1711"/>
      <c r="BI15" s="1722">
        <v>0</v>
      </c>
    </row>
    <row s="65923" customFormat="1" customHeight="1" ht="14.25" hidden="1">
      <c r="A16" s="2554"/>
      <c r="B16" s="2554"/>
      <c r="C16" s="2554"/>
      <c r="D16" s="2525"/>
      <c r="E16" s="3470"/>
      <c r="F16" s="3470"/>
      <c r="G16" s="3469"/>
      <c r="H16" s="2525"/>
      <c r="I16" s="2525"/>
      <c r="J16" s="2525"/>
      <c r="K16" s="2525"/>
      <c r="L16" s="2705"/>
      <c r="M16" s="2526"/>
      <c r="N16" s="2526"/>
      <c r="P16" s="2527"/>
      <c r="Q16" s="2528"/>
      <c r="R16" s="2527"/>
      <c r="S16" s="2533"/>
      <c r="T16" s="2536"/>
      <c r="U16" s="2535"/>
      <c r="V16" s="2535"/>
      <c r="W16" s="2535"/>
      <c r="X16" s="2535"/>
      <c r="Y16" s="2535"/>
      <c r="Z16" s="2535"/>
      <c r="AA16" s="2535"/>
      <c r="AB16" s="2535"/>
      <c r="AC16" s="2535"/>
      <c r="AD16" s="2535"/>
      <c r="AE16" s="2535"/>
      <c r="AF16" s="2535"/>
      <c r="AG16" s="2535"/>
      <c r="AH16" s="2535"/>
      <c r="AI16" s="2535"/>
      <c r="AJ16" s="2535"/>
      <c r="AK16" s="2535"/>
      <c r="AL16" s="2535"/>
      <c r="AM16" s="2535"/>
      <c r="AN16" s="2535"/>
      <c r="AO16" s="2535"/>
      <c r="AP16" s="2535"/>
      <c r="AQ16" s="2535"/>
      <c r="AR16" s="2535"/>
      <c r="AS16" s="2535"/>
      <c r="AT16" s="2535"/>
      <c r="AU16" s="2535"/>
      <c r="AV16" s="2535"/>
      <c r="AW16" s="2535"/>
      <c r="AX16" s="2535"/>
      <c r="AY16" s="2535"/>
      <c r="AZ16" s="2535"/>
      <c r="BA16" s="2535"/>
      <c r="BB16" s="2535"/>
      <c r="BC16" s="2535"/>
      <c r="BE16" s="2000"/>
      <c r="BF16" s="2000" t="str">
        <f>IF(T16="","",T16)</f>
        <v/>
      </c>
      <c r="BG16" s="2000"/>
      <c r="BH16" s="2000"/>
      <c r="BI16" s="1729">
        <v>0</v>
      </c>
    </row>
    <row s="65923" customFormat="1" customHeight="1" ht="14.25" hidden="1">
      <c r="A17" s="2554"/>
      <c r="B17" s="2554"/>
      <c r="C17" s="2525"/>
      <c r="D17" s="2525"/>
      <c r="E17" s="3470"/>
      <c r="F17" s="3469"/>
      <c r="G17" s="2525"/>
      <c r="H17" s="2525"/>
      <c r="I17" s="2525"/>
      <c r="J17" s="2525"/>
      <c r="K17" s="2525"/>
      <c r="L17" s="2705"/>
      <c r="M17" s="2532"/>
      <c r="N17" s="2532"/>
      <c r="P17" s="2527"/>
      <c r="Q17" s="2528"/>
      <c r="R17" s="2527"/>
      <c r="S17" s="2533"/>
      <c r="T17" s="2536" t="s">
        <v>433</v>
      </c>
      <c r="U17" s="2535"/>
      <c r="V17" s="2535"/>
      <c r="W17" s="2535"/>
      <c r="X17" s="2535"/>
      <c r="Y17" s="2535"/>
      <c r="Z17" s="2535"/>
      <c r="AA17" s="2535"/>
      <c r="AB17" s="2535"/>
      <c r="AC17" s="2535"/>
      <c r="AD17" s="2535"/>
      <c r="AE17" s="2535"/>
      <c r="AF17" s="2535"/>
      <c r="AG17" s="2535"/>
      <c r="AH17" s="2535"/>
      <c r="AI17" s="2535"/>
      <c r="AJ17" s="2535"/>
      <c r="AK17" s="2535"/>
      <c r="AL17" s="2535"/>
      <c r="AM17" s="2535"/>
      <c r="AN17" s="2535"/>
      <c r="AO17" s="2535"/>
      <c r="AP17" s="2535"/>
      <c r="AQ17" s="2535"/>
      <c r="AR17" s="2535"/>
      <c r="AS17" s="2535"/>
      <c r="AT17" s="2535"/>
      <c r="AU17" s="2535"/>
      <c r="AV17" s="2535"/>
      <c r="AW17" s="2535"/>
      <c r="AX17" s="2535"/>
      <c r="AY17" s="2535"/>
      <c r="AZ17" s="2535"/>
      <c r="BA17" s="2535"/>
      <c r="BB17" s="2535"/>
      <c r="BC17" s="2535"/>
      <c r="BE17" s="2000"/>
      <c r="BF17" s="2000" t="str">
        <f>IF(T17="","",T17)</f>
        <v>Добавить централизованную систему для дифференциации</v>
      </c>
      <c r="BG17" s="2000"/>
      <c r="BH17" s="2000"/>
      <c r="BI17" s="1729">
        <v>0</v>
      </c>
    </row>
    <row s="65923" customFormat="1" customHeight="1" ht="14.25" hidden="1">
      <c r="A18" s="2554"/>
      <c r="B18" s="2554"/>
      <c r="C18" s="2554"/>
      <c r="D18" s="2554"/>
      <c r="E18" s="3469"/>
      <c r="F18" s="2554"/>
      <c r="G18" s="2554"/>
      <c r="H18" s="2554"/>
      <c r="I18" s="2554"/>
      <c r="J18" s="2554"/>
      <c r="K18" s="2554"/>
      <c r="L18" s="2557"/>
      <c r="M18" s="2532"/>
      <c r="N18" s="2532"/>
      <c r="O18" s="1729"/>
      <c r="P18" s="1591"/>
      <c r="Q18" s="2555"/>
      <c r="R18" s="1591"/>
      <c r="S18" s="2533"/>
      <c r="T18" s="2536" t="s">
        <v>434</v>
      </c>
      <c r="U18" s="2535"/>
      <c r="V18" s="2535"/>
      <c r="W18" s="2535"/>
      <c r="X18" s="2535"/>
      <c r="Y18" s="2535"/>
      <c r="Z18" s="2535"/>
      <c r="AA18" s="2535"/>
      <c r="AB18" s="2535"/>
      <c r="AC18" s="2535"/>
      <c r="AD18" s="2535"/>
      <c r="AE18" s="2535"/>
      <c r="AF18" s="2535"/>
      <c r="AG18" s="2535"/>
      <c r="AH18" s="2535"/>
      <c r="AI18" s="2535"/>
      <c r="AJ18" s="2535"/>
      <c r="AK18" s="2535"/>
      <c r="AL18" s="2535"/>
      <c r="AM18" s="2535"/>
      <c r="AN18" s="2535"/>
      <c r="AO18" s="2535"/>
      <c r="AP18" s="2535"/>
      <c r="AQ18" s="2535"/>
      <c r="AR18" s="2535"/>
      <c r="AS18" s="2535"/>
      <c r="AT18" s="2535"/>
      <c r="AU18" s="2535"/>
      <c r="AV18" s="2535"/>
      <c r="AW18" s="2535"/>
      <c r="AX18" s="2535"/>
      <c r="AY18" s="2535"/>
      <c r="AZ18" s="2535"/>
      <c r="BA18" s="2535"/>
      <c r="BB18" s="2535"/>
      <c r="BC18" s="2535"/>
      <c r="BE18" s="1711"/>
      <c r="BF18" s="1711" t="str">
        <f>IF(T18="","",T18)</f>
        <v>Добавить территорию для дифференциации</v>
      </c>
      <c r="BG18" s="1711"/>
      <c r="BH18" s="1711"/>
      <c r="BI18" s="1722">
        <v>0</v>
      </c>
    </row>
    <row customHeight="1" ht="14.25" hidden="1">
      <c r="AC19" s="1538"/>
      <c r="BA19" s="1538"/>
      <c r="BI19" s="2366">
        <v>0</v>
      </c>
    </row>
    <row customHeight="1" ht="14.25" hidden="1">
      <c r="AD20" s="2535" t="s">
        <v>19</v>
      </c>
      <c r="AE20" s="2712"/>
      <c r="AF20" s="1759">
        <v>1</v>
      </c>
      <c r="AG20" s="2713"/>
      <c r="AH20" s="2535" t="s">
        <v>19</v>
      </c>
      <c r="AI20" s="2712"/>
      <c r="AJ20" s="1759">
        <v>1</v>
      </c>
      <c r="AK20" s="2713"/>
      <c r="AL20" s="2535" t="s">
        <v>19</v>
      </c>
      <c r="AM20" s="2714"/>
      <c r="AN20" s="1759">
        <v>1</v>
      </c>
      <c r="AO20" s="2715"/>
      <c r="AP20" s="2535" t="s">
        <v>19</v>
      </c>
      <c r="AQ20" s="2714"/>
      <c r="AR20" s="1759">
        <v>1</v>
      </c>
      <c r="AS20" s="2715"/>
      <c r="AT20" s="1536"/>
      <c r="AU20" s="1595"/>
      <c r="AV20" s="1536"/>
      <c r="AW20" s="1595"/>
      <c r="AX20" s="2947"/>
      <c r="AY20" s="2696" t="s">
        <v>62</v>
      </c>
      <c r="AZ20" s="2947"/>
      <c r="BA20" s="2696" t="s">
        <v>62</v>
      </c>
      <c r="BI20" s="2366">
        <v>0</v>
      </c>
    </row>
    <row customHeight="1" ht="14.25" hidden="1">
      <c r="BD21" s="1707"/>
      <c r="BE21" s="1707"/>
      <c r="BF21" s="1707"/>
      <c r="BG21" s="1707"/>
      <c r="BH21" s="1707"/>
      <c r="BI21" s="2366">
        <v>0</v>
      </c>
    </row>
    <row customHeight="1" ht="14.25" hidden="1">
      <c r="O22" s="2578" t="s">
        <v>435</v>
      </c>
      <c r="Z22" s="2556"/>
      <c r="AB22" s="2556"/>
      <c r="AC22" s="1538"/>
      <c r="AX22" s="2556"/>
      <c r="AZ22" s="2556"/>
      <c r="BA22" s="1538"/>
      <c r="BD22" s="1707"/>
      <c r="BE22" s="1707"/>
      <c r="BF22" s="1707"/>
      <c r="BG22" s="1707"/>
      <c r="BH22" s="1707"/>
      <c r="BI22" s="2366">
        <v>0</v>
      </c>
    </row>
    <row customHeight="1" ht="14.25" hidden="1">
      <c r="AC23" s="1538"/>
      <c r="BA23" s="1538"/>
      <c r="BD23" s="1707"/>
      <c r="BE23" s="1707"/>
      <c r="BF23" s="1707"/>
      <c r="BG23" s="1707"/>
      <c r="BH23" s="1707"/>
      <c r="BI23" s="2366">
        <v>0</v>
      </c>
    </row>
    <row s="65531" customFormat="1" customHeight="1" ht="14.25" hidden="1">
      <c r="M24" s="2719"/>
      <c r="N24" s="2719"/>
      <c r="O24" s="2720" t="s">
        <v>436</v>
      </c>
      <c r="P24" s="2719"/>
      <c r="Q24" s="2721"/>
      <c r="R24" s="2721"/>
      <c r="AA24" s="2718" t="s">
        <v>438</v>
      </c>
      <c r="AC24" s="2718" t="s">
        <v>439</v>
      </c>
      <c r="AD24" s="2718" t="s">
        <v>487</v>
      </c>
      <c r="AH24" s="2718" t="s">
        <v>487</v>
      </c>
      <c r="AK24" s="2718" t="s">
        <v>524</v>
      </c>
      <c r="AL24" s="2718" t="s">
        <v>487</v>
      </c>
      <c r="AP24" s="2718" t="s">
        <v>487</v>
      </c>
      <c r="AY24" s="2718" t="s">
        <v>438</v>
      </c>
      <c r="BA24" s="2718" t="s">
        <v>439</v>
      </c>
      <c r="BD24" s="2722"/>
      <c r="BE24" s="2722"/>
      <c r="BF24" s="2722"/>
      <c r="BG24" s="2722"/>
      <c r="BH24" s="2722"/>
      <c r="BI24" s="2718">
        <v>0</v>
      </c>
    </row>
    <row customHeight="1" ht="14.25" hidden="1">
      <c r="O25" s="2575"/>
      <c r="BD25" s="1707"/>
      <c r="BE25" s="1707"/>
      <c r="BF25" s="1707"/>
      <c r="BG25" s="1707"/>
      <c r="BH25" s="1707"/>
      <c r="BI25" s="2366">
        <v>0</v>
      </c>
    </row>
    <row customHeight="1" ht="14.25" hidden="1">
      <c r="O26" s="2575"/>
      <c r="BD26" s="1707"/>
      <c r="BE26" s="1707"/>
      <c r="BF26" s="1707"/>
      <c r="BG26" s="1707"/>
      <c r="BH26" s="1707"/>
      <c r="BI26" s="2366">
        <v>0</v>
      </c>
    </row>
    <row customHeight="1" ht="14.699999999999998">
      <c r="Q27" s="1502"/>
      <c r="R27" s="1587"/>
      <c r="S27" s="2486"/>
      <c r="T27" s="1574"/>
      <c r="U27" s="1574"/>
      <c r="V27" s="1720"/>
      <c r="W27" s="1720"/>
      <c r="X27" s="1720"/>
      <c r="Y27" s="1720"/>
      <c r="Z27" s="1720"/>
      <c r="AA27" s="1720"/>
      <c r="AB27" s="1720"/>
      <c r="AC27" s="1720"/>
      <c r="AD27" s="1720"/>
      <c r="AE27" s="1720"/>
      <c r="AF27" s="1720"/>
      <c r="AG27" s="1720"/>
      <c r="AH27" s="1720"/>
      <c r="AI27" s="1720"/>
      <c r="AJ27" s="1720"/>
      <c r="AK27" s="1720"/>
      <c r="AL27" s="1720"/>
      <c r="AM27" s="1720"/>
      <c r="AN27" s="1720"/>
      <c r="AO27" s="1720"/>
      <c r="AP27" s="1720"/>
      <c r="AQ27" s="1720"/>
      <c r="AR27" s="1720"/>
      <c r="AS27" s="1720"/>
      <c r="AT27" s="1720"/>
      <c r="AU27" s="1720"/>
      <c r="AV27" s="1720"/>
      <c r="AW27" s="1720"/>
      <c r="AX27" s="1720"/>
      <c r="AY27" s="1720"/>
      <c r="AZ27" s="1720"/>
      <c r="BA27" s="1720"/>
      <c r="BI27" s="2366">
        <v>14</v>
      </c>
    </row>
    <row customHeight="1" ht="14.699999999999998">
      <c r="Q28" s="1502"/>
      <c r="R28" s="1587"/>
      <c r="S28" s="345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3459"/>
      <c r="U28" s="3459"/>
      <c r="V28" s="3459"/>
      <c r="W28" s="3459"/>
      <c r="X28" s="3459"/>
      <c r="Y28" s="3459"/>
      <c r="Z28" s="3459"/>
      <c r="AA28" s="3459"/>
      <c r="AB28" s="3459"/>
      <c r="AC28" s="3459"/>
      <c r="AD28" s="3459"/>
      <c r="AE28" s="3459"/>
      <c r="AF28" s="3459"/>
      <c r="AG28" s="3459"/>
      <c r="AH28" s="3459"/>
      <c r="AI28" s="3459"/>
      <c r="AJ28" s="3459"/>
      <c r="AK28" s="3459"/>
      <c r="AL28" s="3459"/>
      <c r="AM28" s="3459"/>
      <c r="AN28" s="3459"/>
      <c r="AO28" s="3459"/>
      <c r="AP28" s="3459"/>
      <c r="AQ28" s="3459"/>
      <c r="AR28" s="3459"/>
      <c r="AS28" s="3459"/>
      <c r="AT28" s="3459"/>
      <c r="AU28" s="3459"/>
      <c r="AV28" s="3459"/>
      <c r="AW28" s="3459"/>
      <c r="AX28" s="3459"/>
      <c r="AY28" s="3459"/>
      <c r="AZ28" s="3459"/>
      <c r="BA28" s="2454"/>
      <c r="BI28" s="2366">
        <v>14</v>
      </c>
    </row>
    <row customHeight="1" ht="14.699999999999998">
      <c r="Q29" s="1502"/>
      <c r="R29" s="1587"/>
      <c r="S29" s="3460" t="str">
        <f>IF(org=0,"Не определено",org)</f>
        <v>ПАО "ТГК-2"</v>
      </c>
      <c r="T29" s="3460"/>
      <c r="U29" s="3460"/>
      <c r="V29" s="3460"/>
      <c r="W29" s="3460"/>
      <c r="X29" s="3460"/>
      <c r="Y29" s="3460"/>
      <c r="Z29" s="3460"/>
      <c r="AA29" s="3460"/>
      <c r="AB29" s="3460"/>
      <c r="AC29" s="3460"/>
      <c r="AD29" s="3460"/>
      <c r="AE29" s="3460"/>
      <c r="AF29" s="3460"/>
      <c r="AG29" s="3460"/>
      <c r="AH29" s="3460"/>
      <c r="AI29" s="3460"/>
      <c r="AJ29" s="3460"/>
      <c r="AK29" s="3460"/>
      <c r="AL29" s="3460"/>
      <c r="AM29" s="3460"/>
      <c r="AN29" s="3460"/>
      <c r="AO29" s="3460"/>
      <c r="AP29" s="3460"/>
      <c r="AQ29" s="3460"/>
      <c r="AR29" s="3460"/>
      <c r="AS29" s="3460"/>
      <c r="AT29" s="3460"/>
      <c r="AU29" s="3460"/>
      <c r="AV29" s="3460"/>
      <c r="AW29" s="3460"/>
      <c r="AX29" s="3460"/>
      <c r="AY29" s="3460"/>
      <c r="AZ29" s="3460"/>
      <c r="BA29" s="2454"/>
      <c r="BI29" s="2366">
        <v>14</v>
      </c>
    </row>
    <row customHeight="1" ht="14.25" hidden="1">
      <c r="Q30" s="1502"/>
      <c r="R30" s="1587"/>
      <c r="S30" s="2486"/>
      <c r="T30" s="1574"/>
      <c r="U30" s="1574"/>
      <c r="V30" s="1533"/>
      <c r="W30" s="1533"/>
      <c r="X30" s="1533"/>
      <c r="Y30" s="1533"/>
      <c r="Z30" s="1533"/>
      <c r="AA30" s="1533"/>
      <c r="AB30" s="1533"/>
      <c r="AC30" s="1533"/>
      <c r="AD30" s="1533"/>
      <c r="AE30" s="1533"/>
      <c r="AF30" s="1533"/>
      <c r="AG30" s="1533"/>
      <c r="AH30" s="1533"/>
      <c r="AI30" s="1533"/>
      <c r="AJ30" s="1533"/>
      <c r="AK30" s="1533"/>
      <c r="AL30" s="1533"/>
      <c r="AM30" s="1533"/>
      <c r="AN30" s="1533"/>
      <c r="AO30" s="1533"/>
      <c r="AP30" s="1533"/>
      <c r="AQ30" s="1533"/>
      <c r="AR30" s="1533"/>
      <c r="AS30" s="1533"/>
      <c r="AT30" s="1533"/>
      <c r="AU30" s="1533"/>
      <c r="AV30" s="1533"/>
      <c r="AW30" s="1533"/>
      <c r="AX30" s="1533"/>
      <c r="AY30" s="1533"/>
      <c r="AZ30" s="1533"/>
      <c r="BA30" s="1533"/>
      <c r="BB30" s="1720"/>
      <c r="BI30" s="2366">
        <v>0</v>
      </c>
    </row>
    <row s="67333" customFormat="1" customHeight="1" ht="25.5" hidden="1">
      <c r="A31" s="2579"/>
      <c r="B31" s="2579"/>
      <c r="C31" s="2579"/>
      <c r="D31" s="2579"/>
      <c r="E31" s="2579"/>
      <c r="F31" s="2579"/>
      <c r="G31" s="2579"/>
      <c r="H31" s="2579"/>
      <c r="I31" s="2579"/>
      <c r="J31" s="2579"/>
      <c r="K31" s="2579"/>
      <c r="L31" s="2580"/>
      <c r="M31" s="2579"/>
      <c r="N31" s="2579"/>
      <c r="O31" s="2579"/>
      <c r="P31" s="2579"/>
      <c r="Q31" s="2579"/>
      <c r="S31" s="3461" t="s">
        <v>41</v>
      </c>
      <c r="T31" s="3461"/>
      <c r="U31" s="2583"/>
      <c r="V31" s="3462" t="str">
        <f>IF(TITLE_NAME_OR_PR_CHANGE="",IF(TITLE_NAME_OR_PR="","",TITLE_NAME_OR_PR),TITLE_NAME_OR_PR_CHANGE)</f>
        <v/>
      </c>
      <c r="W31" s="3462"/>
      <c r="X31" s="3462"/>
      <c r="Y31" s="3462"/>
      <c r="Z31" s="3462"/>
      <c r="AA31" s="3462"/>
      <c r="AB31" s="3462"/>
      <c r="AC31" s="1537"/>
      <c r="AD31" s="3462" t="str">
        <f>IF(TITLE_NAME_OR_PR_CHANGE="",IF(TITLE_NAME_OR_PR="","",TITLE_NAME_OR_PR),TITLE_NAME_OR_PR_CHANGE)</f>
        <v/>
      </c>
      <c r="AE31" s="3462"/>
      <c r="AF31" s="3462"/>
      <c r="AG31" s="3462"/>
      <c r="AH31" s="3462"/>
      <c r="AI31" s="3462"/>
      <c r="AJ31" s="3462"/>
      <c r="AK31" s="3462"/>
      <c r="AL31" s="3462"/>
      <c r="AM31" s="3462"/>
      <c r="AN31" s="3462"/>
      <c r="AO31" s="3462"/>
      <c r="AP31" s="3462"/>
      <c r="AQ31" s="3462"/>
      <c r="AR31" s="3462"/>
      <c r="AS31" s="3462"/>
      <c r="AT31" s="3462"/>
      <c r="AU31" s="3462"/>
      <c r="AV31" s="3462"/>
      <c r="AW31" s="3462"/>
      <c r="AX31" s="3462"/>
      <c r="AY31" s="3462"/>
      <c r="AZ31" s="3462"/>
      <c r="BA31" s="1537"/>
      <c r="BB31" s="1537"/>
      <c r="BC31" s="1491"/>
      <c r="BD31" s="1579"/>
      <c r="BE31" s="1579"/>
      <c r="BF31" s="1579"/>
      <c r="BG31" s="1579"/>
      <c r="BH31" s="1579"/>
      <c r="BI31" s="1629">
        <v>0</v>
      </c>
    </row>
    <row s="67333" customFormat="1" customHeight="1" ht="18.75" hidden="1">
      <c r="A32" s="2579"/>
      <c r="B32" s="2579"/>
      <c r="C32" s="2579"/>
      <c r="D32" s="2579"/>
      <c r="E32" s="2579"/>
      <c r="F32" s="2579"/>
      <c r="G32" s="2579"/>
      <c r="H32" s="2579"/>
      <c r="I32" s="2579"/>
      <c r="J32" s="2579"/>
      <c r="K32" s="2579"/>
      <c r="L32" s="2580"/>
      <c r="M32" s="2579"/>
      <c r="N32" s="2579"/>
      <c r="O32" s="2579"/>
      <c r="P32" s="2579"/>
      <c r="Q32" s="2579"/>
      <c r="S32" s="3461" t="s">
        <v>441</v>
      </c>
      <c r="T32" s="3461"/>
      <c r="U32" s="2583"/>
      <c r="V32" s="3475" t="str">
        <f>IF(TITLE_DATE_PR_CHANGE="",IF(TITLE_DATE_PR="","",TITLE_DATE_PR),TITLE_DATE_PR_CHANGE)</f>
        <v/>
      </c>
      <c r="W32" s="3475"/>
      <c r="X32" s="3475"/>
      <c r="Y32" s="3475"/>
      <c r="Z32" s="3475"/>
      <c r="AA32" s="3475"/>
      <c r="AB32" s="3475"/>
      <c r="AC32" s="1537"/>
      <c r="AD32" s="3475" t="str">
        <f>IF(TITLE_DATE_PR_CHANGE="",IF(TITLE_DATE_PR="","",TITLE_DATE_PR),TITLE_DATE_PR_CHANGE)</f>
        <v/>
      </c>
      <c r="AE32" s="3475"/>
      <c r="AF32" s="3475"/>
      <c r="AG32" s="3475"/>
      <c r="AH32" s="3475"/>
      <c r="AI32" s="3475"/>
      <c r="AJ32" s="3475"/>
      <c r="AK32" s="3475"/>
      <c r="AL32" s="3475"/>
      <c r="AM32" s="3475"/>
      <c r="AN32" s="3475"/>
      <c r="AO32" s="3475"/>
      <c r="AP32" s="3475"/>
      <c r="AQ32" s="3475"/>
      <c r="AR32" s="3475"/>
      <c r="AS32" s="3475"/>
      <c r="AT32" s="3475"/>
      <c r="AU32" s="3475"/>
      <c r="AV32" s="3475"/>
      <c r="AW32" s="3475"/>
      <c r="AX32" s="3475"/>
      <c r="AY32" s="3475"/>
      <c r="AZ32" s="3475"/>
      <c r="BA32" s="1537"/>
      <c r="BB32" s="1537"/>
      <c r="BC32" s="1491"/>
      <c r="BD32" s="1579"/>
      <c r="BE32" s="1579"/>
      <c r="BF32" s="1579"/>
      <c r="BG32" s="1579"/>
      <c r="BH32" s="1579"/>
      <c r="BI32" s="1629">
        <v>0</v>
      </c>
    </row>
    <row s="67333" customFormat="1" customHeight="1" ht="18.75" hidden="1">
      <c r="A33" s="2579"/>
      <c r="B33" s="2579"/>
      <c r="C33" s="2579"/>
      <c r="D33" s="2579"/>
      <c r="E33" s="2579"/>
      <c r="F33" s="2579"/>
      <c r="G33" s="2579"/>
      <c r="H33" s="2579"/>
      <c r="I33" s="2579"/>
      <c r="J33" s="2579"/>
      <c r="K33" s="2579"/>
      <c r="L33" s="2580"/>
      <c r="M33" s="2579"/>
      <c r="N33" s="2579"/>
      <c r="O33" s="2579"/>
      <c r="P33" s="2579"/>
      <c r="Q33" s="2579"/>
      <c r="S33" s="3461" t="s">
        <v>442</v>
      </c>
      <c r="T33" s="3461"/>
      <c r="U33" s="2583"/>
      <c r="V33" s="3462" t="str">
        <f>IF(TITLE_NUMBER_PR_CHANGE="",IF(TITLE_NUMBER_PR="","",TITLE_NUMBER_PR),TITLE_NUMBER_PR_CHANGE)</f>
        <v/>
      </c>
      <c r="W33" s="3462"/>
      <c r="X33" s="3462"/>
      <c r="Y33" s="3462"/>
      <c r="Z33" s="3462"/>
      <c r="AA33" s="3462"/>
      <c r="AB33" s="3462"/>
      <c r="AC33" s="1537"/>
      <c r="AD33" s="3462" t="str">
        <f>IF(TITLE_NUMBER_PR_CHANGE="",IF(TITLE_NUMBER_PR="","",TITLE_NUMBER_PR),TITLE_NUMBER_PR_CHANGE)</f>
        <v/>
      </c>
      <c r="AE33" s="3462"/>
      <c r="AF33" s="3462"/>
      <c r="AG33" s="3462"/>
      <c r="AH33" s="3462"/>
      <c r="AI33" s="3462"/>
      <c r="AJ33" s="3462"/>
      <c r="AK33" s="3462"/>
      <c r="AL33" s="3462"/>
      <c r="AM33" s="3462"/>
      <c r="AN33" s="3462"/>
      <c r="AO33" s="3462"/>
      <c r="AP33" s="3462"/>
      <c r="AQ33" s="3462"/>
      <c r="AR33" s="3462"/>
      <c r="AS33" s="3462"/>
      <c r="AT33" s="3462"/>
      <c r="AU33" s="3462"/>
      <c r="AV33" s="3462"/>
      <c r="AW33" s="3462"/>
      <c r="AX33" s="3462"/>
      <c r="AY33" s="3462"/>
      <c r="AZ33" s="3462"/>
      <c r="BA33" s="1537"/>
      <c r="BB33" s="1537"/>
      <c r="BC33" s="1491"/>
      <c r="BD33" s="1579"/>
      <c r="BE33" s="1579"/>
      <c r="BF33" s="1579"/>
      <c r="BG33" s="1579"/>
      <c r="BH33" s="1579"/>
      <c r="BI33" s="1629">
        <v>0</v>
      </c>
    </row>
    <row s="67333" customFormat="1" customHeight="1" ht="18.75" hidden="1">
      <c r="A34" s="2579"/>
      <c r="B34" s="2579"/>
      <c r="C34" s="2579"/>
      <c r="D34" s="2579"/>
      <c r="E34" s="2579"/>
      <c r="F34" s="2579"/>
      <c r="G34" s="2579"/>
      <c r="H34" s="2579"/>
      <c r="I34" s="2579"/>
      <c r="J34" s="2579"/>
      <c r="K34" s="2579"/>
      <c r="L34" s="2580"/>
      <c r="M34" s="2579"/>
      <c r="N34" s="2579"/>
      <c r="O34" s="2579"/>
      <c r="P34" s="2579"/>
      <c r="Q34" s="2579"/>
      <c r="S34" s="3461" t="s">
        <v>42</v>
      </c>
      <c r="T34" s="3461"/>
      <c r="U34" s="2583"/>
      <c r="V34" s="3462" t="str">
        <f>IF(TITLE_IST_PUB_CHANGE="",IF(TITLE_IST_PUB="","",TITLE_IST_PUB),TITLE_IST_PUB_CHANGE)</f>
        <v/>
      </c>
      <c r="W34" s="3462"/>
      <c r="X34" s="3462"/>
      <c r="Y34" s="3462"/>
      <c r="Z34" s="3462"/>
      <c r="AA34" s="3462"/>
      <c r="AB34" s="3462"/>
      <c r="AC34" s="1537"/>
      <c r="AD34" s="3462" t="str">
        <f>IF(TITLE_IST_PUB_CHANGE="",IF(TITLE_IST_PUB="","",TITLE_IST_PUB),TITLE_IST_PUB_CHANGE)</f>
        <v/>
      </c>
      <c r="AE34" s="3462"/>
      <c r="AF34" s="3462"/>
      <c r="AG34" s="3462"/>
      <c r="AH34" s="3462"/>
      <c r="AI34" s="3462"/>
      <c r="AJ34" s="3462"/>
      <c r="AK34" s="3462"/>
      <c r="AL34" s="3462"/>
      <c r="AM34" s="3462"/>
      <c r="AN34" s="3462"/>
      <c r="AO34" s="3462"/>
      <c r="AP34" s="3462"/>
      <c r="AQ34" s="3462"/>
      <c r="AR34" s="3462"/>
      <c r="AS34" s="3462"/>
      <c r="AT34" s="3462"/>
      <c r="AU34" s="3462"/>
      <c r="AV34" s="3462"/>
      <c r="AW34" s="3462"/>
      <c r="AX34" s="3462"/>
      <c r="AY34" s="3462"/>
      <c r="AZ34" s="3462"/>
      <c r="BA34" s="1537"/>
      <c r="BB34" s="1537"/>
      <c r="BC34" s="1491"/>
      <c r="BD34" s="1579"/>
      <c r="BE34" s="1579"/>
      <c r="BF34" s="1579"/>
      <c r="BG34" s="1579"/>
      <c r="BH34" s="1579"/>
      <c r="BI34" s="1629">
        <v>0</v>
      </c>
    </row>
    <row customHeight="1" ht="14.25" hidden="1">
      <c r="Q35" s="1502"/>
      <c r="R35" s="1587"/>
      <c r="S35" s="2486"/>
      <c r="T35" s="1574"/>
      <c r="U35" s="1574"/>
      <c r="V35" s="1533"/>
      <c r="W35" s="1533"/>
      <c r="X35" s="1533"/>
      <c r="Y35" s="1533"/>
      <c r="Z35" s="1533"/>
      <c r="AA35" s="1533"/>
      <c r="AB35" s="1533"/>
      <c r="AC35" s="1533"/>
      <c r="AD35" s="1533"/>
      <c r="AE35" s="1533"/>
      <c r="AF35" s="1533"/>
      <c r="AG35" s="1533"/>
      <c r="AH35" s="1533"/>
      <c r="AI35" s="1533"/>
      <c r="AJ35" s="1533"/>
      <c r="AK35" s="1533"/>
      <c r="AL35" s="1533"/>
      <c r="AM35" s="1533"/>
      <c r="AN35" s="1533"/>
      <c r="AO35" s="1533"/>
      <c r="AP35" s="1533"/>
      <c r="AQ35" s="1533"/>
      <c r="AR35" s="1533"/>
      <c r="AS35" s="1533"/>
      <c r="AT35" s="1533"/>
      <c r="AU35" s="1533"/>
      <c r="AV35" s="1533"/>
      <c r="AW35" s="1533"/>
      <c r="AX35" s="1533"/>
      <c r="AY35" s="1533"/>
      <c r="AZ35" s="1533"/>
      <c r="BA35" s="1533"/>
      <c r="BB35" s="1720"/>
      <c r="BI35" s="2366">
        <v>0</v>
      </c>
    </row>
    <row s="67333" customFormat="1" customHeight="1" ht="18.75" hidden="1">
      <c r="A36" s="2579"/>
      <c r="B36" s="2579"/>
      <c r="C36" s="2579"/>
      <c r="D36" s="2579"/>
      <c r="E36" s="2579"/>
      <c r="F36" s="2579"/>
      <c r="G36" s="2579"/>
      <c r="H36" s="2579"/>
      <c r="I36" s="2579"/>
      <c r="J36" s="2579"/>
      <c r="K36" s="2579"/>
      <c r="L36" s="2580"/>
      <c r="M36" s="2579"/>
      <c r="N36" s="2579"/>
      <c r="O36" s="2579"/>
      <c r="P36" s="2579"/>
      <c r="Q36" s="2579"/>
      <c r="S36" s="3461" t="s">
        <v>441</v>
      </c>
      <c r="T36" s="3461"/>
      <c r="U36" s="2583"/>
      <c r="V36" s="3475" t="str">
        <f>IF(TITLE_DATE_PR_CHANGE="",IF(TITLE_DATE_PR="","",TITLE_DATE_PR),TITLE_DATE_PR_CHANGE)</f>
        <v/>
      </c>
      <c r="W36" s="3475"/>
      <c r="X36" s="3475"/>
      <c r="Y36" s="3475"/>
      <c r="Z36" s="3475"/>
      <c r="AA36" s="3475"/>
      <c r="AB36" s="3475"/>
      <c r="AC36" s="1537"/>
      <c r="AD36" s="3475" t="str">
        <f>IF(TITLE_DATE_PR_CHANGE="",IF(TITLE_DATE_PR="","",TITLE_DATE_PR),TITLE_DATE_PR_CHANGE)</f>
        <v/>
      </c>
      <c r="AE36" s="3475"/>
      <c r="AF36" s="3475"/>
      <c r="AG36" s="3475"/>
      <c r="AH36" s="3475"/>
      <c r="AI36" s="3475"/>
      <c r="AJ36" s="3475"/>
      <c r="AK36" s="3475"/>
      <c r="AL36" s="3475"/>
      <c r="AM36" s="3475"/>
      <c r="AN36" s="3475"/>
      <c r="AO36" s="3475"/>
      <c r="AP36" s="3475"/>
      <c r="AQ36" s="3475"/>
      <c r="AR36" s="3475"/>
      <c r="AS36" s="3475"/>
      <c r="AT36" s="3475"/>
      <c r="AU36" s="3475"/>
      <c r="AV36" s="3475"/>
      <c r="AW36" s="3475"/>
      <c r="AX36" s="3475"/>
      <c r="AY36" s="3475"/>
      <c r="AZ36" s="3475"/>
      <c r="BA36" s="1537"/>
      <c r="BB36" s="1537"/>
      <c r="BC36" s="1491"/>
      <c r="BD36" s="1579"/>
      <c r="BE36" s="1579"/>
      <c r="BF36" s="1579"/>
      <c r="BG36" s="1579"/>
      <c r="BH36" s="1579"/>
      <c r="BI36" s="1629">
        <v>0</v>
      </c>
    </row>
    <row s="67333" customFormat="1" customHeight="1" ht="18.75" hidden="1">
      <c r="A37" s="2579"/>
      <c r="B37" s="2579"/>
      <c r="C37" s="2579"/>
      <c r="D37" s="2579"/>
      <c r="E37" s="2579"/>
      <c r="F37" s="2579"/>
      <c r="G37" s="2579"/>
      <c r="H37" s="2579"/>
      <c r="I37" s="2579"/>
      <c r="J37" s="2579"/>
      <c r="K37" s="2579"/>
      <c r="L37" s="2580"/>
      <c r="M37" s="2579"/>
      <c r="N37" s="2579"/>
      <c r="O37" s="2579"/>
      <c r="P37" s="2579"/>
      <c r="Q37" s="2579"/>
      <c r="S37" s="3461" t="s">
        <v>442</v>
      </c>
      <c r="T37" s="3461"/>
      <c r="U37" s="2583"/>
      <c r="V37" s="3462" t="str">
        <f>IF(TITLE_NUMBER_PR_CHANGE="",IF(TITLE_NUMBER_PR="","",TITLE_NUMBER_PR),TITLE_NUMBER_PR_CHANGE)</f>
        <v/>
      </c>
      <c r="W37" s="3462"/>
      <c r="X37" s="3462"/>
      <c r="Y37" s="3462"/>
      <c r="Z37" s="3462"/>
      <c r="AA37" s="3462"/>
      <c r="AB37" s="3462"/>
      <c r="AC37" s="1537"/>
      <c r="AD37" s="3462" t="str">
        <f>IF(TITLE_NUMBER_PR_CHANGE="",IF(TITLE_NUMBER_PR="","",TITLE_NUMBER_PR),TITLE_NUMBER_PR_CHANGE)</f>
        <v/>
      </c>
      <c r="AE37" s="3462"/>
      <c r="AF37" s="3462"/>
      <c r="AG37" s="3462"/>
      <c r="AH37" s="3462"/>
      <c r="AI37" s="3462"/>
      <c r="AJ37" s="3462"/>
      <c r="AK37" s="3462"/>
      <c r="AL37" s="3462"/>
      <c r="AM37" s="3462"/>
      <c r="AN37" s="3462"/>
      <c r="AO37" s="3462"/>
      <c r="AP37" s="3462"/>
      <c r="AQ37" s="3462"/>
      <c r="AR37" s="3462"/>
      <c r="AS37" s="3462"/>
      <c r="AT37" s="3462"/>
      <c r="AU37" s="3462"/>
      <c r="AV37" s="3462"/>
      <c r="AW37" s="3462"/>
      <c r="AX37" s="3462"/>
      <c r="AY37" s="3462"/>
      <c r="AZ37" s="3462"/>
      <c r="BA37" s="1537"/>
      <c r="BB37" s="1537"/>
      <c r="BC37" s="1491"/>
      <c r="BD37" s="1579"/>
      <c r="BE37" s="1579"/>
      <c r="BF37" s="1579"/>
      <c r="BG37" s="1579"/>
      <c r="BH37" s="1579"/>
      <c r="BI37" s="1629">
        <v>0</v>
      </c>
    </row>
    <row s="67333" customFormat="1" customHeight="1" ht="0">
      <c r="A38" s="2579"/>
      <c r="B38" s="2579"/>
      <c r="C38" s="2579"/>
      <c r="D38" s="2579"/>
      <c r="E38" s="2579"/>
      <c r="F38" s="2579"/>
      <c r="G38" s="2579"/>
      <c r="H38" s="2579"/>
      <c r="I38" s="2579"/>
      <c r="J38" s="2579"/>
      <c r="K38" s="2579"/>
      <c r="L38" s="2580"/>
      <c r="M38" s="2579"/>
      <c r="N38" s="2579"/>
      <c r="O38" s="2579"/>
      <c r="P38" s="2579"/>
      <c r="Q38" s="2579"/>
      <c r="S38" s="1534"/>
      <c r="T38" s="1534"/>
      <c r="U38" s="2699"/>
      <c r="V38" s="1537"/>
      <c r="W38" s="1537"/>
      <c r="X38" s="1537"/>
      <c r="Y38" s="1537"/>
      <c r="Z38" s="1537"/>
      <c r="AA38" s="1537"/>
      <c r="AB38" s="1537"/>
      <c r="AC38" s="1489" t="s">
        <v>445</v>
      </c>
      <c r="AD38" s="1537"/>
      <c r="AE38" s="1537"/>
      <c r="AF38" s="1537"/>
      <c r="AG38" s="1537"/>
      <c r="AH38" s="1537"/>
      <c r="AI38" s="1537"/>
      <c r="AJ38" s="1537"/>
      <c r="AK38" s="1537"/>
      <c r="AL38" s="1537"/>
      <c r="AM38" s="1537"/>
      <c r="AN38" s="1537"/>
      <c r="AO38" s="1537"/>
      <c r="AP38" s="1537"/>
      <c r="AQ38" s="1537"/>
      <c r="AR38" s="1537"/>
      <c r="AS38" s="1537"/>
      <c r="AT38" s="1537"/>
      <c r="AU38" s="1537"/>
      <c r="AV38" s="1537"/>
      <c r="AW38" s="1537"/>
      <c r="AX38" s="1537"/>
      <c r="AY38" s="1537"/>
      <c r="AZ38" s="1537"/>
      <c r="BA38" s="1489" t="s">
        <v>445</v>
      </c>
      <c r="BD38" s="1579"/>
      <c r="BE38" s="1579"/>
      <c r="BF38" s="1579"/>
      <c r="BG38" s="1579"/>
      <c r="BH38" s="1579"/>
      <c r="BI38" s="1629">
        <v>0</v>
      </c>
    </row>
    <row customHeight="1" ht="14.699999999999998">
      <c r="Q39" s="1502"/>
      <c r="R39" s="1587"/>
      <c r="S39" s="2486"/>
      <c r="T39" s="1574"/>
      <c r="U39" s="2455"/>
      <c r="V39" s="3463"/>
      <c r="W39" s="3463"/>
      <c r="X39" s="3463"/>
      <c r="Y39" s="3463"/>
      <c r="Z39" s="3463"/>
      <c r="AA39" s="3463"/>
      <c r="AB39" s="3463"/>
      <c r="AC39" s="3463"/>
      <c r="AD39" s="3463"/>
      <c r="AE39" s="3463"/>
      <c r="AF39" s="3463"/>
      <c r="AG39" s="3463"/>
      <c r="AH39" s="3463"/>
      <c r="AI39" s="3463"/>
      <c r="AJ39" s="3463"/>
      <c r="AK39" s="3463"/>
      <c r="AL39" s="3463"/>
      <c r="AM39" s="3463"/>
      <c r="AN39" s="3463"/>
      <c r="AO39" s="3463"/>
      <c r="AP39" s="3463"/>
      <c r="AQ39" s="3463"/>
      <c r="AR39" s="3463"/>
      <c r="AS39" s="3463"/>
      <c r="AT39" s="3463"/>
      <c r="AU39" s="3463"/>
      <c r="AV39" s="3463"/>
      <c r="AW39" s="3463"/>
      <c r="AX39" s="3463"/>
      <c r="AY39" s="3463"/>
      <c r="AZ39" s="3463"/>
      <c r="BA39" s="3463"/>
      <c r="BI39" s="2366">
        <v>14</v>
      </c>
    </row>
    <row customHeight="1" ht="14.699999999999998">
      <c r="Q40" s="1502"/>
      <c r="R40" s="1587"/>
      <c r="S40" s="3338" t="s">
        <v>318</v>
      </c>
      <c r="T40" s="3338"/>
      <c r="U40" s="3338"/>
      <c r="V40" s="3338"/>
      <c r="W40" s="3338"/>
      <c r="X40" s="3338"/>
      <c r="Y40" s="3338"/>
      <c r="Z40" s="3338"/>
      <c r="AA40" s="3338"/>
      <c r="AB40" s="3338"/>
      <c r="AC40" s="3338"/>
      <c r="AD40" s="3338"/>
      <c r="AE40" s="3338"/>
      <c r="AF40" s="3338"/>
      <c r="AG40" s="3338"/>
      <c r="AH40" s="3338"/>
      <c r="AI40" s="3338"/>
      <c r="AJ40" s="3338"/>
      <c r="AK40" s="3338"/>
      <c r="AL40" s="3338"/>
      <c r="AM40" s="3338"/>
      <c r="AN40" s="3338"/>
      <c r="AO40" s="3338"/>
      <c r="AP40" s="3338"/>
      <c r="AQ40" s="3338"/>
      <c r="AR40" s="3338"/>
      <c r="AS40" s="3338"/>
      <c r="AT40" s="3338"/>
      <c r="AU40" s="3338"/>
      <c r="AV40" s="3338"/>
      <c r="AW40" s="3338"/>
      <c r="AX40" s="3338"/>
      <c r="AY40" s="3338"/>
      <c r="AZ40" s="3338"/>
      <c r="BA40" s="3338"/>
      <c r="BB40" s="3338"/>
      <c r="BC40" s="3338" t="s">
        <v>319</v>
      </c>
      <c r="BI40" s="2366">
        <v>14</v>
      </c>
    </row>
    <row customHeight="1" ht="14.699999999999998">
      <c r="Q41" s="1502"/>
      <c r="R41" s="1587"/>
      <c r="S41" s="3484" t="s">
        <v>88</v>
      </c>
      <c r="T41" s="3420" t="s">
        <v>525</v>
      </c>
      <c r="U41" s="1512"/>
      <c r="V41" s="3485" t="s">
        <v>447</v>
      </c>
      <c r="W41" s="3486"/>
      <c r="X41" s="3486"/>
      <c r="Y41" s="3486"/>
      <c r="Z41" s="3486"/>
      <c r="AA41" s="3486"/>
      <c r="AB41" s="3487"/>
      <c r="AC41" s="3488" t="s">
        <v>448</v>
      </c>
      <c r="AD41" s="3539" t="s">
        <v>526</v>
      </c>
      <c r="AE41" s="3502"/>
      <c r="AF41" s="3502"/>
      <c r="AG41" s="3540"/>
      <c r="AH41" s="3539" t="s">
        <v>527</v>
      </c>
      <c r="AI41" s="3502"/>
      <c r="AJ41" s="3502"/>
      <c r="AK41" s="3540"/>
      <c r="AL41" s="3539" t="s">
        <v>528</v>
      </c>
      <c r="AM41" s="3502"/>
      <c r="AN41" s="3502"/>
      <c r="AO41" s="3540"/>
      <c r="AP41" s="3539" t="s">
        <v>529</v>
      </c>
      <c r="AQ41" s="3502"/>
      <c r="AR41" s="3502"/>
      <c r="AS41" s="3540"/>
      <c r="AT41" s="3485" t="s">
        <v>447</v>
      </c>
      <c r="AU41" s="3486"/>
      <c r="AV41" s="3486"/>
      <c r="AW41" s="3486"/>
      <c r="AX41" s="3486"/>
      <c r="AY41" s="3486"/>
      <c r="AZ41" s="3487"/>
      <c r="BA41" s="3488" t="s">
        <v>448</v>
      </c>
      <c r="BB41" s="3491" t="s">
        <v>450</v>
      </c>
      <c r="BC41" s="3338"/>
      <c r="BI41" s="2366">
        <v>14</v>
      </c>
    </row>
    <row customHeight="1" ht="35.699999999999996">
      <c r="Q42" s="1502"/>
      <c r="R42" s="1587"/>
      <c r="S42" s="3484"/>
      <c r="T42" s="3420"/>
      <c r="U42" s="2242"/>
      <c r="V42" s="3403" t="s">
        <v>530</v>
      </c>
      <c r="W42" s="3404"/>
      <c r="X42" s="3403" t="s">
        <v>531</v>
      </c>
      <c r="Y42" s="3404"/>
      <c r="Z42" s="3505" t="s">
        <v>532</v>
      </c>
      <c r="AA42" s="3524"/>
      <c r="AB42" s="3525"/>
      <c r="AC42" s="3489"/>
      <c r="AD42" s="3541"/>
      <c r="AE42" s="3542"/>
      <c r="AF42" s="3542"/>
      <c r="AG42" s="3543"/>
      <c r="AH42" s="3541"/>
      <c r="AI42" s="3542"/>
      <c r="AJ42" s="3542"/>
      <c r="AK42" s="3543"/>
      <c r="AL42" s="3541"/>
      <c r="AM42" s="3542"/>
      <c r="AN42" s="3542"/>
      <c r="AO42" s="3543"/>
      <c r="AP42" s="3541"/>
      <c r="AQ42" s="3542"/>
      <c r="AR42" s="3542"/>
      <c r="AS42" s="3543"/>
      <c r="AT42" s="3403" t="s">
        <v>530</v>
      </c>
      <c r="AU42" s="3404"/>
      <c r="AV42" s="3403" t="s">
        <v>531</v>
      </c>
      <c r="AW42" s="3404"/>
      <c r="AX42" s="3505" t="s">
        <v>532</v>
      </c>
      <c r="AY42" s="3524"/>
      <c r="AZ42" s="3525"/>
      <c r="BA42" s="3489"/>
      <c r="BB42" s="3492"/>
      <c r="BC42" s="3338"/>
      <c r="BI42" s="2366">
        <v>34</v>
      </c>
    </row>
    <row customHeight="1" ht="14.699999999999998">
      <c r="Q43" s="1502"/>
      <c r="R43" s="1587"/>
      <c r="S43" s="3484"/>
      <c r="T43" s="3420"/>
      <c r="U43" s="2242"/>
      <c r="V43" s="3411"/>
      <c r="W43" s="3412"/>
      <c r="X43" s="3411"/>
      <c r="Y43" s="3412"/>
      <c r="Z43" s="3506"/>
      <c r="AA43" s="3526"/>
      <c r="AB43" s="3527"/>
      <c r="AC43" s="3489"/>
      <c r="AD43" s="3541"/>
      <c r="AE43" s="3542"/>
      <c r="AF43" s="3542"/>
      <c r="AG43" s="3543"/>
      <c r="AH43" s="3541"/>
      <c r="AI43" s="3542"/>
      <c r="AJ43" s="3542"/>
      <c r="AK43" s="3543"/>
      <c r="AL43" s="3541"/>
      <c r="AM43" s="3542"/>
      <c r="AN43" s="3542"/>
      <c r="AO43" s="3543"/>
      <c r="AP43" s="3541"/>
      <c r="AQ43" s="3542"/>
      <c r="AR43" s="3542"/>
      <c r="AS43" s="3543"/>
      <c r="AT43" s="3411"/>
      <c r="AU43" s="3412"/>
      <c r="AV43" s="3411"/>
      <c r="AW43" s="3412"/>
      <c r="AX43" s="3506"/>
      <c r="AY43" s="3526"/>
      <c r="AZ43" s="3527"/>
      <c r="BA43" s="3489"/>
      <c r="BB43" s="3492"/>
      <c r="BC43" s="3338"/>
      <c r="BI43" s="2366">
        <v>14</v>
      </c>
    </row>
    <row customHeight="1" ht="14.699999999999998">
      <c r="A44" s="2581"/>
      <c r="B44" s="2581" t="s">
        <v>155</v>
      </c>
      <c r="C44" s="2581" t="s">
        <v>156</v>
      </c>
      <c r="D44" s="2581" t="s">
        <v>157</v>
      </c>
      <c r="E44" s="2575" t="s">
        <v>455</v>
      </c>
      <c r="F44" s="2575" t="s">
        <v>456</v>
      </c>
      <c r="G44" s="2575" t="s">
        <v>457</v>
      </c>
      <c r="H44" s="2575" t="s">
        <v>458</v>
      </c>
      <c r="I44" s="2575" t="s">
        <v>459</v>
      </c>
      <c r="J44" s="2575" t="s">
        <v>460</v>
      </c>
      <c r="K44" s="2575" t="s">
        <v>461</v>
      </c>
      <c r="L44" s="2575" t="s">
        <v>436</v>
      </c>
      <c r="Q44" s="1502"/>
      <c r="R44" s="1587"/>
      <c r="S44" s="3484"/>
      <c r="T44" s="3420"/>
      <c r="U44" s="1513"/>
      <c r="V44" s="2690" t="s">
        <v>496</v>
      </c>
      <c r="W44" s="2690" t="s">
        <v>497</v>
      </c>
      <c r="X44" s="2690" t="s">
        <v>496</v>
      </c>
      <c r="Y44" s="2690" t="s">
        <v>497</v>
      </c>
      <c r="Z44" s="2700" t="s">
        <v>464</v>
      </c>
      <c r="AA44" s="3481" t="s">
        <v>465</v>
      </c>
      <c r="AB44" s="3482"/>
      <c r="AC44" s="3490"/>
      <c r="AD44" s="3544"/>
      <c r="AE44" s="3545"/>
      <c r="AF44" s="3545"/>
      <c r="AG44" s="3546"/>
      <c r="AH44" s="3544"/>
      <c r="AI44" s="3545"/>
      <c r="AJ44" s="3545"/>
      <c r="AK44" s="3546"/>
      <c r="AL44" s="3544"/>
      <c r="AM44" s="3545"/>
      <c r="AN44" s="3545"/>
      <c r="AO44" s="3546"/>
      <c r="AP44" s="3544"/>
      <c r="AQ44" s="3545"/>
      <c r="AR44" s="3545"/>
      <c r="AS44" s="3546"/>
      <c r="AT44" s="2690" t="s">
        <v>496</v>
      </c>
      <c r="AU44" s="2690" t="s">
        <v>497</v>
      </c>
      <c r="AV44" s="2690" t="s">
        <v>496</v>
      </c>
      <c r="AW44" s="2690" t="s">
        <v>497</v>
      </c>
      <c r="AX44" s="2700" t="s">
        <v>464</v>
      </c>
      <c r="AY44" s="3481" t="s">
        <v>465</v>
      </c>
      <c r="AZ44" s="3482"/>
      <c r="BA44" s="3490"/>
      <c r="BB44" s="3493"/>
      <c r="BC44" s="3338"/>
      <c r="BI44" s="2366">
        <v>14</v>
      </c>
    </row>
    <row s="65897" customFormat="1" customHeight="1" ht="0">
      <c r="A45" s="2581"/>
      <c r="B45" s="2581"/>
      <c r="C45" s="2581"/>
      <c r="D45" s="2581"/>
      <c r="E45" s="2581"/>
      <c r="F45" s="2581"/>
      <c r="G45" s="2581"/>
      <c r="H45" s="2581"/>
      <c r="I45" s="2581"/>
      <c r="J45" s="2581"/>
      <c r="K45" s="2581"/>
      <c r="L45" s="2575"/>
      <c r="M45" s="2573"/>
      <c r="N45" s="2573"/>
      <c r="O45" s="2573"/>
      <c r="P45" s="1721"/>
      <c r="Q45" s="2465"/>
      <c r="R45" s="2465">
        <v>1</v>
      </c>
      <c r="S45" s="2488" t="s">
        <v>99</v>
      </c>
      <c r="T45" s="2466" t="s">
        <v>102</v>
      </c>
      <c r="U45" s="2456" t="str">
        <f>OFFSET(U45,0,-1)</f>
        <v>2</v>
      </c>
      <c r="V45" s="2693">
        <f>OFFSET(V45,0,-1)+1</f>
        <v>3</v>
      </c>
      <c r="W45" s="2693">
        <f>OFFSET(W45,0,-1)+1</f>
        <v>4</v>
      </c>
      <c r="X45" s="2693">
        <f>OFFSET(X45,0,-1)+1</f>
        <v>5</v>
      </c>
      <c r="Y45" s="2693">
        <f>OFFSET(Y45,0,-1)+1</f>
        <v>6</v>
      </c>
      <c r="Z45" s="2693">
        <f>OFFSET(Z45,0,-1)+1</f>
        <v>7</v>
      </c>
      <c r="AA45" s="3483">
        <f>OFFSET(AA45,0,-1)+1</f>
        <v>8</v>
      </c>
      <c r="AB45" s="3483"/>
      <c r="AC45" s="2693">
        <f>OFFSET(AC45,0,-2)+1</f>
        <v>9</v>
      </c>
      <c r="AD45" s="2693">
        <f>OFFSET(AD45,0,-1)+1</f>
        <v>10</v>
      </c>
      <c r="AE45" s="2693"/>
      <c r="AF45" s="2693"/>
      <c r="AG45" s="2693"/>
      <c r="AH45" s="2693"/>
      <c r="AI45" s="2693"/>
      <c r="AJ45" s="2693"/>
      <c r="AK45" s="2693"/>
      <c r="AL45" s="2693"/>
      <c r="AM45" s="2693"/>
      <c r="AN45" s="2693"/>
      <c r="AO45" s="2693"/>
      <c r="AP45" s="2693"/>
      <c r="AQ45" s="2693"/>
      <c r="AR45" s="2693"/>
      <c r="AS45" s="2693"/>
      <c r="AT45" s="2693"/>
      <c r="AU45" s="2693"/>
      <c r="AV45" s="2693"/>
      <c r="AW45" s="2693">
        <f>OFFSET(AW45,0,-1)+1</f>
        <v>1</v>
      </c>
      <c r="AX45" s="2693">
        <f>OFFSET(AX45,0,-1)+1</f>
        <v>2</v>
      </c>
      <c r="AY45" s="3483">
        <f>OFFSET(AY45,0,-1)+1</f>
        <v>3</v>
      </c>
      <c r="AZ45" s="3483"/>
      <c r="BA45" s="2693">
        <f>OFFSET(BA45,0,-2)+1</f>
        <v>4</v>
      </c>
      <c r="BB45" s="2456">
        <f>OFFSET(BB45,0,-1)</f>
        <v>4</v>
      </c>
      <c r="BC45" s="2693">
        <f>OFFSET(BC45,0,-1)+1</f>
        <v>5</v>
      </c>
      <c r="BD45" s="1722"/>
      <c r="BE45" s="1722"/>
      <c r="BF45" s="1722"/>
      <c r="BG45" s="1722"/>
      <c r="BH45" s="1722"/>
      <c r="BI45" s="1707">
        <v>0</v>
      </c>
    </row>
    <row customHeight="1" ht="22.049999999999997">
      <c r="A46" s="2574" t="s">
        <v>279</v>
      </c>
      <c r="B46" s="2574"/>
      <c r="C46" s="2574"/>
      <c r="D46" s="2574"/>
      <c r="E46" s="3469">
        <v>1</v>
      </c>
      <c r="F46" s="2574"/>
      <c r="G46" s="2574"/>
      <c r="H46" s="2574"/>
      <c r="I46" s="2574"/>
      <c r="J46" s="2574"/>
      <c r="K46" s="2574"/>
      <c r="L46" s="2575"/>
      <c r="M46" s="2576"/>
      <c r="N46" s="2576"/>
      <c r="O46" s="2576"/>
      <c r="P46" s="2620"/>
      <c r="Q46" s="2084"/>
      <c r="R46" s="1566"/>
      <c r="S46" s="2704">
        <f>INDEX(PT_DIFFERENTIATION_NUM_NTAR,MATCH(A46,PT_DIFFERENTIATION_NTAR_ID,0))</f>
        <v>0</v>
      </c>
      <c r="T46" s="1509" t="s">
        <v>143</v>
      </c>
      <c r="U46" s="1511"/>
      <c r="V46" s="3454"/>
      <c r="W46" s="3454"/>
      <c r="X46" s="3454"/>
      <c r="Y46" s="3454"/>
      <c r="Z46" s="3454"/>
      <c r="AA46" s="3454"/>
      <c r="AB46" s="3454"/>
      <c r="AC46" s="3455"/>
      <c r="AD46" s="3453" t="str">
        <f>INDEX(PT_DIFFERENTIATION_NTAR,MATCH(A46,PT_DIFFERENTIATION_NTAR_ID,0))</f>
        <v/>
      </c>
      <c r="AE46" s="3454"/>
      <c r="AF46" s="3454"/>
      <c r="AG46" s="3454"/>
      <c r="AH46" s="3454"/>
      <c r="AI46" s="3454"/>
      <c r="AJ46" s="3454"/>
      <c r="AK46" s="3454"/>
      <c r="AL46" s="3454"/>
      <c r="AM46" s="3454"/>
      <c r="AN46" s="3454"/>
      <c r="AO46" s="3454"/>
      <c r="AP46" s="3454"/>
      <c r="AQ46" s="3454"/>
      <c r="AR46" s="3454"/>
      <c r="AS46" s="3454"/>
      <c r="AT46" s="3454"/>
      <c r="AU46" s="3454"/>
      <c r="AV46" s="3454"/>
      <c r="AW46" s="3454"/>
      <c r="AX46" s="3454"/>
      <c r="AY46" s="3454"/>
      <c r="AZ46" s="3454"/>
      <c r="BA46" s="3454"/>
      <c r="BB46" s="3455"/>
      <c r="BC46" s="246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711"/>
      <c r="BF46" s="1711" t="str">
        <f>IF(T46="","",T46)</f>
        <v>Наименование тарифа</v>
      </c>
      <c r="BG46" s="1711"/>
      <c r="BH46" s="1711"/>
      <c r="BI46" s="2366">
        <v>21</v>
      </c>
    </row>
    <row customHeight="1" ht="22.049999999999997">
      <c r="A47" s="2574" t="s">
        <v>279</v>
      </c>
      <c r="B47" s="2574" t="s">
        <v>280</v>
      </c>
      <c r="C47" s="2574"/>
      <c r="D47" s="2574"/>
      <c r="E47" s="3470"/>
      <c r="F47" s="3469">
        <v>1</v>
      </c>
      <c r="G47" s="2574"/>
      <c r="H47" s="2574"/>
      <c r="I47" s="2574"/>
      <c r="J47" s="2574"/>
      <c r="K47" s="2574"/>
      <c r="L47" s="2575"/>
      <c r="M47" s="2576"/>
      <c r="N47" s="2576"/>
      <c r="O47" s="2576"/>
      <c r="P47" s="2621"/>
      <c r="Q47" s="2622"/>
      <c r="R47" s="1564"/>
      <c r="S47" s="2704" t="str">
        <f>INDEX(PT_DIFFERENTIATION_NUM_TER,MATCH(B47,PT_DIFFERENTIATION_TER_ID,0))</f>
        <v>.</v>
      </c>
      <c r="T47" s="1519" t="s">
        <v>415</v>
      </c>
      <c r="U47" s="1511"/>
      <c r="V47" s="3454"/>
      <c r="W47" s="3454"/>
      <c r="X47" s="3454"/>
      <c r="Y47" s="3454"/>
      <c r="Z47" s="3454"/>
      <c r="AA47" s="3454"/>
      <c r="AB47" s="3454"/>
      <c r="AC47" s="3455"/>
      <c r="AD47" s="3453" t="str">
        <f>INDEX(PT_DIFFERENTIATION_TER,MATCH(B47,PT_DIFFERENTIATION_TER_ID,0))</f>
        <v/>
      </c>
      <c r="AE47" s="3454"/>
      <c r="AF47" s="3454"/>
      <c r="AG47" s="3454"/>
      <c r="AH47" s="3454"/>
      <c r="AI47" s="3454"/>
      <c r="AJ47" s="3454"/>
      <c r="AK47" s="3454"/>
      <c r="AL47" s="3454"/>
      <c r="AM47" s="3454"/>
      <c r="AN47" s="3454"/>
      <c r="AO47" s="3454"/>
      <c r="AP47" s="3454"/>
      <c r="AQ47" s="3454"/>
      <c r="AR47" s="3454"/>
      <c r="AS47" s="3454"/>
      <c r="AT47" s="3454"/>
      <c r="AU47" s="3454"/>
      <c r="AV47" s="3454"/>
      <c r="AW47" s="3454"/>
      <c r="AX47" s="3454"/>
      <c r="AY47" s="3454"/>
      <c r="AZ47" s="3454"/>
      <c r="BA47" s="3454"/>
      <c r="BB47" s="3455"/>
      <c r="BC47" s="2469" t="s">
        <v>416</v>
      </c>
      <c r="BE47" s="1711"/>
      <c r="BF47" s="1711" t="str">
        <f>IF(T47="","",T47)</f>
        <v>Территория действия тарифа</v>
      </c>
      <c r="BG47" s="1711"/>
      <c r="BH47" s="1711"/>
      <c r="BI47" s="2366">
        <v>21</v>
      </c>
    </row>
    <row customHeight="1" ht="35.699999999999996">
      <c r="A48" s="2574" t="s">
        <v>279</v>
      </c>
      <c r="B48" s="2574" t="s">
        <v>280</v>
      </c>
      <c r="C48" s="2574" t="s">
        <v>281</v>
      </c>
      <c r="D48" s="2574"/>
      <c r="E48" s="3470"/>
      <c r="F48" s="3470"/>
      <c r="G48" s="3469">
        <v>1</v>
      </c>
      <c r="H48" s="2574"/>
      <c r="I48" s="2574"/>
      <c r="J48" s="2574"/>
      <c r="K48" s="2574"/>
      <c r="L48" s="2575"/>
      <c r="M48" s="2576"/>
      <c r="N48" s="2576"/>
      <c r="O48" s="2576"/>
      <c r="P48" s="2623"/>
      <c r="Q48" s="2622"/>
      <c r="R48" s="1564"/>
      <c r="S48" s="2704" t="str">
        <f>INDEX(PT_DIFFERENTIATION_NUM_CS,MATCH(C48,PT_DIFFERENTIATION_CS_ID,0))</f>
        <v>..</v>
      </c>
      <c r="T48" s="1520" t="s">
        <v>548</v>
      </c>
      <c r="U48" s="1511"/>
      <c r="V48" s="3454"/>
      <c r="W48" s="3454"/>
      <c r="X48" s="3454"/>
      <c r="Y48" s="3454"/>
      <c r="Z48" s="3454"/>
      <c r="AA48" s="3454"/>
      <c r="AB48" s="3454"/>
      <c r="AC48" s="3455"/>
      <c r="AD48" s="3453" t="str">
        <f>INDEX(PT_DIFFERENTIATION_CS,MATCH(C48,PT_DIFFERENTIATION_CS_ID,0))</f>
        <v/>
      </c>
      <c r="AE48" s="3454"/>
      <c r="AF48" s="3454"/>
      <c r="AG48" s="3454"/>
      <c r="AH48" s="3454"/>
      <c r="AI48" s="3454"/>
      <c r="AJ48" s="3454"/>
      <c r="AK48" s="3454"/>
      <c r="AL48" s="3454"/>
      <c r="AM48" s="3454"/>
      <c r="AN48" s="3454"/>
      <c r="AO48" s="3454"/>
      <c r="AP48" s="3454"/>
      <c r="AQ48" s="3454"/>
      <c r="AR48" s="3454"/>
      <c r="AS48" s="3454"/>
      <c r="AT48" s="3454"/>
      <c r="AU48" s="3454"/>
      <c r="AV48" s="3454"/>
      <c r="AW48" s="3454"/>
      <c r="AX48" s="3454"/>
      <c r="AY48" s="3454"/>
      <c r="AZ48" s="3454"/>
      <c r="BA48" s="3454"/>
      <c r="BB48" s="3455"/>
      <c r="BC48" s="2469" t="s">
        <v>549</v>
      </c>
      <c r="BE48" s="1711"/>
      <c r="BF48" s="1711" t="str">
        <f>IF(T48="","",T48)</f>
        <v>Наименование централизованной системы горячего водоснабжения</v>
      </c>
      <c r="BG48" s="1711"/>
      <c r="BH48" s="1711"/>
      <c r="BI48" s="2366">
        <v>34</v>
      </c>
    </row>
    <row s="65923" customFormat="1" customHeight="1" ht="0">
      <c r="A49" s="2554" t="s">
        <v>279</v>
      </c>
      <c r="B49" s="2554" t="s">
        <v>280</v>
      </c>
      <c r="C49" s="2554" t="s">
        <v>281</v>
      </c>
      <c r="D49" s="2554" t="s">
        <v>562</v>
      </c>
      <c r="E49" s="3470"/>
      <c r="F49" s="3470"/>
      <c r="G49" s="3470"/>
      <c r="H49" s="3469">
        <v>1</v>
      </c>
      <c r="I49" s="2554"/>
      <c r="J49" s="2554"/>
      <c r="K49" s="2554"/>
      <c r="L49" s="2557"/>
      <c r="M49" s="2526"/>
      <c r="N49" s="2526"/>
      <c r="O49" s="2526"/>
      <c r="P49" s="2708"/>
      <c r="Q49" s="2709"/>
      <c r="R49" s="1568"/>
      <c r="S49" s="2253"/>
      <c r="T49" s="2710"/>
      <c r="U49" s="2595"/>
      <c r="V49" s="3508"/>
      <c r="W49" s="3508"/>
      <c r="X49" s="3508"/>
      <c r="Y49" s="3508"/>
      <c r="Z49" s="3508"/>
      <c r="AA49" s="3508"/>
      <c r="AB49" s="3508"/>
      <c r="AC49" s="3509"/>
      <c r="AD49" s="3507"/>
      <c r="AE49" s="3508"/>
      <c r="AF49" s="3508"/>
      <c r="AG49" s="3508"/>
      <c r="AH49" s="3508"/>
      <c r="AI49" s="3508"/>
      <c r="AJ49" s="3508"/>
      <c r="AK49" s="3508"/>
      <c r="AL49" s="3508"/>
      <c r="AM49" s="3508"/>
      <c r="AN49" s="3508"/>
      <c r="AO49" s="3508"/>
      <c r="AP49" s="3508"/>
      <c r="AQ49" s="3508"/>
      <c r="AR49" s="3508"/>
      <c r="AS49" s="3508"/>
      <c r="AT49" s="3508"/>
      <c r="AU49" s="3508"/>
      <c r="AV49" s="3508"/>
      <c r="AW49" s="3508"/>
      <c r="AX49" s="3508"/>
      <c r="AY49" s="3508"/>
      <c r="AZ49" s="3508"/>
      <c r="BA49" s="3508"/>
      <c r="BB49" s="3509"/>
      <c r="BC49" s="2596" t="s">
        <v>420</v>
      </c>
      <c r="BE49" s="1711"/>
      <c r="BF49" s="1711" t="str">
        <f>IF(T49="","",T49)</f>
        <v/>
      </c>
      <c r="BG49" s="1711"/>
      <c r="BH49" s="1711"/>
      <c r="BI49" s="1722">
        <v>0</v>
      </c>
    </row>
    <row s="65923" customFormat="1" customHeight="1" ht="0">
      <c r="A50" s="2554" t="s">
        <v>279</v>
      </c>
      <c r="B50" s="2554" t="s">
        <v>280</v>
      </c>
      <c r="C50" s="2554" t="s">
        <v>281</v>
      </c>
      <c r="D50" s="2554" t="s">
        <v>562</v>
      </c>
      <c r="E50" s="3470"/>
      <c r="F50" s="3470"/>
      <c r="G50" s="3470"/>
      <c r="H50" s="3470"/>
      <c r="I50" s="3467" t="str">
        <f>S49&amp;".1"</f>
        <v>.1</v>
      </c>
      <c r="J50" s="2554"/>
      <c r="K50" s="2554"/>
      <c r="L50" s="2557" t="s">
        <v>421</v>
      </c>
      <c r="M50" s="1721"/>
      <c r="N50" s="1721"/>
      <c r="O50" s="1721"/>
      <c r="P50" s="3468">
        <v>1</v>
      </c>
      <c r="Q50" s="2692"/>
      <c r="R50" s="1567"/>
      <c r="S50" s="2253"/>
      <c r="T50" s="2594"/>
      <c r="U50" s="2595"/>
      <c r="V50" s="3508"/>
      <c r="W50" s="3508"/>
      <c r="X50" s="3508"/>
      <c r="Y50" s="3508"/>
      <c r="Z50" s="3508"/>
      <c r="AA50" s="3508"/>
      <c r="AB50" s="3508"/>
      <c r="AC50" s="3509"/>
      <c r="AD50" s="3507"/>
      <c r="AE50" s="3508"/>
      <c r="AF50" s="3508"/>
      <c r="AG50" s="3508"/>
      <c r="AH50" s="3508"/>
      <c r="AI50" s="3508"/>
      <c r="AJ50" s="3508"/>
      <c r="AK50" s="3508"/>
      <c r="AL50" s="3508"/>
      <c r="AM50" s="3508"/>
      <c r="AN50" s="3508"/>
      <c r="AO50" s="3508"/>
      <c r="AP50" s="3508"/>
      <c r="AQ50" s="3508"/>
      <c r="AR50" s="3508"/>
      <c r="AS50" s="3508"/>
      <c r="AT50" s="3508"/>
      <c r="AU50" s="3508"/>
      <c r="AV50" s="3508"/>
      <c r="AW50" s="3508"/>
      <c r="AX50" s="3508"/>
      <c r="AY50" s="3508"/>
      <c r="AZ50" s="3508"/>
      <c r="BA50" s="3508"/>
      <c r="BB50" s="3509"/>
      <c r="BC50" s="2596"/>
      <c r="BE50" s="1711"/>
      <c r="BF50" s="1711" t="str">
        <f>IF(T50="","",T50)</f>
        <v/>
      </c>
      <c r="BG50" s="1711"/>
      <c r="BH50" s="1711"/>
      <c r="BI50" s="1722">
        <v>0</v>
      </c>
    </row>
    <row s="65923" customFormat="1" customHeight="1" ht="0">
      <c r="A51" s="2554" t="s">
        <v>279</v>
      </c>
      <c r="B51" s="2554" t="s">
        <v>280</v>
      </c>
      <c r="C51" s="2554" t="s">
        <v>281</v>
      </c>
      <c r="D51" s="2554" t="s">
        <v>562</v>
      </c>
      <c r="E51" s="3470"/>
      <c r="F51" s="3470"/>
      <c r="G51" s="3470"/>
      <c r="H51" s="3470"/>
      <c r="I51" s="3497"/>
      <c r="J51" s="3467" t="str">
        <f>S49&amp;".1"</f>
        <v>.1</v>
      </c>
      <c r="K51" s="2554"/>
      <c r="L51" s="2557"/>
      <c r="M51" s="1721"/>
      <c r="N51" s="1721"/>
      <c r="O51" s="1721"/>
      <c r="P51" s="3468"/>
      <c r="Q51" s="3468">
        <v>1</v>
      </c>
      <c r="R51" s="1568"/>
      <c r="S51" s="2253"/>
      <c r="T51" s="2610"/>
      <c r="U51" s="2595"/>
      <c r="V51" s="3508"/>
      <c r="W51" s="3508"/>
      <c r="X51" s="3508"/>
      <c r="Y51" s="3508"/>
      <c r="Z51" s="3508"/>
      <c r="AA51" s="3508"/>
      <c r="AB51" s="3508"/>
      <c r="AC51" s="3509"/>
      <c r="AD51" s="3507"/>
      <c r="AE51" s="3508"/>
      <c r="AF51" s="3508"/>
      <c r="AG51" s="3508"/>
      <c r="AH51" s="3508"/>
      <c r="AI51" s="3508"/>
      <c r="AJ51" s="3508"/>
      <c r="AK51" s="3508"/>
      <c r="AL51" s="3508"/>
      <c r="AM51" s="3508"/>
      <c r="AN51" s="3575"/>
      <c r="AO51" s="3575"/>
      <c r="AP51" s="3508"/>
      <c r="AQ51" s="3508"/>
      <c r="AR51" s="3508"/>
      <c r="AS51" s="3508"/>
      <c r="AT51" s="3508"/>
      <c r="AU51" s="3508"/>
      <c r="AV51" s="3508"/>
      <c r="AW51" s="3508"/>
      <c r="AX51" s="3508"/>
      <c r="AY51" s="3508"/>
      <c r="AZ51" s="3508"/>
      <c r="BA51" s="3508"/>
      <c r="BB51" s="3509"/>
      <c r="BC51" s="2596"/>
      <c r="BE51" s="1711"/>
      <c r="BF51" s="1711" t="str">
        <f>IF(T51="","",T51)</f>
        <v/>
      </c>
      <c r="BG51" s="1711"/>
      <c r="BH51" s="1711"/>
      <c r="BI51" s="1722">
        <v>0</v>
      </c>
    </row>
    <row customHeight="1" ht="11.549999999999999">
      <c r="A52" s="2574" t="s">
        <v>279</v>
      </c>
      <c r="B52" s="2574" t="s">
        <v>280</v>
      </c>
      <c r="C52" s="2574" t="s">
        <v>281</v>
      </c>
      <c r="D52" s="2574" t="s">
        <v>562</v>
      </c>
      <c r="E52" s="3470"/>
      <c r="F52" s="3470"/>
      <c r="G52" s="3470"/>
      <c r="H52" s="3470"/>
      <c r="I52" s="3497"/>
      <c r="J52" s="3497"/>
      <c r="K52" s="3467" t="str">
        <f>S48&amp;".1"</f>
        <v>...1</v>
      </c>
      <c r="L52" s="2575"/>
      <c r="P52" s="3468"/>
      <c r="Q52" s="3468"/>
      <c r="R52" s="1568">
        <v>1</v>
      </c>
      <c r="S52" s="3552" t="str">
        <f>$K52</f>
        <v>...1</v>
      </c>
      <c r="T52" s="3571"/>
      <c r="U52" s="1511"/>
      <c r="V52" s="1962"/>
      <c r="W52" s="2468"/>
      <c r="X52" s="1962"/>
      <c r="Y52" s="2468"/>
      <c r="Z52" s="2945"/>
      <c r="AA52" s="2680" t="s">
        <v>62</v>
      </c>
      <c r="AB52" s="2945"/>
      <c r="AC52" s="2680" t="s">
        <v>62</v>
      </c>
      <c r="AD52" s="3396" t="s">
        <v>62</v>
      </c>
      <c r="AE52" s="3537"/>
      <c r="AF52" s="3416">
        <v>1</v>
      </c>
      <c r="AG52" s="3574"/>
      <c r="AH52" s="3318" t="s">
        <v>62</v>
      </c>
      <c r="AI52" s="3537"/>
      <c r="AJ52" s="3416">
        <v>1</v>
      </c>
      <c r="AK52" s="3538" t="s">
        <v>22</v>
      </c>
      <c r="AL52" s="3318" t="s">
        <v>62</v>
      </c>
      <c r="AM52" s="3403"/>
      <c r="AN52" s="3416">
        <v>1</v>
      </c>
      <c r="AO52" s="3568"/>
      <c r="AP52" s="3569" t="s">
        <v>62</v>
      </c>
      <c r="AQ52" s="1522"/>
      <c r="AR52" s="2697">
        <v>1</v>
      </c>
      <c r="AS52" s="2703" t="s">
        <v>22</v>
      </c>
      <c r="AT52" s="1962"/>
      <c r="AU52" s="2468"/>
      <c r="AV52" s="1962"/>
      <c r="AW52" s="2468"/>
      <c r="AX52" s="2945"/>
      <c r="AY52" s="2680" t="s">
        <v>62</v>
      </c>
      <c r="AZ52" s="2945"/>
      <c r="BA52" s="2680" t="s">
        <v>62</v>
      </c>
      <c r="BB52" s="2559"/>
      <c r="BC52" s="3464" t="s">
        <v>519</v>
      </c>
      <c r="BE52" s="1711"/>
      <c r="BF52" s="1711" t="str">
        <f>IF(T52="","",T52)</f>
        <v/>
      </c>
      <c r="BG52" s="1711"/>
      <c r="BH52" s="1711"/>
      <c r="BI52" s="2366">
        <v>11</v>
      </c>
    </row>
    <row customHeight="1" ht="11.549999999999999">
      <c r="A53" s="2574"/>
      <c r="B53" s="2574"/>
      <c r="C53" s="2574"/>
      <c r="D53" s="2574"/>
      <c r="E53" s="3470"/>
      <c r="F53" s="3470"/>
      <c r="G53" s="3470"/>
      <c r="H53" s="3470"/>
      <c r="I53" s="3497"/>
      <c r="J53" s="3497"/>
      <c r="K53" s="3467"/>
      <c r="L53" s="2575"/>
      <c r="P53" s="3468"/>
      <c r="Q53" s="3468"/>
      <c r="R53" s="1568"/>
      <c r="S53" s="3553"/>
      <c r="T53" s="3572"/>
      <c r="U53" s="1511"/>
      <c r="V53" s="2604"/>
      <c r="W53" s="2707"/>
      <c r="X53" s="2604"/>
      <c r="Y53" s="2707"/>
      <c r="Z53" s="2604"/>
      <c r="AA53" s="2604"/>
      <c r="AB53" s="2604"/>
      <c r="AC53" s="2604"/>
      <c r="AD53" s="3397"/>
      <c r="AE53" s="3537"/>
      <c r="AF53" s="3416"/>
      <c r="AG53" s="3574"/>
      <c r="AH53" s="3318"/>
      <c r="AI53" s="3537"/>
      <c r="AJ53" s="3416"/>
      <c r="AK53" s="3538"/>
      <c r="AL53" s="3318"/>
      <c r="AM53" s="3411"/>
      <c r="AN53" s="3416"/>
      <c r="AO53" s="3568"/>
      <c r="AP53" s="3570"/>
      <c r="AQ53" s="1527"/>
      <c r="AR53" s="1627"/>
      <c r="AS53" s="1627" t="s">
        <v>520</v>
      </c>
      <c r="AT53" s="2604"/>
      <c r="AU53" s="2707"/>
      <c r="AV53" s="2604"/>
      <c r="AW53" s="2707"/>
      <c r="AX53" s="2604"/>
      <c r="AY53" s="2604"/>
      <c r="AZ53" s="2604"/>
      <c r="BA53" s="2604"/>
      <c r="BB53" s="2608"/>
      <c r="BC53" s="3465"/>
      <c r="BE53" s="1711"/>
      <c r="BF53" s="1711"/>
      <c r="BG53" s="1711"/>
      <c r="BH53" s="1711"/>
      <c r="BI53" s="2366">
        <v>11</v>
      </c>
    </row>
    <row customHeight="1" ht="11.549999999999999">
      <c r="A54" s="2574" t="s">
        <v>279</v>
      </c>
      <c r="B54" s="2574"/>
      <c r="C54" s="2574"/>
      <c r="D54" s="2574"/>
      <c r="E54" s="3470"/>
      <c r="F54" s="3470"/>
      <c r="G54" s="3470"/>
      <c r="H54" s="3470"/>
      <c r="I54" s="3497"/>
      <c r="J54" s="3497"/>
      <c r="K54" s="3467"/>
      <c r="L54" s="2575"/>
      <c r="P54" s="3468"/>
      <c r="Q54" s="3468"/>
      <c r="R54" s="1568"/>
      <c r="S54" s="3553"/>
      <c r="T54" s="3572"/>
      <c r="U54" s="1511"/>
      <c r="V54" s="2604"/>
      <c r="W54" s="2707"/>
      <c r="X54" s="2604"/>
      <c r="Y54" s="2707"/>
      <c r="Z54" s="2604"/>
      <c r="AA54" s="2604"/>
      <c r="AB54" s="2604"/>
      <c r="AC54" s="2604"/>
      <c r="AD54" s="3397"/>
      <c r="AE54" s="3537"/>
      <c r="AF54" s="3416"/>
      <c r="AG54" s="3574"/>
      <c r="AH54" s="3318"/>
      <c r="AI54" s="3537"/>
      <c r="AJ54" s="3416"/>
      <c r="AK54" s="3538"/>
      <c r="AL54" s="3318"/>
      <c r="AM54" s="1527"/>
      <c r="AN54" s="2711"/>
      <c r="AO54" s="2711" t="s">
        <v>521</v>
      </c>
      <c r="AP54" s="1627"/>
      <c r="AQ54" s="1627"/>
      <c r="AR54" s="1627"/>
      <c r="AS54" s="2604"/>
      <c r="AT54" s="2604"/>
      <c r="AU54" s="2707"/>
      <c r="AV54" s="2604"/>
      <c r="AW54" s="2707"/>
      <c r="AX54" s="2604"/>
      <c r="AY54" s="2604"/>
      <c r="AZ54" s="2604"/>
      <c r="BA54" s="2604"/>
      <c r="BB54" s="2608"/>
      <c r="BC54" s="3465"/>
      <c r="BE54" s="1711"/>
      <c r="BF54" s="1711"/>
      <c r="BG54" s="1711"/>
      <c r="BH54" s="1711"/>
      <c r="BI54" s="2366">
        <v>11</v>
      </c>
    </row>
    <row customHeight="1" ht="11.549999999999999">
      <c r="A55" s="2574" t="s">
        <v>279</v>
      </c>
      <c r="B55" s="2574"/>
      <c r="C55" s="2574"/>
      <c r="D55" s="2574"/>
      <c r="E55" s="3470"/>
      <c r="F55" s="3470"/>
      <c r="G55" s="3470"/>
      <c r="H55" s="3470"/>
      <c r="I55" s="3497"/>
      <c r="J55" s="3497"/>
      <c r="K55" s="3467"/>
      <c r="L55" s="2575"/>
      <c r="P55" s="3468"/>
      <c r="Q55" s="3468"/>
      <c r="R55" s="1568"/>
      <c r="S55" s="3553"/>
      <c r="T55" s="3572"/>
      <c r="U55" s="1511"/>
      <c r="V55" s="2604"/>
      <c r="W55" s="2707"/>
      <c r="X55" s="2604"/>
      <c r="Y55" s="2707"/>
      <c r="Z55" s="2604"/>
      <c r="AA55" s="2604"/>
      <c r="AB55" s="2604"/>
      <c r="AC55" s="2604"/>
      <c r="AD55" s="3397"/>
      <c r="AE55" s="3537"/>
      <c r="AF55" s="3416"/>
      <c r="AG55" s="3574"/>
      <c r="AH55" s="3318"/>
      <c r="AI55" s="1505"/>
      <c r="AJ55" s="1626"/>
      <c r="AK55" s="1524" t="s">
        <v>522</v>
      </c>
      <c r="AL55" s="2604"/>
      <c r="AM55" s="2604"/>
      <c r="AN55" s="2604"/>
      <c r="AO55" s="2604"/>
      <c r="AP55" s="2604"/>
      <c r="AQ55" s="2604"/>
      <c r="AR55" s="2604"/>
      <c r="AS55" s="2604"/>
      <c r="AT55" s="2604"/>
      <c r="AU55" s="2707"/>
      <c r="AV55" s="2604"/>
      <c r="AW55" s="2707"/>
      <c r="AX55" s="2604"/>
      <c r="AY55" s="2604"/>
      <c r="AZ55" s="2604"/>
      <c r="BA55" s="2604"/>
      <c r="BB55" s="2608"/>
      <c r="BC55" s="3465"/>
      <c r="BE55" s="1711"/>
      <c r="BF55" s="1711"/>
      <c r="BG55" s="1711"/>
      <c r="BH55" s="1711"/>
      <c r="BI55" s="2366">
        <v>11</v>
      </c>
    </row>
    <row customHeight="1" ht="11.549999999999999">
      <c r="A56" s="2574" t="s">
        <v>279</v>
      </c>
      <c r="B56" s="2574" t="s">
        <v>280</v>
      </c>
      <c r="C56" s="2574" t="s">
        <v>281</v>
      </c>
      <c r="D56" s="2574" t="s">
        <v>562</v>
      </c>
      <c r="E56" s="3470"/>
      <c r="F56" s="3470"/>
      <c r="G56" s="3470"/>
      <c r="H56" s="3470"/>
      <c r="I56" s="3497"/>
      <c r="J56" s="3497"/>
      <c r="K56" s="3467"/>
      <c r="L56" s="2575"/>
      <c r="P56" s="3468"/>
      <c r="Q56" s="3468"/>
      <c r="R56" s="1568"/>
      <c r="S56" s="3554"/>
      <c r="T56" s="3573"/>
      <c r="U56" s="1511"/>
      <c r="V56" s="2604"/>
      <c r="W56" s="2605" t="str">
        <f>Z52&amp;"-"&amp;AB52</f>
        <v>-</v>
      </c>
      <c r="X56" s="2604"/>
      <c r="Y56" s="2605" t="str">
        <f>AB52&amp;"-"&amp;AD52</f>
        <v>-да</v>
      </c>
      <c r="Z56" s="2604"/>
      <c r="AA56" s="2604"/>
      <c r="AB56" s="2604"/>
      <c r="AC56" s="2604"/>
      <c r="AD56" s="3323"/>
      <c r="AE56" s="1523"/>
      <c r="AF56" s="1525"/>
      <c r="AG56" s="1627" t="s">
        <v>523</v>
      </c>
      <c r="AH56" s="2604"/>
      <c r="AI56" s="2604"/>
      <c r="AJ56" s="2604"/>
      <c r="AK56" s="2604"/>
      <c r="AL56" s="2604"/>
      <c r="AM56" s="2604"/>
      <c r="AN56" s="2604"/>
      <c r="AO56" s="2604"/>
      <c r="AP56" s="2604"/>
      <c r="AQ56" s="2604"/>
      <c r="AR56" s="2604"/>
      <c r="AS56" s="2604"/>
      <c r="AT56" s="2604"/>
      <c r="AU56" s="2605" t="str">
        <f>AX52&amp;"-"&amp;AZ52</f>
        <v>-</v>
      </c>
      <c r="AV56" s="2604"/>
      <c r="AW56" s="2605" t="str">
        <f>AZ52&amp;"-"&amp;BB52</f>
        <v>-</v>
      </c>
      <c r="AX56" s="2604"/>
      <c r="AY56" s="2604"/>
      <c r="AZ56" s="2604"/>
      <c r="BA56" s="2604"/>
      <c r="BB56" s="2607" t="str">
        <f>BE52&amp;"-"&amp;BG52</f>
        <v>-</v>
      </c>
      <c r="BC56" s="3465"/>
      <c r="BE56" s="1711"/>
      <c r="BF56" s="1711" t="str">
        <f>IF(T56="","",T56)</f>
        <v/>
      </c>
      <c r="BG56" s="1711"/>
      <c r="BH56" s="1711"/>
      <c r="BI56" s="2366">
        <v>11</v>
      </c>
    </row>
    <row customHeight="1" ht="11.549999999999999">
      <c r="A57" s="2574" t="s">
        <v>279</v>
      </c>
      <c r="B57" s="2574" t="s">
        <v>280</v>
      </c>
      <c r="C57" s="2574" t="s">
        <v>281</v>
      </c>
      <c r="D57" s="2574" t="s">
        <v>562</v>
      </c>
      <c r="E57" s="3470"/>
      <c r="F57" s="3470"/>
      <c r="G57" s="3470"/>
      <c r="H57" s="3470"/>
      <c r="I57" s="3497"/>
      <c r="J57" s="3467"/>
      <c r="K57" s="2574"/>
      <c r="L57" s="2575"/>
      <c r="P57" s="3468"/>
      <c r="Q57" s="3468"/>
      <c r="R57" s="1567"/>
      <c r="S57" s="2489"/>
      <c r="T57" s="1498" t="s">
        <v>486</v>
      </c>
      <c r="U57" s="1578"/>
      <c r="V57" s="1578"/>
      <c r="W57" s="1578"/>
      <c r="X57" s="1578"/>
      <c r="Y57" s="1578"/>
      <c r="Z57" s="1578"/>
      <c r="AA57" s="1578"/>
      <c r="AB57" s="1578"/>
      <c r="AC57" s="1535"/>
      <c r="AD57" s="2716"/>
      <c r="AE57" s="1578"/>
      <c r="AF57" s="1578"/>
      <c r="AG57" s="1578"/>
      <c r="AH57" s="1578"/>
      <c r="AI57" s="1578"/>
      <c r="AJ57" s="1578"/>
      <c r="AK57" s="1578"/>
      <c r="AL57" s="1578"/>
      <c r="AM57" s="1578"/>
      <c r="AN57" s="1578"/>
      <c r="AO57" s="1578"/>
      <c r="AP57" s="1578"/>
      <c r="AQ57" s="1578"/>
      <c r="AR57" s="1578"/>
      <c r="AS57" s="1578"/>
      <c r="AT57" s="1578"/>
      <c r="AU57" s="1578"/>
      <c r="AV57" s="1578"/>
      <c r="AW57" s="1578"/>
      <c r="AX57" s="1578"/>
      <c r="AY57" s="1578"/>
      <c r="AZ57" s="1578"/>
      <c r="BA57" s="1578"/>
      <c r="BB57" s="1535"/>
      <c r="BC57" s="3466"/>
      <c r="BE57" s="1711"/>
      <c r="BF57" s="1711" t="str">
        <f>IF(T57="","",T57)</f>
        <v>Добавить строку</v>
      </c>
      <c r="BG57" s="1711"/>
      <c r="BH57" s="1711"/>
      <c r="BI57" s="2366">
        <v>11</v>
      </c>
    </row>
    <row s="65923" customFormat="1" customHeight="1" ht="0">
      <c r="A58" s="2554" t="s">
        <v>279</v>
      </c>
      <c r="B58" s="2554" t="s">
        <v>280</v>
      </c>
      <c r="C58" s="2554" t="s">
        <v>281</v>
      </c>
      <c r="D58" s="2554" t="s">
        <v>562</v>
      </c>
      <c r="E58" s="3470"/>
      <c r="F58" s="3470"/>
      <c r="G58" s="3470"/>
      <c r="H58" s="3470"/>
      <c r="I58" s="3467"/>
      <c r="J58" s="2554"/>
      <c r="K58" s="2554"/>
      <c r="L58" s="2557"/>
      <c r="M58" s="1721"/>
      <c r="N58" s="1721"/>
      <c r="O58" s="1721"/>
      <c r="P58" s="3468"/>
      <c r="Q58" s="2692"/>
      <c r="R58" s="1567"/>
      <c r="S58" s="2597"/>
      <c r="T58" s="2598"/>
      <c r="U58" s="2599"/>
      <c r="V58" s="2599"/>
      <c r="W58" s="2599"/>
      <c r="X58" s="2599"/>
      <c r="Y58" s="2599"/>
      <c r="Z58" s="2599"/>
      <c r="AA58" s="2599"/>
      <c r="AB58" s="2599"/>
      <c r="AC58" s="2599"/>
      <c r="AD58" s="2599"/>
      <c r="AE58" s="2599"/>
      <c r="AF58" s="2599"/>
      <c r="AG58" s="2599"/>
      <c r="AH58" s="2599"/>
      <c r="AI58" s="2599"/>
      <c r="AJ58" s="2599"/>
      <c r="AK58" s="2599"/>
      <c r="AL58" s="2599"/>
      <c r="AM58" s="2599"/>
      <c r="AN58" s="2599"/>
      <c r="AO58" s="2599"/>
      <c r="AP58" s="2599"/>
      <c r="AQ58" s="2599"/>
      <c r="AR58" s="2599"/>
      <c r="AS58" s="2599"/>
      <c r="AT58" s="2599"/>
      <c r="AU58" s="2599"/>
      <c r="AV58" s="2599"/>
      <c r="AW58" s="2599"/>
      <c r="AX58" s="2599"/>
      <c r="AY58" s="2599"/>
      <c r="AZ58" s="2599"/>
      <c r="BA58" s="2599"/>
      <c r="BB58" s="2599"/>
      <c r="BC58" s="2600"/>
      <c r="BE58" s="1711"/>
      <c r="BF58" s="1711" t="str">
        <f>IF(T58="","",T58)</f>
        <v/>
      </c>
      <c r="BG58" s="1711"/>
      <c r="BH58" s="1711"/>
      <c r="BI58" s="1722">
        <v>0</v>
      </c>
    </row>
    <row s="65923" customFormat="1" customHeight="1" ht="0">
      <c r="A59" s="2554" t="s">
        <v>279</v>
      </c>
      <c r="B59" s="2554" t="s">
        <v>280</v>
      </c>
      <c r="C59" s="2554" t="s">
        <v>281</v>
      </c>
      <c r="D59" s="2554" t="s">
        <v>562</v>
      </c>
      <c r="E59" s="3470"/>
      <c r="F59" s="3470"/>
      <c r="G59" s="3470"/>
      <c r="H59" s="3469"/>
      <c r="I59" s="2554"/>
      <c r="J59" s="2554"/>
      <c r="K59" s="2554"/>
      <c r="L59" s="2557"/>
      <c r="M59" s="2526"/>
      <c r="N59" s="2526"/>
      <c r="O59" s="1729"/>
      <c r="P59" s="1591"/>
      <c r="Q59" s="2555"/>
      <c r="R59" s="2612"/>
      <c r="S59" s="2597"/>
      <c r="T59" s="2598"/>
      <c r="U59" s="2599"/>
      <c r="V59" s="2599"/>
      <c r="W59" s="2599"/>
      <c r="X59" s="2599"/>
      <c r="Y59" s="2599"/>
      <c r="Z59" s="2599"/>
      <c r="AA59" s="2599"/>
      <c r="AB59" s="2599"/>
      <c r="AC59" s="2599"/>
      <c r="AD59" s="2599"/>
      <c r="AE59" s="2599"/>
      <c r="AF59" s="2599"/>
      <c r="AG59" s="2599"/>
      <c r="AH59" s="2599"/>
      <c r="AI59" s="2599"/>
      <c r="AJ59" s="2599"/>
      <c r="AK59" s="2599"/>
      <c r="AL59" s="2599"/>
      <c r="AM59" s="2599"/>
      <c r="AN59" s="2599"/>
      <c r="AO59" s="2599"/>
      <c r="AP59" s="2599"/>
      <c r="AQ59" s="2599"/>
      <c r="AR59" s="2599"/>
      <c r="AS59" s="2599"/>
      <c r="AT59" s="2599"/>
      <c r="AU59" s="2599"/>
      <c r="AV59" s="2599"/>
      <c r="AW59" s="2599"/>
      <c r="AX59" s="2599"/>
      <c r="AY59" s="2599"/>
      <c r="AZ59" s="2599"/>
      <c r="BA59" s="2599"/>
      <c r="BB59" s="2599"/>
      <c r="BC59" s="2600"/>
      <c r="BE59" s="1711"/>
      <c r="BF59" s="1711" t="str">
        <f>IF(T59="","",T59)</f>
        <v/>
      </c>
      <c r="BG59" s="1711"/>
      <c r="BH59" s="1711"/>
      <c r="BI59" s="1722">
        <v>0</v>
      </c>
    </row>
    <row s="65923" customFormat="1" customHeight="1" ht="0">
      <c r="A60" s="2554" t="s">
        <v>279</v>
      </c>
      <c r="B60" s="2554" t="s">
        <v>280</v>
      </c>
      <c r="C60" s="2554" t="s">
        <v>281</v>
      </c>
      <c r="D60" s="2525"/>
      <c r="E60" s="3470"/>
      <c r="F60" s="3470"/>
      <c r="G60" s="3469"/>
      <c r="H60" s="2525"/>
      <c r="I60" s="2525"/>
      <c r="J60" s="2525"/>
      <c r="K60" s="2525"/>
      <c r="L60" s="2705"/>
      <c r="M60" s="2526"/>
      <c r="N60" s="2526"/>
      <c r="P60" s="2527"/>
      <c r="Q60" s="2528"/>
      <c r="R60" s="2527"/>
      <c r="S60" s="2533"/>
      <c r="T60" s="2536"/>
      <c r="U60" s="2535"/>
      <c r="V60" s="2535"/>
      <c r="W60" s="2535"/>
      <c r="X60" s="2535"/>
      <c r="Y60" s="2535"/>
      <c r="Z60" s="2535"/>
      <c r="AA60" s="2535"/>
      <c r="AB60" s="2535"/>
      <c r="AC60" s="2535"/>
      <c r="AD60" s="2535"/>
      <c r="AE60" s="2535"/>
      <c r="AF60" s="2535"/>
      <c r="AG60" s="2535"/>
      <c r="AH60" s="2535"/>
      <c r="AI60" s="2535"/>
      <c r="AJ60" s="2535"/>
      <c r="AK60" s="2535"/>
      <c r="AL60" s="2535"/>
      <c r="AM60" s="2535"/>
      <c r="AN60" s="2535"/>
      <c r="AO60" s="2535"/>
      <c r="AP60" s="2535"/>
      <c r="AQ60" s="2535"/>
      <c r="AR60" s="2535"/>
      <c r="AS60" s="2535"/>
      <c r="AT60" s="2535"/>
      <c r="AU60" s="2535"/>
      <c r="AV60" s="2535"/>
      <c r="AW60" s="2535"/>
      <c r="AX60" s="2535"/>
      <c r="AY60" s="2535"/>
      <c r="AZ60" s="2535"/>
      <c r="BA60" s="2535"/>
      <c r="BB60" s="2535"/>
      <c r="BC60" s="2535"/>
      <c r="BE60" s="2000"/>
      <c r="BF60" s="2000" t="str">
        <f>IF(T60="","",T60)</f>
        <v/>
      </c>
      <c r="BG60" s="2000"/>
      <c r="BH60" s="2000"/>
      <c r="BI60" s="1729">
        <v>0</v>
      </c>
    </row>
    <row s="65923" customFormat="1" customHeight="1" ht="0">
      <c r="A61" s="2554" t="s">
        <v>279</v>
      </c>
      <c r="B61" s="2554" t="s">
        <v>280</v>
      </c>
      <c r="C61" s="2525"/>
      <c r="D61" s="2525"/>
      <c r="E61" s="3470"/>
      <c r="F61" s="3469"/>
      <c r="G61" s="2525"/>
      <c r="H61" s="2525"/>
      <c r="I61" s="2525"/>
      <c r="J61" s="2525"/>
      <c r="K61" s="2525"/>
      <c r="L61" s="2705"/>
      <c r="M61" s="2532"/>
      <c r="N61" s="2532"/>
      <c r="P61" s="2527"/>
      <c r="Q61" s="2528"/>
      <c r="R61" s="2527"/>
      <c r="S61" s="2533"/>
      <c r="T61" s="2536" t="s">
        <v>433</v>
      </c>
      <c r="U61" s="2535"/>
      <c r="V61" s="2535"/>
      <c r="W61" s="2535"/>
      <c r="X61" s="2535"/>
      <c r="Y61" s="2535"/>
      <c r="Z61" s="2535"/>
      <c r="AA61" s="2535"/>
      <c r="AB61" s="2535"/>
      <c r="AC61" s="2535"/>
      <c r="AD61" s="2535"/>
      <c r="AE61" s="2535"/>
      <c r="AF61" s="2535"/>
      <c r="AG61" s="2535"/>
      <c r="AH61" s="2535"/>
      <c r="AI61" s="2535"/>
      <c r="AJ61" s="2535"/>
      <c r="AK61" s="2535"/>
      <c r="AL61" s="2535"/>
      <c r="AM61" s="2535"/>
      <c r="AN61" s="2535"/>
      <c r="AO61" s="2535"/>
      <c r="AP61" s="2535"/>
      <c r="AQ61" s="2535"/>
      <c r="AR61" s="2535"/>
      <c r="AS61" s="2535"/>
      <c r="AT61" s="2535"/>
      <c r="AU61" s="2535"/>
      <c r="AV61" s="2535"/>
      <c r="AW61" s="2535"/>
      <c r="AX61" s="2535"/>
      <c r="AY61" s="2535"/>
      <c r="AZ61" s="2535"/>
      <c r="BA61" s="2535"/>
      <c r="BB61" s="2535"/>
      <c r="BC61" s="2535"/>
      <c r="BE61" s="2000"/>
      <c r="BF61" s="2000" t="str">
        <f>IF(T61="","",T61)</f>
        <v>Добавить централизованную систему для дифференциации</v>
      </c>
      <c r="BG61" s="2000"/>
      <c r="BH61" s="2000"/>
      <c r="BI61" s="1729">
        <v>0</v>
      </c>
    </row>
    <row s="65923" customFormat="1" customHeight="1" ht="0">
      <c r="A62" s="2554" t="s">
        <v>279</v>
      </c>
      <c r="B62" s="2554"/>
      <c r="C62" s="2554"/>
      <c r="D62" s="2554"/>
      <c r="E62" s="3469"/>
      <c r="F62" s="2554"/>
      <c r="G62" s="2554"/>
      <c r="H62" s="2554"/>
      <c r="I62" s="2554"/>
      <c r="J62" s="2554"/>
      <c r="K62" s="2554"/>
      <c r="L62" s="2557"/>
      <c r="M62" s="2532"/>
      <c r="N62" s="2532"/>
      <c r="O62" s="1729"/>
      <c r="P62" s="1591"/>
      <c r="Q62" s="2555"/>
      <c r="R62" s="1591"/>
      <c r="S62" s="2533"/>
      <c r="T62" s="2536" t="s">
        <v>434</v>
      </c>
      <c r="U62" s="2535"/>
      <c r="V62" s="2535"/>
      <c r="W62" s="2535"/>
      <c r="X62" s="2535"/>
      <c r="Y62" s="2535"/>
      <c r="Z62" s="2535"/>
      <c r="AA62" s="2535"/>
      <c r="AB62" s="2535"/>
      <c r="AC62" s="2535"/>
      <c r="AD62" s="2535"/>
      <c r="AE62" s="2535"/>
      <c r="AF62" s="2535"/>
      <c r="AG62" s="2535"/>
      <c r="AH62" s="2535"/>
      <c r="AI62" s="2535"/>
      <c r="AJ62" s="2535"/>
      <c r="AK62" s="2535"/>
      <c r="AL62" s="2535"/>
      <c r="AM62" s="2535"/>
      <c r="AN62" s="2535"/>
      <c r="AO62" s="2535"/>
      <c r="AP62" s="2535"/>
      <c r="AQ62" s="2535"/>
      <c r="AR62" s="2535"/>
      <c r="AS62" s="2535"/>
      <c r="AT62" s="2535"/>
      <c r="AU62" s="2535"/>
      <c r="AV62" s="2535"/>
      <c r="AW62" s="2535"/>
      <c r="AX62" s="2535"/>
      <c r="AY62" s="2535"/>
      <c r="AZ62" s="2535"/>
      <c r="BA62" s="2535"/>
      <c r="BB62" s="2535"/>
      <c r="BC62" s="2535"/>
      <c r="BE62" s="1711"/>
      <c r="BF62" s="1711" t="str">
        <f>IF(T62="","",T62)</f>
        <v>Добавить территорию для дифференциации</v>
      </c>
      <c r="BG62" s="1711"/>
      <c r="BH62" s="1711"/>
      <c r="BI62" s="1722">
        <v>0</v>
      </c>
    </row>
    <row s="65923" customFormat="1" customHeight="1" ht="0">
      <c r="A63" s="2525"/>
      <c r="B63" s="2525"/>
      <c r="C63" s="2525"/>
      <c r="D63" s="2525"/>
      <c r="E63" s="2554"/>
      <c r="F63" s="2525"/>
      <c r="G63" s="2525"/>
      <c r="H63" s="2525"/>
      <c r="I63" s="2525"/>
      <c r="J63" s="2525"/>
      <c r="K63" s="2525"/>
      <c r="L63" s="2705"/>
      <c r="M63" s="2532"/>
      <c r="N63" s="2532"/>
      <c r="P63" s="2527"/>
      <c r="Q63" s="2528"/>
      <c r="R63" s="2527"/>
      <c r="S63" s="2533"/>
      <c r="T63" s="2536" t="s">
        <v>466</v>
      </c>
      <c r="U63" s="2535"/>
      <c r="V63" s="2535"/>
      <c r="W63" s="2535"/>
      <c r="X63" s="2535"/>
      <c r="Y63" s="2535"/>
      <c r="Z63" s="2535"/>
      <c r="AA63" s="2535"/>
      <c r="AB63" s="2535"/>
      <c r="AC63" s="2535"/>
      <c r="AD63" s="2535"/>
      <c r="AE63" s="2535"/>
      <c r="AF63" s="2535"/>
      <c r="AG63" s="2535"/>
      <c r="AH63" s="2535"/>
      <c r="AI63" s="2535"/>
      <c r="AJ63" s="2535"/>
      <c r="AK63" s="2535"/>
      <c r="AL63" s="2535"/>
      <c r="AM63" s="2535"/>
      <c r="AN63" s="2535"/>
      <c r="AO63" s="2535"/>
      <c r="AP63" s="2535"/>
      <c r="AQ63" s="2535"/>
      <c r="AR63" s="2535"/>
      <c r="AS63" s="2535"/>
      <c r="AT63" s="2535"/>
      <c r="AU63" s="2535"/>
      <c r="AV63" s="2535"/>
      <c r="AW63" s="2535"/>
      <c r="AX63" s="2535"/>
      <c r="AY63" s="2535"/>
      <c r="AZ63" s="2535"/>
      <c r="BA63" s="2535"/>
      <c r="BB63" s="2535"/>
      <c r="BC63" s="2535"/>
      <c r="BE63" s="2000"/>
      <c r="BF63" s="2000" t="str">
        <f>IF(T63="","",T63)</f>
        <v>Добавить наименование тарифа</v>
      </c>
      <c r="BG63" s="2000"/>
      <c r="BH63" s="2000"/>
      <c r="BI63" s="1729">
        <v>0</v>
      </c>
    </row>
    <row customHeight="1" ht="11.549999999999999">
      <c r="M64" s="2371"/>
      <c r="N64" s="2371"/>
      <c r="O64" s="1748"/>
      <c r="P64" s="2371"/>
      <c r="Q64" s="2371"/>
      <c r="R64" s="2366"/>
      <c r="S64" s="2366"/>
      <c r="BD64" s="2366"/>
      <c r="BE64" s="2366"/>
      <c r="BF64" s="2366"/>
      <c r="BG64" s="2366"/>
      <c r="BH64" s="2366"/>
      <c r="BI64" s="2366">
        <v>11</v>
      </c>
    </row>
    <row customHeight="1" ht="19.95">
      <c r="O65" s="1748"/>
      <c r="S65" s="2464"/>
      <c r="T65" s="3496"/>
      <c r="U65" s="3496"/>
      <c r="V65" s="3496"/>
      <c r="W65" s="3496"/>
      <c r="X65" s="3496"/>
      <c r="Y65" s="3496"/>
      <c r="Z65" s="3496"/>
      <c r="AA65" s="3496"/>
      <c r="AB65" s="3496"/>
      <c r="AC65" s="3496"/>
      <c r="AD65" s="3496"/>
      <c r="AE65" s="3496"/>
      <c r="AF65" s="3496"/>
      <c r="AG65" s="3496"/>
      <c r="AH65" s="3496"/>
      <c r="AI65" s="3496"/>
      <c r="AJ65" s="3496"/>
      <c r="AK65" s="3496"/>
      <c r="AL65" s="3496"/>
      <c r="AM65" s="3496"/>
      <c r="AN65" s="3496"/>
      <c r="AO65" s="3496"/>
      <c r="AP65" s="3496"/>
      <c r="AQ65" s="3496"/>
      <c r="AR65" s="3496"/>
      <c r="AS65" s="3496"/>
      <c r="AT65" s="3496"/>
      <c r="AU65" s="3496"/>
      <c r="AV65" s="3496"/>
      <c r="AW65" s="3496"/>
      <c r="AX65" s="3496"/>
      <c r="AY65" s="3496"/>
      <c r="AZ65" s="3496"/>
      <c r="BA65" s="3496"/>
      <c r="BB65" s="3496"/>
      <c r="BC65" s="3496"/>
      <c r="BI65" s="2366">
        <v>19</v>
      </c>
    </row>
    <row customHeight="1" ht="14.699999999999998">
      <c r="O66" s="1748"/>
      <c r="T66" s="2691"/>
      <c r="U66" s="2691"/>
      <c r="V66" s="2691"/>
      <c r="W66" s="2691"/>
      <c r="X66" s="2691"/>
      <c r="Y66" s="2691"/>
      <c r="Z66" s="2691"/>
      <c r="AA66" s="2691"/>
      <c r="AB66" s="2691"/>
      <c r="AC66" s="2691"/>
      <c r="AD66" s="2691"/>
      <c r="AE66" s="2691"/>
      <c r="AF66" s="2691"/>
      <c r="AG66" s="2691"/>
      <c r="AH66" s="2691"/>
      <c r="AI66" s="2691"/>
      <c r="AJ66" s="2691"/>
      <c r="AK66" s="2691"/>
      <c r="AL66" s="2691"/>
      <c r="AM66" s="2691"/>
      <c r="AN66" s="2691"/>
      <c r="AO66" s="2691"/>
      <c r="AP66" s="2691"/>
      <c r="AQ66" s="2691"/>
      <c r="AR66" s="2691"/>
      <c r="AS66" s="2691"/>
      <c r="AT66" s="2691"/>
      <c r="AU66" s="2691"/>
      <c r="AV66" s="2691"/>
      <c r="AW66" s="2691"/>
      <c r="AX66" s="2691"/>
      <c r="AY66" s="2691"/>
      <c r="AZ66" s="2691"/>
      <c r="BA66" s="2691"/>
      <c r="BB66" s="2691"/>
      <c r="BC66" s="2691"/>
      <c r="BI66" s="2366">
        <v>14</v>
      </c>
    </row>
    <row customHeight="1" ht="19.95">
      <c r="O67" s="1748"/>
      <c r="S67" s="2464"/>
      <c r="T67" s="3496"/>
      <c r="U67" s="3496"/>
      <c r="V67" s="3496"/>
      <c r="W67" s="3496"/>
      <c r="X67" s="3496"/>
      <c r="Y67" s="3496"/>
      <c r="Z67" s="3496"/>
      <c r="AA67" s="3496"/>
      <c r="AB67" s="3496"/>
      <c r="AC67" s="3496"/>
      <c r="AD67" s="3496"/>
      <c r="AE67" s="3496"/>
      <c r="AF67" s="3496"/>
      <c r="AG67" s="3496"/>
      <c r="AH67" s="3496"/>
      <c r="AI67" s="3496"/>
      <c r="AJ67" s="3496"/>
      <c r="AK67" s="3496"/>
      <c r="AL67" s="3496"/>
      <c r="AM67" s="3496"/>
      <c r="AN67" s="3496"/>
      <c r="AO67" s="3496"/>
      <c r="AP67" s="3496"/>
      <c r="AQ67" s="3496"/>
      <c r="AR67" s="3496"/>
      <c r="AS67" s="3496"/>
      <c r="AT67" s="3496"/>
      <c r="AU67" s="3496"/>
      <c r="AV67" s="3496"/>
      <c r="AW67" s="3496"/>
      <c r="AX67" s="3496"/>
      <c r="AY67" s="3496"/>
      <c r="AZ67" s="3496"/>
      <c r="BA67" s="3496"/>
      <c r="BB67" s="3496"/>
      <c r="BC67" s="3496"/>
      <c r="BI67" s="2366">
        <v>19</v>
      </c>
    </row>
    <row customHeight="1" ht="14.699999999999998">
      <c r="O68" s="1748"/>
      <c r="BI68" s="2366">
        <v>14</v>
      </c>
    </row>
    <row customHeight="1" ht="14.25" hidden="1">
      <c r="A69" s="2371" t="s">
        <v>82</v>
      </c>
      <c r="B69" s="2371">
        <v>0</v>
      </c>
      <c r="C69" s="2371">
        <v>0</v>
      </c>
      <c r="D69" s="2371">
        <v>0</v>
      </c>
      <c r="E69" s="2371">
        <v>0</v>
      </c>
      <c r="F69" s="2371">
        <v>0</v>
      </c>
      <c r="G69" s="2371">
        <v>0</v>
      </c>
      <c r="H69" s="2371">
        <v>0</v>
      </c>
      <c r="I69" s="2371">
        <v>0</v>
      </c>
      <c r="J69" s="2371">
        <v>0</v>
      </c>
      <c r="K69" s="2371">
        <v>0</v>
      </c>
      <c r="L69" s="2689">
        <v>0</v>
      </c>
      <c r="M69" s="2573">
        <v>0</v>
      </c>
      <c r="N69" s="2573">
        <v>0</v>
      </c>
      <c r="O69" s="2573">
        <v>0</v>
      </c>
      <c r="P69" s="2573">
        <v>0</v>
      </c>
      <c r="Q69" s="2582">
        <v>0</v>
      </c>
      <c r="R69" s="1555">
        <v>3</v>
      </c>
      <c r="S69" s="1792">
        <v>12</v>
      </c>
      <c r="T69" s="2366">
        <v>31</v>
      </c>
      <c r="U69" s="2366">
        <v>0</v>
      </c>
      <c r="V69" s="2366">
        <v>0</v>
      </c>
      <c r="W69" s="2366">
        <v>0</v>
      </c>
      <c r="X69" s="2366">
        <v>0</v>
      </c>
      <c r="Y69" s="2366">
        <v>0</v>
      </c>
      <c r="Z69" s="2366">
        <v>0</v>
      </c>
      <c r="AA69" s="2366">
        <v>0</v>
      </c>
      <c r="AB69" s="2366">
        <v>0</v>
      </c>
      <c r="AC69" s="2366">
        <v>0</v>
      </c>
      <c r="AD69" s="2366">
        <v>3</v>
      </c>
      <c r="AE69" s="2366">
        <v>3</v>
      </c>
      <c r="AF69" s="2366">
        <v>3</v>
      </c>
      <c r="AG69" s="2366">
        <v>24</v>
      </c>
      <c r="AH69" s="2366">
        <v>3</v>
      </c>
      <c r="AI69" s="2366">
        <v>3</v>
      </c>
      <c r="AJ69" s="2366">
        <v>3</v>
      </c>
      <c r="AK69" s="2366">
        <v>24</v>
      </c>
      <c r="AL69" s="2366">
        <v>3</v>
      </c>
      <c r="AM69" s="2366">
        <v>3</v>
      </c>
      <c r="AN69" s="2366">
        <v>3</v>
      </c>
      <c r="AO69" s="2366">
        <v>18</v>
      </c>
      <c r="AP69" s="2366">
        <v>3</v>
      </c>
      <c r="AQ69" s="2366">
        <v>3</v>
      </c>
      <c r="AR69" s="2366">
        <v>3</v>
      </c>
      <c r="AS69" s="2366">
        <v>18</v>
      </c>
      <c r="AT69" s="2366">
        <v>21</v>
      </c>
      <c r="AU69" s="2366">
        <v>21</v>
      </c>
      <c r="AV69" s="2366">
        <v>21</v>
      </c>
      <c r="AW69" s="2366">
        <v>21</v>
      </c>
      <c r="AX69" s="2366">
        <v>11</v>
      </c>
      <c r="AY69" s="2366">
        <v>3</v>
      </c>
      <c r="AZ69" s="2366">
        <v>11</v>
      </c>
      <c r="BA69" s="2366">
        <v>0</v>
      </c>
      <c r="BB69" s="2366">
        <v>4</v>
      </c>
      <c r="BC69" s="2366">
        <v>115</v>
      </c>
      <c r="BD69" s="1722">
        <v>10</v>
      </c>
      <c r="BE69" s="1722">
        <v>10</v>
      </c>
      <c r="BF69" s="1722">
        <v>10</v>
      </c>
      <c r="BG69" s="1722">
        <v>10</v>
      </c>
      <c r="BH69" s="1722">
        <v>10</v>
      </c>
      <c r="BI69" s="236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B9514-9E69-5EE8-3249-6100A1DBEFB5}" mc:Ignorable="x14ac xr xr2 xr3">
  <sheetPr>
    <tabColor theme="9" tint="-0.25"/>
  </sheetPr>
  <dimension ref="A1:AK336"/>
  <sheetViews>
    <sheetView showGridLines="0" zoomScale="90" workbookViewId="0" tabSelected="1">
      <pane xSplit="8" ySplit="29" topLeftCell="I151" activePane="bottomRight" state="frozen"/>
      <selection pane="bottomLeft" activeCell="A30" sqref="A30"/>
      <selection pane="topRight" activeCell="I1" sqref="I1"/>
      <selection pane="bottomRight" activeCell="J29" sqref="J29"/>
    </sheetView>
  </sheetViews>
  <sheetFormatPr defaultColWidth="9.140625" customHeight="1" defaultRowHeight="11.25"/>
  <cols>
    <col min="1" max="1" style="65900" width="10.7109375" hidden="1" customWidth="1"/>
    <col min="2" max="2" style="66852" width="16.8515625" hidden="1" customWidth="1"/>
    <col min="3" max="3" style="65923" width="5.57421875" hidden="1" customWidth="1"/>
    <col min="4" max="4" style="66903" width="3.00390625" customWidth="1"/>
    <col min="5" max="5" style="66903" width="7.00390625" customWidth="1"/>
    <col min="6" max="6" style="66903" width="54.00390625" customWidth="1"/>
    <col min="7" max="7" style="66903" width="10.00390625" customWidth="1"/>
    <col min="8" max="8" style="66903" width="40.7109375" hidden="1" customWidth="1"/>
    <col min="9" max="9" style="66903" width="40.00390625" customWidth="1"/>
    <col min="10" max="10" style="66903" width="18.00390625" customWidth="1"/>
    <col min="11" max="11" style="66903" width="14.421875" customWidth="1"/>
    <col min="12" max="12" style="66903" width="14.28125" customWidth="1"/>
    <col min="13" max="13" style="66903" width="13.7109375" customWidth="1"/>
    <col min="14" max="14" style="66903" width="16.00390625" customWidth="1"/>
    <col min="15" max="15" style="66903" width="102.00390625" customWidth="1"/>
    <col min="16" max="16" style="66852" width="9.00390625" customWidth="1"/>
    <col min="17" max="17" style="65923" width="5.00390625" customWidth="1"/>
    <col min="18" max="18" style="65923" width="3.00390625" customWidth="1"/>
    <col min="19" max="22" style="66852" width="3.00390625" customWidth="1"/>
    <col min="23" max="23" style="65923" width="10.00390625" customWidth="1"/>
    <col min="24" max="24" style="66852" width="34.00390625" customWidth="1"/>
    <col min="25" max="25" style="66852" width="9.00390625" customWidth="1"/>
    <col min="26" max="26" style="65901" width="8.00390625" customWidth="1"/>
    <col min="27" max="31" style="66852" width="8.00390625" customWidth="1"/>
    <col min="32" max="36" style="67156" width="8.00390625" customWidth="1"/>
    <col min="37" max="37" style="66903" width="9.140625" hidden="1"/>
  </cols>
  <sheetData>
    <row customHeight="1" ht="22.5" hidden="1">
      <c r="J1" s="13315"/>
      <c r="K1" s="13315"/>
      <c r="L1" s="13315"/>
      <c r="M1" s="13315"/>
      <c r="N1" s="13315"/>
      <c r="AK1" s="2842" t="s">
        <v>14</v>
      </c>
    </row>
    <row customHeight="1" ht="23.25" hidden="1">
      <c r="B2" s="3310"/>
      <c r="C2" s="2378" t="s">
        <v>563</v>
      </c>
      <c r="D2" s="2849"/>
      <c r="E2" s="1757">
        <f>B2</f>
        <v>0</v>
      </c>
      <c r="F2" s="1758"/>
      <c r="G2" s="2857" t="s">
        <v>564</v>
      </c>
      <c r="H2" s="2857" t="s">
        <v>564</v>
      </c>
      <c r="I2" s="2857" t="s">
        <v>564</v>
      </c>
      <c r="J2" s="13321" t="s">
        <v>564</v>
      </c>
      <c r="K2" s="13321" t="s">
        <v>564</v>
      </c>
      <c r="L2" s="13321" t="s">
        <v>564</v>
      </c>
      <c r="M2" s="13321" t="s">
        <v>564</v>
      </c>
      <c r="N2" s="13321" t="s">
        <v>564</v>
      </c>
      <c r="O2" s="1500" t="s">
        <v>565</v>
      </c>
      <c r="P2" s="1754"/>
      <c r="AK2" s="2842">
        <v>0</v>
      </c>
    </row>
    <row s="65923" customFormat="1" customHeight="1" ht="0.75" hidden="1">
      <c r="B3" s="3310"/>
      <c r="C3" s="2378"/>
      <c r="D3" s="1759"/>
      <c r="E3" s="1760"/>
      <c r="F3" s="1761" t="s">
        <v>566</v>
      </c>
      <c r="G3" s="1762"/>
      <c r="H3" s="2224">
        <f>H4*H5+H6</f>
        <v>0</v>
      </c>
      <c r="I3" s="1762">
        <f>I4*I5+I6</f>
        <v>0</v>
      </c>
      <c r="J3" s="13327">
        <f>J4*J5+J6</f>
        <v>0</v>
      </c>
      <c r="K3" s="13327">
        <f>K4*K5+K6</f>
        <v>0</v>
      </c>
      <c r="L3" s="13327">
        <f>L4*L5+L6</f>
        <v>0</v>
      </c>
      <c r="M3" s="13327">
        <f>M4*M5+M6</f>
        <v>0</v>
      </c>
      <c r="N3" s="13327">
        <f>N4*N5+N6</f>
        <v>0</v>
      </c>
      <c r="O3" s="1763"/>
      <c r="AK3" s="2847">
        <v>0</v>
      </c>
    </row>
    <row customHeight="1" ht="23.25" hidden="1">
      <c r="B4" s="3310"/>
      <c r="C4" s="2378"/>
      <c r="D4" s="2849"/>
      <c r="E4" s="1757" t="str">
        <f>B2&amp;".1"</f>
        <v>.1</v>
      </c>
      <c r="F4" s="1764" t="s">
        <v>567</v>
      </c>
      <c r="G4" s="1765"/>
      <c r="H4" s="1752"/>
      <c r="I4" s="1752"/>
      <c r="J4" s="13332"/>
      <c r="K4" s="13332"/>
      <c r="L4" s="13332"/>
      <c r="M4" s="13332"/>
      <c r="N4" s="13332"/>
      <c r="O4" s="1500" t="s">
        <v>568</v>
      </c>
      <c r="P4" s="1754"/>
      <c r="AK4" s="2842">
        <v>0</v>
      </c>
    </row>
    <row customHeight="1" ht="18.75" hidden="1">
      <c r="B5" s="3310"/>
      <c r="C5" s="2378"/>
      <c r="D5" s="2849"/>
      <c r="E5" s="1757" t="str">
        <f>B2&amp;".2"</f>
        <v>.2</v>
      </c>
      <c r="F5" s="1764" t="s">
        <v>569</v>
      </c>
      <c r="G5" s="2857" t="s">
        <v>570</v>
      </c>
      <c r="H5" s="1752"/>
      <c r="I5" s="1752"/>
      <c r="J5" s="13332"/>
      <c r="K5" s="13332"/>
      <c r="L5" s="13332"/>
      <c r="M5" s="13332"/>
      <c r="N5" s="13332"/>
      <c r="O5" s="1500"/>
      <c r="P5" s="1754"/>
      <c r="AK5" s="2842">
        <v>0</v>
      </c>
    </row>
    <row customHeight="1" ht="18.75" hidden="1">
      <c r="B6" s="3310"/>
      <c r="C6" s="2378"/>
      <c r="D6" s="2849"/>
      <c r="E6" s="1757" t="str">
        <f>B2&amp;".3"</f>
        <v>.3</v>
      </c>
      <c r="F6" s="1764" t="s">
        <v>571</v>
      </c>
      <c r="G6" s="2857" t="s">
        <v>570</v>
      </c>
      <c r="H6" s="1752"/>
      <c r="I6" s="1752"/>
      <c r="J6" s="13332"/>
      <c r="K6" s="13332"/>
      <c r="L6" s="13332"/>
      <c r="M6" s="13332"/>
      <c r="N6" s="13332"/>
      <c r="O6" s="1500"/>
      <c r="P6" s="1754"/>
      <c r="AK6" s="2842">
        <v>0</v>
      </c>
    </row>
    <row customHeight="1" ht="18.75" hidden="1">
      <c r="B7" s="3310"/>
      <c r="C7" s="2378"/>
      <c r="D7" s="2849"/>
      <c r="E7" s="1757" t="str">
        <f>B2&amp;".4"</f>
        <v>.4</v>
      </c>
      <c r="F7" s="1764" t="s">
        <v>572</v>
      </c>
      <c r="G7" s="2857" t="s">
        <v>564</v>
      </c>
      <c r="H7" s="1766"/>
      <c r="I7" s="1766"/>
      <c r="J7" s="13334"/>
      <c r="K7" s="13334"/>
      <c r="L7" s="13334"/>
      <c r="M7" s="13334"/>
      <c r="N7" s="13334"/>
      <c r="O7" s="1500"/>
      <c r="P7" s="1754"/>
      <c r="AK7" s="2842">
        <v>0</v>
      </c>
    </row>
    <row s="66852" customFormat="1" customHeight="1" ht="11.25" hidden="1">
      <c r="A8" s="2198"/>
      <c r="C8" s="2847"/>
      <c r="D8" s="1748"/>
      <c r="H8" s="2371">
        <v>4</v>
      </c>
      <c r="I8" s="2371">
        <v>4</v>
      </c>
      <c r="J8" s="13336">
        <v>4</v>
      </c>
      <c r="K8" s="13336">
        <v>4</v>
      </c>
      <c r="L8" s="13336">
        <v>4</v>
      </c>
      <c r="M8" s="13336">
        <v>4</v>
      </c>
      <c r="N8" s="13336">
        <v>4</v>
      </c>
      <c r="Q8" s="2847"/>
      <c r="R8" s="2847"/>
      <c r="W8" s="2847"/>
      <c r="AK8" s="2371">
        <v>0</v>
      </c>
    </row>
    <row s="66852" customFormat="1" customHeight="1" ht="22.5" hidden="1">
      <c r="A9" s="2198"/>
      <c r="C9" s="2847"/>
      <c r="D9" s="1749"/>
      <c r="E9" s="2859"/>
      <c r="F9" s="1751"/>
      <c r="G9" s="2857" t="s">
        <v>570</v>
      </c>
      <c r="H9" s="1752"/>
      <c r="I9" s="1752"/>
      <c r="J9" s="13332"/>
      <c r="K9" s="13332"/>
      <c r="L9" s="13332"/>
      <c r="M9" s="13332"/>
      <c r="N9" s="13332"/>
      <c r="O9" s="1753" t="s">
        <v>573</v>
      </c>
      <c r="P9" s="1754"/>
      <c r="Q9" s="2847"/>
      <c r="R9" s="2847"/>
      <c r="W9" s="2847"/>
      <c r="Z9" s="1755"/>
      <c r="AF9" s="2843"/>
      <c r="AG9" s="2843"/>
      <c r="AH9" s="2843"/>
      <c r="AI9" s="2843"/>
      <c r="AJ9" s="2843"/>
      <c r="AK9" s="2371">
        <v>0</v>
      </c>
    </row>
    <row customHeight="1" ht="11.25" hidden="1">
      <c r="J10" s="13315"/>
      <c r="K10" s="13315"/>
      <c r="L10" s="13315"/>
      <c r="M10" s="13315"/>
      <c r="N10" s="13315"/>
      <c r="AK10" s="2842">
        <v>0</v>
      </c>
    </row>
    <row customHeight="1" ht="18.75" hidden="1">
      <c r="D11" s="2849"/>
      <c r="E11" s="1757"/>
      <c r="F11" s="1751"/>
      <c r="G11" s="2857" t="s">
        <v>574</v>
      </c>
      <c r="H11" s="1752"/>
      <c r="I11" s="1752"/>
      <c r="J11" s="13332"/>
      <c r="K11" s="13332"/>
      <c r="L11" s="13332"/>
      <c r="M11" s="13332"/>
      <c r="N11" s="13332"/>
      <c r="O11" s="1500" t="s">
        <v>575</v>
      </c>
      <c r="P11" s="1754"/>
      <c r="AK11" s="2842">
        <v>0</v>
      </c>
    </row>
    <row customHeight="1" ht="11.25" hidden="1">
      <c r="J12" s="13315"/>
      <c r="K12" s="13315"/>
      <c r="L12" s="13315"/>
      <c r="M12" s="13315"/>
      <c r="N12" s="13315"/>
      <c r="AK12" s="2842">
        <v>0</v>
      </c>
    </row>
    <row customHeight="1" ht="22.5" hidden="1">
      <c r="D13" s="2849"/>
      <c r="E13" s="1757"/>
      <c r="F13" s="1751"/>
      <c r="G13" s="2180" t="s">
        <v>576</v>
      </c>
      <c r="H13" s="1756"/>
      <c r="I13" s="1756"/>
      <c r="J13" s="13343"/>
      <c r="K13" s="13343"/>
      <c r="L13" s="13343"/>
      <c r="M13" s="13343"/>
      <c r="N13" s="13343"/>
      <c r="O13" s="1956" t="s">
        <v>577</v>
      </c>
      <c r="P13" s="1754"/>
      <c r="AK13" s="2842">
        <v>0</v>
      </c>
    </row>
    <row customHeight="1" ht="11.25" hidden="1">
      <c r="J14" s="13315"/>
      <c r="K14" s="13315"/>
      <c r="L14" s="13315"/>
      <c r="M14" s="13315"/>
      <c r="N14" s="13315"/>
      <c r="AK14" s="2842">
        <v>0</v>
      </c>
    </row>
    <row customHeight="1" ht="22.5" hidden="1">
      <c r="D15" s="2849"/>
      <c r="E15" s="1757"/>
      <c r="F15" s="1751"/>
      <c r="G15" s="2857" t="s">
        <v>578</v>
      </c>
      <c r="H15" s="1756"/>
      <c r="I15" s="1756"/>
      <c r="J15" s="13343"/>
      <c r="K15" s="13343"/>
      <c r="L15" s="13343"/>
      <c r="M15" s="13343"/>
      <c r="N15" s="13343"/>
      <c r="O15" s="1500" t="s">
        <v>579</v>
      </c>
      <c r="P15" s="1754"/>
      <c r="AK15" s="2842">
        <v>0</v>
      </c>
    </row>
    <row customHeight="1" ht="11.25" hidden="1">
      <c r="J16" s="13315"/>
      <c r="K16" s="13315"/>
      <c r="L16" s="13315"/>
      <c r="M16" s="13315"/>
      <c r="N16" s="13315"/>
      <c r="AK16" s="2842">
        <v>0</v>
      </c>
    </row>
    <row customHeight="1" ht="22.5" hidden="1">
      <c r="D17" s="2849"/>
      <c r="E17" s="1757"/>
      <c r="F17" s="1751"/>
      <c r="G17" s="2857" t="s">
        <v>580</v>
      </c>
      <c r="H17" s="1756"/>
      <c r="I17" s="1756"/>
      <c r="J17" s="13343"/>
      <c r="K17" s="13343"/>
      <c r="L17" s="13343"/>
      <c r="M17" s="13343"/>
      <c r="N17" s="13343"/>
      <c r="O17" s="1500" t="s">
        <v>581</v>
      </c>
      <c r="P17" s="1754"/>
      <c r="AK17" s="2842">
        <v>0</v>
      </c>
    </row>
    <row customHeight="1" ht="11.25" hidden="1">
      <c r="J18" s="13315"/>
      <c r="K18" s="13315"/>
      <c r="L18" s="13315"/>
      <c r="M18" s="13315"/>
      <c r="N18" s="13315"/>
      <c r="AK18" s="2842">
        <v>0</v>
      </c>
    </row>
    <row s="67156" customFormat="1" customHeight="1" ht="11.25" hidden="1">
      <c r="A19" s="2198"/>
      <c r="B19" s="2371"/>
      <c r="C19" s="2847"/>
      <c r="D19" s="1573"/>
      <c r="J19" s="13346"/>
      <c r="K19" s="13346"/>
      <c r="L19" s="13346"/>
      <c r="M19" s="13346"/>
      <c r="N19" s="13346"/>
      <c r="O19" s="2843">
        <v>4</v>
      </c>
      <c r="P19" s="2371"/>
      <c r="Q19" s="2847"/>
      <c r="R19" s="2847"/>
      <c r="S19" s="2371"/>
      <c r="T19" s="2371"/>
      <c r="U19" s="2371"/>
      <c r="V19" s="2371"/>
      <c r="W19" s="2847"/>
      <c r="X19" s="2371"/>
      <c r="Y19" s="2371"/>
      <c r="Z19" s="1755"/>
      <c r="AA19" s="2371"/>
      <c r="AB19" s="2371"/>
      <c r="AC19" s="2371"/>
      <c r="AD19" s="2371"/>
      <c r="AE19" s="2371"/>
      <c r="AK19" s="2843">
        <v>0</v>
      </c>
    </row>
    <row customHeight="1" ht="11.549999999999999">
      <c r="J20" s="13315"/>
      <c r="K20" s="13315"/>
      <c r="L20" s="13315"/>
      <c r="M20" s="13315"/>
      <c r="N20" s="13315"/>
      <c r="AK20" s="2842">
        <v>11</v>
      </c>
    </row>
    <row customHeight="1" ht="25.2">
      <c r="E21" s="345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3459"/>
      <c r="G21" s="3459"/>
      <c r="H21" s="3459"/>
      <c r="I21" s="3459"/>
      <c r="J21" s="13347"/>
      <c r="K21" s="13347"/>
      <c r="L21" s="13347"/>
      <c r="M21" s="13347"/>
      <c r="N21" s="13347"/>
      <c r="O21" s="1767"/>
      <c r="AK21" s="2842">
        <v>24</v>
      </c>
    </row>
    <row customHeight="1" ht="25.2">
      <c r="E22" s="3460" t="str">
        <f>IF(org=0,"Не определено",org)</f>
        <v>ПАО "ТГК-2"</v>
      </c>
      <c r="F22" s="3460"/>
      <c r="G22" s="3460"/>
      <c r="H22" s="3460"/>
      <c r="I22" s="3460"/>
      <c r="J22" s="13349"/>
      <c r="K22" s="13349"/>
      <c r="L22" s="13349"/>
      <c r="M22" s="13349"/>
      <c r="N22" s="13349"/>
      <c r="AK22" s="2842">
        <v>24</v>
      </c>
    </row>
    <row customHeight="1" ht="11.549999999999999">
      <c r="E23" s="2346"/>
      <c r="F23" s="2346"/>
      <c r="G23" s="2346"/>
      <c r="H23" s="2346"/>
      <c r="I23" s="2346"/>
      <c r="J23" s="13351" t="s">
        <v>22</v>
      </c>
      <c r="K23" s="13351" t="s">
        <v>22</v>
      </c>
      <c r="L23" s="13351" t="s">
        <v>22</v>
      </c>
      <c r="M23" s="13351" t="s">
        <v>22</v>
      </c>
      <c r="N23" s="13351" t="s">
        <v>22</v>
      </c>
      <c r="AK23" s="2842">
        <v>11</v>
      </c>
    </row>
    <row s="65923" customFormat="1" customHeight="1" ht="1.05">
      <c r="A24" s="2378"/>
      <c r="D24" s="2853"/>
      <c r="H24" s="2100"/>
      <c r="I24" s="2100" t="s">
        <v>128</v>
      </c>
      <c r="J24" s="13353" t="s">
        <v>132</v>
      </c>
      <c r="K24" s="13353" t="s">
        <v>134</v>
      </c>
      <c r="L24" s="13353" t="s">
        <v>136</v>
      </c>
      <c r="M24" s="13353" t="s">
        <v>138</v>
      </c>
      <c r="N24" s="13353" t="s">
        <v>139</v>
      </c>
      <c r="AK24" s="2847">
        <v>1</v>
      </c>
    </row>
    <row customHeight="1" ht="68.25">
      <c r="E25" s="1922"/>
      <c r="F25" s="3578" t="s">
        <v>118</v>
      </c>
      <c r="G25" s="3579"/>
      <c r="H25" s="2863" t="str">
        <f>IF(H24="","",INDEX(DIFFERENTIATION_UNMERGE_VD,MATCH(H24,DIFFERENTIATION_ID_DIFF,0)))</f>
        <v/>
      </c>
      <c r="I25" s="2863"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13358" t="str">
        <f>IF(J24="","",INDEX(DIFFERENTIATION_UNMERGE_VD,MATCH(J24,DIFFERENTIATION_ID_DIFF,0)))</f>
        <v>Производство тепловой энергии. Комбинированная выработка с уст. мощностью производства электрической энергии 25 МВт и более</v>
      </c>
      <c r="K25" s="13358" t="str">
        <f>IF(K24="","",INDEX(DIFFERENTIATION_UNMERGE_VD,MATCH(K24,DIFFERENTIATION_ID_DIFF,0)))</f>
        <v>Производство тепловой энергии. Некомбинированная выработка</v>
      </c>
      <c r="L25" s="13358" t="str">
        <f>IF(L24="","",INDEX(DIFFERENTIATION_UNMERGE_VD,MATCH(L24,DIFFERENTIATION_ID_DIFF,0)))</f>
        <v>Передача. Тепловая энергия; Сбыт. Тепловая энергия</v>
      </c>
      <c r="M25" s="13358" t="str">
        <f>IF(M24="","",INDEX(DIFFERENTIATION_UNMERGE_VD,MATCH(M24,DIFFERENTIATION_ID_DIFF,0)))</f>
        <v>Передача. Тепловая энергия; Сбыт. Тепловая энергия</v>
      </c>
      <c r="N25" s="13358" t="str">
        <f>IF(N24="","",INDEX(DIFFERENTIATION_UNMERGE_VD,MATCH(N24,DIFFERENTIATION_ID_DIFF,0)))</f>
        <v>Производство. Теплоноситель; Сбыт. Теплоноситель</v>
      </c>
      <c r="O25" s="3338"/>
      <c r="AK25" s="2842">
        <v>11</v>
      </c>
    </row>
    <row customHeight="1" ht="22.5">
      <c r="E26" s="1922"/>
      <c r="F26" s="3578" t="s">
        <v>582</v>
      </c>
      <c r="G26" s="3579"/>
      <c r="H26" s="2863" t="str">
        <f>IF(H24="","",INDEX(DIFFERENTIATION_UNMERGE_AREA,MATCH(H24,DIFFERENTIATION_ID_DIFF,0)))</f>
        <v/>
      </c>
      <c r="I26" s="2863" t="str">
        <f>IF(I24="","",INDEX(DIFFERENTIATION_UNMERGE_AREA,MATCH(I24,DIFFERENTIATION_ID_DIFF,0)))</f>
        <v>Территория 1</v>
      </c>
      <c r="J26" s="13358" t="str">
        <f>IF(J24="","",INDEX(DIFFERENTIATION_UNMERGE_AREA,MATCH(J24,DIFFERENTIATION_ID_DIFF,0)))</f>
        <v>Территория 2</v>
      </c>
      <c r="K26" s="13358" t="str">
        <f>IF(K24="","",INDEX(DIFFERENTIATION_UNMERGE_AREA,MATCH(K24,DIFFERENTIATION_ID_DIFF,0)))</f>
        <v>Территория 1</v>
      </c>
      <c r="L26" s="13358" t="str">
        <f>IF(L24="","",INDEX(DIFFERENTIATION_UNMERGE_AREA,MATCH(L24,DIFFERENTIATION_ID_DIFF,0)))</f>
        <v>Территория 1</v>
      </c>
      <c r="M26" s="13358" t="str">
        <f>IF(M24="","",INDEX(DIFFERENTIATION_UNMERGE_AREA,MATCH(M24,DIFFERENTIATION_ID_DIFF,0)))</f>
        <v>Территория 2</v>
      </c>
      <c r="N26" s="13358" t="str">
        <f>IF(N24="","",INDEX(DIFFERENTIATION_UNMERGE_AREA,MATCH(N24,DIFFERENTIATION_ID_DIFF,0)))</f>
        <v>Территория 2</v>
      </c>
      <c r="O26" s="3338"/>
      <c r="AK26" s="2842">
        <v>11</v>
      </c>
    </row>
    <row customHeight="1" ht="21">
      <c r="E27" s="1922"/>
      <c r="F27" s="3578" t="s">
        <v>583</v>
      </c>
      <c r="G27" s="3579"/>
      <c r="H27" s="2863" t="str">
        <f>IF(H24="","",INDEX(DIFFERENTIATION_UNMERGE_SYSTEM,MATCH(H24,DIFFERENTIATION_ID_DIFF,0)))</f>
        <v/>
      </c>
      <c r="I27" s="2863" t="str">
        <f>IF(I24="","",INDEX(DIFFERENTIATION_UNMERGE_SYSTEM,MATCH(I24,DIFFERENTIATION_ID_DIFF,0)))</f>
        <v>без дифференциации</v>
      </c>
      <c r="J27" s="13358" t="str">
        <f>IF(J24="","",INDEX(DIFFERENTIATION_UNMERGE_SYSTEM,MATCH(J24,DIFFERENTIATION_ID_DIFF,0)))</f>
        <v>без дифференциации</v>
      </c>
      <c r="K27" s="13358" t="str">
        <f>IF(K24="","",INDEX(DIFFERENTIATION_UNMERGE_SYSTEM,MATCH(K24,DIFFERENTIATION_ID_DIFF,0)))</f>
        <v>без дифференциации</v>
      </c>
      <c r="L27" s="13358" t="str">
        <f>IF(L24="","",INDEX(DIFFERENTIATION_UNMERGE_SYSTEM,MATCH(L24,DIFFERENTIATION_ID_DIFF,0)))</f>
        <v>без дифференциации</v>
      </c>
      <c r="M27" s="13358" t="str">
        <f>IF(M24="","",INDEX(DIFFERENTIATION_UNMERGE_SYSTEM,MATCH(M24,DIFFERENTIATION_ID_DIFF,0)))</f>
        <v>без дифференциации</v>
      </c>
      <c r="N27" s="13358" t="str">
        <f>IF(N24="","",INDEX(DIFFERENTIATION_UNMERGE_SYSTEM,MATCH(N24,DIFFERENTIATION_ID_DIFF,0)))</f>
        <v>без дифференциации</v>
      </c>
      <c r="O27" s="3338"/>
      <c r="AK27" s="2842">
        <v>11</v>
      </c>
    </row>
    <row customHeight="1" ht="11.549999999999999">
      <c r="E28" s="3580" t="s">
        <v>318</v>
      </c>
      <c r="F28" s="3581"/>
      <c r="G28" s="3581"/>
      <c r="H28" s="2856"/>
      <c r="I28" s="2856"/>
      <c r="J28" s="13362"/>
      <c r="K28" s="13362"/>
      <c r="L28" s="13362"/>
      <c r="M28" s="13362"/>
      <c r="N28" s="13362"/>
      <c r="O28" s="3338"/>
      <c r="AK28" s="2842">
        <v>11</v>
      </c>
    </row>
    <row customHeight="1" ht="24">
      <c r="E29" s="2857" t="s">
        <v>88</v>
      </c>
      <c r="F29" s="2864" t="s">
        <v>320</v>
      </c>
      <c r="G29" s="2864" t="s">
        <v>584</v>
      </c>
      <c r="H29" s="2864" t="s">
        <v>321</v>
      </c>
      <c r="I29" s="2864" t="s">
        <v>321</v>
      </c>
      <c r="J29" s="13321" t="s">
        <v>321</v>
      </c>
      <c r="K29" s="13321" t="s">
        <v>321</v>
      </c>
      <c r="L29" s="13321" t="s">
        <v>321</v>
      </c>
      <c r="M29" s="13321" t="s">
        <v>321</v>
      </c>
      <c r="N29" s="13321" t="s">
        <v>321</v>
      </c>
      <c r="O29" s="3338"/>
      <c r="AK29" s="2842">
        <v>23</v>
      </c>
    </row>
    <row customHeight="1" ht="27.75">
      <c r="D30" s="2849"/>
      <c r="E30" s="1757">
        <f>FHD_NUM_P_1</f>
        <v>1</v>
      </c>
      <c r="F30" s="3091" t="str">
        <f>FHD_P_1</f>
        <v>Выручка от регулируемого вида деятельности с распределением по видам деятельности</v>
      </c>
      <c r="G30" s="3089" t="s">
        <v>570</v>
      </c>
      <c r="H30" s="1768"/>
      <c r="I30" s="1768">
        <v>0</v>
      </c>
      <c r="J30" s="13366">
        <v>0</v>
      </c>
      <c r="K30" s="13366">
        <v>0</v>
      </c>
      <c r="L30" s="13366">
        <v>5742410.14607</v>
      </c>
      <c r="M30" s="13366">
        <v>4124609.04987</v>
      </c>
      <c r="N30" s="13366">
        <v>347553.29698</v>
      </c>
      <c r="O30" s="1500" t="str">
        <f>FHD_NOTE_P_1</f>
        <v>Указывается выручка от регулируемого вида деятельности с распределением по видам деятельности.</v>
      </c>
      <c r="P30" s="1754"/>
      <c r="AK30" s="2842">
        <v>19</v>
      </c>
    </row>
    <row customHeight="1" ht="54">
      <c r="D31" s="2849"/>
      <c r="E31" s="1757">
        <f>FHD_NUM_P_2</f>
        <v>2</v>
      </c>
      <c r="F31" s="3091" t="str">
        <f>FHD_P_2</f>
        <v>Себестоимость производимых товаров (оказываемых услуг) по регулируемому виду деятельности, включая:</v>
      </c>
      <c r="G31" s="3089" t="s">
        <v>570</v>
      </c>
      <c r="H31" s="1769">
        <f>SUMIF($P32:$P96,$P31,H32:H96)</f>
        <v>0</v>
      </c>
      <c r="I31" s="1769">
        <f>SUMIF($P32:$P96,$P31,I32:I96)</f>
        <v>2263068.65860498</v>
      </c>
      <c r="J31" s="13368">
        <f>SUMIF($P32:$P96,$P31,J32:J96)</f>
        <v>3368812.9133073</v>
      </c>
      <c r="K31" s="13368">
        <f>SUMIF($P32:$P96,$P31,K32:K96)</f>
        <v>744246.120276646</v>
      </c>
      <c r="L31" s="13368">
        <f>SUMIF($P32:$P96,$P31,L32:L96)</f>
        <v>3105372.02321</v>
      </c>
      <c r="M31" s="13368">
        <f>SUMIF($P32:$P96,$P31,M32:M96)</f>
        <v>470871.767844</v>
      </c>
      <c r="N31" s="13368">
        <f>SUMIF($P32:$P96,$P31,N32:N96)</f>
        <v>298793.68639</v>
      </c>
      <c r="O31" s="1500" t="str">
        <f>FHD_NOTE_P_2</f>
        <v>Указывается суммарная себестоимость производимых товаров.</v>
      </c>
      <c r="P31" s="2847" t="s">
        <v>585</v>
      </c>
      <c r="AK31" s="2842">
        <v>11</v>
      </c>
    </row>
    <row customHeight="1" ht="38.25">
      <c r="D32" s="2849"/>
      <c r="E32" s="1757" t="str">
        <f>FHD_NUM_P_3</f>
        <v>2.1</v>
      </c>
      <c r="F32" s="2735" t="str">
        <f>FHD_P_3</f>
        <v>Расходы на приобретаемую тепловую энергию (мощность), теплоноситель</v>
      </c>
      <c r="G32" s="3089" t="s">
        <v>570</v>
      </c>
      <c r="H32" s="1768"/>
      <c r="I32" s="1768">
        <v>0</v>
      </c>
      <c r="J32" s="13366">
        <v>0</v>
      </c>
      <c r="K32" s="13366">
        <v>0</v>
      </c>
      <c r="L32" s="13366">
        <v>1763781.79505</v>
      </c>
      <c r="M32" s="13366">
        <v>0</v>
      </c>
      <c r="N32" s="13366">
        <v>0</v>
      </c>
      <c r="O32" s="1500" t="str">
        <f>FHD_NOTE_P_3</f>
        <v/>
      </c>
      <c r="P32" s="2847" t="str">
        <f>IF((LEN(E32)-LEN(SUBSTITUTE(E32,".","")))/LEN(".")=1,"p","")</f>
        <v>p</v>
      </c>
      <c r="AK32" s="2842">
        <v>11</v>
      </c>
    </row>
    <row customHeight="1" ht="43.5">
      <c r="A33" s="3582" t="s">
        <v>586</v>
      </c>
      <c r="D33" s="2849"/>
      <c r="E33" s="1757" t="str">
        <f>FHD_NUM_P_4</f>
        <v>2.2</v>
      </c>
      <c r="F33" s="273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3089" t="s">
        <v>570</v>
      </c>
      <c r="H33" s="1769">
        <f>SUMIF($F34:$F64,$F3,H34:H64)</f>
        <v>0</v>
      </c>
      <c r="I33" s="1769">
        <f>SUMIF($F34:$F64,$F3,I34:I64)</f>
        <v>1785699.65452798</v>
      </c>
      <c r="J33" s="13368">
        <f>SUMIF($F34:$F64,$F3,J34:J64)</f>
        <v>2396480.8922333</v>
      </c>
      <c r="K33" s="13368">
        <f>SUMIF($F34:$F64,$F3,K34:K64)</f>
        <v>314774.806706646</v>
      </c>
      <c r="L33" s="13368">
        <f>SUMIF($F34:$F64,$F3,L34:L64)</f>
        <v>0</v>
      </c>
      <c r="M33" s="13368">
        <f>SUMIF($F34:$F64,$F3,M34:M64)</f>
        <v>0</v>
      </c>
      <c r="N33" s="13368">
        <f>SUMIF($F34:$F64,$F3,N34:N64)</f>
        <v>0</v>
      </c>
      <c r="O33" s="1500" t="str">
        <f>FHD_NOTE_P_4</f>
        <v>Указываются суммарные расходы на приобретение топлива всех видов.</v>
      </c>
      <c r="P33" s="2847" t="str">
        <f>IF((LEN(E33)-LEN(SUBSTITUTE(E33,".","")))/LEN(".")=1,"p","")</f>
        <v>p</v>
      </c>
      <c r="AK33" s="2842">
        <v>0</v>
      </c>
    </row>
    <row s="65897" customFormat="1" customHeight="1" ht="0.75">
      <c r="A34" s="3582"/>
      <c r="B34" s="3583" t="str">
        <f>E33&amp;".0"</f>
        <v>2.2.0</v>
      </c>
      <c r="C34" s="2378"/>
      <c r="D34" s="1771"/>
      <c r="E34" s="1772"/>
      <c r="F34" s="1773"/>
      <c r="G34" s="1774"/>
      <c r="H34" s="1708"/>
      <c r="I34" s="1708"/>
      <c r="J34" s="13376"/>
      <c r="K34" s="13376"/>
      <c r="L34" s="13376"/>
      <c r="M34" s="13376"/>
      <c r="N34" s="13376"/>
      <c r="O34" s="1775"/>
      <c r="P34" s="2847" t="str">
        <f>IF((LEN(E34)-LEN(SUBSTITUTE(E34,".","")))/LEN(".")=1,"p","")</f>
        <v/>
      </c>
      <c r="Q34" s="2847"/>
      <c r="R34" s="2847"/>
      <c r="S34" s="2847"/>
      <c r="T34" s="2847"/>
      <c r="U34" s="2847"/>
      <c r="V34" s="2847"/>
      <c r="W34" s="2847"/>
      <c r="X34" s="2847"/>
      <c r="Y34" s="2847"/>
      <c r="Z34" s="1776"/>
      <c r="AA34" s="2847"/>
      <c r="AB34" s="2847"/>
      <c r="AC34" s="2847"/>
      <c r="AD34" s="2847"/>
      <c r="AE34" s="2847"/>
      <c r="AF34" s="1777"/>
      <c r="AG34" s="1777"/>
      <c r="AH34" s="1777"/>
      <c r="AI34" s="1777"/>
      <c r="AJ34" s="1777"/>
      <c r="AK34" s="2852">
        <v>0</v>
      </c>
    </row>
    <row s="65897" customFormat="1" customHeight="1" ht="0.75">
      <c r="A35" s="3582"/>
      <c r="B35" s="3583"/>
      <c r="C35" s="2378"/>
      <c r="D35" s="1771"/>
      <c r="E35" s="1778"/>
      <c r="F35" s="1779"/>
      <c r="G35" s="1774"/>
      <c r="H35" s="1780"/>
      <c r="I35" s="1780"/>
      <c r="J35" s="13383"/>
      <c r="K35" s="13383"/>
      <c r="L35" s="13383"/>
      <c r="M35" s="13383"/>
      <c r="N35" s="13383"/>
      <c r="O35" s="1775"/>
      <c r="P35" s="2847" t="str">
        <f>IF((LEN(E35)-LEN(SUBSTITUTE(E35,".","")))/LEN(".")=1,"p","")</f>
        <v/>
      </c>
      <c r="Q35" s="2847"/>
      <c r="R35" s="2847"/>
      <c r="S35" s="2847"/>
      <c r="T35" s="2847"/>
      <c r="U35" s="2847"/>
      <c r="V35" s="2847"/>
      <c r="W35" s="2847"/>
      <c r="X35" s="2847"/>
      <c r="Y35" s="2847"/>
      <c r="Z35" s="1776"/>
      <c r="AA35" s="2847"/>
      <c r="AB35" s="2847"/>
      <c r="AC35" s="2847"/>
      <c r="AD35" s="2847"/>
      <c r="AE35" s="2847"/>
      <c r="AF35" s="1777"/>
      <c r="AG35" s="1777"/>
      <c r="AH35" s="1777"/>
      <c r="AI35" s="1777"/>
      <c r="AJ35" s="1777"/>
      <c r="AK35" s="2852">
        <v>0</v>
      </c>
    </row>
    <row s="65897" customFormat="1" customHeight="1" ht="0.75">
      <c r="A36" s="3582"/>
      <c r="B36" s="3583"/>
      <c r="C36" s="2378"/>
      <c r="D36" s="1771"/>
      <c r="E36" s="1778"/>
      <c r="F36" s="1779"/>
      <c r="G36" s="1774"/>
      <c r="H36" s="1780"/>
      <c r="I36" s="1780"/>
      <c r="J36" s="13383"/>
      <c r="K36" s="13383"/>
      <c r="L36" s="13383"/>
      <c r="M36" s="13383"/>
      <c r="N36" s="13383"/>
      <c r="O36" s="1775"/>
      <c r="P36" s="2847" t="str">
        <f>IF((LEN(E36)-LEN(SUBSTITUTE(E36,".","")))/LEN(".")=1,"p","")</f>
        <v/>
      </c>
      <c r="Q36" s="2847"/>
      <c r="R36" s="2847"/>
      <c r="S36" s="2847"/>
      <c r="T36" s="2847"/>
      <c r="U36" s="2847"/>
      <c r="V36" s="2847"/>
      <c r="W36" s="2847"/>
      <c r="X36" s="2847"/>
      <c r="Y36" s="2847"/>
      <c r="Z36" s="1776"/>
      <c r="AA36" s="2847"/>
      <c r="AB36" s="2847"/>
      <c r="AC36" s="2847"/>
      <c r="AD36" s="2847"/>
      <c r="AE36" s="2847"/>
      <c r="AF36" s="1777"/>
      <c r="AG36" s="1777"/>
      <c r="AH36" s="1777"/>
      <c r="AI36" s="1777"/>
      <c r="AJ36" s="1777"/>
      <c r="AK36" s="2852">
        <v>0</v>
      </c>
    </row>
    <row s="65897" customFormat="1" customHeight="1" ht="0.75">
      <c r="A37" s="3582"/>
      <c r="B37" s="3583"/>
      <c r="C37" s="2378"/>
      <c r="D37" s="1771"/>
      <c r="E37" s="1778"/>
      <c r="F37" s="1779"/>
      <c r="G37" s="1774"/>
      <c r="H37" s="1780"/>
      <c r="I37" s="1780"/>
      <c r="J37" s="13383"/>
      <c r="K37" s="13383"/>
      <c r="L37" s="13383"/>
      <c r="M37" s="13383"/>
      <c r="N37" s="13383"/>
      <c r="O37" s="1775"/>
      <c r="P37" s="2847" t="str">
        <f>IF((LEN(E37)-LEN(SUBSTITUTE(E37,".","")))/LEN(".")=1,"p","")</f>
        <v/>
      </c>
      <c r="Q37" s="2847"/>
      <c r="R37" s="2847"/>
      <c r="S37" s="2847"/>
      <c r="T37" s="2847"/>
      <c r="U37" s="2847"/>
      <c r="V37" s="2847"/>
      <c r="W37" s="2847"/>
      <c r="X37" s="2847"/>
      <c r="Y37" s="2847"/>
      <c r="Z37" s="1776"/>
      <c r="AA37" s="2847"/>
      <c r="AB37" s="2847"/>
      <c r="AC37" s="2847"/>
      <c r="AD37" s="2847"/>
      <c r="AE37" s="2847"/>
      <c r="AF37" s="1777"/>
      <c r="AG37" s="1777"/>
      <c r="AH37" s="1777"/>
      <c r="AI37" s="1777"/>
      <c r="AJ37" s="1777"/>
      <c r="AK37" s="2852">
        <v>0</v>
      </c>
    </row>
    <row s="65897" customFormat="1" customHeight="1" ht="0.75">
      <c r="A38" s="3582"/>
      <c r="B38" s="3583"/>
      <c r="C38" s="2378"/>
      <c r="D38" s="1771"/>
      <c r="E38" s="1778"/>
      <c r="F38" s="1779"/>
      <c r="G38" s="1774"/>
      <c r="H38" s="1780"/>
      <c r="I38" s="1780"/>
      <c r="J38" s="13383"/>
      <c r="K38" s="13383"/>
      <c r="L38" s="13383"/>
      <c r="M38" s="13383"/>
      <c r="N38" s="13383"/>
      <c r="O38" s="1775"/>
      <c r="P38" s="2847" t="str">
        <f>IF((LEN(E38)-LEN(SUBSTITUTE(E38,".","")))/LEN(".")=1,"p","")</f>
        <v/>
      </c>
      <c r="Q38" s="2847"/>
      <c r="R38" s="2847"/>
      <c r="S38" s="2847"/>
      <c r="T38" s="2847"/>
      <c r="U38" s="2847"/>
      <c r="V38" s="2847"/>
      <c r="W38" s="2847"/>
      <c r="X38" s="2847"/>
      <c r="Y38" s="2847"/>
      <c r="Z38" s="1776"/>
      <c r="AA38" s="2847"/>
      <c r="AB38" s="2847"/>
      <c r="AC38" s="2847"/>
      <c r="AD38" s="2847"/>
      <c r="AE38" s="2847"/>
      <c r="AF38" s="1777"/>
      <c r="AG38" s="1777"/>
      <c r="AH38" s="1777"/>
      <c r="AI38" s="1777"/>
      <c r="AJ38" s="1777"/>
      <c r="AK38" s="2852">
        <v>0</v>
      </c>
    </row>
    <row s="65897" customFormat="1" customHeight="1" ht="0.75">
      <c r="A39" s="3582"/>
      <c r="B39" s="3583"/>
      <c r="C39" s="2378"/>
      <c r="D39" s="1771"/>
      <c r="E39" s="1778"/>
      <c r="F39" s="1779"/>
      <c r="G39" s="1774"/>
      <c r="H39" s="1708"/>
      <c r="I39" s="1708"/>
      <c r="J39" s="13376"/>
      <c r="K39" s="13376"/>
      <c r="L39" s="13376"/>
      <c r="M39" s="13376"/>
      <c r="N39" s="13376"/>
      <c r="O39" s="1775"/>
      <c r="P39" s="2847" t="str">
        <f>IF((LEN(E39)-LEN(SUBSTITUTE(E39,".","")))/LEN(".")=1,"p","")</f>
        <v/>
      </c>
      <c r="Q39" s="2847"/>
      <c r="R39" s="2847"/>
      <c r="S39" s="2847"/>
      <c r="T39" s="2847"/>
      <c r="U39" s="2847"/>
      <c r="V39" s="2847"/>
      <c r="W39" s="2847"/>
      <c r="X39" s="2847"/>
      <c r="Y39" s="2847"/>
      <c r="Z39" s="1776"/>
      <c r="AA39" s="2847"/>
      <c r="AB39" s="2847"/>
      <c r="AC39" s="2847"/>
      <c r="AD39" s="2847"/>
      <c r="AE39" s="2847"/>
      <c r="AF39" s="1777"/>
      <c r="AG39" s="1777"/>
      <c r="AH39" s="1777"/>
      <c r="AI39" s="1777"/>
      <c r="AJ39" s="1777"/>
      <c r="AK39" s="2852">
        <v>0</v>
      </c>
    </row>
    <row s="67502" customFormat="1" customHeight="1" ht="23.25">
      <c r="A40" s="16406"/>
      <c r="B40" s="16407" t="str">
        <f>E33&amp;".1"</f>
        <v>2.2.1</v>
      </c>
      <c r="C40" s="16408" t="s">
        <v>563</v>
      </c>
      <c r="D40" s="16409" t="s">
        <v>103</v>
      </c>
      <c r="E40" s="16410" t="str">
        <f>B40</f>
        <v>2.2.1</v>
      </c>
      <c r="F40" s="16411" t="s">
        <v>587</v>
      </c>
      <c r="G40" s="16412" t="s">
        <v>564</v>
      </c>
      <c r="H40" s="16412" t="s">
        <v>564</v>
      </c>
      <c r="I40" s="16412" t="s">
        <v>564</v>
      </c>
      <c r="J40" s="16412" t="s">
        <v>564</v>
      </c>
      <c r="K40" s="16412" t="s">
        <v>564</v>
      </c>
      <c r="L40" s="16412" t="s">
        <v>564</v>
      </c>
      <c r="M40" s="16412" t="s">
        <v>564</v>
      </c>
      <c r="N40" s="16412" t="s">
        <v>564</v>
      </c>
      <c r="O40" s="16413" t="s">
        <v>565</v>
      </c>
      <c r="P40" s="16414"/>
      <c r="Q40" s="16415"/>
      <c r="R40" s="16415"/>
      <c r="S40" s="16416"/>
      <c r="T40" s="16416"/>
      <c r="U40" s="16416"/>
      <c r="V40" s="16416"/>
      <c r="W40" s="16415"/>
      <c r="X40" s="16416"/>
      <c r="Y40" s="16416"/>
      <c r="Z40" s="16417"/>
      <c r="AA40" s="16416"/>
      <c r="AB40" s="16416"/>
      <c r="AC40" s="16416"/>
      <c r="AD40" s="16416"/>
      <c r="AE40" s="16416"/>
      <c r="AF40" s="16418"/>
      <c r="AG40" s="16418"/>
      <c r="AH40" s="16418"/>
      <c r="AI40" s="16418"/>
      <c r="AJ40" s="16418"/>
      <c r="AK40" s="16419">
        <v>0</v>
      </c>
    </row>
    <row s="65913" customFormat="1" customHeight="1" ht="0.75" hidden="1">
      <c r="A41" s="16415"/>
      <c r="B41" s="16407" t="str">
        <f>E33&amp;".0"</f>
        <v>2.2.0</v>
      </c>
      <c r="C41" s="16408"/>
      <c r="D41" s="16408"/>
      <c r="E41" s="16421"/>
      <c r="F41" s="16422" t="s">
        <v>566</v>
      </c>
      <c r="G41" s="16423"/>
      <c r="H41" s="16423">
        <f>H42*H43+H44</f>
        <v>0</v>
      </c>
      <c r="I41" s="16423">
        <f>I42*I43+I44</f>
        <v>1782950.03210813</v>
      </c>
      <c r="J41" s="16423">
        <f>J42*J43+J44</f>
        <v>1241301.39144001</v>
      </c>
      <c r="K41" s="16423">
        <f>K42*K43+K44</f>
        <v>0</v>
      </c>
      <c r="L41" s="16423">
        <f>L42*L43+L44</f>
        <v>0</v>
      </c>
      <c r="M41" s="16423">
        <f>M42*M43+M44</f>
        <v>0</v>
      </c>
      <c r="N41" s="16423">
        <f>N42*N43+N44</f>
        <v>0</v>
      </c>
      <c r="O41" s="16424"/>
      <c r="P41" s="16415"/>
      <c r="Q41" s="16415"/>
      <c r="R41" s="16415"/>
      <c r="S41" s="16415"/>
      <c r="T41" s="16415"/>
      <c r="U41" s="16415"/>
      <c r="V41" s="16415"/>
      <c r="W41" s="16415"/>
      <c r="X41" s="16415"/>
      <c r="Y41" s="16415"/>
      <c r="Z41" s="16415"/>
      <c r="AA41" s="16415"/>
      <c r="AB41" s="16415"/>
      <c r="AC41" s="16415"/>
      <c r="AD41" s="16415"/>
      <c r="AE41" s="16415"/>
      <c r="AF41" s="16415"/>
      <c r="AG41" s="16415"/>
      <c r="AH41" s="16415"/>
      <c r="AI41" s="16415"/>
      <c r="AJ41" s="16415"/>
      <c r="AK41" s="16415">
        <v>0</v>
      </c>
    </row>
    <row s="67502" customFormat="1" customHeight="1" ht="23.25">
      <c r="A42" s="16406"/>
      <c r="B42" s="16407" t="str">
        <f>E33&amp;".0"</f>
        <v>2.2.0</v>
      </c>
      <c r="C42" s="16408"/>
      <c r="D42" s="16426"/>
      <c r="E42" s="16410" t="str">
        <f>B40&amp;".1"</f>
        <v>2.2.1.1</v>
      </c>
      <c r="F42" s="16427" t="s">
        <v>567</v>
      </c>
      <c r="G42" s="16428" t="s">
        <v>588</v>
      </c>
      <c r="H42" s="16429"/>
      <c r="I42" s="16429">
        <v>308920.94538</v>
      </c>
      <c r="J42" s="16429">
        <v>206604.478764</v>
      </c>
      <c r="K42" s="16429"/>
      <c r="L42" s="16429"/>
      <c r="M42" s="16429"/>
      <c r="N42" s="16429"/>
      <c r="O42" s="16413" t="s">
        <v>568</v>
      </c>
      <c r="P42" s="16414"/>
      <c r="Q42" s="16415"/>
      <c r="R42" s="16415"/>
      <c r="S42" s="16416"/>
      <c r="T42" s="16416"/>
      <c r="U42" s="16416"/>
      <c r="V42" s="16416"/>
      <c r="W42" s="16415"/>
      <c r="X42" s="16416"/>
      <c r="Y42" s="16416"/>
      <c r="Z42" s="16417"/>
      <c r="AA42" s="16416"/>
      <c r="AB42" s="16416"/>
      <c r="AC42" s="16416"/>
      <c r="AD42" s="16416"/>
      <c r="AE42" s="16416"/>
      <c r="AF42" s="16418"/>
      <c r="AG42" s="16418"/>
      <c r="AH42" s="16418"/>
      <c r="AI42" s="16418"/>
      <c r="AJ42" s="16418"/>
      <c r="AK42" s="16419">
        <v>0</v>
      </c>
    </row>
    <row s="67502" customFormat="1" customHeight="1" ht="18.75">
      <c r="A43" s="16406"/>
      <c r="B43" s="16407" t="str">
        <f>E33&amp;".0"</f>
        <v>2.2.0</v>
      </c>
      <c r="C43" s="16408"/>
      <c r="D43" s="16426"/>
      <c r="E43" s="16410" t="str">
        <f>B40&amp;".2"</f>
        <v>2.2.1.2</v>
      </c>
      <c r="F43" s="16427" t="s">
        <v>569</v>
      </c>
      <c r="G43" s="16412" t="s">
        <v>570</v>
      </c>
      <c r="H43" s="16429"/>
      <c r="I43" s="16429">
        <f>4977.02186/1000</f>
        <v>4.97702186</v>
      </c>
      <c r="J43" s="16429">
        <f>4977.037506/1000</f>
        <v>4.977037506</v>
      </c>
      <c r="K43" s="16429"/>
      <c r="L43" s="16429"/>
      <c r="M43" s="16429"/>
      <c r="N43" s="16429"/>
      <c r="O43" s="16413"/>
      <c r="P43" s="16414"/>
      <c r="Q43" s="16415"/>
      <c r="R43" s="16415"/>
      <c r="S43" s="16416"/>
      <c r="T43" s="16416"/>
      <c r="U43" s="16416"/>
      <c r="V43" s="16416"/>
      <c r="W43" s="16415"/>
      <c r="X43" s="16416"/>
      <c r="Y43" s="16416"/>
      <c r="Z43" s="16417"/>
      <c r="AA43" s="16416"/>
      <c r="AB43" s="16416"/>
      <c r="AC43" s="16416"/>
      <c r="AD43" s="16416"/>
      <c r="AE43" s="16416"/>
      <c r="AF43" s="16418"/>
      <c r="AG43" s="16418"/>
      <c r="AH43" s="16418"/>
      <c r="AI43" s="16418"/>
      <c r="AJ43" s="16418"/>
      <c r="AK43" s="16419">
        <v>0</v>
      </c>
    </row>
    <row s="67502" customFormat="1" customHeight="1" ht="18.75">
      <c r="A44" s="16406"/>
      <c r="B44" s="16407" t="str">
        <f>E33&amp;".0"</f>
        <v>2.2.0</v>
      </c>
      <c r="C44" s="16408"/>
      <c r="D44" s="16426"/>
      <c r="E44" s="16410" t="str">
        <f>B40&amp;".3"</f>
        <v>2.2.1.3</v>
      </c>
      <c r="F44" s="16427" t="s">
        <v>571</v>
      </c>
      <c r="G44" s="16412" t="s">
        <v>570</v>
      </c>
      <c r="H44" s="16429"/>
      <c r="I44" s="16429">
        <v>245443.73394</v>
      </c>
      <c r="J44" s="16429">
        <v>213023.151724</v>
      </c>
      <c r="K44" s="16429"/>
      <c r="L44" s="16429"/>
      <c r="M44" s="16429"/>
      <c r="N44" s="16429"/>
      <c r="O44" s="16413"/>
      <c r="P44" s="16414"/>
      <c r="Q44" s="16415"/>
      <c r="R44" s="16415"/>
      <c r="S44" s="16416"/>
      <c r="T44" s="16416"/>
      <c r="U44" s="16416"/>
      <c r="V44" s="16416"/>
      <c r="W44" s="16415"/>
      <c r="X44" s="16416"/>
      <c r="Y44" s="16416"/>
      <c r="Z44" s="16417"/>
      <c r="AA44" s="16416"/>
      <c r="AB44" s="16416"/>
      <c r="AC44" s="16416"/>
      <c r="AD44" s="16416"/>
      <c r="AE44" s="16416"/>
      <c r="AF44" s="16418"/>
      <c r="AG44" s="16418"/>
      <c r="AH44" s="16418"/>
      <c r="AI44" s="16418"/>
      <c r="AJ44" s="16418"/>
      <c r="AK44" s="16419">
        <v>0</v>
      </c>
    </row>
    <row s="67502" customFormat="1" customHeight="1" ht="18.75">
      <c r="A45" s="16406"/>
      <c r="B45" s="16407" t="str">
        <f>E33&amp;".0"</f>
        <v>2.2.0</v>
      </c>
      <c r="C45" s="16408"/>
      <c r="D45" s="16426"/>
      <c r="E45" s="16410" t="str">
        <f>B40&amp;".4"</f>
        <v>2.2.1.4</v>
      </c>
      <c r="F45" s="16427" t="s">
        <v>572</v>
      </c>
      <c r="G45" s="16412" t="s">
        <v>564</v>
      </c>
      <c r="H45" s="16433"/>
      <c r="I45" s="16433"/>
      <c r="J45" s="16433"/>
      <c r="K45" s="22589"/>
      <c r="L45" s="22589"/>
      <c r="M45" s="16433"/>
      <c r="N45" s="16433"/>
      <c r="O45" s="16413"/>
      <c r="P45" s="16414"/>
      <c r="Q45" s="16415"/>
      <c r="R45" s="16415"/>
      <c r="S45" s="16416"/>
      <c r="T45" s="16416"/>
      <c r="U45" s="16416"/>
      <c r="V45" s="16416"/>
      <c r="W45" s="16415"/>
      <c r="X45" s="16416"/>
      <c r="Y45" s="16416"/>
      <c r="Z45" s="16417"/>
      <c r="AA45" s="16416"/>
      <c r="AB45" s="16416"/>
      <c r="AC45" s="16416"/>
      <c r="AD45" s="16416"/>
      <c r="AE45" s="16416"/>
      <c r="AF45" s="16418"/>
      <c r="AG45" s="16418"/>
      <c r="AH45" s="16418"/>
      <c r="AI45" s="16418"/>
      <c r="AJ45" s="16418"/>
      <c r="AK45" s="16419">
        <v>0</v>
      </c>
    </row>
    <row s="67502" customFormat="1" customHeight="1" ht="23.25">
      <c r="A46" s="16406"/>
      <c r="B46" s="16407" t="str">
        <f>E33&amp;".2"</f>
        <v>2.2.2</v>
      </c>
      <c r="C46" s="16408" t="s">
        <v>563</v>
      </c>
      <c r="D46" s="16409" t="s">
        <v>103</v>
      </c>
      <c r="E46" s="16410" t="str">
        <f>B46</f>
        <v>2.2.2</v>
      </c>
      <c r="F46" s="16411" t="s">
        <v>589</v>
      </c>
      <c r="G46" s="16412" t="s">
        <v>564</v>
      </c>
      <c r="H46" s="16412" t="s">
        <v>564</v>
      </c>
      <c r="I46" s="16412" t="s">
        <v>564</v>
      </c>
      <c r="J46" s="16412" t="s">
        <v>564</v>
      </c>
      <c r="K46" s="16412" t="s">
        <v>564</v>
      </c>
      <c r="L46" s="16412" t="s">
        <v>564</v>
      </c>
      <c r="M46" s="16412" t="s">
        <v>564</v>
      </c>
      <c r="N46" s="16412" t="s">
        <v>564</v>
      </c>
      <c r="O46" s="16413" t="s">
        <v>565</v>
      </c>
      <c r="P46" s="16414"/>
      <c r="Q46" s="16415"/>
      <c r="R46" s="16415"/>
      <c r="S46" s="16416"/>
      <c r="T46" s="16416"/>
      <c r="U46" s="16416"/>
      <c r="V46" s="16416"/>
      <c r="W46" s="16415"/>
      <c r="X46" s="16416"/>
      <c r="Y46" s="16416"/>
      <c r="Z46" s="16417"/>
      <c r="AA46" s="16416"/>
      <c r="AB46" s="16416"/>
      <c r="AC46" s="16416"/>
      <c r="AD46" s="16416"/>
      <c r="AE46" s="16416"/>
      <c r="AF46" s="16418"/>
      <c r="AG46" s="16418"/>
      <c r="AH46" s="16418"/>
      <c r="AI46" s="16418"/>
      <c r="AJ46" s="16418"/>
      <c r="AK46" s="16419">
        <v>0</v>
      </c>
    </row>
    <row s="65913" customFormat="1" customHeight="1" ht="0.75" hidden="1">
      <c r="A47" s="16415"/>
      <c r="B47" s="16407" t="str">
        <f>E33&amp;".1"</f>
        <v>2.2.1</v>
      </c>
      <c r="C47" s="16408"/>
      <c r="D47" s="16408"/>
      <c r="E47" s="16421"/>
      <c r="F47" s="16422" t="s">
        <v>566</v>
      </c>
      <c r="G47" s="16423"/>
      <c r="H47" s="16423">
        <f>H48*H49+H50</f>
        <v>0</v>
      </c>
      <c r="I47" s="16423">
        <f>I48*I49+I50</f>
        <v>2749.62241984681</v>
      </c>
      <c r="J47" s="16423">
        <f>J48*J49+J50</f>
        <v>42348.4128101453</v>
      </c>
      <c r="K47" s="16423">
        <f>K48*K49+K50</f>
        <v>96491.9801396694</v>
      </c>
      <c r="L47" s="16423">
        <f>L48*L49+L50</f>
        <v>0</v>
      </c>
      <c r="M47" s="16423">
        <f>M48*M49+M50</f>
        <v>0</v>
      </c>
      <c r="N47" s="16423">
        <f>N48*N49+N50</f>
        <v>0</v>
      </c>
      <c r="O47" s="16424"/>
      <c r="P47" s="16415"/>
      <c r="Q47" s="16415"/>
      <c r="R47" s="16415"/>
      <c r="S47" s="16415"/>
      <c r="T47" s="16415"/>
      <c r="U47" s="16415"/>
      <c r="V47" s="16415"/>
      <c r="W47" s="16415"/>
      <c r="X47" s="16415"/>
      <c r="Y47" s="16415"/>
      <c r="Z47" s="16415"/>
      <c r="AA47" s="16415"/>
      <c r="AB47" s="16415"/>
      <c r="AC47" s="16415"/>
      <c r="AD47" s="16415"/>
      <c r="AE47" s="16415"/>
      <c r="AF47" s="16415"/>
      <c r="AG47" s="16415"/>
      <c r="AH47" s="16415"/>
      <c r="AI47" s="16415"/>
      <c r="AJ47" s="16415"/>
      <c r="AK47" s="16415">
        <v>0</v>
      </c>
    </row>
    <row s="67502" customFormat="1" customHeight="1" ht="23.25">
      <c r="A48" s="16406"/>
      <c r="B48" s="16407" t="str">
        <f>E33&amp;".1"</f>
        <v>2.2.1</v>
      </c>
      <c r="C48" s="16408"/>
      <c r="D48" s="16426"/>
      <c r="E48" s="16410" t="str">
        <f>B46&amp;".1"</f>
        <v>2.2.2.1</v>
      </c>
      <c r="F48" s="16427" t="s">
        <v>567</v>
      </c>
      <c r="G48" s="16428" t="s">
        <v>590</v>
      </c>
      <c r="H48" s="16429"/>
      <c r="I48" s="16429">
        <v>120.638</v>
      </c>
      <c r="J48" s="16429">
        <v>1957.066</v>
      </c>
      <c r="K48" s="16429">
        <v>4643.81</v>
      </c>
      <c r="L48" s="16429"/>
      <c r="M48" s="16429"/>
      <c r="N48" s="16429"/>
      <c r="O48" s="16413" t="s">
        <v>568</v>
      </c>
      <c r="P48" s="16414"/>
      <c r="Q48" s="16415"/>
      <c r="R48" s="16415"/>
      <c r="S48" s="16416"/>
      <c r="T48" s="16416"/>
      <c r="U48" s="16416"/>
      <c r="V48" s="16416"/>
      <c r="W48" s="16415"/>
      <c r="X48" s="16416"/>
      <c r="Y48" s="16416"/>
      <c r="Z48" s="16417"/>
      <c r="AA48" s="16416"/>
      <c r="AB48" s="16416"/>
      <c r="AC48" s="16416"/>
      <c r="AD48" s="16416"/>
      <c r="AE48" s="16416"/>
      <c r="AF48" s="16418"/>
      <c r="AG48" s="16418"/>
      <c r="AH48" s="16418"/>
      <c r="AI48" s="16418"/>
      <c r="AJ48" s="16418"/>
      <c r="AK48" s="16419">
        <v>0</v>
      </c>
    </row>
    <row s="67502" customFormat="1" customHeight="1" ht="18.75">
      <c r="A49" s="16406"/>
      <c r="B49" s="16407" t="str">
        <f>E33&amp;".1"</f>
        <v>2.2.1</v>
      </c>
      <c r="C49" s="16408"/>
      <c r="D49" s="16426"/>
      <c r="E49" s="16410" t="str">
        <f>B46&amp;".2"</f>
        <v>2.2.2.2</v>
      </c>
      <c r="F49" s="16427" t="s">
        <v>569</v>
      </c>
      <c r="G49" s="16412" t="s">
        <v>570</v>
      </c>
      <c r="H49" s="16429"/>
      <c r="I49" s="16429">
        <f>16422.274995/1000</f>
        <v>16.422274995</v>
      </c>
      <c r="J49" s="16429">
        <f>15388.941232/1000</f>
        <v>15.388941232</v>
      </c>
      <c r="K49" s="16429">
        <v>15.685157824</v>
      </c>
      <c r="L49" s="16429"/>
      <c r="M49" s="16429"/>
      <c r="N49" s="16429"/>
      <c r="O49" s="16413"/>
      <c r="P49" s="16414"/>
      <c r="Q49" s="16415"/>
      <c r="R49" s="16415"/>
      <c r="S49" s="16416"/>
      <c r="T49" s="16416"/>
      <c r="U49" s="16416"/>
      <c r="V49" s="16416"/>
      <c r="W49" s="16415"/>
      <c r="X49" s="16416"/>
      <c r="Y49" s="16416"/>
      <c r="Z49" s="16417"/>
      <c r="AA49" s="16416"/>
      <c r="AB49" s="16416"/>
      <c r="AC49" s="16416"/>
      <c r="AD49" s="16416"/>
      <c r="AE49" s="16416"/>
      <c r="AF49" s="16418"/>
      <c r="AG49" s="16418"/>
      <c r="AH49" s="16418"/>
      <c r="AI49" s="16418"/>
      <c r="AJ49" s="16418"/>
      <c r="AK49" s="16419">
        <v>0</v>
      </c>
    </row>
    <row s="67502" customFormat="1" customHeight="1" ht="18.75">
      <c r="A50" s="16406"/>
      <c r="B50" s="16407" t="str">
        <f>E33&amp;".1"</f>
        <v>2.2.1</v>
      </c>
      <c r="C50" s="16408"/>
      <c r="D50" s="16426"/>
      <c r="E50" s="16410" t="str">
        <f>B46&amp;".3"</f>
        <v>2.2.2.3</v>
      </c>
      <c r="F50" s="16427" t="s">
        <v>571</v>
      </c>
      <c r="G50" s="16412" t="s">
        <v>570</v>
      </c>
      <c r="H50" s="16429"/>
      <c r="I50" s="16429">
        <v>768.472009</v>
      </c>
      <c r="J50" s="16429">
        <v>12231.239149</v>
      </c>
      <c r="K50" s="16429">
        <v>23653.087385</v>
      </c>
      <c r="L50" s="16429"/>
      <c r="M50" s="16429"/>
      <c r="N50" s="16429"/>
      <c r="O50" s="16413"/>
      <c r="P50" s="16414"/>
      <c r="Q50" s="16415"/>
      <c r="R50" s="16415"/>
      <c r="S50" s="16416"/>
      <c r="T50" s="16416"/>
      <c r="U50" s="16416"/>
      <c r="V50" s="16416"/>
      <c r="W50" s="16415"/>
      <c r="X50" s="16416"/>
      <c r="Y50" s="16416"/>
      <c r="Z50" s="16417"/>
      <c r="AA50" s="16416"/>
      <c r="AB50" s="16416"/>
      <c r="AC50" s="16416"/>
      <c r="AD50" s="16416"/>
      <c r="AE50" s="16416"/>
      <c r="AF50" s="16418"/>
      <c r="AG50" s="16418"/>
      <c r="AH50" s="16418"/>
      <c r="AI50" s="16418"/>
      <c r="AJ50" s="16418"/>
      <c r="AK50" s="16419">
        <v>0</v>
      </c>
    </row>
    <row s="67502" customFormat="1" customHeight="1" ht="18.75">
      <c r="A51" s="16406"/>
      <c r="B51" s="16407" t="str">
        <f>E33&amp;".1"</f>
        <v>2.2.1</v>
      </c>
      <c r="C51" s="16408"/>
      <c r="D51" s="16426"/>
      <c r="E51" s="16410" t="str">
        <f>B46&amp;".4"</f>
        <v>2.2.2.4</v>
      </c>
      <c r="F51" s="16427" t="s">
        <v>572</v>
      </c>
      <c r="G51" s="16412" t="s">
        <v>564</v>
      </c>
      <c r="H51" s="16433"/>
      <c r="I51" s="16433"/>
      <c r="J51" s="16433"/>
      <c r="K51" s="22589"/>
      <c r="L51" s="16433"/>
      <c r="M51" s="16433"/>
      <c r="N51" s="16433"/>
      <c r="O51" s="16413"/>
      <c r="P51" s="16414"/>
      <c r="Q51" s="16415"/>
      <c r="R51" s="16415"/>
      <c r="S51" s="16416"/>
      <c r="T51" s="16416"/>
      <c r="U51" s="16416"/>
      <c r="V51" s="16416"/>
      <c r="W51" s="16415"/>
      <c r="X51" s="16416"/>
      <c r="Y51" s="16416"/>
      <c r="Z51" s="16417"/>
      <c r="AA51" s="16416"/>
      <c r="AB51" s="16416"/>
      <c r="AC51" s="16416"/>
      <c r="AD51" s="16416"/>
      <c r="AE51" s="16416"/>
      <c r="AF51" s="16418"/>
      <c r="AG51" s="16418"/>
      <c r="AH51" s="16418"/>
      <c r="AI51" s="16418"/>
      <c r="AJ51" s="16418"/>
      <c r="AK51" s="16419">
        <v>0</v>
      </c>
    </row>
    <row s="67502" customFormat="1" customHeight="1" ht="23.25">
      <c r="A52" s="16406"/>
      <c r="B52" s="16407" t="str">
        <f>E33&amp;".3"</f>
        <v>2.2.3</v>
      </c>
      <c r="C52" s="16408" t="s">
        <v>563</v>
      </c>
      <c r="D52" s="16409" t="s">
        <v>103</v>
      </c>
      <c r="E52" s="16410" t="str">
        <f>B52</f>
        <v>2.2.3</v>
      </c>
      <c r="F52" s="16411" t="s">
        <v>591</v>
      </c>
      <c r="G52" s="16412" t="s">
        <v>564</v>
      </c>
      <c r="H52" s="16412" t="s">
        <v>564</v>
      </c>
      <c r="I52" s="16412" t="s">
        <v>564</v>
      </c>
      <c r="J52" s="16412" t="s">
        <v>564</v>
      </c>
      <c r="K52" s="16412" t="s">
        <v>564</v>
      </c>
      <c r="L52" s="16412" t="s">
        <v>564</v>
      </c>
      <c r="M52" s="16412" t="s">
        <v>564</v>
      </c>
      <c r="N52" s="16412" t="s">
        <v>564</v>
      </c>
      <c r="O52" s="16413" t="s">
        <v>565</v>
      </c>
      <c r="P52" s="16414"/>
      <c r="Q52" s="16415"/>
      <c r="R52" s="16415"/>
      <c r="S52" s="16416"/>
      <c r="T52" s="16416"/>
      <c r="U52" s="16416"/>
      <c r="V52" s="16416"/>
      <c r="W52" s="16415"/>
      <c r="X52" s="16416"/>
      <c r="Y52" s="16416"/>
      <c r="Z52" s="16417"/>
      <c r="AA52" s="16416"/>
      <c r="AB52" s="16416"/>
      <c r="AC52" s="16416"/>
      <c r="AD52" s="16416"/>
      <c r="AE52" s="16416"/>
      <c r="AF52" s="16418"/>
      <c r="AG52" s="16418"/>
      <c r="AH52" s="16418"/>
      <c r="AI52" s="16418"/>
      <c r="AJ52" s="16418"/>
      <c r="AK52" s="16419">
        <v>0</v>
      </c>
    </row>
    <row s="65913" customFormat="1" customHeight="1" ht="0.75" hidden="1">
      <c r="A53" s="16415"/>
      <c r="B53" s="16407" t="str">
        <f>E33&amp;".2"</f>
        <v>2.2.2</v>
      </c>
      <c r="C53" s="16408"/>
      <c r="D53" s="16408"/>
      <c r="E53" s="16421"/>
      <c r="F53" s="16422" t="s">
        <v>566</v>
      </c>
      <c r="G53" s="16423"/>
      <c r="H53" s="16423">
        <f>H54*H55+H56</f>
        <v>0</v>
      </c>
      <c r="I53" s="16423">
        <f>I54*I55+I56</f>
        <v>0</v>
      </c>
      <c r="J53" s="16423">
        <f>J54*J55+J56</f>
        <v>1112831.08798314</v>
      </c>
      <c r="K53" s="16423">
        <f>K54*K55+K56</f>
        <v>134231.198916919</v>
      </c>
      <c r="L53" s="16423">
        <f>L54*L55+L56</f>
        <v>0</v>
      </c>
      <c r="M53" s="16423">
        <f>M54*M55+M56</f>
        <v>0</v>
      </c>
      <c r="N53" s="16423">
        <f>N54*N55+N56</f>
        <v>0</v>
      </c>
      <c r="O53" s="16424"/>
      <c r="P53" s="16415"/>
      <c r="Q53" s="16415"/>
      <c r="R53" s="16415"/>
      <c r="S53" s="16415"/>
      <c r="T53" s="16415"/>
      <c r="U53" s="16415"/>
      <c r="V53" s="16415"/>
      <c r="W53" s="16415"/>
      <c r="X53" s="16415"/>
      <c r="Y53" s="16415"/>
      <c r="Z53" s="16415"/>
      <c r="AA53" s="16415"/>
      <c r="AB53" s="16415"/>
      <c r="AC53" s="16415"/>
      <c r="AD53" s="16415"/>
      <c r="AE53" s="16415"/>
      <c r="AF53" s="16415"/>
      <c r="AG53" s="16415"/>
      <c r="AH53" s="16415"/>
      <c r="AI53" s="16415"/>
      <c r="AJ53" s="16415"/>
      <c r="AK53" s="16415">
        <v>0</v>
      </c>
    </row>
    <row s="67502" customFormat="1" customHeight="1" ht="23.25">
      <c r="A54" s="16406"/>
      <c r="B54" s="16407" t="str">
        <f>E33&amp;".2"</f>
        <v>2.2.2</v>
      </c>
      <c r="C54" s="16408"/>
      <c r="D54" s="16426"/>
      <c r="E54" s="16410" t="str">
        <f>B52&amp;".1"</f>
        <v>2.2.3.1</v>
      </c>
      <c r="F54" s="16427" t="s">
        <v>567</v>
      </c>
      <c r="G54" s="16428" t="s">
        <v>590</v>
      </c>
      <c r="H54" s="16429"/>
      <c r="I54" s="16429"/>
      <c r="J54" s="16429">
        <v>230703.807</v>
      </c>
      <c r="K54" s="16429">
        <v>17958.6</v>
      </c>
      <c r="L54" s="16429"/>
      <c r="M54" s="16429"/>
      <c r="N54" s="16429"/>
      <c r="O54" s="16413" t="s">
        <v>568</v>
      </c>
      <c r="P54" s="16414"/>
      <c r="Q54" s="16415"/>
      <c r="R54" s="16415"/>
      <c r="S54" s="16416"/>
      <c r="T54" s="16416"/>
      <c r="U54" s="16416"/>
      <c r="V54" s="16416"/>
      <c r="W54" s="16415"/>
      <c r="X54" s="16416"/>
      <c r="Y54" s="16416"/>
      <c r="Z54" s="16417"/>
      <c r="AA54" s="16416"/>
      <c r="AB54" s="16416"/>
      <c r="AC54" s="16416"/>
      <c r="AD54" s="16416"/>
      <c r="AE54" s="16416"/>
      <c r="AF54" s="16418"/>
      <c r="AG54" s="16418"/>
      <c r="AH54" s="16418"/>
      <c r="AI54" s="16418"/>
      <c r="AJ54" s="16418"/>
      <c r="AK54" s="16419">
        <v>0</v>
      </c>
    </row>
    <row s="67502" customFormat="1" customHeight="1" ht="18.75">
      <c r="A55" s="16406"/>
      <c r="B55" s="16407" t="str">
        <f>E33&amp;".2"</f>
        <v>2.2.2</v>
      </c>
      <c r="C55" s="16408"/>
      <c r="D55" s="16426"/>
      <c r="E55" s="16410" t="str">
        <f>B52&amp;".2"</f>
        <v>2.2.3.2</v>
      </c>
      <c r="F55" s="16427" t="s">
        <v>569</v>
      </c>
      <c r="G55" s="16412" t="s">
        <v>570</v>
      </c>
      <c r="H55" s="16429"/>
      <c r="I55" s="16429"/>
      <c r="J55" s="16429">
        <f>1872.663209/1000</f>
        <v>1.872663209</v>
      </c>
      <c r="K55" s="16429">
        <f>1865.378601/1000</f>
        <v>1.865378601</v>
      </c>
      <c r="L55" s="16429"/>
      <c r="M55" s="16429"/>
      <c r="N55" s="16429"/>
      <c r="O55" s="16413"/>
      <c r="P55" s="16414"/>
      <c r="Q55" s="16415"/>
      <c r="R55" s="16415"/>
      <c r="S55" s="16416"/>
      <c r="T55" s="16416"/>
      <c r="U55" s="16416"/>
      <c r="V55" s="16416"/>
      <c r="W55" s="16415"/>
      <c r="X55" s="16416"/>
      <c r="Y55" s="16416"/>
      <c r="Z55" s="16417"/>
      <c r="AA55" s="16416"/>
      <c r="AB55" s="16416"/>
      <c r="AC55" s="16416"/>
      <c r="AD55" s="16416"/>
      <c r="AE55" s="16416"/>
      <c r="AF55" s="16418"/>
      <c r="AG55" s="16418"/>
      <c r="AH55" s="16418"/>
      <c r="AI55" s="16418"/>
      <c r="AJ55" s="16418"/>
      <c r="AK55" s="16419">
        <v>0</v>
      </c>
    </row>
    <row s="67502" customFormat="1" customHeight="1" ht="18.75">
      <c r="A56" s="16406"/>
      <c r="B56" s="16407" t="str">
        <f>E33&amp;".2"</f>
        <v>2.2.2</v>
      </c>
      <c r="C56" s="16408"/>
      <c r="D56" s="16426"/>
      <c r="E56" s="16410" t="str">
        <f>B52&amp;".3"</f>
        <v>2.2.3.3</v>
      </c>
      <c r="F56" s="16427" t="s">
        <v>571</v>
      </c>
      <c r="G56" s="16412" t="s">
        <v>570</v>
      </c>
      <c r="H56" s="16429"/>
      <c r="I56" s="16429"/>
      <c r="J56" s="16429">
        <v>680800.556438</v>
      </c>
      <c r="K56" s="16429">
        <v>100731.610773</v>
      </c>
      <c r="L56" s="16429"/>
      <c r="M56" s="16429"/>
      <c r="N56" s="16429"/>
      <c r="O56" s="16413"/>
      <c r="P56" s="16414"/>
      <c r="Q56" s="16415"/>
      <c r="R56" s="16415"/>
      <c r="S56" s="16416"/>
      <c r="T56" s="16416"/>
      <c r="U56" s="16416"/>
      <c r="V56" s="16416"/>
      <c r="W56" s="16415"/>
      <c r="X56" s="16416"/>
      <c r="Y56" s="16416"/>
      <c r="Z56" s="16417"/>
      <c r="AA56" s="16416"/>
      <c r="AB56" s="16416"/>
      <c r="AC56" s="16416"/>
      <c r="AD56" s="16416"/>
      <c r="AE56" s="16416"/>
      <c r="AF56" s="16418"/>
      <c r="AG56" s="16418"/>
      <c r="AH56" s="16418"/>
      <c r="AI56" s="16418"/>
      <c r="AJ56" s="16418"/>
      <c r="AK56" s="16419">
        <v>0</v>
      </c>
    </row>
    <row s="67502" customFormat="1" customHeight="1" ht="18.75">
      <c r="A57" s="16406"/>
      <c r="B57" s="16407" t="str">
        <f>E33&amp;".2"</f>
        <v>2.2.2</v>
      </c>
      <c r="C57" s="16408"/>
      <c r="D57" s="16426"/>
      <c r="E57" s="16410" t="str">
        <f>B52&amp;".4"</f>
        <v>2.2.3.4</v>
      </c>
      <c r="F57" s="16427" t="s">
        <v>572</v>
      </c>
      <c r="G57" s="16412" t="s">
        <v>564</v>
      </c>
      <c r="H57" s="16433"/>
      <c r="I57" s="16433"/>
      <c r="J57" s="16433"/>
      <c r="K57" s="22589"/>
      <c r="L57" s="16433"/>
      <c r="M57" s="16433"/>
      <c r="N57" s="16433"/>
      <c r="O57" s="16413"/>
      <c r="P57" s="16414"/>
      <c r="Q57" s="16415"/>
      <c r="R57" s="16415"/>
      <c r="S57" s="16416"/>
      <c r="T57" s="16416"/>
      <c r="U57" s="16416"/>
      <c r="V57" s="16416"/>
      <c r="W57" s="16415"/>
      <c r="X57" s="16416"/>
      <c r="Y57" s="16416"/>
      <c r="Z57" s="16417"/>
      <c r="AA57" s="16416"/>
      <c r="AB57" s="16416"/>
      <c r="AC57" s="16416"/>
      <c r="AD57" s="16416"/>
      <c r="AE57" s="16416"/>
      <c r="AF57" s="16418"/>
      <c r="AG57" s="16418"/>
      <c r="AH57" s="16418"/>
      <c r="AI57" s="16418"/>
      <c r="AJ57" s="16418"/>
      <c r="AK57" s="16419">
        <v>0</v>
      </c>
    </row>
    <row s="67502" customFormat="1" customHeight="1" ht="23.25">
      <c r="A58" s="16406"/>
      <c r="B58" s="16407" t="str">
        <f>E33&amp;".4"</f>
        <v>2.2.4</v>
      </c>
      <c r="C58" s="16408" t="s">
        <v>563</v>
      </c>
      <c r="D58" s="16409" t="s">
        <v>103</v>
      </c>
      <c r="E58" s="16410" t="str">
        <f>B58</f>
        <v>2.2.4</v>
      </c>
      <c r="F58" s="16411" t="s">
        <v>592</v>
      </c>
      <c r="G58" s="16412" t="s">
        <v>564</v>
      </c>
      <c r="H58" s="16412" t="s">
        <v>564</v>
      </c>
      <c r="I58" s="16412" t="s">
        <v>564</v>
      </c>
      <c r="J58" s="16412" t="s">
        <v>564</v>
      </c>
      <c r="K58" s="16412" t="s">
        <v>564</v>
      </c>
      <c r="L58" s="16412" t="s">
        <v>564</v>
      </c>
      <c r="M58" s="16412" t="s">
        <v>564</v>
      </c>
      <c r="N58" s="16412" t="s">
        <v>564</v>
      </c>
      <c r="O58" s="16413" t="s">
        <v>565</v>
      </c>
      <c r="P58" s="16414"/>
      <c r="Q58" s="16415"/>
      <c r="R58" s="16415"/>
      <c r="S58" s="16416"/>
      <c r="T58" s="16416"/>
      <c r="U58" s="16416"/>
      <c r="V58" s="16416"/>
      <c r="W58" s="16415"/>
      <c r="X58" s="16416"/>
      <c r="Y58" s="16416"/>
      <c r="Z58" s="16417"/>
      <c r="AA58" s="16416"/>
      <c r="AB58" s="16416"/>
      <c r="AC58" s="16416"/>
      <c r="AD58" s="16416"/>
      <c r="AE58" s="16416"/>
      <c r="AF58" s="16418"/>
      <c r="AG58" s="16418"/>
      <c r="AH58" s="16418"/>
      <c r="AI58" s="16418"/>
      <c r="AJ58" s="16418"/>
      <c r="AK58" s="16419">
        <v>0</v>
      </c>
    </row>
    <row s="65913" customFormat="1" customHeight="1" ht="0.75" hidden="1">
      <c r="A59" s="16415"/>
      <c r="B59" s="16407" t="str">
        <f>E33&amp;".3"</f>
        <v>2.2.3</v>
      </c>
      <c r="C59" s="16408"/>
      <c r="D59" s="16408"/>
      <c r="E59" s="16421"/>
      <c r="F59" s="16422" t="s">
        <v>566</v>
      </c>
      <c r="G59" s="16423"/>
      <c r="H59" s="16423">
        <f>H60*H61+H62</f>
        <v>0</v>
      </c>
      <c r="I59" s="16423">
        <f>I60*I61+I62</f>
        <v>0</v>
      </c>
      <c r="J59" s="16423">
        <f>J60*J61+J62</f>
        <v>0</v>
      </c>
      <c r="K59" s="16423">
        <f>K60*K61+K62</f>
        <v>84051.6276500576</v>
      </c>
      <c r="L59" s="16423">
        <f>L60*L61+L62</f>
        <v>0</v>
      </c>
      <c r="M59" s="16423">
        <f>M60*M61+M62</f>
        <v>0</v>
      </c>
      <c r="N59" s="16423">
        <f>N60*N61+N62</f>
        <v>0</v>
      </c>
      <c r="O59" s="16424"/>
      <c r="P59" s="16415"/>
      <c r="Q59" s="16415"/>
      <c r="R59" s="16415"/>
      <c r="S59" s="16415"/>
      <c r="T59" s="16415"/>
      <c r="U59" s="16415"/>
      <c r="V59" s="16415"/>
      <c r="W59" s="16415"/>
      <c r="X59" s="16415"/>
      <c r="Y59" s="16415"/>
      <c r="Z59" s="16415"/>
      <c r="AA59" s="16415"/>
      <c r="AB59" s="16415"/>
      <c r="AC59" s="16415"/>
      <c r="AD59" s="16415"/>
      <c r="AE59" s="16415"/>
      <c r="AF59" s="16415"/>
      <c r="AG59" s="16415"/>
      <c r="AH59" s="16415"/>
      <c r="AI59" s="16415"/>
      <c r="AJ59" s="16415"/>
      <c r="AK59" s="16415">
        <v>0</v>
      </c>
    </row>
    <row s="67502" customFormat="1" customHeight="1" ht="23.25">
      <c r="A60" s="16406"/>
      <c r="B60" s="16407" t="str">
        <f>E33&amp;".3"</f>
        <v>2.2.3</v>
      </c>
      <c r="C60" s="16408"/>
      <c r="D60" s="16426"/>
      <c r="E60" s="16410" t="str">
        <f>B58&amp;".1"</f>
        <v>2.2.4.1</v>
      </c>
      <c r="F60" s="16427" t="s">
        <v>567</v>
      </c>
      <c r="G60" s="16428" t="s">
        <v>590</v>
      </c>
      <c r="H60" s="16429"/>
      <c r="I60" s="16429"/>
      <c r="J60" s="16429"/>
      <c r="K60" s="16429">
        <v>331129.892</v>
      </c>
      <c r="L60" s="16429"/>
      <c r="M60" s="16429"/>
      <c r="N60" s="16429"/>
      <c r="O60" s="16413" t="s">
        <v>568</v>
      </c>
      <c r="P60" s="16414"/>
      <c r="Q60" s="16415"/>
      <c r="R60" s="16415"/>
      <c r="S60" s="16416"/>
      <c r="T60" s="16416"/>
      <c r="U60" s="16416"/>
      <c r="V60" s="16416"/>
      <c r="W60" s="16415"/>
      <c r="X60" s="16416"/>
      <c r="Y60" s="16416"/>
      <c r="Z60" s="16417"/>
      <c r="AA60" s="16416"/>
      <c r="AB60" s="16416"/>
      <c r="AC60" s="16416"/>
      <c r="AD60" s="16416"/>
      <c r="AE60" s="16416"/>
      <c r="AF60" s="16418"/>
      <c r="AG60" s="16418"/>
      <c r="AH60" s="16418"/>
      <c r="AI60" s="16418"/>
      <c r="AJ60" s="16418"/>
      <c r="AK60" s="16419">
        <v>0</v>
      </c>
    </row>
    <row s="67502" customFormat="1" customHeight="1" ht="18.75">
      <c r="A61" s="16406"/>
      <c r="B61" s="16407" t="str">
        <f>E33&amp;".3"</f>
        <v>2.2.3</v>
      </c>
      <c r="C61" s="16408"/>
      <c r="D61" s="16426"/>
      <c r="E61" s="16410" t="str">
        <f>B58&amp;".2"</f>
        <v>2.2.4.2</v>
      </c>
      <c r="F61" s="16427" t="s">
        <v>569</v>
      </c>
      <c r="G61" s="16412" t="s">
        <v>570</v>
      </c>
      <c r="H61" s="16429"/>
      <c r="I61" s="16429"/>
      <c r="J61" s="16429"/>
      <c r="K61" s="16429">
        <f>253.8328/1000</f>
        <v>0.2538328</v>
      </c>
      <c r="L61" s="16429"/>
      <c r="M61" s="16429"/>
      <c r="N61" s="16429"/>
      <c r="O61" s="16413"/>
      <c r="P61" s="16414"/>
      <c r="Q61" s="16415"/>
      <c r="R61" s="16415"/>
      <c r="S61" s="16416"/>
      <c r="T61" s="16416"/>
      <c r="U61" s="16416"/>
      <c r="V61" s="16416"/>
      <c r="W61" s="16415"/>
      <c r="X61" s="16416"/>
      <c r="Y61" s="16416"/>
      <c r="Z61" s="16417"/>
      <c r="AA61" s="16416"/>
      <c r="AB61" s="16416"/>
      <c r="AC61" s="16416"/>
      <c r="AD61" s="16416"/>
      <c r="AE61" s="16416"/>
      <c r="AF61" s="16418"/>
      <c r="AG61" s="16418"/>
      <c r="AH61" s="16418"/>
      <c r="AI61" s="16418"/>
      <c r="AJ61" s="16418"/>
      <c r="AK61" s="16419">
        <v>0</v>
      </c>
    </row>
    <row s="67502" customFormat="1" customHeight="1" ht="18.75">
      <c r="A62" s="16406"/>
      <c r="B62" s="16407" t="str">
        <f>E33&amp;".3"</f>
        <v>2.2.3</v>
      </c>
      <c r="C62" s="16408"/>
      <c r="D62" s="16426"/>
      <c r="E62" s="16410" t="str">
        <f>B58&amp;".3"</f>
        <v>2.2.4.3</v>
      </c>
      <c r="F62" s="16427" t="s">
        <v>571</v>
      </c>
      <c r="G62" s="16412" t="s">
        <v>570</v>
      </c>
      <c r="H62" s="16429"/>
      <c r="I62" s="16429"/>
      <c r="J62" s="16429"/>
      <c r="K62" s="16429"/>
      <c r="L62" s="16429"/>
      <c r="M62" s="16429"/>
      <c r="N62" s="16429"/>
      <c r="O62" s="16413"/>
      <c r="P62" s="16414"/>
      <c r="Q62" s="16415"/>
      <c r="R62" s="16415"/>
      <c r="S62" s="16416"/>
      <c r="T62" s="16416"/>
      <c r="U62" s="16416"/>
      <c r="V62" s="16416"/>
      <c r="W62" s="16415"/>
      <c r="X62" s="16416"/>
      <c r="Y62" s="16416"/>
      <c r="Z62" s="16417"/>
      <c r="AA62" s="16416"/>
      <c r="AB62" s="16416"/>
      <c r="AC62" s="16416"/>
      <c r="AD62" s="16416"/>
      <c r="AE62" s="16416"/>
      <c r="AF62" s="16418"/>
      <c r="AG62" s="16418"/>
      <c r="AH62" s="16418"/>
      <c r="AI62" s="16418"/>
      <c r="AJ62" s="16418"/>
      <c r="AK62" s="16419">
        <v>0</v>
      </c>
    </row>
    <row s="67502" customFormat="1" customHeight="1" ht="18.75">
      <c r="A63" s="16406"/>
      <c r="B63" s="16407" t="str">
        <f>E33&amp;".3"</f>
        <v>2.2.3</v>
      </c>
      <c r="C63" s="16408"/>
      <c r="D63" s="16426"/>
      <c r="E63" s="16410" t="str">
        <f>B58&amp;".4"</f>
        <v>2.2.4.4</v>
      </c>
      <c r="F63" s="16427" t="s">
        <v>572</v>
      </c>
      <c r="G63" s="16412" t="s">
        <v>564</v>
      </c>
      <c r="H63" s="16433"/>
      <c r="I63" s="16433"/>
      <c r="J63" s="22589"/>
      <c r="K63" s="22589"/>
      <c r="L63" s="16433"/>
      <c r="M63" s="16433"/>
      <c r="N63" s="16433"/>
      <c r="O63" s="16413"/>
      <c r="P63" s="16414"/>
      <c r="Q63" s="16415"/>
      <c r="R63" s="16415"/>
      <c r="S63" s="16416"/>
      <c r="T63" s="16416"/>
      <c r="U63" s="16416"/>
      <c r="V63" s="16416"/>
      <c r="W63" s="16415"/>
      <c r="X63" s="16416"/>
      <c r="Y63" s="16416"/>
      <c r="Z63" s="16417"/>
      <c r="AA63" s="16416"/>
      <c r="AB63" s="16416"/>
      <c r="AC63" s="16416"/>
      <c r="AD63" s="16416"/>
      <c r="AE63" s="16416"/>
      <c r="AF63" s="16418"/>
      <c r="AG63" s="16418"/>
      <c r="AH63" s="16418"/>
      <c r="AI63" s="16418"/>
      <c r="AJ63" s="16418"/>
      <c r="AK63" s="16419">
        <v>0</v>
      </c>
    </row>
    <row s="66852" customFormat="1" customHeight="1" ht="15">
      <c r="A64" s="3582"/>
      <c r="C64" s="2847"/>
      <c r="D64" s="2844"/>
      <c r="E64" s="1781"/>
      <c r="F64" s="1782" t="s">
        <v>593</v>
      </c>
      <c r="G64" s="1783"/>
      <c r="H64" s="1784"/>
      <c r="I64" s="1784"/>
      <c r="J64" s="13388"/>
      <c r="K64" s="13389"/>
      <c r="L64" s="13390"/>
      <c r="M64" s="13391"/>
      <c r="N64" s="13392"/>
      <c r="O64" s="1512"/>
      <c r="P64" s="2847" t="str">
        <f>IF((LEN(E64)-LEN(SUBSTITUTE(E64,".","")))/LEN(".")=1,"p","")</f>
        <v/>
      </c>
      <c r="Q64" s="2847"/>
      <c r="R64" s="2847"/>
      <c r="W64" s="2847"/>
      <c r="Z64" s="1755"/>
      <c r="AF64" s="2843"/>
      <c r="AG64" s="2843"/>
      <c r="AH64" s="2843"/>
      <c r="AI64" s="2843"/>
      <c r="AJ64" s="2843"/>
      <c r="AK64" s="2371">
        <v>0</v>
      </c>
    </row>
    <row customHeight="1" ht="11.25" hidden="1">
      <c r="A65" s="3582" t="s">
        <v>594</v>
      </c>
      <c r="D65" s="2849"/>
      <c r="E65" s="1757" t="str">
        <f>FHD_NUM_P_5</f>
        <v/>
      </c>
      <c r="F65" s="2735" t="str">
        <f>FHD_P_5</f>
        <v/>
      </c>
      <c r="G65" s="3089" t="s">
        <v>570</v>
      </c>
      <c r="H65" s="1768"/>
      <c r="I65" s="1768"/>
      <c r="J65" s="13366"/>
      <c r="K65" s="13366"/>
      <c r="L65" s="13366"/>
      <c r="M65" s="13366"/>
      <c r="N65" s="13366"/>
      <c r="O65" s="1500" t="str">
        <f>FHD_NOTE_P_5</f>
        <v/>
      </c>
      <c r="P65" s="2847" t="str">
        <f>IF((LEN(E65)-LEN(SUBSTITUTE(E65,".","")))/LEN(".")=1,"p","")</f>
        <v/>
      </c>
      <c r="AK65" s="2842">
        <v>0</v>
      </c>
    </row>
    <row customHeight="1" ht="11.25" hidden="1">
      <c r="A66" s="3582"/>
      <c r="D66" s="2849"/>
      <c r="E66" s="1757" t="str">
        <f>FHD_NUM_P_6</f>
        <v/>
      </c>
      <c r="F66" s="2735" t="str">
        <f>FHD_P_6</f>
        <v/>
      </c>
      <c r="G66" s="3089" t="s">
        <v>570</v>
      </c>
      <c r="H66" s="1768"/>
      <c r="I66" s="1768"/>
      <c r="J66" s="13366"/>
      <c r="K66" s="13366"/>
      <c r="L66" s="13366"/>
      <c r="M66" s="13366"/>
      <c r="N66" s="13366"/>
      <c r="O66" s="1500" t="str">
        <f>FHD_NOTE_P_6</f>
        <v/>
      </c>
      <c r="P66" s="2847" t="str">
        <f>IF((LEN(E66)-LEN(SUBSTITUTE(E66,".","")))/LEN(".")=1,"p","")</f>
        <v/>
      </c>
      <c r="AK66" s="2842">
        <v>0</v>
      </c>
    </row>
    <row customHeight="1" ht="11.25" hidden="1">
      <c r="A67" s="3582"/>
      <c r="D67" s="2849"/>
      <c r="E67" s="1757" t="str">
        <f>FHD_NUM_P_7</f>
        <v/>
      </c>
      <c r="F67" s="2735" t="str">
        <f>FHD_P_7</f>
        <v/>
      </c>
      <c r="G67" s="3089" t="s">
        <v>570</v>
      </c>
      <c r="H67" s="1768"/>
      <c r="I67" s="1768"/>
      <c r="J67" s="13366"/>
      <c r="K67" s="13366"/>
      <c r="L67" s="13366"/>
      <c r="M67" s="13366"/>
      <c r="N67" s="13366"/>
      <c r="O67" s="1500" t="str">
        <f>FHD_NOTE_P_7</f>
        <v/>
      </c>
      <c r="P67" s="2847" t="str">
        <f>IF((LEN(E67)-LEN(SUBSTITUTE(E67,".","")))/LEN(".")=1,"p","")</f>
        <v/>
      </c>
      <c r="AK67" s="2842">
        <v>0</v>
      </c>
    </row>
    <row customHeight="1" ht="29.25">
      <c r="D68" s="2849"/>
      <c r="E68" s="1757" t="str">
        <f>FHD_NUM_P_8</f>
        <v>2.3</v>
      </c>
      <c r="F68" s="2735" t="str">
        <f>FHD_P_8</f>
        <v>Расходы на приобретаемую электрическую энергию (мощность), используемую в технологическом процессе</v>
      </c>
      <c r="G68" s="3089" t="s">
        <v>570</v>
      </c>
      <c r="H68" s="1768"/>
      <c r="I68" s="1768">
        <v>54.397897</v>
      </c>
      <c r="J68" s="13366">
        <v>43.322986</v>
      </c>
      <c r="K68" s="13366">
        <v>40677.44462</v>
      </c>
      <c r="L68" s="13366">
        <v>61218.343863</v>
      </c>
      <c r="M68" s="13366">
        <v>15038.239284</v>
      </c>
      <c r="N68" s="13366">
        <v>0</v>
      </c>
      <c r="O68" s="1500" t="str">
        <f>FHD_NOTE_P_8</f>
        <v/>
      </c>
      <c r="P68" s="2847" t="str">
        <f>IF((LEN(E68)-LEN(SUBSTITUTE(E68,".","")))/LEN(".")=1,"p","")</f>
        <v>p</v>
      </c>
      <c r="AK68" s="2842">
        <v>11</v>
      </c>
    </row>
    <row customHeight="1" ht="41.25">
      <c r="D69" s="2849"/>
      <c r="E69" s="1757" t="str">
        <f>FHD_NUM_P_9</f>
        <v>2.3.1</v>
      </c>
      <c r="F69" s="2861" t="str">
        <f>FHD_P_9</f>
        <v>Средневзвешенная стоимость 1 кВт.ч (с учетом мощности)</v>
      </c>
      <c r="G69" s="3089" t="s">
        <v>595</v>
      </c>
      <c r="H69" s="1768"/>
      <c r="I69" s="1768">
        <v>7.618889</v>
      </c>
      <c r="J69" s="13366">
        <v>7.577235</v>
      </c>
      <c r="K69" s="13366">
        <v>6.978549</v>
      </c>
      <c r="L69" s="13366">
        <v>6.073846</v>
      </c>
      <c r="M69" s="13366">
        <v>6.408952</v>
      </c>
      <c r="N69" s="13366">
        <v>0</v>
      </c>
      <c r="O69" s="1500" t="str">
        <f>FHD_NOTE_P_9</f>
        <v/>
      </c>
      <c r="P69" s="2847" t="str">
        <f>IF((LEN(E69)-LEN(SUBSTITUTE(E69,".","")))/LEN(".")=1,"p","")</f>
        <v/>
      </c>
      <c r="AK69" s="2842">
        <v>11</v>
      </c>
    </row>
    <row s="66852" customFormat="1" customHeight="1" ht="33">
      <c r="A70" s="2198"/>
      <c r="C70" s="2847"/>
      <c r="D70" s="1785"/>
      <c r="E70" s="1757" t="str">
        <f>FHD_NUM_P_10</f>
        <v>2.3.2</v>
      </c>
      <c r="F70" s="2861" t="str">
        <f>FHD_P_10</f>
        <v>Объём приобретения электрической энергии</v>
      </c>
      <c r="G70" s="3089" t="s">
        <v>596</v>
      </c>
      <c r="H70" s="1768"/>
      <c r="I70" s="1768">
        <v>7.139873</v>
      </c>
      <c r="J70" s="13366">
        <v>5.717519</v>
      </c>
      <c r="K70" s="13366">
        <v>5828.925633</v>
      </c>
      <c r="L70" s="13366">
        <v>10079.007492</v>
      </c>
      <c r="M70" s="13366">
        <v>2346.442764</v>
      </c>
      <c r="N70" s="13366">
        <v>0</v>
      </c>
      <c r="O70" s="1500" t="str">
        <f>FHD_NOTE_P_10</f>
        <v/>
      </c>
      <c r="P70" s="2847" t="str">
        <f>IF((LEN(E70)-LEN(SUBSTITUTE(E70,".","")))/LEN(".")=1,"p","")</f>
        <v/>
      </c>
      <c r="Q70" s="2847"/>
      <c r="R70" s="2847"/>
      <c r="W70" s="2847"/>
      <c r="Z70" s="1755"/>
      <c r="AF70" s="2843"/>
      <c r="AG70" s="2843"/>
      <c r="AH70" s="2843"/>
      <c r="AI70" s="2843"/>
      <c r="AJ70" s="2843"/>
      <c r="AK70" s="2371">
        <v>11</v>
      </c>
    </row>
    <row s="66852" customFormat="1" customHeight="1" ht="24">
      <c r="A71" s="2200" t="s">
        <v>597</v>
      </c>
      <c r="C71" s="2847"/>
      <c r="D71" s="1786"/>
      <c r="E71" s="1757" t="str">
        <f>FHD_NUM_P_11</f>
        <v>2.4</v>
      </c>
      <c r="F71" s="2735" t="str">
        <f>FHD_P_11</f>
        <v>Расходы на приобретение холодной воды, используемой в технологическом процессе</v>
      </c>
      <c r="G71" s="3089" t="s">
        <v>570</v>
      </c>
      <c r="H71" s="1768"/>
      <c r="I71" s="1768">
        <v>0</v>
      </c>
      <c r="J71" s="13366">
        <v>19094.257048</v>
      </c>
      <c r="K71" s="13366">
        <v>3313.72578</v>
      </c>
      <c r="L71" s="13366">
        <v>0</v>
      </c>
      <c r="M71" s="13366">
        <v>0</v>
      </c>
      <c r="N71" s="13366">
        <v>281570.59319</v>
      </c>
      <c r="O71" s="1500" t="str">
        <f>FHD_NOTE_P_11</f>
        <v/>
      </c>
      <c r="P71" s="2847" t="str">
        <f>IF((LEN(E71)-LEN(SUBSTITUTE(E71,".","")))/LEN(".")=1,"p","")</f>
        <v>p</v>
      </c>
      <c r="Q71" s="2847"/>
      <c r="R71" s="2847"/>
      <c r="W71" s="2847"/>
      <c r="Z71" s="1755"/>
      <c r="AF71" s="2843"/>
      <c r="AG71" s="2843"/>
      <c r="AH71" s="2843"/>
      <c r="AI71" s="2843"/>
      <c r="AJ71" s="2843"/>
      <c r="AK71" s="2371">
        <v>0</v>
      </c>
    </row>
    <row s="66852" customFormat="1" customHeight="1" ht="30">
      <c r="A72" s="2200" t="s">
        <v>598</v>
      </c>
      <c r="C72" s="2847"/>
      <c r="D72" s="2849"/>
      <c r="E72" s="1757" t="str">
        <f>FHD_NUM_P_12</f>
        <v>2.5</v>
      </c>
      <c r="F72" s="2735" t="str">
        <f>FHD_P_12</f>
        <v>Расходы на  химические реагенты, используемые в технологическом процессе</v>
      </c>
      <c r="G72" s="3089" t="s">
        <v>570</v>
      </c>
      <c r="H72" s="1788"/>
      <c r="I72" s="1788">
        <v>13137.795</v>
      </c>
      <c r="J72" s="13398">
        <v>11238.359523</v>
      </c>
      <c r="K72" s="13398">
        <v>925.90445</v>
      </c>
      <c r="L72" s="13398">
        <v>0</v>
      </c>
      <c r="M72" s="13398">
        <v>0</v>
      </c>
      <c r="N72" s="13398">
        <v>286.49558</v>
      </c>
      <c r="O72" s="1500" t="str">
        <f>FHD_NOTE_P_12</f>
        <v/>
      </c>
      <c r="P72" s="2847" t="str">
        <f>IF((LEN(E72)-LEN(SUBSTITUTE(E72,".","")))/LEN(".")=1,"p","")</f>
        <v>p</v>
      </c>
      <c r="Q72" s="2847"/>
      <c r="R72" s="2847"/>
      <c r="W72" s="2847"/>
      <c r="Z72" s="1755"/>
      <c r="AF72" s="2843"/>
      <c r="AG72" s="2843"/>
      <c r="AH72" s="2843"/>
      <c r="AI72" s="2843"/>
      <c r="AJ72" s="2843"/>
      <c r="AK72" s="2371">
        <v>18</v>
      </c>
    </row>
    <row s="65777" customFormat="1" customHeight="1" ht="30">
      <c r="A73" s="2199"/>
      <c r="C73" s="1941"/>
      <c r="D73" s="1884"/>
      <c r="E73" s="1757" t="str">
        <f>FHD_NUM_P_13</f>
        <v>2.6</v>
      </c>
      <c r="F73" s="273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73" s="3089" t="s">
        <v>570</v>
      </c>
      <c r="H73" s="1768"/>
      <c r="I73" s="1768">
        <f>I74+I75</f>
        <v>140547.754345</v>
      </c>
      <c r="J73" s="13366">
        <f>J74+J75</f>
        <v>343161.607122</v>
      </c>
      <c r="K73" s="13366">
        <f>K74+K75</f>
        <v>234967.180505</v>
      </c>
      <c r="L73" s="13366">
        <f>L74+L75</f>
        <v>162736.258276</v>
      </c>
      <c r="M73" s="13366">
        <f>M74+M75</f>
        <v>180339.952921</v>
      </c>
      <c r="N73" s="13366">
        <f>N74+N75</f>
        <v>15633.91974</v>
      </c>
      <c r="O73" s="1500" t="str">
        <f>FHD_NOTE_P_13</f>
        <v/>
      </c>
      <c r="P73" s="2847" t="str">
        <f>IF((LEN(E73)-LEN(SUBSTITUTE(E73,".","")))/LEN(".")=1,"p","")</f>
        <v>p</v>
      </c>
      <c r="Q73" s="1941"/>
      <c r="R73" s="1941"/>
      <c r="W73" s="1941"/>
      <c r="Z73" s="1942"/>
      <c r="AF73" s="1943"/>
      <c r="AG73" s="1943"/>
      <c r="AH73" s="1943"/>
      <c r="AI73" s="1943"/>
      <c r="AJ73" s="1943"/>
      <c r="AK73" s="1940">
        <v>11</v>
      </c>
    </row>
    <row s="65777" customFormat="1" customHeight="1" ht="28.5">
      <c r="A74" s="2199"/>
      <c r="C74" s="1941"/>
      <c r="D74" s="1884"/>
      <c r="E74" s="1757" t="str">
        <f>FHD_NUM_P_14</f>
        <v>2.6.1</v>
      </c>
      <c r="F74" s="2861" t="str">
        <f>FHD_P_14</f>
        <v>Расходы на оплату труда основного производственного персонала</v>
      </c>
      <c r="G74" s="3089" t="s">
        <v>570</v>
      </c>
      <c r="H74" s="1768"/>
      <c r="I74" s="1768">
        <v>107211.758053</v>
      </c>
      <c r="J74" s="13366">
        <v>260230.0119</v>
      </c>
      <c r="K74" s="13366">
        <v>178591.511832</v>
      </c>
      <c r="L74" s="13366">
        <v>125437.300495</v>
      </c>
      <c r="M74" s="13366">
        <v>138889.549401</v>
      </c>
      <c r="N74" s="13366">
        <v>12007.26031</v>
      </c>
      <c r="O74" s="1500" t="str">
        <f>FHD_NOTE_P_14</f>
        <v/>
      </c>
      <c r="P74" s="2847" t="str">
        <f>IF((LEN(E74)-LEN(SUBSTITUTE(E74,".","")))/LEN(".")=1,"p","")</f>
        <v/>
      </c>
      <c r="Q74" s="1941"/>
      <c r="R74" s="1941"/>
      <c r="W74" s="1941"/>
      <c r="Z74" s="1942"/>
      <c r="AF74" s="1943"/>
      <c r="AG74" s="1943"/>
      <c r="AH74" s="1943"/>
      <c r="AI74" s="1943"/>
      <c r="AJ74" s="1943"/>
      <c r="AK74" s="1940">
        <v>11</v>
      </c>
    </row>
    <row s="65777" customFormat="1" customHeight="1" ht="33">
      <c r="A75" s="2199"/>
      <c r="C75" s="1941"/>
      <c r="D75" s="1884"/>
      <c r="E75" s="1757" t="str">
        <f>FHD_NUM_P_15</f>
        <v>2.6.2</v>
      </c>
      <c r="F75" s="2861" t="str">
        <f>FHD_P_15</f>
        <v>Страховые взносы на обязательное социальное страхование, выплачиваемые из фонда оплаты труда основного производственного персонала</v>
      </c>
      <c r="G75" s="3089" t="s">
        <v>570</v>
      </c>
      <c r="H75" s="1768"/>
      <c r="I75" s="1768">
        <v>33335.996292</v>
      </c>
      <c r="J75" s="13366">
        <v>82931.595222</v>
      </c>
      <c r="K75" s="13366">
        <v>56375.668673</v>
      </c>
      <c r="L75" s="13366">
        <v>37298.957781</v>
      </c>
      <c r="M75" s="13366">
        <v>41450.40352</v>
      </c>
      <c r="N75" s="13366">
        <v>3626.65943</v>
      </c>
      <c r="O75" s="1500" t="str">
        <f>FHD_NOTE_P_15</f>
        <v/>
      </c>
      <c r="P75" s="2847" t="str">
        <f>IF((LEN(E75)-LEN(SUBSTITUTE(E75,".","")))/LEN(".")=1,"p","")</f>
        <v/>
      </c>
      <c r="Q75" s="1941"/>
      <c r="R75" s="1941"/>
      <c r="W75" s="1941"/>
      <c r="Z75" s="1942"/>
      <c r="AF75" s="1943"/>
      <c r="AG75" s="1943"/>
      <c r="AH75" s="1943"/>
      <c r="AI75" s="1943"/>
      <c r="AJ75" s="1943"/>
      <c r="AK75" s="1940">
        <v>11</v>
      </c>
    </row>
    <row s="66852" customFormat="1" customHeight="1" ht="57">
      <c r="A76" s="2198"/>
      <c r="C76" s="2847"/>
      <c r="D76" s="2849"/>
      <c r="E76" s="1757" t="str">
        <f>FHD_NUM_P_16</f>
        <v>2.7</v>
      </c>
      <c r="F76" s="273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76" s="3089" t="s">
        <v>570</v>
      </c>
      <c r="H76" s="1768"/>
      <c r="I76" s="1768">
        <f>I77+I78</f>
        <v>113470.091669</v>
      </c>
      <c r="J76" s="13366">
        <f>J77+J78</f>
        <v>161379.80891</v>
      </c>
      <c r="K76" s="13366">
        <f>K77+K78</f>
        <v>41537.009045</v>
      </c>
      <c r="L76" s="13366">
        <f>L77+L78</f>
        <v>71654.4913</v>
      </c>
      <c r="M76" s="13366">
        <f>M77+M78</f>
        <v>56407.222741</v>
      </c>
      <c r="N76" s="13366">
        <f>N77+N78</f>
        <v>0</v>
      </c>
      <c r="O76" s="1500" t="str">
        <f>FHD_NOTE_P_16</f>
        <v/>
      </c>
      <c r="P76" s="2847" t="str">
        <f>IF((LEN(E76)-LEN(SUBSTITUTE(E76,".","")))/LEN(".")=1,"p","")</f>
        <v>p</v>
      </c>
      <c r="Q76" s="2847"/>
      <c r="R76" s="2853"/>
      <c r="S76" s="1748"/>
      <c r="T76" s="1748"/>
      <c r="W76" s="2847"/>
      <c r="Z76" s="1755"/>
      <c r="AF76" s="2843"/>
      <c r="AG76" s="2843"/>
      <c r="AH76" s="2843"/>
      <c r="AI76" s="2843"/>
      <c r="AJ76" s="2843"/>
      <c r="AK76" s="2371">
        <v>11</v>
      </c>
    </row>
    <row s="66852" customFormat="1" customHeight="1" ht="24.75">
      <c r="A77" s="2198"/>
      <c r="C77" s="2847"/>
      <c r="D77" s="2849"/>
      <c r="E77" s="1757" t="str">
        <f>FHD_NUM_P_17</f>
        <v>2.7.1</v>
      </c>
      <c r="F77" s="2861" t="str">
        <f>FHD_P_17</f>
        <v>Расходы на оплату труда административно-управленческого персонала</v>
      </c>
      <c r="G77" s="3089" t="s">
        <v>570</v>
      </c>
      <c r="H77" s="1768"/>
      <c r="I77" s="1768">
        <v>87749.633472</v>
      </c>
      <c r="J77" s="13366">
        <v>125019.900943</v>
      </c>
      <c r="K77" s="13366">
        <v>31279.951308</v>
      </c>
      <c r="L77" s="13366">
        <v>55501.837522</v>
      </c>
      <c r="M77" s="13366">
        <v>43918.371351</v>
      </c>
      <c r="N77" s="13366">
        <v>0</v>
      </c>
      <c r="O77" s="1500" t="str">
        <f>FHD_NOTE_P_17</f>
        <v/>
      </c>
      <c r="P77" s="2847" t="str">
        <f>IF((LEN(E77)-LEN(SUBSTITUTE(E77,".","")))/LEN(".")=1,"p","")</f>
        <v/>
      </c>
      <c r="Q77" s="2847"/>
      <c r="R77" s="2853"/>
      <c r="S77" s="1748"/>
      <c r="T77" s="1748"/>
      <c r="W77" s="2847"/>
      <c r="Z77" s="1755"/>
      <c r="AF77" s="2843"/>
      <c r="AG77" s="2843"/>
      <c r="AH77" s="2843"/>
      <c r="AI77" s="2843"/>
      <c r="AJ77" s="2843"/>
      <c r="AK77" s="2371">
        <v>11</v>
      </c>
    </row>
    <row s="66852" customFormat="1" customHeight="1" ht="40.5">
      <c r="A78" s="2198"/>
      <c r="C78" s="2847"/>
      <c r="D78" s="2849"/>
      <c r="E78" s="1757" t="str">
        <f>FHD_NUM_P_18</f>
        <v>2.7.2</v>
      </c>
      <c r="F78" s="2861" t="str">
        <f>FHD_P_18</f>
        <v>Страховые взносы на обязательное социальное страхование, выплачиваемые из фонда оплаты труда административно-управленческого персонала</v>
      </c>
      <c r="G78" s="3089" t="s">
        <v>570</v>
      </c>
      <c r="H78" s="1768"/>
      <c r="I78" s="1768">
        <v>25720.458197</v>
      </c>
      <c r="J78" s="13366">
        <v>36359.907967</v>
      </c>
      <c r="K78" s="13366">
        <v>10257.057737</v>
      </c>
      <c r="L78" s="13366">
        <v>16152.653778</v>
      </c>
      <c r="M78" s="13366">
        <v>12488.85139</v>
      </c>
      <c r="N78" s="13366">
        <v>0</v>
      </c>
      <c r="O78" s="1500" t="str">
        <f>FHD_NOTE_P_18</f>
        <v/>
      </c>
      <c r="P78" s="2847" t="str">
        <f>IF((LEN(E78)-LEN(SUBSTITUTE(E78,".","")))/LEN(".")=1,"p","")</f>
        <v/>
      </c>
      <c r="Q78" s="2847"/>
      <c r="R78" s="2853"/>
      <c r="S78" s="1748"/>
      <c r="T78" s="1748"/>
      <c r="W78" s="2847"/>
      <c r="Z78" s="1755"/>
      <c r="AF78" s="2843"/>
      <c r="AG78" s="2843"/>
      <c r="AH78" s="2843"/>
      <c r="AI78" s="2843"/>
      <c r="AJ78" s="2843"/>
      <c r="AK78" s="2371">
        <v>11</v>
      </c>
    </row>
    <row s="66852" customFormat="1" customHeight="1" ht="38.25">
      <c r="A79" s="2198"/>
      <c r="C79" s="2847"/>
      <c r="D79" s="1786"/>
      <c r="E79" s="1757" t="str">
        <f>FHD_NUM_P_19</f>
        <v>2.8</v>
      </c>
      <c r="F79" s="2735" t="str">
        <f>FHD_P_19</f>
        <v>Расходы на амортизацию основных средств и нематериальных активов</v>
      </c>
      <c r="G79" s="3089" t="s">
        <v>570</v>
      </c>
      <c r="H79" s="1768"/>
      <c r="I79" s="1768">
        <f>I80+I81</f>
        <v>45007.581052</v>
      </c>
      <c r="J79" s="13366">
        <f>J80+J81</f>
        <v>70434.900562</v>
      </c>
      <c r="K79" s="13366">
        <f>K80+K81</f>
        <v>928.27298</v>
      </c>
      <c r="L79" s="13366">
        <f>L80+L81</f>
        <v>245250.51153</v>
      </c>
      <c r="M79" s="13366">
        <f>M80+M81</f>
        <v>63184.304271</v>
      </c>
      <c r="N79" s="13366">
        <f>N80+N81</f>
        <v>1302.67788</v>
      </c>
      <c r="O79" s="1500" t="str">
        <f>FHD_NOTE_P_19</f>
        <v/>
      </c>
      <c r="P79" s="2847" t="str">
        <f>IF((LEN(E79)-LEN(SUBSTITUTE(E79,".","")))/LEN(".")=1,"p","")</f>
        <v>p</v>
      </c>
      <c r="Q79" s="2847"/>
      <c r="R79" s="2847"/>
      <c r="W79" s="2847"/>
      <c r="Z79" s="1755"/>
      <c r="AF79" s="2843"/>
      <c r="AG79" s="2843"/>
      <c r="AH79" s="2843"/>
      <c r="AI79" s="2843"/>
      <c r="AJ79" s="2843"/>
      <c r="AK79" s="2371">
        <v>11</v>
      </c>
    </row>
    <row s="66852" customFormat="1" customHeight="1" ht="28.5">
      <c r="A80" s="2198"/>
      <c r="C80" s="2847"/>
      <c r="D80" s="1786"/>
      <c r="E80" s="1757" t="str">
        <f>FHD_NUM_P_20</f>
        <v>2.8.1</v>
      </c>
      <c r="F80" s="2861" t="str">
        <f>FHD_P_20</f>
        <v>Расходы на амортизацию основных средств</v>
      </c>
      <c r="G80" s="3089" t="s">
        <v>570</v>
      </c>
      <c r="H80" s="1768"/>
      <c r="I80" s="1768">
        <v>45007.581052</v>
      </c>
      <c r="J80" s="13366">
        <v>70434.900562</v>
      </c>
      <c r="K80" s="13366">
        <v>928.27298</v>
      </c>
      <c r="L80" s="13366">
        <v>245250.51153</v>
      </c>
      <c r="M80" s="13366">
        <v>63184.304271</v>
      </c>
      <c r="N80" s="13366">
        <v>1302.67788</v>
      </c>
      <c r="O80" s="1500" t="str">
        <f>FHD_NOTE_P_20</f>
        <v/>
      </c>
      <c r="P80" s="2847" t="str">
        <f>IF((LEN(E80)-LEN(SUBSTITUTE(E80,".","")))/LEN(".")=1,"p","")</f>
        <v/>
      </c>
      <c r="Q80" s="2847"/>
      <c r="R80" s="2847"/>
      <c r="W80" s="2847"/>
      <c r="Z80" s="1755"/>
      <c r="AF80" s="2843"/>
      <c r="AG80" s="2843"/>
      <c r="AH80" s="2843"/>
      <c r="AI80" s="2843"/>
      <c r="AJ80" s="2843"/>
      <c r="AK80" s="2371">
        <v>11</v>
      </c>
    </row>
    <row s="66852" customFormat="1" customHeight="1" ht="11.549999999999999">
      <c r="A81" s="2198"/>
      <c r="C81" s="2847"/>
      <c r="D81" s="1786"/>
      <c r="E81" s="1757" t="str">
        <f>FHD_NUM_P_21</f>
        <v>2.8.2</v>
      </c>
      <c r="F81" s="2861" t="str">
        <f>FHD_P_21</f>
        <v>Расходы на амортизацию нематериальных активов</v>
      </c>
      <c r="G81" s="3089" t="s">
        <v>570</v>
      </c>
      <c r="H81" s="1768"/>
      <c r="I81" s="1768">
        <v>0</v>
      </c>
      <c r="J81" s="13366">
        <v>0</v>
      </c>
      <c r="K81" s="13366">
        <v>0</v>
      </c>
      <c r="L81" s="13366">
        <v>0</v>
      </c>
      <c r="M81" s="13366">
        <v>0</v>
      </c>
      <c r="N81" s="13366">
        <v>0</v>
      </c>
      <c r="O81" s="1500" t="str">
        <f>FHD_NOTE_P_21</f>
        <v/>
      </c>
      <c r="P81" s="2847" t="str">
        <f>IF((LEN(E81)-LEN(SUBSTITUTE(E81,".","")))/LEN(".")=1,"p","")</f>
        <v/>
      </c>
      <c r="Q81" s="2847"/>
      <c r="R81" s="2847"/>
      <c r="W81" s="2847"/>
      <c r="Z81" s="1755"/>
      <c r="AF81" s="2843"/>
      <c r="AG81" s="2843"/>
      <c r="AH81" s="2843"/>
      <c r="AI81" s="2843"/>
      <c r="AJ81" s="2843"/>
      <c r="AK81" s="2371">
        <v>11</v>
      </c>
    </row>
    <row s="66852" customFormat="1" customHeight="1" ht="40.5">
      <c r="A82" s="2198"/>
      <c r="C82" s="2847"/>
      <c r="D82" s="2849"/>
      <c r="E82" s="1757" t="str">
        <f>FHD_NUM_P_22</f>
        <v>2.9</v>
      </c>
      <c r="F82" s="2735" t="str">
        <f>FHD_P_22</f>
        <v>Расходы на аренду имущества, используемого для осуществления регулируемого вида деятельности</v>
      </c>
      <c r="G82" s="3089" t="s">
        <v>570</v>
      </c>
      <c r="H82" s="1768"/>
      <c r="I82" s="1768">
        <v>1163.92142</v>
      </c>
      <c r="J82" s="13366">
        <v>1121.933983</v>
      </c>
      <c r="K82" s="13366">
        <v>34333.35</v>
      </c>
      <c r="L82" s="13366">
        <v>2545.08444</v>
      </c>
      <c r="M82" s="13366">
        <v>1229.922845</v>
      </c>
      <c r="N82" s="13366">
        <v>0</v>
      </c>
      <c r="O82" s="1500" t="str">
        <f>FHD_NOTE_P_22</f>
        <v/>
      </c>
      <c r="P82" s="2847" t="str">
        <f>IF((LEN(E82)-LEN(SUBSTITUTE(E82,".","")))/LEN(".")=1,"p","")</f>
        <v>p</v>
      </c>
      <c r="Q82" s="2847"/>
      <c r="R82" s="2847"/>
      <c r="W82" s="2847"/>
      <c r="Z82" s="1755"/>
      <c r="AF82" s="2843"/>
      <c r="AG82" s="2843"/>
      <c r="AH82" s="2843"/>
      <c r="AI82" s="2843"/>
      <c r="AJ82" s="2843"/>
      <c r="AK82" s="2371">
        <v>11</v>
      </c>
    </row>
    <row s="66852" customFormat="1" customHeight="1" ht="11.549999999999999">
      <c r="A83" s="2198"/>
      <c r="C83" s="2847"/>
      <c r="D83" s="1786"/>
      <c r="E83" s="1757" t="str">
        <f>FHD_NUM_P_23</f>
        <v>2.10</v>
      </c>
      <c r="F83" s="2735" t="str">
        <f>FHD_P_23</f>
        <v>Общепроизводственные расходы, в том числе:</v>
      </c>
      <c r="G83" s="3089" t="s">
        <v>570</v>
      </c>
      <c r="H83" s="1768"/>
      <c r="I83" s="1768">
        <f>I84+I85</f>
        <v>0</v>
      </c>
      <c r="J83" s="13366">
        <f>J84+J85</f>
        <v>0</v>
      </c>
      <c r="K83" s="13366">
        <f>K84+K85</f>
        <v>0</v>
      </c>
      <c r="L83" s="13366">
        <f>L84+L85</f>
        <v>0</v>
      </c>
      <c r="M83" s="13366">
        <f>M84+M85</f>
        <v>0</v>
      </c>
      <c r="N83" s="13366">
        <f>N84+N85</f>
        <v>0</v>
      </c>
      <c r="O83" s="1500" t="str">
        <f>FHD_NOTE_P_23</f>
        <v>Указывается общая сумма общепроизводственных расходов.</v>
      </c>
      <c r="P83" s="2847" t="str">
        <f>IF((LEN(E83)-LEN(SUBSTITUTE(E83,".","")))/LEN(".")=1,"p","")</f>
        <v>p</v>
      </c>
      <c r="Q83" s="2847"/>
      <c r="R83" s="2847"/>
      <c r="W83" s="2847"/>
      <c r="Z83" s="1755"/>
      <c r="AF83" s="2843"/>
      <c r="AG83" s="2843"/>
      <c r="AH83" s="2843"/>
      <c r="AI83" s="2843"/>
      <c r="AJ83" s="2843"/>
      <c r="AK83" s="2371">
        <v>11</v>
      </c>
    </row>
    <row s="66852" customFormat="1" customHeight="1" ht="11.549999999999999">
      <c r="A84" s="2198"/>
      <c r="C84" s="2847"/>
      <c r="D84" s="1786"/>
      <c r="E84" s="1757" t="str">
        <f>FHD_NUM_P_24</f>
        <v>2.10.1</v>
      </c>
      <c r="F84" s="2861" t="str">
        <f>FHD_P_24</f>
        <v>Расходы на текущий ремонт</v>
      </c>
      <c r="G84" s="3089" t="s">
        <v>570</v>
      </c>
      <c r="H84" s="1768"/>
      <c r="I84" s="1768">
        <v>0</v>
      </c>
      <c r="J84" s="13366">
        <v>0</v>
      </c>
      <c r="K84" s="13366">
        <v>0</v>
      </c>
      <c r="L84" s="13366">
        <v>0</v>
      </c>
      <c r="M84" s="13366">
        <v>0</v>
      </c>
      <c r="N84" s="13366">
        <v>0</v>
      </c>
      <c r="O84" s="1500" t="str">
        <f>FHD_NOTE_P_24</f>
        <v>Указываются расходы на текущий ремонт, отнесенные к общепроизводственным расходам.</v>
      </c>
      <c r="P84" s="2847" t="str">
        <f>IF((LEN(E84)-LEN(SUBSTITUTE(E84,".","")))/LEN(".")=1,"p","")</f>
        <v/>
      </c>
      <c r="Q84" s="2847"/>
      <c r="R84" s="2847"/>
      <c r="W84" s="2847"/>
      <c r="Z84" s="1755"/>
      <c r="AF84" s="2843"/>
      <c r="AG84" s="2843"/>
      <c r="AH84" s="2843"/>
      <c r="AI84" s="2843"/>
      <c r="AJ84" s="2843"/>
      <c r="AK84" s="2371">
        <v>11</v>
      </c>
    </row>
    <row s="66852" customFormat="1" customHeight="1" ht="11.549999999999999">
      <c r="A85" s="2198"/>
      <c r="C85" s="2847"/>
      <c r="D85" s="1786"/>
      <c r="E85" s="1757" t="str">
        <f>FHD_NUM_P_25</f>
        <v>2.10.2</v>
      </c>
      <c r="F85" s="2861" t="str">
        <f>FHD_P_25</f>
        <v>Расходы на капитальный ремонт</v>
      </c>
      <c r="G85" s="3089" t="s">
        <v>570</v>
      </c>
      <c r="H85" s="1768"/>
      <c r="I85" s="1768">
        <v>0</v>
      </c>
      <c r="J85" s="13366">
        <v>0</v>
      </c>
      <c r="K85" s="13366">
        <v>0</v>
      </c>
      <c r="L85" s="13366">
        <v>0</v>
      </c>
      <c r="M85" s="13366">
        <v>0</v>
      </c>
      <c r="N85" s="13366">
        <v>0</v>
      </c>
      <c r="O85" s="1500" t="str">
        <f>FHD_NOTE_P_25</f>
        <v>Указываются расходы на капитальный ремонт, отнесенные к общепроизводственным расходам.</v>
      </c>
      <c r="P85" s="2847" t="str">
        <f>IF((LEN(E85)-LEN(SUBSTITUTE(E85,".","")))/LEN(".")=1,"p","")</f>
        <v/>
      </c>
      <c r="Q85" s="2847"/>
      <c r="R85" s="2847"/>
      <c r="W85" s="2847"/>
      <c r="Z85" s="1755"/>
      <c r="AF85" s="2843"/>
      <c r="AG85" s="2843"/>
      <c r="AH85" s="2843"/>
      <c r="AI85" s="2843"/>
      <c r="AJ85" s="2843"/>
      <c r="AK85" s="2371">
        <v>11</v>
      </c>
    </row>
    <row s="66852" customFormat="1" customHeight="1" ht="11.549999999999999">
      <c r="A86" s="2198"/>
      <c r="C86" s="2847"/>
      <c r="D86" s="2849"/>
      <c r="E86" s="1757" t="str">
        <f>FHD_NUM_P_26</f>
        <v>2.11</v>
      </c>
      <c r="F86" s="2735" t="str">
        <f>FHD_P_26</f>
        <v>Общехозяйственные расходы, в том числе:</v>
      </c>
      <c r="G86" s="3089" t="s">
        <v>570</v>
      </c>
      <c r="H86" s="1768"/>
      <c r="I86" s="1768">
        <f>I87+I88</f>
        <v>0</v>
      </c>
      <c r="J86" s="13366">
        <f>J87+J88</f>
        <v>0</v>
      </c>
      <c r="K86" s="13366">
        <f>K87+K88</f>
        <v>0</v>
      </c>
      <c r="L86" s="13366">
        <f>L87+L88</f>
        <v>0</v>
      </c>
      <c r="M86" s="13366">
        <f>M87+M88</f>
        <v>0</v>
      </c>
      <c r="N86" s="13366">
        <f>N87+N88</f>
        <v>0</v>
      </c>
      <c r="O86" s="1500" t="str">
        <f>FHD_NOTE_P_26</f>
        <v>Указывается общая сумма общехозяйственных расходов.</v>
      </c>
      <c r="P86" s="2847" t="str">
        <f>IF((LEN(E86)-LEN(SUBSTITUTE(E86,".","")))/LEN(".")=1,"p","")</f>
        <v>p</v>
      </c>
      <c r="Q86" s="2847"/>
      <c r="R86" s="2847"/>
      <c r="W86" s="2847"/>
      <c r="Z86" s="1755"/>
      <c r="AF86" s="2843"/>
      <c r="AG86" s="2843"/>
      <c r="AH86" s="2843"/>
      <c r="AI86" s="2843"/>
      <c r="AJ86" s="2843"/>
      <c r="AK86" s="2371">
        <v>11</v>
      </c>
    </row>
    <row s="66852" customFormat="1" customHeight="1" ht="11.549999999999999">
      <c r="A87" s="2198"/>
      <c r="C87" s="2847"/>
      <c r="D87" s="2849"/>
      <c r="E87" s="1757" t="str">
        <f>FHD_NUM_P_27</f>
        <v>2.11.1</v>
      </c>
      <c r="F87" s="2861" t="str">
        <f>FHD_P_27</f>
        <v>Расходы на текущий ремонт</v>
      </c>
      <c r="G87" s="3089" t="s">
        <v>570</v>
      </c>
      <c r="H87" s="1768"/>
      <c r="I87" s="1768">
        <v>0</v>
      </c>
      <c r="J87" s="13366">
        <v>0</v>
      </c>
      <c r="K87" s="13366">
        <v>0</v>
      </c>
      <c r="L87" s="13366">
        <v>0</v>
      </c>
      <c r="M87" s="13366">
        <v>0</v>
      </c>
      <c r="N87" s="13366">
        <v>0</v>
      </c>
      <c r="O87" s="1500" t="str">
        <f>FHD_NOTE_P_27</f>
        <v>Указываются расходы на текущий ремонт, отнесенные к общехозяйственным расходам.</v>
      </c>
      <c r="P87" s="2847" t="str">
        <f>IF((LEN(E87)-LEN(SUBSTITUTE(E87,".","")))/LEN(".")=1,"p","")</f>
        <v/>
      </c>
      <c r="Q87" s="2847"/>
      <c r="R87" s="2847"/>
      <c r="W87" s="2847"/>
      <c r="Z87" s="1755"/>
      <c r="AF87" s="2843"/>
      <c r="AG87" s="2843"/>
      <c r="AH87" s="2843"/>
      <c r="AI87" s="2843"/>
      <c r="AJ87" s="2843"/>
      <c r="AK87" s="2371">
        <v>11</v>
      </c>
    </row>
    <row s="66852" customFormat="1" customHeight="1" ht="11.549999999999999">
      <c r="A88" s="2198"/>
      <c r="C88" s="2847"/>
      <c r="D88" s="2849"/>
      <c r="E88" s="1757" t="str">
        <f>FHD_NUM_P_28</f>
        <v>2.11.2</v>
      </c>
      <c r="F88" s="2861" t="str">
        <f>FHD_P_28</f>
        <v>Расходы на капитальный ремонт</v>
      </c>
      <c r="G88" s="3089" t="s">
        <v>570</v>
      </c>
      <c r="H88" s="1768"/>
      <c r="I88" s="1768">
        <v>0</v>
      </c>
      <c r="J88" s="13366">
        <v>0</v>
      </c>
      <c r="K88" s="13366">
        <v>0</v>
      </c>
      <c r="L88" s="13366">
        <v>0</v>
      </c>
      <c r="M88" s="13366">
        <v>0</v>
      </c>
      <c r="N88" s="13366">
        <v>0</v>
      </c>
      <c r="O88" s="1500" t="str">
        <f>FHD_NOTE_P_28</f>
        <v>Указываются расходы на капитальный ремонт, отнесенные к общехозяйственным расходам.</v>
      </c>
      <c r="P88" s="2847" t="str">
        <f>IF((LEN(E88)-LEN(SUBSTITUTE(E88,".","")))/LEN(".")=1,"p","")</f>
        <v/>
      </c>
      <c r="Q88" s="2847"/>
      <c r="R88" s="2847"/>
      <c r="W88" s="2847"/>
      <c r="Z88" s="1755"/>
      <c r="AF88" s="2843"/>
      <c r="AG88" s="2843"/>
      <c r="AH88" s="2843"/>
      <c r="AI88" s="2843"/>
      <c r="AJ88" s="2843"/>
      <c r="AK88" s="2371">
        <v>11</v>
      </c>
    </row>
    <row s="66852" customFormat="1" customHeight="1" ht="96">
      <c r="A89" s="2198"/>
      <c r="C89" s="2847"/>
      <c r="D89" s="2849"/>
      <c r="E89" s="1757" t="str">
        <f>FHD_NUM_P_29</f>
        <v>2.12</v>
      </c>
      <c r="F89" s="2735" t="str">
        <f>FHD_P_29</f>
        <v>Расходы на капитальный и текущий ремонт основных средств</v>
      </c>
      <c r="G89" s="3089" t="s">
        <v>570</v>
      </c>
      <c r="H89" s="1768"/>
      <c r="I89" s="1768">
        <v>43350.217574</v>
      </c>
      <c r="J89" s="13366">
        <v>131558.786307</v>
      </c>
      <c r="K89" s="13366">
        <v>16600.82948</v>
      </c>
      <c r="L89" s="13366">
        <v>119835.58356</v>
      </c>
      <c r="M89" s="13366">
        <v>82680.242</v>
      </c>
      <c r="N89" s="13366">
        <v>0</v>
      </c>
      <c r="O89" s="150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89" s="2847" t="str">
        <f>IF((LEN(E89)-LEN(SUBSTITUTE(E89,".","")))/LEN(".")=1,"p","")</f>
        <v>p</v>
      </c>
      <c r="Q89" s="2847"/>
      <c r="R89" s="2847"/>
      <c r="W89" s="2847"/>
      <c r="Z89" s="1755"/>
      <c r="AF89" s="2843"/>
      <c r="AG89" s="2843"/>
      <c r="AH89" s="2843"/>
      <c r="AI89" s="2843"/>
      <c r="AJ89" s="2843"/>
      <c r="AK89" s="2371">
        <v>11</v>
      </c>
    </row>
    <row s="66852" customFormat="1" customHeight="1" ht="41.25">
      <c r="A90" s="2198"/>
      <c r="C90" s="2847"/>
      <c r="D90" s="2849"/>
      <c r="E90" s="1757" t="str">
        <f>FHD_NUM_P_30</f>
        <v>2.12.1</v>
      </c>
      <c r="F90" s="286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90" s="3089" t="s">
        <v>324</v>
      </c>
      <c r="H90" s="2860" t="s">
        <v>599</v>
      </c>
      <c r="I90" s="2860" t="s">
        <v>600</v>
      </c>
      <c r="J90" s="13406" t="s">
        <v>600</v>
      </c>
      <c r="K90" s="13406" t="s">
        <v>599</v>
      </c>
      <c r="L90" s="13406" t="s">
        <v>600</v>
      </c>
      <c r="M90" s="13406" t="s">
        <v>600</v>
      </c>
      <c r="N90" s="13406" t="s">
        <v>599</v>
      </c>
      <c r="O90" s="1500" t="str">
        <f>FHD_NOTE_P_30</f>
        <v/>
      </c>
      <c r="P90" s="2847" t="str">
        <f>IF((LEN(E90)-LEN(SUBSTITUTE(E90,".","")))/LEN(".")=1,"p","")</f>
        <v/>
      </c>
      <c r="Q90" s="2847">
        <f>_xlfn.IFERROR(MATCH("есть",B_FHD_FLAG_INDEX_1,0),0)</f>
        <v>2</v>
      </c>
      <c r="R90" s="2847"/>
      <c r="W90" s="2847"/>
      <c r="Z90" s="1755"/>
      <c r="AF90" s="2843"/>
      <c r="AG90" s="2843"/>
      <c r="AH90" s="2843"/>
      <c r="AI90" s="2843"/>
      <c r="AJ90" s="2843"/>
      <c r="AK90" s="2371">
        <v>11</v>
      </c>
    </row>
    <row s="66852" customFormat="1" customHeight="1" ht="23.25" hidden="1">
      <c r="A91" s="3582" t="s">
        <v>601</v>
      </c>
      <c r="C91" s="2847"/>
      <c r="D91" s="2849"/>
      <c r="E91" s="1757" t="str">
        <f>FHD_NUM_P_31</f>
        <v/>
      </c>
      <c r="F91" s="2735" t="str">
        <f>FHD_P_31</f>
        <v/>
      </c>
      <c r="G91" s="3089" t="s">
        <v>570</v>
      </c>
      <c r="H91" s="1768"/>
      <c r="I91" s="1768"/>
      <c r="J91" s="13366"/>
      <c r="K91" s="13366"/>
      <c r="L91" s="13366"/>
      <c r="M91" s="13366"/>
      <c r="N91" s="13366"/>
      <c r="O91" s="1500" t="str">
        <f>FHD_NOTE_P_31</f>
        <v/>
      </c>
      <c r="P91" s="2847" t="str">
        <f>IF((LEN(E91)-LEN(SUBSTITUTE(E91,".","")))/LEN(".")=1,"p","")</f>
        <v/>
      </c>
      <c r="Q91" s="2847"/>
      <c r="R91" s="2847"/>
      <c r="W91" s="2847"/>
      <c r="Z91" s="1755"/>
      <c r="AF91" s="2843"/>
      <c r="AG91" s="2843"/>
      <c r="AH91" s="2843"/>
      <c r="AI91" s="2843"/>
      <c r="AJ91" s="2843"/>
      <c r="AK91" s="2371">
        <v>22</v>
      </c>
    </row>
    <row s="66852" customFormat="1" customHeight="1" ht="47.25" hidden="1">
      <c r="A92" s="3582"/>
      <c r="C92" s="2847"/>
      <c r="D92" s="2849"/>
      <c r="E92" s="1757" t="str">
        <f>FHD_NUM_P_32</f>
        <v/>
      </c>
      <c r="F92" s="2861" t="str">
        <f>FHD_P_32</f>
        <v/>
      </c>
      <c r="G92" s="3089" t="s">
        <v>324</v>
      </c>
      <c r="H92" s="2860" t="s">
        <v>599</v>
      </c>
      <c r="I92" s="2860" t="s">
        <v>599</v>
      </c>
      <c r="J92" s="13406" t="s">
        <v>599</v>
      </c>
      <c r="K92" s="13406" t="s">
        <v>599</v>
      </c>
      <c r="L92" s="13406" t="s">
        <v>599</v>
      </c>
      <c r="M92" s="13406" t="s">
        <v>599</v>
      </c>
      <c r="N92" s="13406" t="s">
        <v>599</v>
      </c>
      <c r="O92" s="1500" t="str">
        <f>FHD_NOTE_P_32</f>
        <v/>
      </c>
      <c r="P92" s="2847" t="str">
        <f>IF((LEN(E92)-LEN(SUBSTITUTE(E92,".","")))/LEN(".")=1,"p","")</f>
        <v/>
      </c>
      <c r="Q92" s="2847">
        <f>_xlfn.IFERROR(MATCH("есть",B_FHD_FLAG_INDEX_2,0),0)</f>
        <v>0</v>
      </c>
      <c r="R92" s="2847"/>
      <c r="W92" s="2847"/>
      <c r="Z92" s="1755"/>
      <c r="AF92" s="2843"/>
      <c r="AG92" s="2843"/>
      <c r="AH92" s="2843"/>
      <c r="AI92" s="2843"/>
      <c r="AJ92" s="2843"/>
      <c r="AK92" s="2371">
        <v>45</v>
      </c>
    </row>
    <row s="66852" customFormat="1" customHeight="1" ht="38.25">
      <c r="A93" s="2198"/>
      <c r="C93" s="2847"/>
      <c r="D93" s="2849"/>
      <c r="E93" s="1757" t="str">
        <f>FHD_NUM_P_33</f>
        <v>2.13</v>
      </c>
      <c r="F93" s="2735" t="str">
        <f>FHD_P_33</f>
        <v>Прочие расходы, которые подлежат отнесению на регулируемые виды деятельности в соответствии с законодательством Российской Федерации</v>
      </c>
      <c r="G93" s="3090" t="s">
        <v>570</v>
      </c>
      <c r="H93" s="1790">
        <f>SUM(H94:H96)</f>
        <v>0</v>
      </c>
      <c r="I93" s="1790">
        <f>SUM(I94:I96)</f>
        <v>120637.24512</v>
      </c>
      <c r="J93" s="13409">
        <f>SUM(J94:J96)</f>
        <v>234299.044633</v>
      </c>
      <c r="K93" s="13409">
        <f>SUM(K94:K96)</f>
        <v>56187.59671</v>
      </c>
      <c r="L93" s="13409">
        <f>SUM(L94:L96)</f>
        <v>678349.955191</v>
      </c>
      <c r="M93" s="13409">
        <f>SUM(M94:M96)</f>
        <v>71991.883782</v>
      </c>
      <c r="N93" s="13409">
        <f>SUM(N94:N96)</f>
        <v>0</v>
      </c>
      <c r="O93" s="150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93" s="2847" t="str">
        <f>IF((LEN(E93)-LEN(SUBSTITUTE(E93,".","")))/LEN(".")=1,"p","")</f>
        <v>p</v>
      </c>
      <c r="Q93" s="2847"/>
      <c r="R93" s="2847"/>
      <c r="W93" s="2847"/>
      <c r="Z93" s="1755"/>
      <c r="AF93" s="2843"/>
      <c r="AG93" s="2843"/>
      <c r="AH93" s="2843"/>
      <c r="AI93" s="2843"/>
      <c r="AJ93" s="2843"/>
      <c r="AK93" s="2371">
        <v>11</v>
      </c>
    </row>
    <row s="65923" customFormat="1" customHeight="1" ht="1.05">
      <c r="A94" s="2378"/>
      <c r="D94" s="1759"/>
      <c r="E94" s="2224" t="str">
        <f>E93&amp;".0"</f>
        <v>2.13.0</v>
      </c>
      <c r="F94" s="2202"/>
      <c r="G94" s="2224"/>
      <c r="H94" s="2203"/>
      <c r="I94" s="2203"/>
      <c r="J94" s="13412"/>
      <c r="K94" s="13412"/>
      <c r="L94" s="13412"/>
      <c r="M94" s="13412"/>
      <c r="N94" s="13412"/>
      <c r="O94" s="2204"/>
      <c r="P94" s="2847" t="str">
        <f>IF((LEN(E94)-LEN(SUBSTITUTE(E94,".","")))/LEN(".")=1,"p","")</f>
        <v/>
      </c>
      <c r="AK94" s="2847">
        <v>1</v>
      </c>
    </row>
    <row s="67156" customFormat="1" customHeight="1" ht="22.5">
      <c r="A95" s="22639"/>
      <c r="B95" s="22640"/>
      <c r="C95" s="22641"/>
      <c r="D95" s="22642" t="s">
        <v>103</v>
      </c>
      <c r="E95" s="22643" t="str">
        <f>E93&amp;".1"</f>
        <v>2.13.1</v>
      </c>
      <c r="F95" s="22644" t="s">
        <v>602</v>
      </c>
      <c r="G95" s="22643" t="s">
        <v>570</v>
      </c>
      <c r="H95" s="22645"/>
      <c r="I95" s="22645">
        <v>120637.24512</v>
      </c>
      <c r="J95" s="22645">
        <v>234299.044633</v>
      </c>
      <c r="K95" s="22645">
        <v>56187.59671</v>
      </c>
      <c r="L95" s="22645">
        <v>678349.955191</v>
      </c>
      <c r="M95" s="22645">
        <v>71991.883782</v>
      </c>
      <c r="N95" s="22645">
        <v>0</v>
      </c>
      <c r="O95" s="22646" t="s">
        <v>573</v>
      </c>
      <c r="P95" s="22647"/>
      <c r="Q95" s="22641"/>
      <c r="R95" s="22641"/>
      <c r="S95" s="22640"/>
      <c r="T95" s="22640"/>
      <c r="U95" s="22640"/>
      <c r="V95" s="22640"/>
      <c r="W95" s="22641"/>
      <c r="X95" s="22640"/>
      <c r="Y95" s="22640"/>
      <c r="Z95" s="22648"/>
      <c r="AA95" s="22640"/>
      <c r="AB95" s="22640"/>
      <c r="AC95" s="22640"/>
      <c r="AD95" s="22640"/>
      <c r="AE95" s="22640"/>
      <c r="AF95" s="22649"/>
      <c r="AG95" s="22649"/>
      <c r="AH95" s="22649"/>
      <c r="AI95" s="22649"/>
      <c r="AJ95" s="22649"/>
      <c r="AK95" s="22640">
        <v>0</v>
      </c>
    </row>
    <row s="66852" customFormat="1" customHeight="1" ht="14.699999999999998">
      <c r="A96" s="2198"/>
      <c r="C96" s="2847"/>
      <c r="D96" s="2844"/>
      <c r="E96" s="1781"/>
      <c r="F96" s="1782" t="s">
        <v>603</v>
      </c>
      <c r="G96" s="1783"/>
      <c r="H96" s="1784"/>
      <c r="I96" s="1784"/>
      <c r="J96" s="13414"/>
      <c r="K96" s="13415"/>
      <c r="L96" s="13416"/>
      <c r="M96" s="13417"/>
      <c r="N96" s="13418"/>
      <c r="O96" s="1512"/>
      <c r="P96" s="2847"/>
      <c r="Q96" s="2847"/>
      <c r="R96" s="2847"/>
      <c r="W96" s="2847"/>
      <c r="Z96" s="1755"/>
      <c r="AF96" s="2843"/>
      <c r="AG96" s="2843"/>
      <c r="AH96" s="2843"/>
      <c r="AI96" s="2843"/>
      <c r="AJ96" s="2843"/>
      <c r="AK96" s="2371">
        <v>14</v>
      </c>
    </row>
    <row s="66852" customFormat="1" customHeight="1" ht="42">
      <c r="A97" s="2200" t="s">
        <v>604</v>
      </c>
      <c r="C97" s="2847"/>
      <c r="D97" s="2849"/>
      <c r="E97" s="1757" t="str">
        <f>FHD_NUM_P_34</f>
        <v>3</v>
      </c>
      <c r="F97" s="3091" t="str">
        <f>FHD_P_34</f>
        <v>Валовая прибыль (убытки) от реализации товаров и оказания услуг по регулируемому виду деятельности</v>
      </c>
      <c r="G97" s="3089" t="s">
        <v>570</v>
      </c>
      <c r="H97" s="1768"/>
      <c r="I97" s="1768">
        <f>I30-I31</f>
        <v>-2263068.65860498</v>
      </c>
      <c r="J97" s="13366">
        <f>J30-J31</f>
        <v>-3368812.9133073</v>
      </c>
      <c r="K97" s="13366">
        <f>K30-K31</f>
        <v>-744246.120276646</v>
      </c>
      <c r="L97" s="13366">
        <f>L30-L31</f>
        <v>2637038.12286</v>
      </c>
      <c r="M97" s="13366">
        <f>M30-M31</f>
        <v>3653737.282026</v>
      </c>
      <c r="N97" s="13366">
        <f>N30-N31</f>
        <v>48759.61059</v>
      </c>
      <c r="O97" s="1500" t="str">
        <f>FHD_NOTE_P_34</f>
        <v/>
      </c>
      <c r="P97" s="1754"/>
      <c r="Q97" s="2847"/>
      <c r="R97" s="2847"/>
      <c r="W97" s="2847"/>
      <c r="Z97" s="1755"/>
      <c r="AF97" s="2843"/>
      <c r="AG97" s="2843"/>
      <c r="AH97" s="2843"/>
      <c r="AI97" s="2843"/>
      <c r="AJ97" s="2843"/>
      <c r="AK97" s="2371">
        <v>0</v>
      </c>
    </row>
    <row s="66852" customFormat="1" customHeight="1" ht="19.95">
      <c r="A98" s="2198"/>
      <c r="C98" s="2847"/>
      <c r="D98" s="1786"/>
      <c r="E98" s="1757" t="str">
        <f>FHD_NUM_P_35</f>
        <v>4</v>
      </c>
      <c r="F98" s="3091" t="str">
        <f>FHD_P_35</f>
        <v>Чистая прибыль, полученная от регулируемого вида деятельности, в том числе:</v>
      </c>
      <c r="G98" s="3089" t="s">
        <v>570</v>
      </c>
      <c r="H98" s="1768"/>
      <c r="I98" s="1768">
        <v>0</v>
      </c>
      <c r="J98" s="13366">
        <v>0</v>
      </c>
      <c r="K98" s="13366">
        <v>0</v>
      </c>
      <c r="L98" s="13366">
        <v>0</v>
      </c>
      <c r="M98" s="13366">
        <v>0</v>
      </c>
      <c r="N98" s="13366">
        <v>0</v>
      </c>
      <c r="O98" s="1500" t="str">
        <f>FHD_NOTE_P_35</f>
        <v>Указывается общая сумма чистой прибыли, полученной от регулируемого вида деятельности.</v>
      </c>
      <c r="P98" s="1754"/>
      <c r="Q98" s="2847"/>
      <c r="R98" s="2847"/>
      <c r="W98" s="2847"/>
      <c r="Z98" s="1755"/>
      <c r="AF98" s="2843"/>
      <c r="AG98" s="2843"/>
      <c r="AH98" s="2843"/>
      <c r="AI98" s="2843"/>
      <c r="AJ98" s="2843"/>
      <c r="AK98" s="2371">
        <v>19</v>
      </c>
    </row>
    <row s="66852" customFormat="1" customHeight="1" ht="19.95">
      <c r="A99" s="2198"/>
      <c r="C99" s="2847"/>
      <c r="D99" s="2849"/>
      <c r="E99" s="1757" t="str">
        <f>FHD_NUM_P_36</f>
        <v>4.1</v>
      </c>
      <c r="F99" s="2735" t="str">
        <f>FHD_P_36</f>
        <v>Размер расходования чистой прибыли на финансирование мероприятий, предусмотренных инвестиционной программой регулируемой организации</v>
      </c>
      <c r="G99" s="3089" t="s">
        <v>570</v>
      </c>
      <c r="H99" s="1768"/>
      <c r="I99" s="1768">
        <v>0</v>
      </c>
      <c r="J99" s="13366">
        <v>0</v>
      </c>
      <c r="K99" s="13366">
        <v>0</v>
      </c>
      <c r="L99" s="13366">
        <v>0</v>
      </c>
      <c r="M99" s="13366">
        <v>0</v>
      </c>
      <c r="N99" s="13366">
        <v>0</v>
      </c>
      <c r="O99" s="1500" t="str">
        <f>FHD_NOTE_P_36</f>
        <v/>
      </c>
      <c r="P99" s="1754"/>
      <c r="Q99" s="2847"/>
      <c r="R99" s="2847"/>
      <c r="W99" s="2847"/>
      <c r="Z99" s="1755"/>
      <c r="AF99" s="2843"/>
      <c r="AG99" s="2843"/>
      <c r="AH99" s="2843"/>
      <c r="AI99" s="2843"/>
      <c r="AJ99" s="2843"/>
      <c r="AK99" s="2371">
        <v>19</v>
      </c>
    </row>
    <row s="66852" customFormat="1" customHeight="1" ht="20.25">
      <c r="A100" s="2198"/>
      <c r="C100" s="2847"/>
      <c r="D100" s="2849"/>
      <c r="E100" s="1757" t="str">
        <f>FHD_NUM_P_37</f>
        <v>5</v>
      </c>
      <c r="F100" s="3091" t="str">
        <f>FHD_P_37</f>
        <v>Изменение стоимости основных фондов, в том числе:</v>
      </c>
      <c r="G100" s="3089" t="s">
        <v>570</v>
      </c>
      <c r="H100" s="1768"/>
      <c r="I100" s="1768">
        <f>I101+I104</f>
        <v>57677.341211</v>
      </c>
      <c r="J100" s="13366">
        <f>J101+J104</f>
        <v>41950.665001</v>
      </c>
      <c r="K100" s="13366">
        <f>K101+K104</f>
        <v>5901.91</v>
      </c>
      <c r="L100" s="13366">
        <f>L101+L104</f>
        <v>168296.105774</v>
      </c>
      <c r="M100" s="13366">
        <f>M101+M104</f>
        <v>203220.793555</v>
      </c>
      <c r="N100" s="13366">
        <f>N101+N104</f>
        <v>0</v>
      </c>
      <c r="O100" s="1500" t="str">
        <f>FHD_NOTE_P_37</f>
        <v>Указывается общее изменение стоимости основных фондов.</v>
      </c>
      <c r="P100" s="1754"/>
      <c r="Q100" s="2847"/>
      <c r="R100" s="2847"/>
      <c r="W100" s="2847"/>
      <c r="Z100" s="1755"/>
      <c r="AF100" s="2843"/>
      <c r="AG100" s="2843"/>
      <c r="AH100" s="2843"/>
      <c r="AI100" s="2843"/>
      <c r="AJ100" s="2843"/>
      <c r="AK100" s="2371">
        <v>19</v>
      </c>
    </row>
    <row s="66852" customFormat="1" customHeight="1" ht="20.25">
      <c r="A101" s="2198"/>
      <c r="C101" s="2847"/>
      <c r="D101" s="2849"/>
      <c r="E101" s="1757" t="str">
        <f>FHD_NUM_P_38</f>
        <v>5.1</v>
      </c>
      <c r="F101" s="2735" t="str">
        <f>FHD_P_38</f>
        <v>Изменение стоимости основных фондов за счет:</v>
      </c>
      <c r="G101" s="3089" t="s">
        <v>570</v>
      </c>
      <c r="H101" s="1768"/>
      <c r="I101" s="1768">
        <f>I102-I103</f>
        <v>57677.341211</v>
      </c>
      <c r="J101" s="13366">
        <f>J102-J103</f>
        <v>41950.665001</v>
      </c>
      <c r="K101" s="13366">
        <f>K102-K103</f>
        <v>5901.91</v>
      </c>
      <c r="L101" s="13366">
        <f>L102-L103</f>
        <v>168296.105774</v>
      </c>
      <c r="M101" s="13366">
        <f>M102-M103</f>
        <v>203220.793555</v>
      </c>
      <c r="N101" s="13366">
        <f>N102-N103</f>
        <v>0</v>
      </c>
      <c r="O101" s="1500" t="str">
        <f>FHD_NOTE_P_38</f>
        <v>Указываются общее изменение стоимости основных фондов за счет их ввода в эксплуатацию и вывода из эксплуатации.</v>
      </c>
      <c r="P101" s="1754"/>
      <c r="Q101" s="2847"/>
      <c r="R101" s="2847"/>
      <c r="W101" s="2847"/>
      <c r="Z101" s="1755"/>
      <c r="AF101" s="2843"/>
      <c r="AG101" s="2843"/>
      <c r="AH101" s="2843"/>
      <c r="AI101" s="2843"/>
      <c r="AJ101" s="2843"/>
      <c r="AK101" s="2371">
        <v>19</v>
      </c>
    </row>
    <row s="66852" customFormat="1" customHeight="1" ht="20.25">
      <c r="A102" s="2198"/>
      <c r="C102" s="2847"/>
      <c r="D102" s="2849"/>
      <c r="E102" s="1757" t="str">
        <f>FHD_NUM_P_39</f>
        <v>5.1.1</v>
      </c>
      <c r="F102" s="2861" t="str">
        <f>FHD_P_39</f>
        <v>Изменения стоимости основных фондов за счет их ввода в эксплуатацию</v>
      </c>
      <c r="G102" s="3283" t="s">
        <v>570</v>
      </c>
      <c r="H102" s="1768"/>
      <c r="I102" s="1768">
        <v>62600.523053</v>
      </c>
      <c r="J102" s="13366">
        <v>56896.839449</v>
      </c>
      <c r="K102" s="13366">
        <v>5901.91</v>
      </c>
      <c r="L102" s="13366">
        <v>168807.70351</v>
      </c>
      <c r="M102" s="13366">
        <v>203482.848417</v>
      </c>
      <c r="N102" s="13366">
        <v>0</v>
      </c>
      <c r="O102" s="1500" t="str">
        <f>FHD_NOTE_P_39</f>
        <v>Указываются изменение стоимости основных фондов за счет их ввода в эксплуатацию.</v>
      </c>
      <c r="P102" s="1754"/>
      <c r="Q102" s="2847"/>
      <c r="R102" s="2847"/>
      <c r="W102" s="2847"/>
      <c r="Z102" s="1755"/>
      <c r="AF102" s="2843"/>
      <c r="AG102" s="2843"/>
      <c r="AH102" s="2843"/>
      <c r="AI102" s="2843"/>
      <c r="AJ102" s="2843"/>
      <c r="AK102" s="2371">
        <v>19</v>
      </c>
    </row>
    <row s="66852" customFormat="1" customHeight="1" ht="20.25">
      <c r="A103" s="2198"/>
      <c r="C103" s="2847"/>
      <c r="D103" s="2849"/>
      <c r="E103" s="1757" t="str">
        <f>FHD_NUM_P_40</f>
        <v>5.1.2</v>
      </c>
      <c r="F103" s="3287" t="str">
        <f>FHD_P_40</f>
        <v>Изменения стоимости основных фондов за счет их вывода в эксплуатацию</v>
      </c>
      <c r="G103" s="3282" t="s">
        <v>570</v>
      </c>
      <c r="H103" s="2187"/>
      <c r="I103" s="1768">
        <v>4923.181842</v>
      </c>
      <c r="J103" s="13423">
        <v>14946.174448</v>
      </c>
      <c r="K103" s="13423">
        <v>0</v>
      </c>
      <c r="L103" s="13423">
        <v>511.597736</v>
      </c>
      <c r="M103" s="13423">
        <v>262.054862</v>
      </c>
      <c r="N103" s="13423">
        <v>0</v>
      </c>
      <c r="O103" s="1500" t="str">
        <f>FHD_NOTE_P_40</f>
        <v>Указываются изменение стоимости основных фондов за счет их вывода из эксплуатации.</v>
      </c>
      <c r="P103" s="1754"/>
      <c r="Q103" s="2847"/>
      <c r="R103" s="2847"/>
      <c r="W103" s="2847"/>
      <c r="Z103" s="1755"/>
      <c r="AF103" s="2843"/>
      <c r="AG103" s="2843"/>
      <c r="AH103" s="2843"/>
      <c r="AI103" s="2843"/>
      <c r="AJ103" s="2843"/>
      <c r="AK103" s="2371">
        <v>19</v>
      </c>
    </row>
    <row s="66852" customFormat="1" customHeight="1" ht="19.95">
      <c r="A104" s="2198"/>
      <c r="C104" s="2847"/>
      <c r="D104" s="2849"/>
      <c r="E104" s="1757" t="str">
        <f>FHD_NUM_P_41</f>
        <v>5.2</v>
      </c>
      <c r="F104" s="3286" t="str">
        <f>FHD_P_41</f>
        <v>Изменение стоимости основных фондов за счет их переоценки</v>
      </c>
      <c r="G104" s="3282" t="s">
        <v>570</v>
      </c>
      <c r="H104" s="2187"/>
      <c r="I104" s="1768">
        <v>0</v>
      </c>
      <c r="J104" s="13423">
        <v>0</v>
      </c>
      <c r="K104" s="13423">
        <v>0</v>
      </c>
      <c r="L104" s="13423">
        <v>0</v>
      </c>
      <c r="M104" s="13423">
        <v>0</v>
      </c>
      <c r="N104" s="13423">
        <v>0</v>
      </c>
      <c r="O104" s="1500" t="str">
        <f>FHD_NOTE_P_41</f>
        <v/>
      </c>
      <c r="P104" s="1754"/>
      <c r="Q104" s="2847"/>
      <c r="R104" s="2847"/>
      <c r="W104" s="2847"/>
      <c r="Z104" s="1755"/>
      <c r="AF104" s="2843"/>
      <c r="AG104" s="2843"/>
      <c r="AH104" s="2843"/>
      <c r="AI104" s="2843"/>
      <c r="AJ104" s="2843"/>
      <c r="AK104" s="2371">
        <v>19</v>
      </c>
    </row>
    <row s="66852" customFormat="1" customHeight="1" ht="20.25" hidden="1">
      <c r="A105" s="2200" t="s">
        <v>605</v>
      </c>
      <c r="C105" s="2847" t="s">
        <v>606</v>
      </c>
      <c r="D105" s="2849"/>
      <c r="E105" s="1757" t="str">
        <f>FHD_NUM_P_42</f>
        <v/>
      </c>
      <c r="F105" s="3284" t="str">
        <f>FHD_P_42</f>
        <v/>
      </c>
      <c r="G105" s="3282" t="s">
        <v>570</v>
      </c>
      <c r="H105" s="2187"/>
      <c r="I105" s="1768"/>
      <c r="J105" s="13423"/>
      <c r="K105" s="13423"/>
      <c r="L105" s="13423"/>
      <c r="M105" s="13423"/>
      <c r="N105" s="13423"/>
      <c r="O105" s="1500" t="str">
        <f>FHD_NOTE_P_42</f>
        <v/>
      </c>
      <c r="P105" s="1754"/>
      <c r="Q105" s="2847"/>
      <c r="R105" s="2847"/>
      <c r="W105" s="2847"/>
      <c r="Z105" s="1755"/>
      <c r="AF105" s="2843"/>
      <c r="AG105" s="2843"/>
      <c r="AH105" s="2843"/>
      <c r="AI105" s="2843"/>
      <c r="AJ105" s="2843"/>
      <c r="AK105" s="2371">
        <v>19</v>
      </c>
    </row>
    <row s="66852" customFormat="1" customHeight="1" ht="45">
      <c r="A106" s="2198"/>
      <c r="C106" s="2847"/>
      <c r="D106" s="2849"/>
      <c r="E106" s="1757" t="str">
        <f>FHD_NUM_P_43</f>
        <v>6</v>
      </c>
      <c r="F106" s="3091" t="str">
        <f>FHD_P_43</f>
        <v>Годовая бухгалтерская (финансовая) отчетность, включая бухгалтерский баланс и приложения к нему</v>
      </c>
      <c r="G106" s="3285" t="s">
        <v>324</v>
      </c>
      <c r="H106" s="19575"/>
      <c r="I106" s="19576" t="s">
        <v>607</v>
      </c>
      <c r="J106" s="19577" t="s">
        <v>607</v>
      </c>
      <c r="K106" s="19577" t="s">
        <v>607</v>
      </c>
      <c r="L106" s="19577" t="s">
        <v>607</v>
      </c>
      <c r="M106" s="19577" t="s">
        <v>607</v>
      </c>
      <c r="N106" s="19577" t="s">
        <v>607</v>
      </c>
      <c r="O106" s="150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106" s="1754"/>
      <c r="Q106" s="2847"/>
      <c r="R106" s="2847"/>
      <c r="W106" s="2847"/>
      <c r="Z106" s="1755"/>
      <c r="AF106" s="2843"/>
      <c r="AG106" s="2843"/>
      <c r="AH106" s="2843"/>
      <c r="AI106" s="2843"/>
      <c r="AJ106" s="2843"/>
      <c r="AK106" s="2371">
        <v>19</v>
      </c>
    </row>
    <row s="66852" customFormat="1" customHeight="1" ht="18.75" hidden="1">
      <c r="A107" s="3582" t="s">
        <v>608</v>
      </c>
      <c r="C107" s="1946"/>
      <c r="D107" s="1944"/>
      <c r="E107" s="1757" t="str">
        <f>FHD_NUM_P_44</f>
        <v/>
      </c>
      <c r="F107" s="3091" t="str">
        <f>FHD_P_44</f>
        <v/>
      </c>
      <c r="G107" s="3092" t="s">
        <v>609</v>
      </c>
      <c r="H107" s="2188"/>
      <c r="I107" s="1788"/>
      <c r="J107" s="13434"/>
      <c r="K107" s="13434"/>
      <c r="L107" s="13434"/>
      <c r="M107" s="13434"/>
      <c r="N107" s="13434"/>
      <c r="O107" s="1500" t="str">
        <f>FHD_NOTE_P_44</f>
        <v/>
      </c>
      <c r="P107" s="1945"/>
      <c r="Q107" s="1946"/>
      <c r="R107" s="1946"/>
      <c r="W107" s="1946"/>
      <c r="Z107" s="1947"/>
      <c r="AF107" s="1948"/>
      <c r="AG107" s="1948"/>
      <c r="AH107" s="1948"/>
      <c r="AI107" s="1948"/>
      <c r="AJ107" s="1948"/>
      <c r="AK107" s="2121">
        <v>0</v>
      </c>
    </row>
    <row s="66852" customFormat="1" customHeight="1" ht="18.75" hidden="1">
      <c r="A108" s="3582"/>
      <c r="C108" s="1946"/>
      <c r="D108" s="1944"/>
      <c r="E108" s="1757" t="str">
        <f>FHD_NUM_P_45</f>
        <v/>
      </c>
      <c r="F108" s="3091" t="str">
        <f>FHD_P_45</f>
        <v/>
      </c>
      <c r="G108" s="3092" t="s">
        <v>609</v>
      </c>
      <c r="H108" s="2188"/>
      <c r="I108" s="1788"/>
      <c r="J108" s="13434"/>
      <c r="K108" s="13434"/>
      <c r="L108" s="13434"/>
      <c r="M108" s="13434"/>
      <c r="N108" s="13434"/>
      <c r="O108" s="1500" t="str">
        <f>FHD_NOTE_P_45</f>
        <v/>
      </c>
      <c r="P108" s="1945"/>
      <c r="Q108" s="1946"/>
      <c r="R108" s="1946"/>
      <c r="W108" s="1946"/>
      <c r="Z108" s="1947"/>
      <c r="AF108" s="1948"/>
      <c r="AG108" s="1948"/>
      <c r="AH108" s="1948"/>
      <c r="AI108" s="1948"/>
      <c r="AJ108" s="1948"/>
      <c r="AK108" s="2121">
        <v>0</v>
      </c>
    </row>
    <row s="66852" customFormat="1" customHeight="1" ht="18.75" hidden="1">
      <c r="A109" s="3582"/>
      <c r="C109" s="1946"/>
      <c r="D109" s="1949"/>
      <c r="E109" s="1757" t="str">
        <f>FHD_NUM_P_46</f>
        <v/>
      </c>
      <c r="F109" s="3091" t="str">
        <f>FHD_P_46</f>
        <v/>
      </c>
      <c r="G109" s="3092" t="s">
        <v>609</v>
      </c>
      <c r="H109" s="2188"/>
      <c r="I109" s="1788"/>
      <c r="J109" s="13434"/>
      <c r="K109" s="13434"/>
      <c r="L109" s="13434"/>
      <c r="M109" s="13434"/>
      <c r="N109" s="13434"/>
      <c r="O109" s="1500" t="str">
        <f>FHD_NOTE_P_46</f>
        <v/>
      </c>
      <c r="P109" s="1945"/>
      <c r="Q109" s="1946"/>
      <c r="R109" s="1946"/>
      <c r="W109" s="1946"/>
      <c r="Z109" s="1947"/>
      <c r="AF109" s="1948"/>
      <c r="AG109" s="1948"/>
      <c r="AH109" s="1948"/>
      <c r="AI109" s="1948"/>
      <c r="AJ109" s="1948"/>
      <c r="AK109" s="2121">
        <v>0</v>
      </c>
    </row>
    <row s="66852" customFormat="1" customHeight="1" ht="18.75" hidden="1">
      <c r="A110" s="3582"/>
      <c r="C110" s="1946"/>
      <c r="D110" s="1944"/>
      <c r="E110" s="1757" t="str">
        <f>FHD_NUM_P_47</f>
        <v/>
      </c>
      <c r="F110" s="3091" t="str">
        <f>FHD_P_47</f>
        <v/>
      </c>
      <c r="G110" s="3092" t="s">
        <v>609</v>
      </c>
      <c r="H110" s="2188"/>
      <c r="I110" s="1788"/>
      <c r="J110" s="13434"/>
      <c r="K110" s="13434"/>
      <c r="L110" s="13434"/>
      <c r="M110" s="13434"/>
      <c r="N110" s="13434"/>
      <c r="O110" s="1500" t="str">
        <f>FHD_NOTE_P_47</f>
        <v/>
      </c>
      <c r="P110" s="1945"/>
      <c r="Q110" s="1946"/>
      <c r="R110" s="1946"/>
      <c r="W110" s="1946"/>
      <c r="Z110" s="1947"/>
      <c r="AF110" s="1948"/>
      <c r="AG110" s="1948"/>
      <c r="AH110" s="1948"/>
      <c r="AI110" s="1948"/>
      <c r="AJ110" s="1948"/>
      <c r="AK110" s="2121">
        <v>0</v>
      </c>
    </row>
    <row s="66903" customFormat="1" customHeight="1" ht="18.75" hidden="1">
      <c r="A111" s="3582"/>
      <c r="B111" s="2121"/>
      <c r="C111" s="1946"/>
      <c r="D111" s="1944"/>
      <c r="E111" s="1757" t="str">
        <f>FHD_NUM_P_48</f>
        <v/>
      </c>
      <c r="F111" s="3091" t="str">
        <f>FHD_P_48</f>
        <v/>
      </c>
      <c r="G111" s="3092" t="s">
        <v>609</v>
      </c>
      <c r="H111" s="2188"/>
      <c r="I111" s="1788"/>
      <c r="J111" s="13434"/>
      <c r="K111" s="13434"/>
      <c r="L111" s="13434"/>
      <c r="M111" s="13434"/>
      <c r="N111" s="13434"/>
      <c r="O111" s="1500" t="str">
        <f>FHD_NOTE_P_48</f>
        <v/>
      </c>
      <c r="P111" s="1945"/>
      <c r="Q111" s="1946"/>
      <c r="R111" s="1946"/>
      <c r="S111" s="2121"/>
      <c r="T111" s="2121"/>
      <c r="U111" s="2121"/>
      <c r="V111" s="2121"/>
      <c r="W111" s="1946"/>
      <c r="X111" s="2121"/>
      <c r="Y111" s="2121"/>
      <c r="Z111" s="1947"/>
      <c r="AA111" s="2121"/>
      <c r="AB111" s="2121"/>
      <c r="AC111" s="2121"/>
      <c r="AD111" s="2121"/>
      <c r="AE111" s="2121"/>
      <c r="AF111" s="1948"/>
      <c r="AG111" s="1948"/>
      <c r="AH111" s="1948"/>
      <c r="AI111" s="1948"/>
      <c r="AJ111" s="1948"/>
      <c r="AK111" s="1950">
        <v>0</v>
      </c>
    </row>
    <row s="66903" customFormat="1" customHeight="1" ht="18.75" hidden="1">
      <c r="A112" s="3582"/>
      <c r="B112" s="2121"/>
      <c r="C112" s="1946"/>
      <c r="D112" s="1944"/>
      <c r="E112" s="1757" t="str">
        <f>FHD_NUM_P_49</f>
        <v/>
      </c>
      <c r="F112" s="3091" t="str">
        <f>FHD_P_49</f>
        <v/>
      </c>
      <c r="G112" s="3092" t="s">
        <v>609</v>
      </c>
      <c r="H112" s="2189">
        <f>SUM(H113:H114)</f>
        <v>0</v>
      </c>
      <c r="I112" s="1960">
        <f>SUM(I113:I114)</f>
        <v>0</v>
      </c>
      <c r="J112" s="13443">
        <f>SUM(J113:J114)</f>
        <v>0</v>
      </c>
      <c r="K112" s="13443">
        <f>SUM(K113:K114)</f>
        <v>0</v>
      </c>
      <c r="L112" s="13443">
        <f>SUM(L113:L114)</f>
        <v>0</v>
      </c>
      <c r="M112" s="13443">
        <f>SUM(M113:M114)</f>
        <v>0</v>
      </c>
      <c r="N112" s="13443">
        <f>SUM(N113:N114)</f>
        <v>0</v>
      </c>
      <c r="O112" s="1500" t="str">
        <f>FHD_NOTE_P_49</f>
        <v/>
      </c>
      <c r="P112" s="1945"/>
      <c r="Q112" s="1946"/>
      <c r="R112" s="1946"/>
      <c r="S112" s="2121"/>
      <c r="T112" s="2121"/>
      <c r="U112" s="2121"/>
      <c r="V112" s="2121"/>
      <c r="W112" s="1946"/>
      <c r="X112" s="2121"/>
      <c r="Y112" s="2121"/>
      <c r="Z112" s="1947"/>
      <c r="AA112" s="2121"/>
      <c r="AB112" s="2121"/>
      <c r="AC112" s="2121"/>
      <c r="AD112" s="2121"/>
      <c r="AE112" s="2121"/>
      <c r="AF112" s="1948"/>
      <c r="AG112" s="1948"/>
      <c r="AH112" s="1948"/>
      <c r="AI112" s="1948"/>
      <c r="AJ112" s="1948"/>
      <c r="AK112" s="1950">
        <v>0</v>
      </c>
    </row>
    <row s="66903" customFormat="1" customHeight="1" ht="18.75" hidden="1">
      <c r="A113" s="3582"/>
      <c r="B113" s="2121"/>
      <c r="C113" s="1946"/>
      <c r="D113" s="1944"/>
      <c r="E113" s="1757" t="str">
        <f>FHD_NUM_P_50</f>
        <v/>
      </c>
      <c r="F113" s="3091" t="str">
        <f>FHD_P_50</f>
        <v/>
      </c>
      <c r="G113" s="3092" t="s">
        <v>609</v>
      </c>
      <c r="H113" s="2188"/>
      <c r="I113" s="1788"/>
      <c r="J113" s="13434"/>
      <c r="K113" s="13434"/>
      <c r="L113" s="13434"/>
      <c r="M113" s="13434"/>
      <c r="N113" s="13434"/>
      <c r="O113" s="1500" t="str">
        <f>FHD_NOTE_P_50</f>
        <v/>
      </c>
      <c r="P113" s="1945"/>
      <c r="Q113" s="1946"/>
      <c r="R113" s="1946"/>
      <c r="S113" s="2121"/>
      <c r="T113" s="2121"/>
      <c r="U113" s="2121"/>
      <c r="V113" s="2121"/>
      <c r="W113" s="1946"/>
      <c r="X113" s="2121"/>
      <c r="Y113" s="2121"/>
      <c r="Z113" s="1947"/>
      <c r="AA113" s="2121"/>
      <c r="AB113" s="2121"/>
      <c r="AC113" s="2121"/>
      <c r="AD113" s="2121"/>
      <c r="AE113" s="2121"/>
      <c r="AF113" s="1948"/>
      <c r="AG113" s="1948"/>
      <c r="AH113" s="1948"/>
      <c r="AI113" s="1948"/>
      <c r="AJ113" s="1948"/>
      <c r="AK113" s="1950">
        <v>0</v>
      </c>
    </row>
    <row s="66903" customFormat="1" customHeight="1" ht="18.75" hidden="1">
      <c r="A114" s="3582"/>
      <c r="B114" s="2121"/>
      <c r="C114" s="1946"/>
      <c r="D114" s="1944"/>
      <c r="E114" s="1757" t="str">
        <f>FHD_NUM_P_51</f>
        <v/>
      </c>
      <c r="F114" s="3091" t="str">
        <f>FHD_P_51</f>
        <v/>
      </c>
      <c r="G114" s="3092" t="s">
        <v>609</v>
      </c>
      <c r="H114" s="2188"/>
      <c r="I114" s="1788"/>
      <c r="J114" s="13434"/>
      <c r="K114" s="13434"/>
      <c r="L114" s="13434"/>
      <c r="M114" s="13434"/>
      <c r="N114" s="13434"/>
      <c r="O114" s="1500" t="str">
        <f>FHD_NOTE_P_51</f>
        <v/>
      </c>
      <c r="P114" s="1945"/>
      <c r="Q114" s="1946"/>
      <c r="R114" s="1946"/>
      <c r="S114" s="2121"/>
      <c r="T114" s="2121"/>
      <c r="U114" s="2121"/>
      <c r="V114" s="2121"/>
      <c r="W114" s="1946"/>
      <c r="X114" s="2121"/>
      <c r="Y114" s="2121"/>
      <c r="Z114" s="1947"/>
      <c r="AA114" s="2121"/>
      <c r="AB114" s="2121"/>
      <c r="AC114" s="2121"/>
      <c r="AD114" s="2121"/>
      <c r="AE114" s="2121"/>
      <c r="AF114" s="1948"/>
      <c r="AG114" s="1948"/>
      <c r="AH114" s="1948"/>
      <c r="AI114" s="1948"/>
      <c r="AJ114" s="1948"/>
      <c r="AK114" s="1950">
        <v>0</v>
      </c>
    </row>
    <row s="66903" customFormat="1" customHeight="1" ht="18.75" hidden="1">
      <c r="A115" s="3582"/>
      <c r="B115" s="2121"/>
      <c r="C115" s="1946"/>
      <c r="D115" s="1944"/>
      <c r="E115" s="1757" t="str">
        <f>FHD_NUM_P_52</f>
        <v/>
      </c>
      <c r="F115" s="3091" t="str">
        <f>FHD_P_52</f>
        <v/>
      </c>
      <c r="G115" s="3092" t="s">
        <v>576</v>
      </c>
      <c r="H115" s="2187"/>
      <c r="I115" s="1768"/>
      <c r="J115" s="13423"/>
      <c r="K115" s="13423"/>
      <c r="L115" s="13423"/>
      <c r="M115" s="13423"/>
      <c r="N115" s="13423"/>
      <c r="O115" s="1500" t="str">
        <f>FHD_NOTE_P_52</f>
        <v/>
      </c>
      <c r="P115" s="1945"/>
      <c r="Q115" s="1946"/>
      <c r="R115" s="1946"/>
      <c r="S115" s="2121"/>
      <c r="T115" s="2121"/>
      <c r="U115" s="2121"/>
      <c r="V115" s="2121"/>
      <c r="W115" s="1946"/>
      <c r="X115" s="2121"/>
      <c r="Y115" s="2121"/>
      <c r="Z115" s="1947"/>
      <c r="AA115" s="2121"/>
      <c r="AB115" s="2121"/>
      <c r="AC115" s="2121"/>
      <c r="AD115" s="2121"/>
      <c r="AE115" s="2121"/>
      <c r="AF115" s="1948"/>
      <c r="AG115" s="1948"/>
      <c r="AH115" s="1948"/>
      <c r="AI115" s="1948"/>
      <c r="AJ115" s="1948"/>
      <c r="AK115" s="1950">
        <v>0</v>
      </c>
    </row>
    <row s="66852" customFormat="1" customHeight="1" ht="18.75" hidden="1">
      <c r="A116" s="3584" t="s">
        <v>610</v>
      </c>
      <c r="C116" s="1946"/>
      <c r="D116" s="1944"/>
      <c r="E116" s="1757" t="str">
        <f>FHD_NUM_P_53</f>
        <v/>
      </c>
      <c r="F116" s="3091" t="str">
        <f>FHD_P_53</f>
        <v/>
      </c>
      <c r="G116" s="3092" t="s">
        <v>609</v>
      </c>
      <c r="H116" s="2188"/>
      <c r="I116" s="1788"/>
      <c r="J116" s="13434"/>
      <c r="K116" s="13434"/>
      <c r="L116" s="13434"/>
      <c r="M116" s="13434"/>
      <c r="N116" s="13434"/>
      <c r="O116" s="1500" t="str">
        <f>FHD_NOTE_P_53</f>
        <v/>
      </c>
      <c r="P116" s="1945"/>
      <c r="Q116" s="1946"/>
      <c r="R116" s="1946"/>
      <c r="W116" s="1946"/>
      <c r="Z116" s="1947"/>
      <c r="AF116" s="1948"/>
      <c r="AG116" s="1948"/>
      <c r="AH116" s="1948"/>
      <c r="AI116" s="1948"/>
      <c r="AJ116" s="1948"/>
      <c r="AK116" s="2121">
        <v>0</v>
      </c>
    </row>
    <row s="66852" customFormat="1" customHeight="1" ht="18.75" hidden="1">
      <c r="A117" s="3584"/>
      <c r="C117" s="1946"/>
      <c r="D117" s="1944"/>
      <c r="E117" s="1757" t="str">
        <f>FHD_NUM_P_54</f>
        <v/>
      </c>
      <c r="F117" s="3091" t="str">
        <f>FHD_P_54</f>
        <v/>
      </c>
      <c r="G117" s="3092" t="s">
        <v>609</v>
      </c>
      <c r="H117" s="2188"/>
      <c r="I117" s="1788"/>
      <c r="J117" s="13434"/>
      <c r="K117" s="13434"/>
      <c r="L117" s="13434"/>
      <c r="M117" s="13434"/>
      <c r="N117" s="13434"/>
      <c r="O117" s="1500" t="str">
        <f>FHD_NOTE_P_54</f>
        <v/>
      </c>
      <c r="P117" s="1945"/>
      <c r="Q117" s="1946"/>
      <c r="R117" s="1946"/>
      <c r="W117" s="1946"/>
      <c r="Z117" s="1947"/>
      <c r="AF117" s="1948"/>
      <c r="AG117" s="1948"/>
      <c r="AH117" s="1948"/>
      <c r="AI117" s="1948"/>
      <c r="AJ117" s="1948"/>
      <c r="AK117" s="2121">
        <v>0</v>
      </c>
    </row>
    <row s="66852" customFormat="1" customHeight="1" ht="18.75" hidden="1">
      <c r="A118" s="3584"/>
      <c r="C118" s="1946"/>
      <c r="D118" s="1949"/>
      <c r="E118" s="1757" t="str">
        <f>FHD_NUM_P_55</f>
        <v/>
      </c>
      <c r="F118" s="3091" t="str">
        <f>FHD_P_55</f>
        <v/>
      </c>
      <c r="G118" s="3095"/>
      <c r="H118" s="2188"/>
      <c r="I118" s="1788"/>
      <c r="J118" s="13434"/>
      <c r="K118" s="13434"/>
      <c r="L118" s="13434"/>
      <c r="M118" s="13434"/>
      <c r="N118" s="13434"/>
      <c r="O118" s="1500" t="str">
        <f>FHD_NOTE_P_55</f>
        <v/>
      </c>
      <c r="P118" s="1945"/>
      <c r="Q118" s="1946"/>
      <c r="R118" s="1946"/>
      <c r="W118" s="1946"/>
      <c r="Z118" s="1947"/>
      <c r="AF118" s="1948"/>
      <c r="AG118" s="1948"/>
      <c r="AH118" s="1948"/>
      <c r="AI118" s="1948"/>
      <c r="AJ118" s="1948"/>
      <c r="AK118" s="2121">
        <v>0</v>
      </c>
    </row>
    <row s="66852" customFormat="1" customHeight="1" ht="18.75" hidden="1">
      <c r="A119" s="3584"/>
      <c r="C119" s="1946"/>
      <c r="D119" s="1944"/>
      <c r="E119" s="1757" t="str">
        <f>FHD_NUM_P_56</f>
        <v/>
      </c>
      <c r="F119" s="3091" t="str">
        <f>FHD_P_56</f>
        <v/>
      </c>
      <c r="G119" s="3092" t="s">
        <v>611</v>
      </c>
      <c r="H119" s="2188"/>
      <c r="I119" s="1788"/>
      <c r="J119" s="13434"/>
      <c r="K119" s="13434"/>
      <c r="L119" s="13434"/>
      <c r="M119" s="13434"/>
      <c r="N119" s="13434"/>
      <c r="O119" s="1500" t="str">
        <f>FHD_NOTE_P_56</f>
        <v/>
      </c>
      <c r="P119" s="1945"/>
      <c r="Q119" s="1946"/>
      <c r="R119" s="1946"/>
      <c r="W119" s="1946"/>
      <c r="Z119" s="1947"/>
      <c r="AF119" s="1948"/>
      <c r="AG119" s="1948"/>
      <c r="AH119" s="1948"/>
      <c r="AI119" s="1948"/>
      <c r="AJ119" s="1948"/>
      <c r="AK119" s="2121">
        <v>0</v>
      </c>
    </row>
    <row s="66903" customFormat="1" customHeight="1" ht="18.75" hidden="1">
      <c r="A120" s="3584"/>
      <c r="B120" s="2121"/>
      <c r="C120" s="1946"/>
      <c r="D120" s="1944"/>
      <c r="E120" s="1757" t="str">
        <f>FHD_NUM_P_57</f>
        <v/>
      </c>
      <c r="F120" s="3091" t="str">
        <f>FHD_P_57</f>
        <v/>
      </c>
      <c r="G120" s="3092" t="s">
        <v>576</v>
      </c>
      <c r="H120" s="2187"/>
      <c r="I120" s="1768"/>
      <c r="J120" s="13423"/>
      <c r="K120" s="13423"/>
      <c r="L120" s="13423"/>
      <c r="M120" s="13423"/>
      <c r="N120" s="13423"/>
      <c r="O120" s="1500" t="str">
        <f>FHD_NOTE_P_57</f>
        <v/>
      </c>
      <c r="P120" s="1945"/>
      <c r="Q120" s="1946"/>
      <c r="R120" s="1946"/>
      <c r="S120" s="2121"/>
      <c r="T120" s="2121"/>
      <c r="U120" s="2121"/>
      <c r="V120" s="2121"/>
      <c r="W120" s="1946"/>
      <c r="X120" s="2121"/>
      <c r="Y120" s="2121"/>
      <c r="Z120" s="1947"/>
      <c r="AA120" s="2121"/>
      <c r="AB120" s="2121"/>
      <c r="AC120" s="2121"/>
      <c r="AD120" s="2121"/>
      <c r="AE120" s="2121"/>
      <c r="AF120" s="1948"/>
      <c r="AG120" s="1948"/>
      <c r="AH120" s="1948"/>
      <c r="AI120" s="1948"/>
      <c r="AJ120" s="1948"/>
      <c r="AK120" s="1950">
        <v>0</v>
      </c>
    </row>
    <row customHeight="1" ht="18.75" hidden="1">
      <c r="A121" s="3582" t="s">
        <v>612</v>
      </c>
      <c r="D121" s="2849"/>
      <c r="E121" s="1757" t="str">
        <f>FHD_NUM_P_58</f>
        <v/>
      </c>
      <c r="F121" s="3091" t="str">
        <f>FHD_P_58</f>
        <v/>
      </c>
      <c r="G121" s="3092" t="s">
        <v>609</v>
      </c>
      <c r="H121" s="2188"/>
      <c r="I121" s="1788"/>
      <c r="J121" s="13434"/>
      <c r="K121" s="13434"/>
      <c r="L121" s="13434"/>
      <c r="M121" s="13434"/>
      <c r="N121" s="13434"/>
      <c r="O121" s="1500" t="str">
        <f>FHD_NOTE_P_58</f>
        <v/>
      </c>
      <c r="P121" s="1754"/>
      <c r="AK121" s="2842">
        <v>0</v>
      </c>
    </row>
    <row customHeight="1" ht="18.75" hidden="1">
      <c r="A122" s="3582"/>
      <c r="D122" s="2849"/>
      <c r="E122" s="1757" t="str">
        <f>FHD_NUM_P_59</f>
        <v/>
      </c>
      <c r="F122" s="3091" t="str">
        <f>FHD_P_59</f>
        <v/>
      </c>
      <c r="G122" s="3092" t="s">
        <v>609</v>
      </c>
      <c r="H122" s="2188"/>
      <c r="I122" s="1788"/>
      <c r="J122" s="13434"/>
      <c r="K122" s="13434"/>
      <c r="L122" s="13434"/>
      <c r="M122" s="13434"/>
      <c r="N122" s="13434"/>
      <c r="O122" s="1500" t="str">
        <f>FHD_NOTE_P_59</f>
        <v/>
      </c>
      <c r="P122" s="1754"/>
      <c r="AK122" s="2842">
        <v>0</v>
      </c>
    </row>
    <row customHeight="1" ht="18.75" hidden="1">
      <c r="A123" s="3582"/>
      <c r="D123" s="2849"/>
      <c r="E123" s="1757" t="str">
        <f>FHD_NUM_P_60</f>
        <v/>
      </c>
      <c r="F123" s="3091" t="str">
        <f>FHD_P_60</f>
        <v/>
      </c>
      <c r="G123" s="3092" t="s">
        <v>609</v>
      </c>
      <c r="H123" s="2188"/>
      <c r="I123" s="1788"/>
      <c r="J123" s="13434"/>
      <c r="K123" s="13434"/>
      <c r="L123" s="13434"/>
      <c r="M123" s="13434"/>
      <c r="N123" s="13434"/>
      <c r="O123" s="1500" t="str">
        <f>FHD_NOTE_P_60</f>
        <v/>
      </c>
      <c r="P123" s="1754"/>
      <c r="AK123" s="2842">
        <v>0</v>
      </c>
    </row>
    <row s="66852" customFormat="1" customHeight="1" ht="42">
      <c r="A124" s="3582" t="s">
        <v>613</v>
      </c>
      <c r="C124" s="2847"/>
      <c r="D124" s="2849"/>
      <c r="E124" s="1757" t="str">
        <f>FHD_NUM_P_61</f>
        <v>7</v>
      </c>
      <c r="F124" s="309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24" s="3089" t="s">
        <v>574</v>
      </c>
      <c r="H124" s="2190"/>
      <c r="I124" s="1953">
        <v>1368</v>
      </c>
      <c r="J124" s="13448">
        <v>1683</v>
      </c>
      <c r="K124" s="13448">
        <v>46.01</v>
      </c>
      <c r="L124" s="13448">
        <v>0</v>
      </c>
      <c r="M124" s="13448">
        <v>0</v>
      </c>
      <c r="N124" s="13448">
        <v>0</v>
      </c>
      <c r="O124" s="150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P124" s="1754"/>
      <c r="Q124" s="2847"/>
      <c r="R124" s="2847"/>
      <c r="W124" s="2847"/>
      <c r="Z124" s="1755"/>
      <c r="AF124" s="2843"/>
      <c r="AG124" s="2843"/>
      <c r="AH124" s="2843"/>
      <c r="AI124" s="2843"/>
      <c r="AJ124" s="2843"/>
      <c r="AK124" s="2371">
        <v>0</v>
      </c>
    </row>
    <row s="65923" customFormat="1" customHeight="1" ht="0.75">
      <c r="A125" s="3582"/>
      <c r="D125" s="1759"/>
      <c r="E125" s="2224" t="str">
        <f>E124&amp;".0"</f>
        <v>7.0</v>
      </c>
      <c r="F125" s="2205"/>
      <c r="G125" s="2206"/>
      <c r="H125" s="2203"/>
      <c r="I125" s="2203"/>
      <c r="J125" s="13412"/>
      <c r="K125" s="13412"/>
      <c r="L125" s="13412"/>
      <c r="M125" s="13412"/>
      <c r="N125" s="13412"/>
      <c r="O125" s="2207"/>
      <c r="AK125" s="2847">
        <v>0</v>
      </c>
    </row>
    <row customHeight="1" ht="15">
      <c r="A126" s="3582"/>
      <c r="D126" s="2844"/>
      <c r="E126" s="2182"/>
      <c r="F126" s="2183" t="s">
        <v>614</v>
      </c>
      <c r="G126" s="1783"/>
      <c r="H126" s="1784"/>
      <c r="I126" s="1784"/>
      <c r="J126" s="13454"/>
      <c r="K126" s="13455"/>
      <c r="L126" s="13456"/>
      <c r="M126" s="13457"/>
      <c r="N126" s="13458"/>
      <c r="O126" s="2215" t="s">
        <v>615</v>
      </c>
      <c r="P126" s="1754"/>
      <c r="AK126" s="2842">
        <v>0</v>
      </c>
    </row>
    <row s="66852" customFormat="1" customHeight="1" ht="37.5">
      <c r="A127" s="3582"/>
      <c r="C127" s="2847"/>
      <c r="D127" s="2849"/>
      <c r="E127" s="1757" t="str">
        <f>FHD_NUM_P_62</f>
        <v>8</v>
      </c>
      <c r="F127" s="3091" t="str">
        <f>FHD_P_62</f>
        <v>Тепловая нагрузка по договорам, заключенным в рамках осуществления регулируемых видов деятельности</v>
      </c>
      <c r="G127" s="3088" t="s">
        <v>574</v>
      </c>
      <c r="H127" s="1768"/>
      <c r="I127" s="1768">
        <v>0</v>
      </c>
      <c r="J127" s="13366">
        <v>0</v>
      </c>
      <c r="K127" s="13366">
        <v>0</v>
      </c>
      <c r="L127" s="13366">
        <v>1572.215688</v>
      </c>
      <c r="M127" s="13366">
        <v>1480.747156</v>
      </c>
      <c r="N127" s="13366">
        <v>0</v>
      </c>
      <c r="O127" s="1500"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27" s="1754"/>
      <c r="Q127" s="2847"/>
      <c r="R127" s="2847"/>
      <c r="W127" s="2847"/>
      <c r="Z127" s="1755"/>
      <c r="AF127" s="2843"/>
      <c r="AG127" s="2843"/>
      <c r="AH127" s="2843"/>
      <c r="AI127" s="2843"/>
      <c r="AJ127" s="2843"/>
      <c r="AK127" s="2371">
        <v>0</v>
      </c>
    </row>
    <row s="66852" customFormat="1" customHeight="1" ht="45.75">
      <c r="A128" s="3582"/>
      <c r="C128" s="2847"/>
      <c r="D128" s="2849"/>
      <c r="E128" s="1757" t="str">
        <f>FHD_NUM_P_63</f>
        <v>9</v>
      </c>
      <c r="F128" s="3091" t="str">
        <f>FHD_P_63</f>
        <v>Объем вырабатываемой регулируемой организацией тепловой энергии в рамках осуществления регулируемых видов деятельности</v>
      </c>
      <c r="G128" s="3088" t="s">
        <v>611</v>
      </c>
      <c r="H128" s="1788"/>
      <c r="I128" s="1788">
        <v>2732.058372</v>
      </c>
      <c r="J128" s="13398">
        <v>2968.8</v>
      </c>
      <c r="K128" s="13398">
        <v>123.034343</v>
      </c>
      <c r="L128" s="13398">
        <v>0</v>
      </c>
      <c r="M128" s="13398">
        <v>0</v>
      </c>
      <c r="N128" s="13398">
        <v>7562.014391</v>
      </c>
      <c r="O128" s="150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28" s="1754"/>
      <c r="Q128" s="2847"/>
      <c r="R128" s="2847"/>
      <c r="W128" s="2847"/>
      <c r="Z128" s="1755"/>
      <c r="AF128" s="2843"/>
      <c r="AG128" s="2843"/>
      <c r="AH128" s="2843"/>
      <c r="AI128" s="2843"/>
      <c r="AJ128" s="2843"/>
      <c r="AK128" s="2371">
        <v>0</v>
      </c>
    </row>
    <row s="66852" customFormat="1" customHeight="1" ht="34.5">
      <c r="A129" s="3582"/>
      <c r="C129" s="2847" t="s">
        <v>22</v>
      </c>
      <c r="D129" s="2849"/>
      <c r="E129" s="1757" t="str">
        <f>FHD_NUM_P_64</f>
        <v>9.1</v>
      </c>
      <c r="F129" s="3091" t="str">
        <f>FHD_P_64</f>
        <v>Объем приобретаемой регулируемой организацией тепловой энергии в рамках осуществления регулируемых видов деятельности</v>
      </c>
      <c r="G129" s="3088" t="s">
        <v>611</v>
      </c>
      <c r="H129" s="1756"/>
      <c r="I129" s="1756"/>
      <c r="J129" s="13343"/>
      <c r="K129" s="13343"/>
      <c r="L129" s="13343" t="s">
        <v>22</v>
      </c>
      <c r="M129" s="13343"/>
      <c r="N129" s="13343"/>
      <c r="O129" s="1500" t="str">
        <f>FHD_NOTE_P_64</f>
        <v>Информация указывается только едиными теплоснабжающими организациями.</v>
      </c>
      <c r="P129" s="1754"/>
      <c r="Q129" s="2847"/>
      <c r="R129" s="2847"/>
      <c r="W129" s="2847"/>
      <c r="Z129" s="1755"/>
      <c r="AF129" s="2843"/>
      <c r="AG129" s="2843"/>
      <c r="AH129" s="2843"/>
      <c r="AI129" s="2843"/>
      <c r="AJ129" s="2843"/>
      <c r="AK129" s="2371">
        <v>0</v>
      </c>
    </row>
    <row s="66852" customFormat="1" customHeight="1" ht="43.5">
      <c r="A130" s="3582"/>
      <c r="C130" s="2847"/>
      <c r="D130" s="2849"/>
      <c r="E130" s="1757" t="str">
        <f>FHD_NUM_P_65</f>
        <v>10</v>
      </c>
      <c r="F130" s="309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30" s="3088" t="s">
        <v>611</v>
      </c>
      <c r="H130" s="1788"/>
      <c r="I130" s="1788">
        <v>0</v>
      </c>
      <c r="J130" s="13398">
        <v>0</v>
      </c>
      <c r="K130" s="13398">
        <v>0</v>
      </c>
      <c r="L130" s="13398">
        <v>2673.413562</v>
      </c>
      <c r="M130" s="13398">
        <v>2639.146554</v>
      </c>
      <c r="N130" s="13398">
        <v>7562.014391</v>
      </c>
      <c r="O130" s="150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30" s="1754"/>
      <c r="Q130" s="2847"/>
      <c r="R130" s="2847"/>
      <c r="W130" s="2847"/>
      <c r="Z130" s="1755"/>
      <c r="AF130" s="2843"/>
      <c r="AG130" s="2843"/>
      <c r="AH130" s="2843"/>
      <c r="AI130" s="2843"/>
      <c r="AJ130" s="2843"/>
      <c r="AK130" s="2371">
        <v>0</v>
      </c>
    </row>
    <row s="66852" customFormat="1" customHeight="1" ht="33">
      <c r="A131" s="3582"/>
      <c r="C131" s="2847"/>
      <c r="D131" s="2849"/>
      <c r="E131" s="1757" t="str">
        <f>FHD_NUM_P_66</f>
        <v>10.1</v>
      </c>
      <c r="F131" s="2735" t="str">
        <f>FHD_P_66</f>
        <v>По приборам учёта </v>
      </c>
      <c r="G131" s="3088" t="s">
        <v>611</v>
      </c>
      <c r="H131" s="1788"/>
      <c r="I131" s="1788">
        <v>0</v>
      </c>
      <c r="J131" s="13398">
        <v>0</v>
      </c>
      <c r="K131" s="13398">
        <v>0</v>
      </c>
      <c r="L131" s="13398">
        <v>2132.319726</v>
      </c>
      <c r="M131" s="13398">
        <v>2522.085448</v>
      </c>
      <c r="N131" s="13398">
        <v>7562.014391</v>
      </c>
      <c r="O131" s="1500" t="str">
        <f>FHD_NOTE_P_66</f>
        <v/>
      </c>
      <c r="P131" s="1754"/>
      <c r="Q131" s="2847"/>
      <c r="R131" s="2847"/>
      <c r="W131" s="2847"/>
      <c r="Z131" s="1755"/>
      <c r="AF131" s="2843"/>
      <c r="AG131" s="2843"/>
      <c r="AH131" s="2843"/>
      <c r="AI131" s="2843"/>
      <c r="AJ131" s="2843"/>
      <c r="AK131" s="2371">
        <v>0</v>
      </c>
    </row>
    <row s="66852" customFormat="1" customHeight="1" ht="40.5">
      <c r="A132" s="3582"/>
      <c r="C132" s="2847"/>
      <c r="D132" s="2849"/>
      <c r="E132" s="1757" t="str">
        <f>FHD_NUM_P_67</f>
        <v>10.1.1</v>
      </c>
      <c r="F132" s="286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32" s="3088" t="s">
        <v>611</v>
      </c>
      <c r="H132" s="1788"/>
      <c r="I132" s="1788">
        <v>0</v>
      </c>
      <c r="J132" s="13398">
        <v>0</v>
      </c>
      <c r="K132" s="13398">
        <v>0</v>
      </c>
      <c r="L132" s="13398">
        <v>0</v>
      </c>
      <c r="M132" s="13398">
        <v>0</v>
      </c>
      <c r="N132" s="13398">
        <v>0</v>
      </c>
      <c r="O132" s="1500" t="str">
        <f>FHD_NOTE_P_67</f>
        <v/>
      </c>
      <c r="P132" s="1754"/>
      <c r="Q132" s="2847"/>
      <c r="R132" s="2847"/>
      <c r="W132" s="2847"/>
      <c r="Z132" s="1755"/>
      <c r="AF132" s="2843"/>
      <c r="AG132" s="2843"/>
      <c r="AH132" s="2843"/>
      <c r="AI132" s="2843"/>
      <c r="AJ132" s="2843"/>
      <c r="AK132" s="2371">
        <v>0</v>
      </c>
    </row>
    <row s="66852" customFormat="1" customHeight="1" ht="37.5">
      <c r="A133" s="3582"/>
      <c r="C133" s="2847"/>
      <c r="D133" s="2849"/>
      <c r="E133" s="1757" t="str">
        <f>FHD_NUM_P_68</f>
        <v>10.2</v>
      </c>
      <c r="F133" s="2735" t="str">
        <f>FHD_P_68</f>
        <v>Расчётным путём</v>
      </c>
      <c r="G133" s="3088" t="s">
        <v>611</v>
      </c>
      <c r="H133" s="1788"/>
      <c r="I133" s="1788">
        <v>0</v>
      </c>
      <c r="J133" s="13398">
        <v>0</v>
      </c>
      <c r="K133" s="13398">
        <v>0</v>
      </c>
      <c r="L133" s="13398">
        <v>541.093836</v>
      </c>
      <c r="M133" s="13398">
        <v>117.061106</v>
      </c>
      <c r="N133" s="13398">
        <v>0</v>
      </c>
      <c r="O133" s="1500" t="str">
        <f>FHD_NOTE_P_68</f>
        <v/>
      </c>
      <c r="P133" s="1754"/>
      <c r="Q133" s="2847"/>
      <c r="R133" s="2847"/>
      <c r="W133" s="2847"/>
      <c r="Z133" s="1755"/>
      <c r="AF133" s="2843"/>
      <c r="AG133" s="2843"/>
      <c r="AH133" s="2843"/>
      <c r="AI133" s="2843"/>
      <c r="AJ133" s="2843"/>
      <c r="AK133" s="2371">
        <v>0</v>
      </c>
    </row>
    <row s="66852" customFormat="1" customHeight="1" ht="42">
      <c r="A134" s="3582"/>
      <c r="C134" s="2847"/>
      <c r="D134" s="2849"/>
      <c r="E134" s="1757" t="str">
        <f>FHD_NUM_P_69</f>
        <v>10.3</v>
      </c>
      <c r="F134" s="2735" t="str">
        <f>FHD_P_69</f>
        <v>По нормативам потребления коммунальных услуг и нормативам потребления коммунальных ресурсов</v>
      </c>
      <c r="G134" s="3088" t="s">
        <v>611</v>
      </c>
      <c r="H134" s="1788"/>
      <c r="I134" s="1788">
        <v>0</v>
      </c>
      <c r="J134" s="13398">
        <v>0</v>
      </c>
      <c r="K134" s="13398">
        <v>0</v>
      </c>
      <c r="L134" s="13398">
        <v>0</v>
      </c>
      <c r="M134" s="13398">
        <v>0</v>
      </c>
      <c r="N134" s="13398">
        <v>0</v>
      </c>
      <c r="O134" s="1500" t="str">
        <f>FHD_NOTE_P_69</f>
        <v/>
      </c>
      <c r="P134" s="1754"/>
      <c r="Q134" s="2847"/>
      <c r="R134" s="2847"/>
      <c r="W134" s="2847"/>
      <c r="Z134" s="1755"/>
      <c r="AF134" s="2843"/>
      <c r="AG134" s="2843"/>
      <c r="AH134" s="2843"/>
      <c r="AI134" s="2843"/>
      <c r="AJ134" s="2843"/>
      <c r="AK134" s="2371">
        <v>0</v>
      </c>
    </row>
    <row s="66852" customFormat="1" customHeight="1" ht="42">
      <c r="A135" s="3582"/>
      <c r="C135" s="2847"/>
      <c r="D135" s="2849"/>
      <c r="E135" s="1757" t="str">
        <f>FHD_NUM_P_70</f>
        <v>11</v>
      </c>
      <c r="F135" s="3091" t="str">
        <f>FHD_P_70</f>
        <v>Нормативы технологических потерь при передаче тепловой энергии, теплоносителя по тепловым сетям, утвержденные уполномоченным органом</v>
      </c>
      <c r="G135" s="3088" t="s">
        <v>616</v>
      </c>
      <c r="H135" s="1768"/>
      <c r="I135" s="1768">
        <v>0</v>
      </c>
      <c r="J135" s="13366">
        <v>0</v>
      </c>
      <c r="K135" s="13366">
        <v>42.275</v>
      </c>
      <c r="L135" s="13366">
        <v>435.144</v>
      </c>
      <c r="M135" s="13366">
        <v>395.161</v>
      </c>
      <c r="N135" s="13366">
        <v>1261922</v>
      </c>
      <c r="O135" s="1500" t="str">
        <f>FHD_NOTE_P_70</f>
        <v/>
      </c>
      <c r="P135" s="1754"/>
      <c r="Q135" s="2847"/>
      <c r="R135" s="2847"/>
      <c r="W135" s="2847"/>
      <c r="Z135" s="1755"/>
      <c r="AF135" s="2843"/>
      <c r="AG135" s="2843"/>
      <c r="AH135" s="2843"/>
      <c r="AI135" s="2843"/>
      <c r="AJ135" s="2843"/>
      <c r="AK135" s="2371">
        <v>0</v>
      </c>
    </row>
    <row s="66852" customFormat="1" customHeight="1" ht="43.5">
      <c r="A136" s="3582"/>
      <c r="C136" s="2847"/>
      <c r="D136" s="2849"/>
      <c r="E136" s="1757" t="str">
        <f>FHD_NUM_P_71</f>
        <v>12</v>
      </c>
      <c r="F136" s="3091" t="str">
        <f>FHD_P_71</f>
        <v>Фактический объем потерь при передаче тепловой энергии</v>
      </c>
      <c r="G136" s="3088" t="s">
        <v>616</v>
      </c>
      <c r="H136" s="1768"/>
      <c r="I136" s="1768">
        <v>0</v>
      </c>
      <c r="J136" s="13366">
        <v>0</v>
      </c>
      <c r="K136" s="13366">
        <v>33.227211</v>
      </c>
      <c r="L136" s="13366">
        <v>498.355</v>
      </c>
      <c r="M136" s="13366">
        <v>389.837</v>
      </c>
      <c r="N136" s="13366">
        <v>492.71306</v>
      </c>
      <c r="O136" s="1500" t="str">
        <f>FHD_NOTE_P_71</f>
        <v/>
      </c>
      <c r="P136" s="1754"/>
      <c r="Q136" s="2847"/>
      <c r="R136" s="2847"/>
      <c r="W136" s="2847"/>
      <c r="Z136" s="1755"/>
      <c r="AF136" s="2843"/>
      <c r="AG136" s="2843"/>
      <c r="AH136" s="2843"/>
      <c r="AI136" s="2843"/>
      <c r="AJ136" s="2843"/>
      <c r="AK136" s="2371">
        <v>0</v>
      </c>
    </row>
    <row customHeight="1" ht="36.75">
      <c r="D137" s="2849"/>
      <c r="E137" s="1757" t="str">
        <f>FHD_NUM_P_72</f>
        <v>13</v>
      </c>
      <c r="F137" s="3091" t="str">
        <f>FHD_P_72</f>
        <v>Среднесписочная численность основного производственного персонала</v>
      </c>
      <c r="G137" s="3087" t="s">
        <v>617</v>
      </c>
      <c r="H137" s="1788"/>
      <c r="I137" s="1788">
        <v>113.714725</v>
      </c>
      <c r="J137" s="13398">
        <v>209.425264</v>
      </c>
      <c r="K137" s="13398">
        <v>302.325</v>
      </c>
      <c r="L137" s="13398">
        <v>140.491061</v>
      </c>
      <c r="M137" s="13398">
        <v>134.720322</v>
      </c>
      <c r="N137" s="13398">
        <v>11</v>
      </c>
      <c r="O137" s="1500" t="str">
        <f>FHD_NOTE_P_72</f>
        <v/>
      </c>
      <c r="P137" s="1754"/>
      <c r="AK137" s="2842">
        <v>19</v>
      </c>
    </row>
    <row customHeight="1" ht="32.25">
      <c r="A138" s="2200" t="s">
        <v>618</v>
      </c>
      <c r="D138" s="2849"/>
      <c r="E138" s="1757" t="str">
        <f>FHD_NUM_P_73</f>
        <v>14</v>
      </c>
      <c r="F138" s="3091" t="str">
        <f>FHD_P_73</f>
        <v>Среднесписочная численность административно-управленческого персонала</v>
      </c>
      <c r="G138" s="2181" t="s">
        <v>617</v>
      </c>
      <c r="H138" s="2179"/>
      <c r="I138" s="2179">
        <v>80.50106</v>
      </c>
      <c r="J138" s="13464">
        <v>95.270207</v>
      </c>
      <c r="K138" s="13464">
        <v>31</v>
      </c>
      <c r="L138" s="13464">
        <v>51.69338</v>
      </c>
      <c r="M138" s="13464">
        <v>35.684759</v>
      </c>
      <c r="N138" s="13464">
        <v>0</v>
      </c>
      <c r="O138" s="1500" t="str">
        <f>FHD_NOTE_P_73</f>
        <v/>
      </c>
      <c r="P138" s="1754"/>
      <c r="AK138" s="2842">
        <v>0</v>
      </c>
    </row>
    <row customHeight="1" ht="33.75" hidden="1">
      <c r="A139" s="2200" t="s">
        <v>619</v>
      </c>
      <c r="D139" s="2849"/>
      <c r="E139" s="1757" t="str">
        <f>FHD_NUM_P_74</f>
        <v/>
      </c>
      <c r="F139" s="3091" t="str">
        <f>FHD_P_74</f>
        <v/>
      </c>
      <c r="G139" s="3087" t="s">
        <v>620</v>
      </c>
      <c r="H139" s="1788"/>
      <c r="I139" s="1788"/>
      <c r="J139" s="13398"/>
      <c r="K139" s="13398"/>
      <c r="L139" s="13398"/>
      <c r="M139" s="13398"/>
      <c r="N139" s="13398"/>
      <c r="O139" s="1500" t="str">
        <f>FHD_NOTE_P_74</f>
        <v/>
      </c>
      <c r="P139" s="1754"/>
      <c r="AK139" s="2842">
        <v>0</v>
      </c>
    </row>
    <row s="66903" customFormat="1" customHeight="1" ht="18.75" hidden="1">
      <c r="A140" s="3584" t="s">
        <v>621</v>
      </c>
      <c r="B140" s="2121"/>
      <c r="C140" s="1946"/>
      <c r="D140" s="1944"/>
      <c r="E140" s="1757" t="str">
        <f>FHD_NUM_P_75</f>
        <v/>
      </c>
      <c r="F140" s="3091" t="str">
        <f>FHD_P_75</f>
        <v/>
      </c>
      <c r="G140" s="3087" t="s">
        <v>576</v>
      </c>
      <c r="H140" s="1768"/>
      <c r="I140" s="1768"/>
      <c r="J140" s="13366"/>
      <c r="K140" s="13366"/>
      <c r="L140" s="13366"/>
      <c r="M140" s="13366"/>
      <c r="N140" s="13366"/>
      <c r="O140" s="1500" t="str">
        <f>FHD_NOTE_P_75</f>
        <v/>
      </c>
      <c r="P140" s="1945"/>
      <c r="Q140" s="1946"/>
      <c r="R140" s="1946"/>
      <c r="S140" s="2121"/>
      <c r="T140" s="2121"/>
      <c r="U140" s="2121"/>
      <c r="V140" s="2121"/>
      <c r="W140" s="1946"/>
      <c r="X140" s="2121"/>
      <c r="Y140" s="2121"/>
      <c r="Z140" s="1947"/>
      <c r="AA140" s="2121"/>
      <c r="AB140" s="2121"/>
      <c r="AC140" s="2121"/>
      <c r="AD140" s="2121"/>
      <c r="AE140" s="2121"/>
      <c r="AF140" s="1948"/>
      <c r="AG140" s="1948"/>
      <c r="AH140" s="1948"/>
      <c r="AI140" s="1948"/>
      <c r="AJ140" s="1948"/>
      <c r="AK140" s="1950">
        <v>0</v>
      </c>
    </row>
    <row s="66903" customFormat="1" customHeight="1" ht="18.75" hidden="1">
      <c r="A141" s="3584"/>
      <c r="B141" s="2121"/>
      <c r="C141" s="1946"/>
      <c r="D141" s="1944"/>
      <c r="E141" s="1757" t="str">
        <f>FHD_NUM_P_76</f>
        <v/>
      </c>
      <c r="F141" s="3091" t="str">
        <f>FHD_P_76</f>
        <v/>
      </c>
      <c r="G141" s="3087" t="s">
        <v>576</v>
      </c>
      <c r="H141" s="1768"/>
      <c r="I141" s="1768"/>
      <c r="J141" s="13366"/>
      <c r="K141" s="13366"/>
      <c r="L141" s="13366"/>
      <c r="M141" s="13366"/>
      <c r="N141" s="13366"/>
      <c r="O141" s="1500" t="str">
        <f>FHD_NOTE_P_76</f>
        <v/>
      </c>
      <c r="P141" s="1945"/>
      <c r="Q141" s="1946"/>
      <c r="R141" s="1946"/>
      <c r="S141" s="2121"/>
      <c r="T141" s="2121"/>
      <c r="U141" s="2121"/>
      <c r="V141" s="2121"/>
      <c r="W141" s="1946"/>
      <c r="X141" s="2121"/>
      <c r="Y141" s="2121"/>
      <c r="Z141" s="1947"/>
      <c r="AA141" s="2121"/>
      <c r="AB141" s="2121"/>
      <c r="AC141" s="2121"/>
      <c r="AD141" s="2121"/>
      <c r="AE141" s="2121"/>
      <c r="AF141" s="1948"/>
      <c r="AG141" s="1948"/>
      <c r="AH141" s="1948"/>
      <c r="AI141" s="1948"/>
      <c r="AJ141" s="1948"/>
      <c r="AK141" s="1950">
        <v>0</v>
      </c>
    </row>
    <row s="66903" customFormat="1" customHeight="1" ht="18.75" hidden="1">
      <c r="A142" s="3584"/>
      <c r="B142" s="2121"/>
      <c r="C142" s="1946"/>
      <c r="D142" s="1944"/>
      <c r="E142" s="1757" t="str">
        <f>FHD_NUM_P_77</f>
        <v/>
      </c>
      <c r="F142" s="3091" t="str">
        <f>FHD_P_77</f>
        <v/>
      </c>
      <c r="G142" s="3087" t="s">
        <v>576</v>
      </c>
      <c r="H142" s="1768"/>
      <c r="I142" s="1768"/>
      <c r="J142" s="13366"/>
      <c r="K142" s="13366"/>
      <c r="L142" s="13366"/>
      <c r="M142" s="13366"/>
      <c r="N142" s="13366"/>
      <c r="O142" s="1500" t="str">
        <f>FHD_NOTE_P_77</f>
        <v/>
      </c>
      <c r="P142" s="1945"/>
      <c r="Q142" s="1946"/>
      <c r="R142" s="1946"/>
      <c r="S142" s="2121"/>
      <c r="T142" s="2121"/>
      <c r="U142" s="2121"/>
      <c r="V142" s="2121"/>
      <c r="W142" s="1946"/>
      <c r="X142" s="2121"/>
      <c r="Y142" s="2121"/>
      <c r="Z142" s="1947"/>
      <c r="AA142" s="2121"/>
      <c r="AB142" s="2121"/>
      <c r="AC142" s="2121"/>
      <c r="AD142" s="2121"/>
      <c r="AE142" s="2121"/>
      <c r="AF142" s="1948"/>
      <c r="AG142" s="1948"/>
      <c r="AH142" s="1948"/>
      <c r="AI142" s="1948"/>
      <c r="AJ142" s="1948"/>
      <c r="AK142" s="1950">
        <v>0</v>
      </c>
    </row>
    <row s="65923" customFormat="1" customHeight="1" ht="0.75" hidden="1">
      <c r="A143" s="3584"/>
      <c r="D143" s="1759"/>
      <c r="E143" s="2224" t="str">
        <f>E142&amp;".0"</f>
        <v>.0</v>
      </c>
      <c r="F143" s="2208"/>
      <c r="G143" s="2862"/>
      <c r="H143" s="2203"/>
      <c r="I143" s="2203"/>
      <c r="J143" s="13412"/>
      <c r="K143" s="13412"/>
      <c r="L143" s="13412"/>
      <c r="M143" s="13412"/>
      <c r="N143" s="13412"/>
      <c r="O143" s="2207"/>
      <c r="AK143" s="2847">
        <v>0</v>
      </c>
    </row>
    <row s="66903" customFormat="1" customHeight="1" ht="15" hidden="1">
      <c r="A144" s="3584"/>
      <c r="B144" s="2121"/>
      <c r="C144" s="1946"/>
      <c r="D144" s="1957"/>
      <c r="E144" s="2184"/>
      <c r="F144" s="2185" t="s">
        <v>622</v>
      </c>
      <c r="G144" s="1958"/>
      <c r="H144" s="1959"/>
      <c r="I144" s="1959"/>
      <c r="J144" s="13472"/>
      <c r="K144" s="13473"/>
      <c r="L144" s="13474"/>
      <c r="M144" s="13475"/>
      <c r="N144" s="13476"/>
      <c r="O144" s="2214" t="s">
        <v>623</v>
      </c>
      <c r="P144" s="1945"/>
      <c r="Q144" s="1946"/>
      <c r="R144" s="1946"/>
      <c r="S144" s="2121"/>
      <c r="T144" s="2121"/>
      <c r="U144" s="2121"/>
      <c r="V144" s="2121"/>
      <c r="W144" s="1946"/>
      <c r="X144" s="2121"/>
      <c r="Y144" s="2121"/>
      <c r="Z144" s="1947"/>
      <c r="AA144" s="2121"/>
      <c r="AB144" s="2121"/>
      <c r="AC144" s="2121"/>
      <c r="AD144" s="2121"/>
      <c r="AE144" s="2121"/>
      <c r="AF144" s="1948"/>
      <c r="AG144" s="1948"/>
      <c r="AH144" s="1948"/>
      <c r="AI144" s="1948"/>
      <c r="AJ144" s="1948"/>
      <c r="AK144" s="1950">
        <v>0</v>
      </c>
    </row>
    <row customHeight="1" ht="66">
      <c r="A145" s="3582" t="s">
        <v>624</v>
      </c>
      <c r="D145" s="2849"/>
      <c r="E145" s="1757" t="str">
        <f>FHD_NUM_P_78</f>
        <v>15</v>
      </c>
      <c r="F145" s="309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5" s="3088" t="s">
        <v>578</v>
      </c>
      <c r="H145" s="1788"/>
      <c r="I145" s="1788">
        <f>I147</f>
        <v>135.065</v>
      </c>
      <c r="J145" s="13398">
        <v>138.564951</v>
      </c>
      <c r="K145" s="13398">
        <f>K148</f>
        <v>208.33</v>
      </c>
      <c r="L145" s="13398">
        <v>0</v>
      </c>
      <c r="M145" s="13398">
        <v>0</v>
      </c>
      <c r="N145" s="13398">
        <v>0</v>
      </c>
      <c r="O145" s="1500" t="str">
        <f>FHD_NOTE_P_78</f>
        <v/>
      </c>
      <c r="P145" s="1754"/>
      <c r="AK145" s="2842">
        <v>0</v>
      </c>
    </row>
    <row s="65923" customFormat="1" customHeight="1" ht="17.25">
      <c r="A146" s="3582"/>
      <c r="D146" s="1759"/>
      <c r="E146" s="2224" t="str">
        <f>E145&amp;".0"</f>
        <v>15.0</v>
      </c>
      <c r="F146" s="2208"/>
      <c r="G146" s="2862"/>
      <c r="H146" s="2203"/>
      <c r="I146" s="2203"/>
      <c r="J146" s="13412"/>
      <c r="K146" s="13412"/>
      <c r="L146" s="13412"/>
      <c r="M146" s="13412"/>
      <c r="N146" s="13412"/>
      <c r="O146" s="2207"/>
      <c r="AK146" s="2847">
        <v>0</v>
      </c>
    </row>
    <row s="67502" customFormat="1" customHeight="1" ht="22.5">
      <c r="A147" s="25802"/>
      <c r="B147" s="25803"/>
      <c r="C147" s="25804"/>
      <c r="D147" s="25805" t="s">
        <v>103</v>
      </c>
      <c r="E147" s="25806" t="str">
        <f>E145&amp;".1"</f>
        <v>15.1</v>
      </c>
      <c r="F147" s="25807" t="s">
        <v>625</v>
      </c>
      <c r="G147" s="25808" t="s">
        <v>578</v>
      </c>
      <c r="H147" s="25809"/>
      <c r="I147" s="25809">
        <v>135.065</v>
      </c>
      <c r="J147" s="25809"/>
      <c r="K147" s="25809"/>
      <c r="L147" s="25809"/>
      <c r="M147" s="25809"/>
      <c r="N147" s="25809"/>
      <c r="O147" s="25810" t="s">
        <v>579</v>
      </c>
      <c r="P147" s="25811"/>
      <c r="Q147" s="25804"/>
      <c r="R147" s="25804"/>
      <c r="S147" s="25803"/>
      <c r="T147" s="25803"/>
      <c r="U147" s="25803"/>
      <c r="V147" s="25803"/>
      <c r="W147" s="25804"/>
      <c r="X147" s="25803"/>
      <c r="Y147" s="25803"/>
      <c r="Z147" s="25812"/>
      <c r="AA147" s="25803"/>
      <c r="AB147" s="25803"/>
      <c r="AC147" s="25803"/>
      <c r="AD147" s="25803"/>
      <c r="AE147" s="25803"/>
      <c r="AF147" s="25813"/>
      <c r="AG147" s="25813"/>
      <c r="AH147" s="25813"/>
      <c r="AI147" s="25813"/>
      <c r="AJ147" s="25813"/>
      <c r="AK147" s="25814">
        <v>0</v>
      </c>
    </row>
    <row s="67502" customFormat="1" customHeight="1" ht="22.5">
      <c r="A148" s="25802"/>
      <c r="B148" s="25803"/>
      <c r="C148" s="25804"/>
      <c r="D148" s="25805" t="s">
        <v>103</v>
      </c>
      <c r="E148" s="25806" t="s">
        <v>626</v>
      </c>
      <c r="F148" s="25807" t="s">
        <v>627</v>
      </c>
      <c r="G148" s="25808" t="s">
        <v>578</v>
      </c>
      <c r="H148" s="25809"/>
      <c r="I148" s="25809"/>
      <c r="J148" s="25809"/>
      <c r="K148" s="25809">
        <v>208.33</v>
      </c>
      <c r="L148" s="25809"/>
      <c r="M148" s="25809"/>
      <c r="N148" s="25809"/>
      <c r="O148" s="25810" t="s">
        <v>579</v>
      </c>
      <c r="P148" s="25811"/>
      <c r="Q148" s="25804"/>
      <c r="R148" s="25804"/>
      <c r="S148" s="25803"/>
      <c r="T148" s="25803"/>
      <c r="U148" s="25803"/>
      <c r="V148" s="25803"/>
      <c r="W148" s="25804"/>
      <c r="X148" s="25803"/>
      <c r="Y148" s="25803"/>
      <c r="Z148" s="25812"/>
      <c r="AA148" s="25803"/>
      <c r="AB148" s="25803"/>
      <c r="AC148" s="25803"/>
      <c r="AD148" s="25803"/>
      <c r="AE148" s="25803"/>
      <c r="AF148" s="25813"/>
      <c r="AG148" s="25813"/>
      <c r="AH148" s="25813"/>
      <c r="AI148" s="25813"/>
      <c r="AJ148" s="25813"/>
      <c r="AK148" s="25814">
        <v>0</v>
      </c>
    </row>
    <row s="67502" customFormat="1" customHeight="1" ht="22.5">
      <c r="A149" s="25802"/>
      <c r="B149" s="25803"/>
      <c r="C149" s="25804"/>
      <c r="D149" s="25805" t="s">
        <v>103</v>
      </c>
      <c r="E149" s="25806" t="s">
        <v>628</v>
      </c>
      <c r="F149" s="25807" t="s">
        <v>629</v>
      </c>
      <c r="G149" s="25808" t="s">
        <v>578</v>
      </c>
      <c r="H149" s="25809"/>
      <c r="I149" s="25809"/>
      <c r="J149" s="25809">
        <v>144.539</v>
      </c>
      <c r="K149" s="25809"/>
      <c r="L149" s="25809"/>
      <c r="M149" s="25809"/>
      <c r="N149" s="25809"/>
      <c r="O149" s="25810" t="s">
        <v>579</v>
      </c>
      <c r="P149" s="25811"/>
      <c r="Q149" s="25804"/>
      <c r="R149" s="25804"/>
      <c r="S149" s="25803"/>
      <c r="T149" s="25803"/>
      <c r="U149" s="25803"/>
      <c r="V149" s="25803"/>
      <c r="W149" s="25804"/>
      <c r="X149" s="25803"/>
      <c r="Y149" s="25803"/>
      <c r="Z149" s="25812"/>
      <c r="AA149" s="25803"/>
      <c r="AB149" s="25803"/>
      <c r="AC149" s="25803"/>
      <c r="AD149" s="25803"/>
      <c r="AE149" s="25803"/>
      <c r="AF149" s="25813"/>
      <c r="AG149" s="25813"/>
      <c r="AH149" s="25813"/>
      <c r="AI149" s="25813"/>
      <c r="AJ149" s="25813"/>
      <c r="AK149" s="25814">
        <v>0</v>
      </c>
    </row>
    <row s="67502" customFormat="1" customHeight="1" ht="22.5">
      <c r="A150" s="25802"/>
      <c r="B150" s="25803"/>
      <c r="C150" s="25804"/>
      <c r="D150" s="25805" t="s">
        <v>103</v>
      </c>
      <c r="E150" s="25806" t="s">
        <v>630</v>
      </c>
      <c r="F150" s="25807" t="s">
        <v>631</v>
      </c>
      <c r="G150" s="25808" t="s">
        <v>578</v>
      </c>
      <c r="H150" s="25809"/>
      <c r="I150" s="25809"/>
      <c r="J150" s="25809">
        <v>134.646</v>
      </c>
      <c r="K150" s="25809"/>
      <c r="L150" s="25809"/>
      <c r="M150" s="25809"/>
      <c r="N150" s="25809"/>
      <c r="O150" s="25810" t="s">
        <v>579</v>
      </c>
      <c r="P150" s="25811"/>
      <c r="Q150" s="25804"/>
      <c r="R150" s="25804"/>
      <c r="S150" s="25803"/>
      <c r="T150" s="25803"/>
      <c r="U150" s="25803"/>
      <c r="V150" s="25803"/>
      <c r="W150" s="25804"/>
      <c r="X150" s="25803"/>
      <c r="Y150" s="25803"/>
      <c r="Z150" s="25812"/>
      <c r="AA150" s="25803"/>
      <c r="AB150" s="25803"/>
      <c r="AC150" s="25803"/>
      <c r="AD150" s="25803"/>
      <c r="AE150" s="25803"/>
      <c r="AF150" s="25813"/>
      <c r="AG150" s="25813"/>
      <c r="AH150" s="25813"/>
      <c r="AI150" s="25813"/>
      <c r="AJ150" s="25813"/>
      <c r="AK150" s="25814">
        <v>0</v>
      </c>
    </row>
    <row customHeight="1" ht="15">
      <c r="A151" s="3582"/>
      <c r="D151" s="2844"/>
      <c r="E151" s="1781"/>
      <c r="F151" s="2379" t="s">
        <v>614</v>
      </c>
      <c r="G151" s="1783"/>
      <c r="H151" s="1784"/>
      <c r="I151" s="1784"/>
      <c r="J151" s="13478"/>
      <c r="K151" s="13479"/>
      <c r="L151" s="13480"/>
      <c r="M151" s="13481"/>
      <c r="N151" s="13482"/>
      <c r="O151" s="2215" t="s">
        <v>632</v>
      </c>
      <c r="P151" s="1754"/>
      <c r="AK151" s="2842">
        <v>0</v>
      </c>
    </row>
    <row customHeight="1" ht="68.25">
      <c r="A152" s="3582"/>
      <c r="D152" s="2849"/>
      <c r="E152" s="1757" t="str">
        <f>FHD_NUM_P_79</f>
        <v>16</v>
      </c>
      <c r="F152" s="309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2" s="3089" t="s">
        <v>580</v>
      </c>
      <c r="H152" s="1788"/>
      <c r="I152" s="1788">
        <f>I154</f>
        <v>132.302356</v>
      </c>
      <c r="J152" s="13398">
        <v>138.832023</v>
      </c>
      <c r="K152" s="13398">
        <f>K155</f>
        <v>208.329753</v>
      </c>
      <c r="L152" s="13398">
        <v>0</v>
      </c>
      <c r="M152" s="13398">
        <v>0</v>
      </c>
      <c r="N152" s="13398">
        <v>0</v>
      </c>
      <c r="O152" s="150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52" s="1754"/>
      <c r="AK152" s="2842">
        <v>0</v>
      </c>
    </row>
    <row s="65923" customFormat="1" customHeight="1" ht="0.75">
      <c r="A153" s="3582"/>
      <c r="D153" s="1759"/>
      <c r="E153" s="2224" t="str">
        <f>E152&amp;".0"</f>
        <v>16.0</v>
      </c>
      <c r="F153" s="2209"/>
      <c r="G153" s="2862"/>
      <c r="H153" s="2203"/>
      <c r="I153" s="2203"/>
      <c r="J153" s="13412"/>
      <c r="K153" s="13412"/>
      <c r="L153" s="13412"/>
      <c r="M153" s="13412"/>
      <c r="N153" s="13412"/>
      <c r="O153" s="2207"/>
      <c r="AK153" s="2847">
        <v>0</v>
      </c>
    </row>
    <row s="67502" customFormat="1" customHeight="1" ht="22.5">
      <c r="A154" s="25802"/>
      <c r="B154" s="25803"/>
      <c r="C154" s="25804"/>
      <c r="D154" s="25805" t="s">
        <v>103</v>
      </c>
      <c r="E154" s="25806" t="str">
        <f>E152&amp;".1"</f>
        <v>16.1</v>
      </c>
      <c r="F154" s="25807" t="s">
        <v>625</v>
      </c>
      <c r="G154" s="25808" t="s">
        <v>580</v>
      </c>
      <c r="H154" s="25809"/>
      <c r="I154" s="25809">
        <v>132.302356</v>
      </c>
      <c r="J154" s="25809"/>
      <c r="K154" s="25809"/>
      <c r="L154" s="25809"/>
      <c r="M154" s="25809"/>
      <c r="N154" s="25809"/>
      <c r="O154" s="25810" t="s">
        <v>581</v>
      </c>
      <c r="P154" s="25811"/>
      <c r="Q154" s="25804"/>
      <c r="R154" s="25804"/>
      <c r="S154" s="25803"/>
      <c r="T154" s="25803"/>
      <c r="U154" s="25803"/>
      <c r="V154" s="25803"/>
      <c r="W154" s="25804"/>
      <c r="X154" s="25803"/>
      <c r="Y154" s="25803"/>
      <c r="Z154" s="25812"/>
      <c r="AA154" s="25803"/>
      <c r="AB154" s="25803"/>
      <c r="AC154" s="25803"/>
      <c r="AD154" s="25803"/>
      <c r="AE154" s="25803"/>
      <c r="AF154" s="25813"/>
      <c r="AG154" s="25813"/>
      <c r="AH154" s="25813"/>
      <c r="AI154" s="25813"/>
      <c r="AJ154" s="25813"/>
      <c r="AK154" s="25814">
        <v>0</v>
      </c>
    </row>
    <row s="67502" customFormat="1" customHeight="1" ht="22.5">
      <c r="A155" s="25802"/>
      <c r="B155" s="25803"/>
      <c r="C155" s="25804"/>
      <c r="D155" s="25805" t="s">
        <v>103</v>
      </c>
      <c r="E155" s="25806" t="s">
        <v>633</v>
      </c>
      <c r="F155" s="25807" t="s">
        <v>627</v>
      </c>
      <c r="G155" s="25808" t="s">
        <v>580</v>
      </c>
      <c r="H155" s="25809"/>
      <c r="I155" s="25809"/>
      <c r="J155" s="25809"/>
      <c r="K155" s="25809">
        <v>208.329753</v>
      </c>
      <c r="L155" s="25809"/>
      <c r="M155" s="25809"/>
      <c r="N155" s="25809"/>
      <c r="O155" s="25810" t="s">
        <v>581</v>
      </c>
      <c r="P155" s="25811"/>
      <c r="Q155" s="25804"/>
      <c r="R155" s="25804"/>
      <c r="S155" s="25803"/>
      <c r="T155" s="25803"/>
      <c r="U155" s="25803"/>
      <c r="V155" s="25803"/>
      <c r="W155" s="25804"/>
      <c r="X155" s="25803"/>
      <c r="Y155" s="25803"/>
      <c r="Z155" s="25812"/>
      <c r="AA155" s="25803"/>
      <c r="AB155" s="25803"/>
      <c r="AC155" s="25803"/>
      <c r="AD155" s="25803"/>
      <c r="AE155" s="25803"/>
      <c r="AF155" s="25813"/>
      <c r="AG155" s="25813"/>
      <c r="AH155" s="25813"/>
      <c r="AI155" s="25813"/>
      <c r="AJ155" s="25813"/>
      <c r="AK155" s="25814">
        <v>0</v>
      </c>
    </row>
    <row s="67502" customFormat="1" customHeight="1" ht="22.5">
      <c r="A156" s="25802"/>
      <c r="B156" s="25803"/>
      <c r="C156" s="25804"/>
      <c r="D156" s="25805" t="s">
        <v>103</v>
      </c>
      <c r="E156" s="25806" t="s">
        <v>634</v>
      </c>
      <c r="F156" s="25807" t="s">
        <v>629</v>
      </c>
      <c r="G156" s="25808" t="s">
        <v>580</v>
      </c>
      <c r="H156" s="25809"/>
      <c r="I156" s="25809"/>
      <c r="J156" s="25809">
        <v>144.694563</v>
      </c>
      <c r="K156" s="25809"/>
      <c r="L156" s="25809"/>
      <c r="M156" s="25809"/>
      <c r="N156" s="25809"/>
      <c r="O156" s="25810" t="s">
        <v>581</v>
      </c>
      <c r="P156" s="25811"/>
      <c r="Q156" s="25804"/>
      <c r="R156" s="25804"/>
      <c r="S156" s="25803"/>
      <c r="T156" s="25803"/>
      <c r="U156" s="25803"/>
      <c r="V156" s="25803"/>
      <c r="W156" s="25804"/>
      <c r="X156" s="25803"/>
      <c r="Y156" s="25803"/>
      <c r="Z156" s="25812"/>
      <c r="AA156" s="25803"/>
      <c r="AB156" s="25803"/>
      <c r="AC156" s="25803"/>
      <c r="AD156" s="25803"/>
      <c r="AE156" s="25803"/>
      <c r="AF156" s="25813"/>
      <c r="AG156" s="25813"/>
      <c r="AH156" s="25813"/>
      <c r="AI156" s="25813"/>
      <c r="AJ156" s="25813"/>
      <c r="AK156" s="25814">
        <v>0</v>
      </c>
    </row>
    <row s="67502" customFormat="1" customHeight="1" ht="22.5">
      <c r="A157" s="25802"/>
      <c r="B157" s="25803"/>
      <c r="C157" s="25804"/>
      <c r="D157" s="25805" t="s">
        <v>103</v>
      </c>
      <c r="E157" s="25806" t="s">
        <v>635</v>
      </c>
      <c r="F157" s="25807" t="s">
        <v>631</v>
      </c>
      <c r="G157" s="25808" t="s">
        <v>580</v>
      </c>
      <c r="H157" s="25809"/>
      <c r="I157" s="25809"/>
      <c r="J157" s="25809">
        <v>134.986518</v>
      </c>
      <c r="K157" s="25809"/>
      <c r="L157" s="25809"/>
      <c r="M157" s="25809"/>
      <c r="N157" s="25809"/>
      <c r="O157" s="25810" t="s">
        <v>581</v>
      </c>
      <c r="P157" s="25811"/>
      <c r="Q157" s="25804"/>
      <c r="R157" s="25804"/>
      <c r="S157" s="25803"/>
      <c r="T157" s="25803"/>
      <c r="U157" s="25803"/>
      <c r="V157" s="25803"/>
      <c r="W157" s="25804"/>
      <c r="X157" s="25803"/>
      <c r="Y157" s="25803"/>
      <c r="Z157" s="25812"/>
      <c r="AA157" s="25803"/>
      <c r="AB157" s="25803"/>
      <c r="AC157" s="25803"/>
      <c r="AD157" s="25803"/>
      <c r="AE157" s="25803"/>
      <c r="AF157" s="25813"/>
      <c r="AG157" s="25813"/>
      <c r="AH157" s="25813"/>
      <c r="AI157" s="25813"/>
      <c r="AJ157" s="25813"/>
      <c r="AK157" s="25814">
        <v>0</v>
      </c>
    </row>
    <row customHeight="1" ht="15">
      <c r="A158" s="3582"/>
      <c r="D158" s="2844"/>
      <c r="E158" s="1781"/>
      <c r="F158" s="2379" t="s">
        <v>614</v>
      </c>
      <c r="G158" s="1783"/>
      <c r="H158" s="1784"/>
      <c r="I158" s="1784"/>
      <c r="J158" s="13484"/>
      <c r="K158" s="13485"/>
      <c r="L158" s="13486"/>
      <c r="M158" s="13487"/>
      <c r="N158" s="13488"/>
      <c r="O158" s="2215" t="s">
        <v>636</v>
      </c>
      <c r="P158" s="1754"/>
      <c r="AK158" s="2842">
        <v>0</v>
      </c>
    </row>
    <row customHeight="1" ht="54">
      <c r="A159" s="3582"/>
      <c r="D159" s="2849"/>
      <c r="E159" s="1757" t="str">
        <f>FHD_NUM_P_80</f>
        <v>17</v>
      </c>
      <c r="F159" s="309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59" s="3089" t="s">
        <v>637</v>
      </c>
      <c r="H159" s="1768"/>
      <c r="I159" s="1768">
        <v>0.041</v>
      </c>
      <c r="J159" s="13366">
        <v>0.055</v>
      </c>
      <c r="K159" s="13366">
        <v>0</v>
      </c>
      <c r="L159" s="13366">
        <v>0</v>
      </c>
      <c r="M159" s="13366">
        <v>0</v>
      </c>
      <c r="N159" s="13366">
        <v>0</v>
      </c>
      <c r="O159" s="1500" t="str">
        <f>FHD_NOTE_P_80</f>
        <v>Регулируемыми организациями указывается информация с по договорам, заключенным в рамках осуществления регулируемой деятельности.</v>
      </c>
      <c r="P159" s="1754"/>
      <c r="AK159" s="2842">
        <v>0</v>
      </c>
    </row>
    <row customHeight="1" ht="47.25">
      <c r="A160" s="3582"/>
      <c r="D160" s="2849"/>
      <c r="E160" s="1757" t="str">
        <f>FHD_NUM_P_81</f>
        <v>18</v>
      </c>
      <c r="F160" s="309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60" s="3089" t="s">
        <v>638</v>
      </c>
      <c r="H160" s="1768"/>
      <c r="I160" s="1768">
        <v>16.522</v>
      </c>
      <c r="J160" s="13366">
        <v>21.567</v>
      </c>
      <c r="K160" s="13366">
        <v>0</v>
      </c>
      <c r="L160" s="13366">
        <v>0</v>
      </c>
      <c r="M160" s="13366">
        <v>0</v>
      </c>
      <c r="N160" s="13366">
        <v>0</v>
      </c>
      <c r="O160" s="1500" t="str">
        <f>FHD_NOTE_P_81</f>
        <v>Регулируемыми организациями указывается информация с по договорам, заключенным в рамках осуществления регулируемой деятельности.</v>
      </c>
      <c r="P160" s="1754"/>
      <c r="AK160" s="2842">
        <v>0</v>
      </c>
    </row>
    <row customHeight="1" ht="3">
      <c r="A161" s="3582"/>
      <c r="C161" s="2847" t="s">
        <v>606</v>
      </c>
      <c r="D161" s="2849"/>
      <c r="E161" s="1757" t="str">
        <f>FHD_NUM_P_82</f>
        <v>19</v>
      </c>
      <c r="F161" s="309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61" s="3089" t="s">
        <v>324</v>
      </c>
      <c r="H161" s="1612"/>
      <c r="I161" s="1612"/>
      <c r="J161" s="13490"/>
      <c r="K161" s="13490"/>
      <c r="L161" s="13490"/>
      <c r="M161" s="13490"/>
      <c r="N161" s="13490"/>
      <c r="O161" s="1500" t="str">
        <f>FHD_NOTE_P_82</f>
        <v>Указывается ссылка на документ, предварительно загруженный в хранилище файлов ФГИС ЕИАС.</v>
      </c>
      <c r="P161" s="1754"/>
      <c r="AK161" s="2842">
        <v>0</v>
      </c>
    </row>
    <row customHeight="1" ht="40.5">
      <c r="A162" s="3582"/>
      <c r="C162" s="2847" t="s">
        <v>606</v>
      </c>
      <c r="D162" s="2849"/>
      <c r="E162" s="1757" t="str">
        <f>FHD_NUM_P_83</f>
        <v>19.1</v>
      </c>
      <c r="F162" s="2735" t="str">
        <f>FHD_P_83</f>
        <v>Информация о показателях физического износа объектов теплоснабжения</v>
      </c>
      <c r="G162" s="3089" t="s">
        <v>324</v>
      </c>
      <c r="H162" s="1612"/>
      <c r="I162" s="1612"/>
      <c r="J162" s="13490"/>
      <c r="K162" s="13490"/>
      <c r="L162" s="13490"/>
      <c r="M162" s="13490"/>
      <c r="N162" s="13490"/>
      <c r="O162" s="1500" t="str">
        <f>FHD_NOTE_P_83</f>
        <v>Указывается ссылка на документ, предварительно загруженный в хранилище файлов ФГИС ЕИАС.</v>
      </c>
      <c r="P162" s="1754"/>
      <c r="AK162" s="2842">
        <v>0</v>
      </c>
    </row>
    <row customHeight="1" ht="25.5">
      <c r="A163" s="3582"/>
      <c r="C163" s="2847" t="s">
        <v>606</v>
      </c>
      <c r="D163" s="2849"/>
      <c r="E163" s="1757" t="str">
        <f>FHD_NUM_P_84</f>
        <v>19.2</v>
      </c>
      <c r="F163" s="2735" t="str">
        <f>FHD_P_84</f>
        <v>Информация о показателях энергетической эффективности объектов теплоснабжения</v>
      </c>
      <c r="G163" s="3089" t="s">
        <v>324</v>
      </c>
      <c r="H163" s="1612"/>
      <c r="I163" s="1612"/>
      <c r="J163" s="13490"/>
      <c r="K163" s="13490"/>
      <c r="L163" s="13490"/>
      <c r="M163" s="13490"/>
      <c r="N163" s="13490"/>
      <c r="O163" s="1500" t="str">
        <f>FHD_NOTE_P_84</f>
        <v>Указывается ссылка на документ, предварительно загруженный в хранилище файлов ФГИС ЕИАС.</v>
      </c>
      <c r="P163" s="1754"/>
      <c r="AK163" s="2842">
        <v>0</v>
      </c>
    </row>
    <row customHeight="1" ht="11.549999999999999">
      <c r="D164" s="2849"/>
      <c r="J164" s="13315"/>
      <c r="K164" s="13315"/>
      <c r="L164" s="13315"/>
      <c r="M164" s="13315"/>
      <c r="N164" s="13315"/>
      <c r="AK164" s="2842">
        <v>11</v>
      </c>
    </row>
    <row customHeight="1" ht="13.5">
      <c r="D165" s="2849"/>
      <c r="E165" s="1547"/>
      <c r="F165" s="1580"/>
      <c r="G165" s="1580"/>
      <c r="H165" s="1580"/>
      <c r="I165" s="2858"/>
      <c r="J165" s="13493"/>
      <c r="K165" s="13493"/>
      <c r="L165" s="13493"/>
      <c r="M165" s="13493"/>
      <c r="N165" s="13493"/>
      <c r="O165" s="1792"/>
      <c r="AK165" s="2842">
        <v>13</v>
      </c>
    </row>
    <row s="65897" customFormat="1" customHeight="1" ht="11.549999999999999">
      <c r="A166" s="2198"/>
      <c r="B166" s="2847"/>
      <c r="C166" s="2847"/>
      <c r="D166" s="1562"/>
      <c r="F166" s="2851"/>
      <c r="G166" s="2842"/>
      <c r="H166" s="2842"/>
      <c r="I166" s="2842"/>
      <c r="J166" s="13315"/>
      <c r="K166" s="13315"/>
      <c r="L166" s="13315"/>
      <c r="M166" s="13315"/>
      <c r="N166" s="13315"/>
      <c r="P166" s="2371"/>
      <c r="Q166" s="2847"/>
      <c r="R166" s="2847"/>
      <c r="S166" s="2371"/>
      <c r="T166" s="2371"/>
      <c r="U166" s="2371"/>
      <c r="V166" s="2371"/>
      <c r="W166" s="2847"/>
      <c r="X166" s="2371"/>
      <c r="Y166" s="2371"/>
      <c r="Z166" s="1755"/>
      <c r="AA166" s="2371"/>
      <c r="AB166" s="2371"/>
      <c r="AC166" s="2371"/>
      <c r="AD166" s="2371"/>
      <c r="AE166" s="2371"/>
      <c r="AF166" s="2843"/>
      <c r="AG166" s="1777"/>
      <c r="AH166" s="1777"/>
      <c r="AI166" s="1777"/>
      <c r="AJ166" s="1777"/>
      <c r="AK166" s="2852">
        <v>11</v>
      </c>
    </row>
    <row s="65897" customFormat="1" customHeight="1" ht="11.549999999999999">
      <c r="A167" s="2198"/>
      <c r="B167" s="2847"/>
      <c r="C167" s="2847"/>
      <c r="D167" s="1562"/>
      <c r="J167" s="13495"/>
      <c r="K167" s="13495"/>
      <c r="L167" s="13495"/>
      <c r="M167" s="13495"/>
      <c r="N167" s="13495"/>
      <c r="P167" s="2371"/>
      <c r="Q167" s="2847"/>
      <c r="R167" s="2847"/>
      <c r="S167" s="2371"/>
      <c r="T167" s="2371"/>
      <c r="U167" s="2371"/>
      <c r="V167" s="2371"/>
      <c r="W167" s="2847"/>
      <c r="X167" s="2371"/>
      <c r="Y167" s="2371"/>
      <c r="Z167" s="1755"/>
      <c r="AA167" s="2371"/>
      <c r="AB167" s="2371"/>
      <c r="AC167" s="2371"/>
      <c r="AD167" s="2371"/>
      <c r="AE167" s="2371"/>
      <c r="AF167" s="2843"/>
      <c r="AG167" s="1777"/>
      <c r="AH167" s="1777"/>
      <c r="AI167" s="1777"/>
      <c r="AJ167" s="1777"/>
      <c r="AK167" s="2852">
        <v>11</v>
      </c>
    </row>
    <row s="65897" customFormat="1" customHeight="1" ht="11.549999999999999">
      <c r="A168" s="2198"/>
      <c r="B168" s="2847"/>
      <c r="C168" s="2847"/>
      <c r="D168" s="1562"/>
      <c r="J168" s="13495"/>
      <c r="K168" s="13495"/>
      <c r="L168" s="13495"/>
      <c r="M168" s="13495"/>
      <c r="N168" s="13495"/>
      <c r="P168" s="2371"/>
      <c r="Q168" s="2847"/>
      <c r="R168" s="2847"/>
      <c r="S168" s="2371"/>
      <c r="T168" s="2371"/>
      <c r="U168" s="2371"/>
      <c r="V168" s="2371"/>
      <c r="W168" s="2847"/>
      <c r="X168" s="2371"/>
      <c r="Y168" s="2371"/>
      <c r="Z168" s="1755"/>
      <c r="AA168" s="2371"/>
      <c r="AB168" s="2371"/>
      <c r="AC168" s="2371"/>
      <c r="AD168" s="2371"/>
      <c r="AE168" s="2371"/>
      <c r="AF168" s="2843"/>
      <c r="AG168" s="1777"/>
      <c r="AH168" s="1777"/>
      <c r="AI168" s="1777"/>
      <c r="AJ168" s="1777"/>
      <c r="AK168" s="2852">
        <v>11</v>
      </c>
    </row>
    <row s="65897" customFormat="1" customHeight="1" ht="11.549999999999999">
      <c r="A169" s="2198"/>
      <c r="B169" s="2847"/>
      <c r="C169" s="2847"/>
      <c r="D169" s="1562"/>
      <c r="H169" s="1777" t="str">
        <f>IF(H30-H31&lt;&gt;H97,"WARNING","")</f>
        <v/>
      </c>
      <c r="I169" s="1777" t="str">
        <f>IF(I30-I31&lt;&gt;I97,"WARNING","")</f>
        <v/>
      </c>
      <c r="J169" s="13496" t="str">
        <f>IF(J30-J31&lt;&gt;J97,"WARNING","")</f>
        <v/>
      </c>
      <c r="K169" s="13496" t="str">
        <f>IF(K30-K31&lt;&gt;K97,"WARNING","")</f>
        <v/>
      </c>
      <c r="L169" s="13496" t="str">
        <f>IF(L30-L31&lt;&gt;L97,"WARNING","")</f>
        <v/>
      </c>
      <c r="M169" s="13496" t="str">
        <f>IF(M30-M31&lt;&gt;M97,"WARNING","")</f>
        <v/>
      </c>
      <c r="N169" s="13496" t="str">
        <f>IF(N30-N31&lt;&gt;N97,"WARNING","")</f>
        <v/>
      </c>
      <c r="P169" s="2371"/>
      <c r="Q169" s="2847"/>
      <c r="R169" s="2847"/>
      <c r="S169" s="2371"/>
      <c r="T169" s="2371"/>
      <c r="U169" s="2371"/>
      <c r="V169" s="2371"/>
      <c r="W169" s="2847"/>
      <c r="X169" s="2371"/>
      <c r="Y169" s="2371"/>
      <c r="Z169" s="1755"/>
      <c r="AA169" s="2371"/>
      <c r="AB169" s="2371"/>
      <c r="AC169" s="2371"/>
      <c r="AD169" s="2371"/>
      <c r="AE169" s="2371"/>
      <c r="AF169" s="2843"/>
      <c r="AG169" s="1777"/>
      <c r="AH169" s="1777"/>
      <c r="AI169" s="1777"/>
      <c r="AJ169" s="1777"/>
      <c r="AK169" s="2852">
        <v>11</v>
      </c>
    </row>
    <row s="65897" customFormat="1" customHeight="1" ht="11.549999999999999">
      <c r="A170" s="2198"/>
      <c r="B170" s="2847"/>
      <c r="C170" s="2847"/>
      <c r="D170" s="1562"/>
      <c r="J170" s="13495"/>
      <c r="K170" s="13495"/>
      <c r="L170" s="13495"/>
      <c r="M170" s="13495"/>
      <c r="N170" s="13495"/>
      <c r="P170" s="2371"/>
      <c r="Q170" s="2847"/>
      <c r="R170" s="2847"/>
      <c r="S170" s="2371"/>
      <c r="T170" s="2371"/>
      <c r="U170" s="2371"/>
      <c r="V170" s="2371"/>
      <c r="W170" s="2847"/>
      <c r="X170" s="2371"/>
      <c r="Y170" s="2371"/>
      <c r="Z170" s="1755"/>
      <c r="AA170" s="2371"/>
      <c r="AB170" s="2371"/>
      <c r="AC170" s="2371"/>
      <c r="AD170" s="2371"/>
      <c r="AE170" s="2371"/>
      <c r="AF170" s="2843"/>
      <c r="AG170" s="1777"/>
      <c r="AH170" s="1777"/>
      <c r="AI170" s="1777"/>
      <c r="AJ170" s="1777"/>
      <c r="AK170" s="2852">
        <v>11</v>
      </c>
    </row>
    <row s="65897" customFormat="1" customHeight="1" ht="11.549999999999999">
      <c r="A171" s="2198"/>
      <c r="B171" s="2847"/>
      <c r="C171" s="2847"/>
      <c r="D171" s="1562"/>
      <c r="J171" s="13495"/>
      <c r="K171" s="13495"/>
      <c r="L171" s="13495"/>
      <c r="M171" s="13495"/>
      <c r="N171" s="13495"/>
      <c r="P171" s="2371"/>
      <c r="Q171" s="2847"/>
      <c r="R171" s="2847"/>
      <c r="S171" s="2371"/>
      <c r="T171" s="2371"/>
      <c r="U171" s="2371"/>
      <c r="V171" s="2371"/>
      <c r="W171" s="2847"/>
      <c r="X171" s="2371"/>
      <c r="Y171" s="2371"/>
      <c r="Z171" s="1755"/>
      <c r="AA171" s="2371"/>
      <c r="AB171" s="2371"/>
      <c r="AC171" s="2371"/>
      <c r="AD171" s="2371"/>
      <c r="AE171" s="2371"/>
      <c r="AF171" s="2843"/>
      <c r="AG171" s="1777"/>
      <c r="AH171" s="1777"/>
      <c r="AI171" s="1777"/>
      <c r="AJ171" s="1777"/>
      <c r="AK171" s="2852">
        <v>11</v>
      </c>
    </row>
    <row s="65897" customFormat="1" customHeight="1" ht="11.549999999999999">
      <c r="A172" s="2198"/>
      <c r="B172" s="2847"/>
      <c r="C172" s="2847"/>
      <c r="D172" s="1562"/>
      <c r="J172" s="13495"/>
      <c r="K172" s="13495"/>
      <c r="L172" s="13495"/>
      <c r="M172" s="13495"/>
      <c r="N172" s="13495"/>
      <c r="P172" s="2371"/>
      <c r="Q172" s="2847"/>
      <c r="R172" s="2847"/>
      <c r="S172" s="2371"/>
      <c r="T172" s="2371"/>
      <c r="U172" s="2371"/>
      <c r="V172" s="2371"/>
      <c r="W172" s="2847"/>
      <c r="X172" s="2371"/>
      <c r="Y172" s="2371"/>
      <c r="Z172" s="1755"/>
      <c r="AA172" s="2371"/>
      <c r="AB172" s="2371"/>
      <c r="AC172" s="2371"/>
      <c r="AD172" s="2371"/>
      <c r="AE172" s="2371"/>
      <c r="AF172" s="2843"/>
      <c r="AG172" s="1777"/>
      <c r="AH172" s="1777"/>
      <c r="AI172" s="1777"/>
      <c r="AJ172" s="1777"/>
      <c r="AK172" s="2852">
        <v>11</v>
      </c>
    </row>
    <row s="65897" customFormat="1" customHeight="1" ht="11.549999999999999">
      <c r="A173" s="2198"/>
      <c r="B173" s="2847"/>
      <c r="C173" s="2847"/>
      <c r="D173" s="1562"/>
      <c r="J173" s="13495"/>
      <c r="K173" s="13495"/>
      <c r="L173" s="13495"/>
      <c r="M173" s="13495"/>
      <c r="N173" s="13495"/>
      <c r="P173" s="2371"/>
      <c r="Q173" s="2847"/>
      <c r="R173" s="2847"/>
      <c r="S173" s="2371"/>
      <c r="T173" s="2371"/>
      <c r="U173" s="2371"/>
      <c r="V173" s="2371"/>
      <c r="W173" s="2847"/>
      <c r="X173" s="2371"/>
      <c r="Y173" s="2371"/>
      <c r="Z173" s="1755"/>
      <c r="AA173" s="2371"/>
      <c r="AB173" s="2371"/>
      <c r="AC173" s="2371"/>
      <c r="AD173" s="2371"/>
      <c r="AE173" s="2371"/>
      <c r="AF173" s="2843"/>
      <c r="AG173" s="1777"/>
      <c r="AH173" s="1777"/>
      <c r="AI173" s="1777"/>
      <c r="AJ173" s="1777"/>
      <c r="AK173" s="2852">
        <v>11</v>
      </c>
    </row>
    <row s="65897" customFormat="1" customHeight="1" ht="11.549999999999999">
      <c r="A174" s="2198"/>
      <c r="B174" s="2847"/>
      <c r="C174" s="2847"/>
      <c r="D174" s="1562"/>
      <c r="J174" s="13495"/>
      <c r="K174" s="13495"/>
      <c r="L174" s="13495"/>
      <c r="M174" s="13495"/>
      <c r="N174" s="13495"/>
      <c r="P174" s="2371"/>
      <c r="Q174" s="2847"/>
      <c r="R174" s="2847"/>
      <c r="S174" s="2371"/>
      <c r="T174" s="2371"/>
      <c r="U174" s="2371"/>
      <c r="V174" s="2371"/>
      <c r="W174" s="2847"/>
      <c r="X174" s="2371"/>
      <c r="Y174" s="2371"/>
      <c r="Z174" s="1755"/>
      <c r="AA174" s="2371"/>
      <c r="AB174" s="2371"/>
      <c r="AC174" s="2371"/>
      <c r="AD174" s="2371"/>
      <c r="AE174" s="2371"/>
      <c r="AF174" s="2843"/>
      <c r="AG174" s="1777"/>
      <c r="AH174" s="1777"/>
      <c r="AI174" s="1777"/>
      <c r="AJ174" s="1777"/>
      <c r="AK174" s="2852">
        <v>11</v>
      </c>
    </row>
    <row s="65897" customFormat="1" customHeight="1" ht="11.549999999999999">
      <c r="A175" s="2198"/>
      <c r="B175" s="2847"/>
      <c r="C175" s="2847"/>
      <c r="D175" s="1562"/>
      <c r="J175" s="13495"/>
      <c r="K175" s="13495"/>
      <c r="L175" s="13495"/>
      <c r="M175" s="13495"/>
      <c r="N175" s="13495"/>
      <c r="P175" s="2371"/>
      <c r="Q175" s="2847"/>
      <c r="R175" s="2847"/>
      <c r="S175" s="2371"/>
      <c r="T175" s="2371"/>
      <c r="U175" s="2371"/>
      <c r="V175" s="2371"/>
      <c r="W175" s="2847"/>
      <c r="X175" s="2371"/>
      <c r="Y175" s="2371"/>
      <c r="Z175" s="1755"/>
      <c r="AA175" s="2371"/>
      <c r="AB175" s="2371"/>
      <c r="AC175" s="2371"/>
      <c r="AD175" s="2371"/>
      <c r="AE175" s="2371"/>
      <c r="AF175" s="2843"/>
      <c r="AG175" s="1777"/>
      <c r="AH175" s="1777"/>
      <c r="AI175" s="1777"/>
      <c r="AJ175" s="1777"/>
      <c r="AK175" s="2852">
        <v>11</v>
      </c>
    </row>
    <row s="65897" customFormat="1" customHeight="1" ht="11.549999999999999">
      <c r="A176" s="2198"/>
      <c r="B176" s="2847"/>
      <c r="C176" s="2847"/>
      <c r="D176" s="1562"/>
      <c r="J176" s="13495"/>
      <c r="K176" s="13495"/>
      <c r="L176" s="13495"/>
      <c r="M176" s="13495"/>
      <c r="N176" s="13495"/>
      <c r="P176" s="2371"/>
      <c r="Q176" s="2847"/>
      <c r="R176" s="2847"/>
      <c r="S176" s="2371"/>
      <c r="T176" s="2371"/>
      <c r="U176" s="2371"/>
      <c r="V176" s="2371"/>
      <c r="W176" s="2847"/>
      <c r="X176" s="2371"/>
      <c r="Y176" s="2371"/>
      <c r="Z176" s="1755"/>
      <c r="AA176" s="2371"/>
      <c r="AB176" s="2371"/>
      <c r="AC176" s="2371"/>
      <c r="AD176" s="2371"/>
      <c r="AE176" s="2371"/>
      <c r="AF176" s="2843"/>
      <c r="AG176" s="1777"/>
      <c r="AH176" s="1777"/>
      <c r="AI176" s="1777"/>
      <c r="AJ176" s="1777"/>
      <c r="AK176" s="2852">
        <v>11</v>
      </c>
    </row>
    <row s="65897" customFormat="1" customHeight="1" ht="11.549999999999999">
      <c r="A177" s="2198"/>
      <c r="B177" s="2847"/>
      <c r="C177" s="2847"/>
      <c r="D177" s="1562"/>
      <c r="J177" s="13495"/>
      <c r="K177" s="13495"/>
      <c r="L177" s="13495"/>
      <c r="M177" s="13495"/>
      <c r="N177" s="13495"/>
      <c r="P177" s="2371"/>
      <c r="Q177" s="2847"/>
      <c r="R177" s="2847"/>
      <c r="S177" s="2371"/>
      <c r="T177" s="2371"/>
      <c r="U177" s="2371"/>
      <c r="V177" s="2371"/>
      <c r="W177" s="2847"/>
      <c r="X177" s="2371"/>
      <c r="Y177" s="2371"/>
      <c r="Z177" s="1755"/>
      <c r="AA177" s="2371"/>
      <c r="AB177" s="2371"/>
      <c r="AC177" s="2371"/>
      <c r="AD177" s="2371"/>
      <c r="AE177" s="2371"/>
      <c r="AF177" s="2843"/>
      <c r="AG177" s="1777"/>
      <c r="AH177" s="1777"/>
      <c r="AI177" s="1777"/>
      <c r="AJ177" s="1777"/>
      <c r="AK177" s="2852">
        <v>11</v>
      </c>
    </row>
    <row s="65897" customFormat="1" customHeight="1" ht="11.549999999999999">
      <c r="A178" s="2198"/>
      <c r="B178" s="2847"/>
      <c r="C178" s="2847"/>
      <c r="D178" s="1562"/>
      <c r="J178" s="13495"/>
      <c r="K178" s="13495"/>
      <c r="L178" s="13495"/>
      <c r="M178" s="13495"/>
      <c r="N178" s="13495"/>
      <c r="P178" s="2371"/>
      <c r="Q178" s="2847"/>
      <c r="R178" s="2847"/>
      <c r="S178" s="2371"/>
      <c r="T178" s="2371"/>
      <c r="U178" s="2371"/>
      <c r="V178" s="2371"/>
      <c r="W178" s="2847"/>
      <c r="X178" s="2371"/>
      <c r="Y178" s="2371"/>
      <c r="Z178" s="1755"/>
      <c r="AA178" s="2371"/>
      <c r="AB178" s="2371"/>
      <c r="AC178" s="2371"/>
      <c r="AD178" s="2371"/>
      <c r="AE178" s="2371"/>
      <c r="AF178" s="2843"/>
      <c r="AG178" s="1777"/>
      <c r="AH178" s="1777"/>
      <c r="AI178" s="1777"/>
      <c r="AJ178" s="1777"/>
      <c r="AK178" s="2852">
        <v>11</v>
      </c>
    </row>
    <row s="65897" customFormat="1" customHeight="1" ht="11.549999999999999">
      <c r="A179" s="2198"/>
      <c r="B179" s="2847"/>
      <c r="C179" s="2847"/>
      <c r="D179" s="1562"/>
      <c r="J179" s="13495"/>
      <c r="K179" s="13495"/>
      <c r="L179" s="13495"/>
      <c r="M179" s="13495"/>
      <c r="N179" s="13495"/>
      <c r="P179" s="2371"/>
      <c r="Q179" s="2847"/>
      <c r="R179" s="2847"/>
      <c r="S179" s="2371"/>
      <c r="T179" s="2371"/>
      <c r="U179" s="2371"/>
      <c r="V179" s="2371"/>
      <c r="W179" s="2847"/>
      <c r="X179" s="2371"/>
      <c r="Y179" s="2371"/>
      <c r="Z179" s="1755"/>
      <c r="AA179" s="2371"/>
      <c r="AB179" s="2371"/>
      <c r="AC179" s="2371"/>
      <c r="AD179" s="2371"/>
      <c r="AE179" s="2371"/>
      <c r="AF179" s="2843"/>
      <c r="AG179" s="1777"/>
      <c r="AH179" s="1777"/>
      <c r="AI179" s="1777"/>
      <c r="AJ179" s="1777"/>
      <c r="AK179" s="2852">
        <v>11</v>
      </c>
    </row>
    <row s="65897" customFormat="1" customHeight="1" ht="11.549999999999999">
      <c r="A180" s="2198"/>
      <c r="B180" s="2847"/>
      <c r="C180" s="2847"/>
      <c r="D180" s="1562"/>
      <c r="J180" s="13495"/>
      <c r="K180" s="13495"/>
      <c r="L180" s="13495"/>
      <c r="M180" s="13495"/>
      <c r="N180" s="13495"/>
      <c r="P180" s="2371"/>
      <c r="Q180" s="2847"/>
      <c r="R180" s="2847"/>
      <c r="S180" s="2371"/>
      <c r="T180" s="2371"/>
      <c r="U180" s="2371"/>
      <c r="V180" s="2371"/>
      <c r="W180" s="2847"/>
      <c r="X180" s="2371"/>
      <c r="Y180" s="2371"/>
      <c r="Z180" s="1755"/>
      <c r="AA180" s="2371"/>
      <c r="AB180" s="2371"/>
      <c r="AC180" s="2371"/>
      <c r="AD180" s="2371"/>
      <c r="AE180" s="2371"/>
      <c r="AF180" s="2843"/>
      <c r="AG180" s="1777"/>
      <c r="AH180" s="1777"/>
      <c r="AI180" s="1777"/>
      <c r="AJ180" s="1777"/>
      <c r="AK180" s="2852">
        <v>11</v>
      </c>
    </row>
    <row s="65897" customFormat="1" customHeight="1" ht="11.549999999999999">
      <c r="A181" s="2198"/>
      <c r="B181" s="2847"/>
      <c r="C181" s="2847"/>
      <c r="D181" s="1562"/>
      <c r="J181" s="13495"/>
      <c r="K181" s="13495"/>
      <c r="L181" s="13495"/>
      <c r="M181" s="13495"/>
      <c r="N181" s="13495"/>
      <c r="P181" s="2371"/>
      <c r="Q181" s="2847"/>
      <c r="R181" s="2847"/>
      <c r="S181" s="2371"/>
      <c r="T181" s="2371"/>
      <c r="U181" s="2371"/>
      <c r="V181" s="2371"/>
      <c r="W181" s="2847"/>
      <c r="X181" s="2371"/>
      <c r="Y181" s="2371"/>
      <c r="Z181" s="1755"/>
      <c r="AA181" s="2371"/>
      <c r="AB181" s="2371"/>
      <c r="AC181" s="2371"/>
      <c r="AD181" s="2371"/>
      <c r="AE181" s="2371"/>
      <c r="AF181" s="2843"/>
      <c r="AG181" s="1777"/>
      <c r="AH181" s="1777"/>
      <c r="AI181" s="1777"/>
      <c r="AJ181" s="1777"/>
      <c r="AK181" s="2852">
        <v>11</v>
      </c>
    </row>
    <row s="65897" customFormat="1" customHeight="1" ht="11.549999999999999">
      <c r="A182" s="2198"/>
      <c r="B182" s="2847"/>
      <c r="C182" s="2847"/>
      <c r="D182" s="1562"/>
      <c r="J182" s="13495"/>
      <c r="K182" s="13495"/>
      <c r="L182" s="13495"/>
      <c r="M182" s="13495"/>
      <c r="N182" s="13495"/>
      <c r="P182" s="2371"/>
      <c r="Q182" s="2847"/>
      <c r="R182" s="2847"/>
      <c r="S182" s="2371"/>
      <c r="T182" s="2371"/>
      <c r="U182" s="2371"/>
      <c r="V182" s="2371"/>
      <c r="W182" s="2847"/>
      <c r="X182" s="2371"/>
      <c r="Y182" s="2371"/>
      <c r="Z182" s="1755"/>
      <c r="AA182" s="2371"/>
      <c r="AB182" s="2371"/>
      <c r="AC182" s="2371"/>
      <c r="AD182" s="2371"/>
      <c r="AE182" s="2371"/>
      <c r="AF182" s="2843"/>
      <c r="AG182" s="1777"/>
      <c r="AH182" s="1777"/>
      <c r="AI182" s="1777"/>
      <c r="AJ182" s="1777"/>
      <c r="AK182" s="2852">
        <v>11</v>
      </c>
    </row>
    <row s="65897" customFormat="1" customHeight="1" ht="11.549999999999999">
      <c r="A183" s="2198"/>
      <c r="B183" s="2847"/>
      <c r="C183" s="2847"/>
      <c r="D183" s="1562"/>
      <c r="J183" s="13495"/>
      <c r="K183" s="13495"/>
      <c r="L183" s="13495"/>
      <c r="M183" s="13495"/>
      <c r="N183" s="13495"/>
      <c r="P183" s="2371"/>
      <c r="Q183" s="2847"/>
      <c r="R183" s="2847"/>
      <c r="S183" s="2371"/>
      <c r="T183" s="2371"/>
      <c r="U183" s="2371"/>
      <c r="V183" s="2371"/>
      <c r="W183" s="2847"/>
      <c r="X183" s="2371"/>
      <c r="Y183" s="2371"/>
      <c r="Z183" s="1755"/>
      <c r="AA183" s="2371"/>
      <c r="AB183" s="2371"/>
      <c r="AC183" s="2371"/>
      <c r="AD183" s="2371"/>
      <c r="AE183" s="2371"/>
      <c r="AF183" s="2843"/>
      <c r="AG183" s="1777"/>
      <c r="AH183" s="1777"/>
      <c r="AI183" s="1777"/>
      <c r="AJ183" s="1777"/>
      <c r="AK183" s="2852">
        <v>11</v>
      </c>
    </row>
    <row s="65897" customFormat="1" customHeight="1" ht="11.549999999999999">
      <c r="A184" s="2198"/>
      <c r="B184" s="2847"/>
      <c r="C184" s="2847"/>
      <c r="D184" s="1562"/>
      <c r="J184" s="13495"/>
      <c r="K184" s="13495"/>
      <c r="L184" s="13495"/>
      <c r="M184" s="13495"/>
      <c r="N184" s="13495"/>
      <c r="P184" s="2371"/>
      <c r="Q184" s="2847"/>
      <c r="R184" s="2847"/>
      <c r="S184" s="2371"/>
      <c r="T184" s="2371"/>
      <c r="U184" s="2371"/>
      <c r="V184" s="2371"/>
      <c r="W184" s="2847"/>
      <c r="X184" s="2371"/>
      <c r="Y184" s="2371"/>
      <c r="Z184" s="1755"/>
      <c r="AA184" s="2371"/>
      <c r="AB184" s="2371"/>
      <c r="AC184" s="2371"/>
      <c r="AD184" s="2371"/>
      <c r="AE184" s="2371"/>
      <c r="AF184" s="2843"/>
      <c r="AG184" s="1777"/>
      <c r="AH184" s="1777"/>
      <c r="AI184" s="1777"/>
      <c r="AJ184" s="1777"/>
      <c r="AK184" s="2852">
        <v>11</v>
      </c>
    </row>
    <row s="65897" customFormat="1" customHeight="1" ht="11.549999999999999">
      <c r="A185" s="2198"/>
      <c r="B185" s="2847"/>
      <c r="C185" s="2847"/>
      <c r="D185" s="1562"/>
      <c r="J185" s="13495"/>
      <c r="K185" s="13495"/>
      <c r="L185" s="13495"/>
      <c r="M185" s="13495"/>
      <c r="N185" s="13495"/>
      <c r="P185" s="2371"/>
      <c r="Q185" s="2847"/>
      <c r="R185" s="2847"/>
      <c r="S185" s="2371"/>
      <c r="T185" s="2371"/>
      <c r="U185" s="2371"/>
      <c r="V185" s="2371"/>
      <c r="W185" s="2847"/>
      <c r="X185" s="2371"/>
      <c r="Y185" s="2371"/>
      <c r="Z185" s="1755"/>
      <c r="AA185" s="2371"/>
      <c r="AB185" s="2371"/>
      <c r="AC185" s="2371"/>
      <c r="AD185" s="2371"/>
      <c r="AE185" s="2371"/>
      <c r="AF185" s="2843"/>
      <c r="AG185" s="1777"/>
      <c r="AH185" s="1777"/>
      <c r="AI185" s="1777"/>
      <c r="AJ185" s="1777"/>
      <c r="AK185" s="2852">
        <v>11</v>
      </c>
    </row>
    <row s="65897" customFormat="1" customHeight="1" ht="11.549999999999999">
      <c r="A186" s="2198"/>
      <c r="B186" s="2847"/>
      <c r="C186" s="2847"/>
      <c r="D186" s="1562"/>
      <c r="J186" s="13495"/>
      <c r="K186" s="13495"/>
      <c r="L186" s="13495"/>
      <c r="M186" s="13495"/>
      <c r="N186" s="13495"/>
      <c r="P186" s="2371"/>
      <c r="Q186" s="2847"/>
      <c r="R186" s="2847"/>
      <c r="S186" s="2371"/>
      <c r="T186" s="2371"/>
      <c r="U186" s="2371"/>
      <c r="V186" s="2371"/>
      <c r="W186" s="2847"/>
      <c r="X186" s="2371"/>
      <c r="Y186" s="2371"/>
      <c r="Z186" s="1755"/>
      <c r="AA186" s="2371"/>
      <c r="AB186" s="2371"/>
      <c r="AC186" s="2371"/>
      <c r="AD186" s="2371"/>
      <c r="AE186" s="2371"/>
      <c r="AF186" s="2843"/>
      <c r="AG186" s="1777"/>
      <c r="AH186" s="1777"/>
      <c r="AI186" s="1777"/>
      <c r="AJ186" s="1777"/>
      <c r="AK186" s="2852">
        <v>11</v>
      </c>
    </row>
    <row s="65897" customFormat="1" customHeight="1" ht="11.549999999999999">
      <c r="A187" s="2198"/>
      <c r="B187" s="2847"/>
      <c r="C187" s="2847"/>
      <c r="D187" s="1562"/>
      <c r="J187" s="13495"/>
      <c r="K187" s="13495"/>
      <c r="L187" s="13495"/>
      <c r="M187" s="13495"/>
      <c r="N187" s="13495"/>
      <c r="P187" s="2371"/>
      <c r="Q187" s="2847"/>
      <c r="R187" s="2847"/>
      <c r="S187" s="2371"/>
      <c r="T187" s="2371"/>
      <c r="U187" s="2371"/>
      <c r="V187" s="2371"/>
      <c r="W187" s="2847"/>
      <c r="X187" s="2371"/>
      <c r="Y187" s="2371"/>
      <c r="Z187" s="1755"/>
      <c r="AA187" s="2371"/>
      <c r="AB187" s="2371"/>
      <c r="AC187" s="2371"/>
      <c r="AD187" s="2371"/>
      <c r="AE187" s="2371"/>
      <c r="AF187" s="2843"/>
      <c r="AG187" s="1777"/>
      <c r="AH187" s="1777"/>
      <c r="AI187" s="1777"/>
      <c r="AJ187" s="1777"/>
      <c r="AK187" s="2852">
        <v>11</v>
      </c>
    </row>
    <row s="65897" customFormat="1" customHeight="1" ht="11.549999999999999">
      <c r="A188" s="2198"/>
      <c r="B188" s="2847"/>
      <c r="C188" s="2847"/>
      <c r="D188" s="1562"/>
      <c r="J188" s="13495"/>
      <c r="K188" s="13495"/>
      <c r="L188" s="13495"/>
      <c r="M188" s="13495"/>
      <c r="N188" s="13495"/>
      <c r="P188" s="2371"/>
      <c r="Q188" s="2847"/>
      <c r="R188" s="2847"/>
      <c r="S188" s="2371"/>
      <c r="T188" s="2371"/>
      <c r="U188" s="2371"/>
      <c r="V188" s="2371"/>
      <c r="W188" s="2847"/>
      <c r="X188" s="2371"/>
      <c r="Y188" s="2371"/>
      <c r="Z188" s="1755"/>
      <c r="AA188" s="2371"/>
      <c r="AB188" s="2371"/>
      <c r="AC188" s="2371"/>
      <c r="AD188" s="2371"/>
      <c r="AE188" s="2371"/>
      <c r="AF188" s="2843"/>
      <c r="AG188" s="1777"/>
      <c r="AH188" s="1777"/>
      <c r="AI188" s="1777"/>
      <c r="AJ188" s="1777"/>
      <c r="AK188" s="2852">
        <v>11</v>
      </c>
    </row>
    <row s="65897" customFormat="1" customHeight="1" ht="11.549999999999999">
      <c r="A189" s="2198"/>
      <c r="B189" s="2847"/>
      <c r="C189" s="2847"/>
      <c r="D189" s="1562"/>
      <c r="J189" s="13495"/>
      <c r="K189" s="13495"/>
      <c r="L189" s="13495"/>
      <c r="M189" s="13495"/>
      <c r="N189" s="13495"/>
      <c r="P189" s="2371"/>
      <c r="Q189" s="2847"/>
      <c r="R189" s="2847"/>
      <c r="S189" s="2371"/>
      <c r="T189" s="2371"/>
      <c r="U189" s="2371"/>
      <c r="V189" s="2371"/>
      <c r="W189" s="2847"/>
      <c r="X189" s="2371"/>
      <c r="Y189" s="2371"/>
      <c r="Z189" s="1755"/>
      <c r="AA189" s="2371"/>
      <c r="AB189" s="2371"/>
      <c r="AC189" s="2371"/>
      <c r="AD189" s="2371"/>
      <c r="AE189" s="2371"/>
      <c r="AF189" s="2843"/>
      <c r="AG189" s="1777"/>
      <c r="AH189" s="1777"/>
      <c r="AI189" s="1777"/>
      <c r="AJ189" s="1777"/>
      <c r="AK189" s="2852">
        <v>11</v>
      </c>
    </row>
    <row s="65897" customFormat="1" customHeight="1" ht="11.549999999999999">
      <c r="A190" s="2198"/>
      <c r="B190" s="2847"/>
      <c r="C190" s="2847"/>
      <c r="D190" s="1562"/>
      <c r="J190" s="13495"/>
      <c r="K190" s="13495"/>
      <c r="L190" s="13495"/>
      <c r="M190" s="13495"/>
      <c r="N190" s="13495"/>
      <c r="P190" s="2371"/>
      <c r="Q190" s="2847"/>
      <c r="R190" s="2847"/>
      <c r="S190" s="2371"/>
      <c r="T190" s="2371"/>
      <c r="U190" s="2371"/>
      <c r="V190" s="2371"/>
      <c r="W190" s="2847"/>
      <c r="X190" s="2371"/>
      <c r="Y190" s="2371"/>
      <c r="Z190" s="1755"/>
      <c r="AA190" s="2371"/>
      <c r="AB190" s="2371"/>
      <c r="AC190" s="2371"/>
      <c r="AD190" s="2371"/>
      <c r="AE190" s="2371"/>
      <c r="AF190" s="2843"/>
      <c r="AG190" s="1777"/>
      <c r="AH190" s="1777"/>
      <c r="AI190" s="1777"/>
      <c r="AJ190" s="1777"/>
      <c r="AK190" s="2852">
        <v>11</v>
      </c>
    </row>
    <row s="65897" customFormat="1" customHeight="1" ht="11.549999999999999">
      <c r="A191" s="2198"/>
      <c r="B191" s="2847"/>
      <c r="C191" s="2847"/>
      <c r="D191" s="1562"/>
      <c r="J191" s="13495"/>
      <c r="K191" s="13495"/>
      <c r="L191" s="13495"/>
      <c r="M191" s="13495"/>
      <c r="N191" s="13495"/>
      <c r="P191" s="2371"/>
      <c r="Q191" s="2847"/>
      <c r="R191" s="2847"/>
      <c r="S191" s="2371"/>
      <c r="T191" s="2371"/>
      <c r="U191" s="2371"/>
      <c r="V191" s="2371"/>
      <c r="W191" s="2847"/>
      <c r="X191" s="2371"/>
      <c r="Y191" s="2371"/>
      <c r="Z191" s="1755"/>
      <c r="AA191" s="2371"/>
      <c r="AB191" s="2371"/>
      <c r="AC191" s="2371"/>
      <c r="AD191" s="2371"/>
      <c r="AE191" s="2371"/>
      <c r="AF191" s="2843"/>
      <c r="AG191" s="1777"/>
      <c r="AH191" s="1777"/>
      <c r="AI191" s="1777"/>
      <c r="AJ191" s="1777"/>
      <c r="AK191" s="2852">
        <v>11</v>
      </c>
    </row>
    <row s="65897" customFormat="1" customHeight="1" ht="11.549999999999999">
      <c r="A192" s="2198"/>
      <c r="B192" s="2847"/>
      <c r="C192" s="2847"/>
      <c r="D192" s="1562"/>
      <c r="J192" s="13495"/>
      <c r="K192" s="13495"/>
      <c r="L192" s="13495"/>
      <c r="M192" s="13495"/>
      <c r="N192" s="13495"/>
      <c r="P192" s="2371"/>
      <c r="Q192" s="2847"/>
      <c r="R192" s="2847"/>
      <c r="S192" s="2371"/>
      <c r="T192" s="2371"/>
      <c r="U192" s="2371"/>
      <c r="V192" s="2371"/>
      <c r="W192" s="2847"/>
      <c r="X192" s="2371"/>
      <c r="Y192" s="2371"/>
      <c r="Z192" s="1755"/>
      <c r="AA192" s="2371"/>
      <c r="AB192" s="2371"/>
      <c r="AC192" s="2371"/>
      <c r="AD192" s="2371"/>
      <c r="AE192" s="2371"/>
      <c r="AF192" s="2843"/>
      <c r="AG192" s="1777"/>
      <c r="AH192" s="1777"/>
      <c r="AI192" s="1777"/>
      <c r="AJ192" s="1777"/>
      <c r="AK192" s="2852">
        <v>11</v>
      </c>
    </row>
    <row s="65897" customFormat="1" customHeight="1" ht="11.549999999999999">
      <c r="A193" s="2198"/>
      <c r="B193" s="2847"/>
      <c r="C193" s="2847"/>
      <c r="D193" s="1562"/>
      <c r="J193" s="13495"/>
      <c r="K193" s="13495"/>
      <c r="L193" s="13495"/>
      <c r="M193" s="13495"/>
      <c r="N193" s="13495"/>
      <c r="P193" s="2371"/>
      <c r="Q193" s="2847"/>
      <c r="R193" s="2847"/>
      <c r="S193" s="2371"/>
      <c r="T193" s="2371"/>
      <c r="U193" s="2371"/>
      <c r="V193" s="2371"/>
      <c r="W193" s="2847"/>
      <c r="X193" s="2371"/>
      <c r="Y193" s="2371"/>
      <c r="Z193" s="1755"/>
      <c r="AA193" s="2371"/>
      <c r="AB193" s="2371"/>
      <c r="AC193" s="2371"/>
      <c r="AD193" s="2371"/>
      <c r="AE193" s="2371"/>
      <c r="AF193" s="2843"/>
      <c r="AG193" s="1777"/>
      <c r="AH193" s="1777"/>
      <c r="AI193" s="1777"/>
      <c r="AJ193" s="1777"/>
      <c r="AK193" s="2852">
        <v>11</v>
      </c>
    </row>
    <row s="65897" customFormat="1" customHeight="1" ht="11.549999999999999">
      <c r="A194" s="2198"/>
      <c r="B194" s="2847"/>
      <c r="C194" s="2847"/>
      <c r="D194" s="1562"/>
      <c r="J194" s="13495"/>
      <c r="K194" s="13495"/>
      <c r="L194" s="13495"/>
      <c r="M194" s="13495"/>
      <c r="N194" s="13495"/>
      <c r="P194" s="2371"/>
      <c r="Q194" s="2847"/>
      <c r="R194" s="2847"/>
      <c r="S194" s="2371"/>
      <c r="T194" s="2371"/>
      <c r="U194" s="2371"/>
      <c r="V194" s="2371"/>
      <c r="W194" s="2847"/>
      <c r="X194" s="2371"/>
      <c r="Y194" s="2371"/>
      <c r="Z194" s="1755"/>
      <c r="AA194" s="2371"/>
      <c r="AB194" s="2371"/>
      <c r="AC194" s="2371"/>
      <c r="AD194" s="2371"/>
      <c r="AE194" s="2371"/>
      <c r="AF194" s="2843"/>
      <c r="AG194" s="1777"/>
      <c r="AH194" s="1777"/>
      <c r="AI194" s="1777"/>
      <c r="AJ194" s="1777"/>
      <c r="AK194" s="2852">
        <v>11</v>
      </c>
    </row>
    <row s="65897" customFormat="1" customHeight="1" ht="11.549999999999999">
      <c r="A195" s="2198"/>
      <c r="B195" s="2847"/>
      <c r="C195" s="2847"/>
      <c r="D195" s="1562"/>
      <c r="J195" s="13495"/>
      <c r="K195" s="13495"/>
      <c r="L195" s="13495"/>
      <c r="M195" s="13495"/>
      <c r="N195" s="13495"/>
      <c r="P195" s="2371"/>
      <c r="Q195" s="2847"/>
      <c r="R195" s="2847"/>
      <c r="S195" s="2371"/>
      <c r="T195" s="2371"/>
      <c r="U195" s="2371"/>
      <c r="V195" s="2371"/>
      <c r="W195" s="2847"/>
      <c r="X195" s="2371"/>
      <c r="Y195" s="2371"/>
      <c r="Z195" s="1755"/>
      <c r="AA195" s="2371"/>
      <c r="AB195" s="2371"/>
      <c r="AC195" s="2371"/>
      <c r="AD195" s="2371"/>
      <c r="AE195" s="2371"/>
      <c r="AF195" s="2843"/>
      <c r="AG195" s="1777"/>
      <c r="AH195" s="1777"/>
      <c r="AI195" s="1777"/>
      <c r="AJ195" s="1777"/>
      <c r="AK195" s="2852">
        <v>11</v>
      </c>
    </row>
    <row s="65897" customFormat="1" customHeight="1" ht="11.549999999999999">
      <c r="A196" s="2198"/>
      <c r="B196" s="2847"/>
      <c r="C196" s="2847"/>
      <c r="D196" s="1562"/>
      <c r="J196" s="13495"/>
      <c r="K196" s="13495"/>
      <c r="L196" s="13495"/>
      <c r="M196" s="13495"/>
      <c r="N196" s="13495"/>
      <c r="P196" s="2371"/>
      <c r="Q196" s="2847"/>
      <c r="R196" s="2847"/>
      <c r="S196" s="2371"/>
      <c r="T196" s="2371"/>
      <c r="U196" s="2371"/>
      <c r="V196" s="2371"/>
      <c r="W196" s="2847"/>
      <c r="X196" s="2371"/>
      <c r="Y196" s="2371"/>
      <c r="Z196" s="1755"/>
      <c r="AA196" s="2371"/>
      <c r="AB196" s="2371"/>
      <c r="AC196" s="2371"/>
      <c r="AD196" s="2371"/>
      <c r="AE196" s="2371"/>
      <c r="AF196" s="2843"/>
      <c r="AG196" s="1777"/>
      <c r="AH196" s="1777"/>
      <c r="AI196" s="1777"/>
      <c r="AJ196" s="1777"/>
      <c r="AK196" s="2852">
        <v>11</v>
      </c>
    </row>
    <row s="65897" customFormat="1" customHeight="1" ht="11.549999999999999">
      <c r="A197" s="2198"/>
      <c r="B197" s="2847"/>
      <c r="C197" s="2847"/>
      <c r="D197" s="1562"/>
      <c r="J197" s="13495"/>
      <c r="K197" s="13495"/>
      <c r="L197" s="13495"/>
      <c r="M197" s="13495"/>
      <c r="N197" s="13495"/>
      <c r="P197" s="2371"/>
      <c r="Q197" s="2847"/>
      <c r="R197" s="2847"/>
      <c r="S197" s="2371"/>
      <c r="T197" s="2371"/>
      <c r="U197" s="2371"/>
      <c r="V197" s="2371"/>
      <c r="W197" s="2847"/>
      <c r="X197" s="2371"/>
      <c r="Y197" s="2371"/>
      <c r="Z197" s="1755"/>
      <c r="AA197" s="2371"/>
      <c r="AB197" s="2371"/>
      <c r="AC197" s="2371"/>
      <c r="AD197" s="2371"/>
      <c r="AE197" s="2371"/>
      <c r="AF197" s="2843"/>
      <c r="AG197" s="1777"/>
      <c r="AH197" s="1777"/>
      <c r="AI197" s="1777"/>
      <c r="AJ197" s="1777"/>
      <c r="AK197" s="2852">
        <v>11</v>
      </c>
    </row>
    <row s="65897" customFormat="1" customHeight="1" ht="11.549999999999999">
      <c r="A198" s="2198"/>
      <c r="B198" s="2847"/>
      <c r="C198" s="2847"/>
      <c r="D198" s="1562"/>
      <c r="J198" s="13495"/>
      <c r="K198" s="13495"/>
      <c r="L198" s="13495"/>
      <c r="M198" s="13495"/>
      <c r="N198" s="13495"/>
      <c r="P198" s="2371"/>
      <c r="Q198" s="2847"/>
      <c r="R198" s="2847"/>
      <c r="S198" s="2371"/>
      <c r="T198" s="2371"/>
      <c r="U198" s="2371"/>
      <c r="V198" s="2371"/>
      <c r="W198" s="2847"/>
      <c r="X198" s="2371"/>
      <c r="Y198" s="2371"/>
      <c r="Z198" s="1755"/>
      <c r="AA198" s="2371"/>
      <c r="AB198" s="2371"/>
      <c r="AC198" s="2371"/>
      <c r="AD198" s="2371"/>
      <c r="AE198" s="2371"/>
      <c r="AF198" s="2843"/>
      <c r="AG198" s="1777"/>
      <c r="AH198" s="1777"/>
      <c r="AI198" s="1777"/>
      <c r="AJ198" s="1777"/>
      <c r="AK198" s="2852">
        <v>11</v>
      </c>
    </row>
    <row s="65897" customFormat="1" customHeight="1" ht="11.549999999999999">
      <c r="A199" s="2198"/>
      <c r="B199" s="2847"/>
      <c r="C199" s="2847"/>
      <c r="D199" s="1562"/>
      <c r="J199" s="13495"/>
      <c r="K199" s="13495"/>
      <c r="L199" s="13495"/>
      <c r="M199" s="13495"/>
      <c r="N199" s="13495"/>
      <c r="P199" s="2371"/>
      <c r="Q199" s="2847"/>
      <c r="R199" s="2847"/>
      <c r="S199" s="2371"/>
      <c r="T199" s="2371"/>
      <c r="U199" s="2371"/>
      <c r="V199" s="2371"/>
      <c r="W199" s="2847"/>
      <c r="X199" s="2371"/>
      <c r="Y199" s="2371"/>
      <c r="Z199" s="1755"/>
      <c r="AA199" s="2371"/>
      <c r="AB199" s="2371"/>
      <c r="AC199" s="2371"/>
      <c r="AD199" s="2371"/>
      <c r="AE199" s="2371"/>
      <c r="AF199" s="2843"/>
      <c r="AG199" s="1777"/>
      <c r="AH199" s="1777"/>
      <c r="AI199" s="1777"/>
      <c r="AJ199" s="1777"/>
      <c r="AK199" s="2852">
        <v>11</v>
      </c>
    </row>
    <row s="65897" customFormat="1" customHeight="1" ht="11.549999999999999">
      <c r="A200" s="2198"/>
      <c r="B200" s="2847"/>
      <c r="C200" s="2847"/>
      <c r="D200" s="1562"/>
      <c r="J200" s="13495"/>
      <c r="K200" s="13495"/>
      <c r="L200" s="13495"/>
      <c r="M200" s="13495"/>
      <c r="N200" s="13495"/>
      <c r="P200" s="2371"/>
      <c r="Q200" s="2847"/>
      <c r="R200" s="2847"/>
      <c r="S200" s="2371"/>
      <c r="T200" s="2371"/>
      <c r="U200" s="2371"/>
      <c r="V200" s="2371"/>
      <c r="W200" s="2847"/>
      <c r="X200" s="2371"/>
      <c r="Y200" s="2371"/>
      <c r="Z200" s="1755"/>
      <c r="AA200" s="2371"/>
      <c r="AB200" s="2371"/>
      <c r="AC200" s="2371"/>
      <c r="AD200" s="2371"/>
      <c r="AE200" s="2371"/>
      <c r="AF200" s="2843"/>
      <c r="AG200" s="1777"/>
      <c r="AH200" s="1777"/>
      <c r="AI200" s="1777"/>
      <c r="AJ200" s="1777"/>
      <c r="AK200" s="2852">
        <v>11</v>
      </c>
    </row>
    <row s="65897" customFormat="1" customHeight="1" ht="11.549999999999999">
      <c r="A201" s="2198"/>
      <c r="B201" s="2847"/>
      <c r="C201" s="2847"/>
      <c r="D201" s="1562"/>
      <c r="J201" s="13495"/>
      <c r="K201" s="13495"/>
      <c r="L201" s="13495"/>
      <c r="M201" s="13495"/>
      <c r="N201" s="13495"/>
      <c r="P201" s="2371"/>
      <c r="Q201" s="2847"/>
      <c r="R201" s="2847"/>
      <c r="S201" s="2371"/>
      <c r="T201" s="2371"/>
      <c r="U201" s="2371"/>
      <c r="V201" s="2371"/>
      <c r="W201" s="2847"/>
      <c r="X201" s="2371"/>
      <c r="Y201" s="2371"/>
      <c r="Z201" s="1755"/>
      <c r="AA201" s="2371"/>
      <c r="AB201" s="2371"/>
      <c r="AC201" s="2371"/>
      <c r="AD201" s="2371"/>
      <c r="AE201" s="2371"/>
      <c r="AF201" s="2843"/>
      <c r="AG201" s="1777"/>
      <c r="AH201" s="1777"/>
      <c r="AI201" s="1777"/>
      <c r="AJ201" s="1777"/>
      <c r="AK201" s="2852">
        <v>11</v>
      </c>
    </row>
    <row s="65897" customFormat="1" customHeight="1" ht="11.549999999999999">
      <c r="A202" s="2198"/>
      <c r="B202" s="2847"/>
      <c r="C202" s="2847"/>
      <c r="D202" s="1562"/>
      <c r="J202" s="13495"/>
      <c r="K202" s="13495"/>
      <c r="L202" s="13495"/>
      <c r="M202" s="13495"/>
      <c r="N202" s="13495"/>
      <c r="P202" s="2371"/>
      <c r="Q202" s="2847"/>
      <c r="R202" s="2847"/>
      <c r="S202" s="2371"/>
      <c r="T202" s="2371"/>
      <c r="U202" s="2371"/>
      <c r="V202" s="2371"/>
      <c r="W202" s="2847"/>
      <c r="X202" s="2371"/>
      <c r="Y202" s="2371"/>
      <c r="Z202" s="1755"/>
      <c r="AA202" s="2371"/>
      <c r="AB202" s="2371"/>
      <c r="AC202" s="2371"/>
      <c r="AD202" s="2371"/>
      <c r="AE202" s="2371"/>
      <c r="AF202" s="2843"/>
      <c r="AG202" s="1777"/>
      <c r="AH202" s="1777"/>
      <c r="AI202" s="1777"/>
      <c r="AJ202" s="1777"/>
      <c r="AK202" s="2852">
        <v>11</v>
      </c>
    </row>
    <row s="65897" customFormat="1" customHeight="1" ht="11.549999999999999">
      <c r="A203" s="2198"/>
      <c r="B203" s="2847"/>
      <c r="C203" s="2847"/>
      <c r="D203" s="1562"/>
      <c r="J203" s="13495"/>
      <c r="K203" s="13495"/>
      <c r="L203" s="13495"/>
      <c r="M203" s="13495"/>
      <c r="N203" s="13495"/>
      <c r="P203" s="2371"/>
      <c r="Q203" s="2847"/>
      <c r="R203" s="2847"/>
      <c r="S203" s="2371"/>
      <c r="T203" s="2371"/>
      <c r="U203" s="2371"/>
      <c r="V203" s="2371"/>
      <c r="W203" s="2847"/>
      <c r="X203" s="2371"/>
      <c r="Y203" s="2371"/>
      <c r="Z203" s="1755"/>
      <c r="AA203" s="2371"/>
      <c r="AB203" s="2371"/>
      <c r="AC203" s="2371"/>
      <c r="AD203" s="2371"/>
      <c r="AE203" s="2371"/>
      <c r="AF203" s="2843"/>
      <c r="AG203" s="1777"/>
      <c r="AH203" s="1777"/>
      <c r="AI203" s="1777"/>
      <c r="AJ203" s="1777"/>
      <c r="AK203" s="2852">
        <v>11</v>
      </c>
    </row>
    <row s="65897" customFormat="1" customHeight="1" ht="11.549999999999999">
      <c r="A204" s="2198"/>
      <c r="B204" s="2847"/>
      <c r="C204" s="2847"/>
      <c r="D204" s="1562"/>
      <c r="J204" s="13495"/>
      <c r="K204" s="13495"/>
      <c r="L204" s="13495"/>
      <c r="M204" s="13495"/>
      <c r="N204" s="13495"/>
      <c r="P204" s="2371"/>
      <c r="Q204" s="2847"/>
      <c r="R204" s="2847"/>
      <c r="S204" s="2371"/>
      <c r="T204" s="2371"/>
      <c r="U204" s="2371"/>
      <c r="V204" s="2371"/>
      <c r="W204" s="2847"/>
      <c r="X204" s="2371"/>
      <c r="Y204" s="2371"/>
      <c r="Z204" s="1755"/>
      <c r="AA204" s="2371"/>
      <c r="AB204" s="2371"/>
      <c r="AC204" s="2371"/>
      <c r="AD204" s="2371"/>
      <c r="AE204" s="2371"/>
      <c r="AF204" s="2843"/>
      <c r="AG204" s="1777"/>
      <c r="AH204" s="1777"/>
      <c r="AI204" s="1777"/>
      <c r="AJ204" s="1777"/>
      <c r="AK204" s="2852">
        <v>11</v>
      </c>
    </row>
    <row s="65897" customFormat="1" customHeight="1" ht="11.549999999999999">
      <c r="A205" s="2198"/>
      <c r="B205" s="2847"/>
      <c r="C205" s="2847"/>
      <c r="D205" s="1562"/>
      <c r="J205" s="13495"/>
      <c r="K205" s="13495"/>
      <c r="L205" s="13495"/>
      <c r="M205" s="13495"/>
      <c r="N205" s="13495"/>
      <c r="P205" s="2371"/>
      <c r="Q205" s="2847"/>
      <c r="R205" s="2847"/>
      <c r="S205" s="2371"/>
      <c r="T205" s="2371"/>
      <c r="U205" s="2371"/>
      <c r="V205" s="2371"/>
      <c r="W205" s="2847"/>
      <c r="X205" s="2371"/>
      <c r="Y205" s="2371"/>
      <c r="Z205" s="1755"/>
      <c r="AA205" s="2371"/>
      <c r="AB205" s="2371"/>
      <c r="AC205" s="2371"/>
      <c r="AD205" s="2371"/>
      <c r="AE205" s="2371"/>
      <c r="AF205" s="2843"/>
      <c r="AG205" s="1777"/>
      <c r="AH205" s="1777"/>
      <c r="AI205" s="1777"/>
      <c r="AJ205" s="1777"/>
      <c r="AK205" s="2852">
        <v>11</v>
      </c>
    </row>
    <row s="65897" customFormat="1" customHeight="1" ht="11.549999999999999">
      <c r="A206" s="2198"/>
      <c r="B206" s="2847"/>
      <c r="C206" s="2847"/>
      <c r="D206" s="1562"/>
      <c r="J206" s="13495"/>
      <c r="K206" s="13495"/>
      <c r="L206" s="13495"/>
      <c r="M206" s="13495"/>
      <c r="N206" s="13495"/>
      <c r="P206" s="2371"/>
      <c r="Q206" s="2847"/>
      <c r="R206" s="2847"/>
      <c r="S206" s="2371"/>
      <c r="T206" s="2371"/>
      <c r="U206" s="2371"/>
      <c r="V206" s="2371"/>
      <c r="W206" s="2847"/>
      <c r="X206" s="2371"/>
      <c r="Y206" s="2371"/>
      <c r="Z206" s="1755"/>
      <c r="AA206" s="2371"/>
      <c r="AB206" s="2371"/>
      <c r="AC206" s="2371"/>
      <c r="AD206" s="2371"/>
      <c r="AE206" s="2371"/>
      <c r="AF206" s="2843"/>
      <c r="AG206" s="1777"/>
      <c r="AH206" s="1777"/>
      <c r="AI206" s="1777"/>
      <c r="AJ206" s="1777"/>
      <c r="AK206" s="2852">
        <v>11</v>
      </c>
    </row>
    <row s="65897" customFormat="1" customHeight="1" ht="11.549999999999999">
      <c r="A207" s="2198"/>
      <c r="B207" s="2847"/>
      <c r="C207" s="2847"/>
      <c r="D207" s="1562"/>
      <c r="J207" s="13495"/>
      <c r="K207" s="13495"/>
      <c r="L207" s="13495"/>
      <c r="M207" s="13495"/>
      <c r="N207" s="13495"/>
      <c r="P207" s="2371"/>
      <c r="Q207" s="2847"/>
      <c r="R207" s="2847"/>
      <c r="S207" s="2371"/>
      <c r="T207" s="2371"/>
      <c r="U207" s="2371"/>
      <c r="V207" s="2371"/>
      <c r="W207" s="2847"/>
      <c r="X207" s="2371"/>
      <c r="Y207" s="2371"/>
      <c r="Z207" s="1755"/>
      <c r="AA207" s="2371"/>
      <c r="AB207" s="2371"/>
      <c r="AC207" s="2371"/>
      <c r="AD207" s="2371"/>
      <c r="AE207" s="2371"/>
      <c r="AF207" s="2843"/>
      <c r="AG207" s="1777"/>
      <c r="AH207" s="1777"/>
      <c r="AI207" s="1777"/>
      <c r="AJ207" s="1777"/>
      <c r="AK207" s="2852">
        <v>11</v>
      </c>
    </row>
    <row s="65897" customFormat="1" customHeight="1" ht="11.549999999999999">
      <c r="A208" s="2198"/>
      <c r="B208" s="2847"/>
      <c r="C208" s="2847"/>
      <c r="D208" s="1562"/>
      <c r="J208" s="13495"/>
      <c r="K208" s="13495"/>
      <c r="L208" s="13495"/>
      <c r="M208" s="13495"/>
      <c r="N208" s="13495"/>
      <c r="P208" s="2371"/>
      <c r="Q208" s="2847"/>
      <c r="R208" s="2847"/>
      <c r="S208" s="2371"/>
      <c r="T208" s="2371"/>
      <c r="U208" s="2371"/>
      <c r="V208" s="2371"/>
      <c r="W208" s="2847"/>
      <c r="X208" s="2371"/>
      <c r="Y208" s="2371"/>
      <c r="Z208" s="1755"/>
      <c r="AA208" s="2371"/>
      <c r="AB208" s="2371"/>
      <c r="AC208" s="2371"/>
      <c r="AD208" s="2371"/>
      <c r="AE208" s="2371"/>
      <c r="AF208" s="2843"/>
      <c r="AG208" s="1777"/>
      <c r="AH208" s="1777"/>
      <c r="AI208" s="1777"/>
      <c r="AJ208" s="1777"/>
      <c r="AK208" s="2852">
        <v>11</v>
      </c>
    </row>
    <row s="65897" customFormat="1" customHeight="1" ht="11.549999999999999">
      <c r="A209" s="2198"/>
      <c r="B209" s="2847"/>
      <c r="C209" s="2847"/>
      <c r="D209" s="1562"/>
      <c r="J209" s="13495"/>
      <c r="K209" s="13495"/>
      <c r="L209" s="13495"/>
      <c r="M209" s="13495"/>
      <c r="N209" s="13495"/>
      <c r="P209" s="2371"/>
      <c r="Q209" s="2847"/>
      <c r="R209" s="2847"/>
      <c r="S209" s="2371"/>
      <c r="T209" s="2371"/>
      <c r="U209" s="2371"/>
      <c r="V209" s="2371"/>
      <c r="W209" s="2847"/>
      <c r="X209" s="2371"/>
      <c r="Y209" s="2371"/>
      <c r="Z209" s="1755"/>
      <c r="AA209" s="2371"/>
      <c r="AB209" s="2371"/>
      <c r="AC209" s="2371"/>
      <c r="AD209" s="2371"/>
      <c r="AE209" s="2371"/>
      <c r="AF209" s="2843"/>
      <c r="AG209" s="1777"/>
      <c r="AH209" s="1777"/>
      <c r="AI209" s="1777"/>
      <c r="AJ209" s="1777"/>
      <c r="AK209" s="2852">
        <v>11</v>
      </c>
    </row>
    <row s="65897" customFormat="1" customHeight="1" ht="11.549999999999999">
      <c r="A210" s="2198"/>
      <c r="B210" s="2847"/>
      <c r="C210" s="2847"/>
      <c r="D210" s="1562"/>
      <c r="J210" s="13495"/>
      <c r="K210" s="13495"/>
      <c r="L210" s="13495"/>
      <c r="M210" s="13495"/>
      <c r="N210" s="13495"/>
      <c r="P210" s="2371"/>
      <c r="Q210" s="2847"/>
      <c r="R210" s="2847"/>
      <c r="S210" s="2371"/>
      <c r="T210" s="2371"/>
      <c r="U210" s="2371"/>
      <c r="V210" s="2371"/>
      <c r="W210" s="2847"/>
      <c r="X210" s="2371"/>
      <c r="Y210" s="2371"/>
      <c r="Z210" s="1755"/>
      <c r="AA210" s="2371"/>
      <c r="AB210" s="2371"/>
      <c r="AC210" s="2371"/>
      <c r="AD210" s="2371"/>
      <c r="AE210" s="2371"/>
      <c r="AF210" s="2843"/>
      <c r="AG210" s="1777"/>
      <c r="AH210" s="1777"/>
      <c r="AI210" s="1777"/>
      <c r="AJ210" s="1777"/>
      <c r="AK210" s="2852">
        <v>11</v>
      </c>
    </row>
    <row s="65897" customFormat="1" customHeight="1" ht="11.549999999999999">
      <c r="A211" s="2198"/>
      <c r="B211" s="2847"/>
      <c r="C211" s="2847"/>
      <c r="D211" s="1562"/>
      <c r="J211" s="13495"/>
      <c r="K211" s="13495"/>
      <c r="L211" s="13495"/>
      <c r="M211" s="13495"/>
      <c r="N211" s="13495"/>
      <c r="P211" s="2371"/>
      <c r="Q211" s="2847"/>
      <c r="R211" s="2847"/>
      <c r="S211" s="2371"/>
      <c r="T211" s="2371"/>
      <c r="U211" s="2371"/>
      <c r="V211" s="2371"/>
      <c r="W211" s="2847"/>
      <c r="X211" s="2371"/>
      <c r="Y211" s="2371"/>
      <c r="Z211" s="1755"/>
      <c r="AA211" s="2371"/>
      <c r="AB211" s="2371"/>
      <c r="AC211" s="2371"/>
      <c r="AD211" s="2371"/>
      <c r="AE211" s="2371"/>
      <c r="AF211" s="2843"/>
      <c r="AG211" s="1777"/>
      <c r="AH211" s="1777"/>
      <c r="AI211" s="1777"/>
      <c r="AJ211" s="1777"/>
      <c r="AK211" s="2852">
        <v>11</v>
      </c>
    </row>
    <row s="65897" customFormat="1" customHeight="1" ht="11.549999999999999">
      <c r="A212" s="2198"/>
      <c r="B212" s="2847"/>
      <c r="C212" s="2847"/>
      <c r="D212" s="1562"/>
      <c r="J212" s="13495"/>
      <c r="K212" s="13495"/>
      <c r="L212" s="13495"/>
      <c r="M212" s="13495"/>
      <c r="N212" s="13495"/>
      <c r="P212" s="2371"/>
      <c r="Q212" s="2847"/>
      <c r="R212" s="2847"/>
      <c r="S212" s="2371"/>
      <c r="T212" s="2371"/>
      <c r="U212" s="2371"/>
      <c r="V212" s="2371"/>
      <c r="W212" s="2847"/>
      <c r="X212" s="2371"/>
      <c r="Y212" s="2371"/>
      <c r="Z212" s="1755"/>
      <c r="AA212" s="2371"/>
      <c r="AB212" s="2371"/>
      <c r="AC212" s="2371"/>
      <c r="AD212" s="2371"/>
      <c r="AE212" s="2371"/>
      <c r="AF212" s="2843"/>
      <c r="AG212" s="1777"/>
      <c r="AH212" s="1777"/>
      <c r="AI212" s="1777"/>
      <c r="AJ212" s="1777"/>
      <c r="AK212" s="2852">
        <v>11</v>
      </c>
    </row>
    <row s="65897" customFormat="1" customHeight="1" ht="11.549999999999999">
      <c r="A213" s="2198"/>
      <c r="B213" s="2847"/>
      <c r="C213" s="2847"/>
      <c r="D213" s="1562"/>
      <c r="J213" s="13495"/>
      <c r="K213" s="13495"/>
      <c r="L213" s="13495"/>
      <c r="M213" s="13495"/>
      <c r="N213" s="13495"/>
      <c r="P213" s="2371"/>
      <c r="Q213" s="2847"/>
      <c r="R213" s="2847"/>
      <c r="S213" s="2371"/>
      <c r="T213" s="2371"/>
      <c r="U213" s="2371"/>
      <c r="V213" s="2371"/>
      <c r="W213" s="2847"/>
      <c r="X213" s="2371"/>
      <c r="Y213" s="2371"/>
      <c r="Z213" s="1755"/>
      <c r="AA213" s="2371"/>
      <c r="AB213" s="2371"/>
      <c r="AC213" s="2371"/>
      <c r="AD213" s="2371"/>
      <c r="AE213" s="2371"/>
      <c r="AF213" s="2843"/>
      <c r="AG213" s="1777"/>
      <c r="AH213" s="1777"/>
      <c r="AI213" s="1777"/>
      <c r="AJ213" s="1777"/>
      <c r="AK213" s="2852">
        <v>11</v>
      </c>
    </row>
    <row s="65897" customFormat="1" customHeight="1" ht="11.549999999999999">
      <c r="A214" s="2198"/>
      <c r="B214" s="2847"/>
      <c r="C214" s="2847"/>
      <c r="D214" s="1562"/>
      <c r="J214" s="13495"/>
      <c r="K214" s="13495"/>
      <c r="L214" s="13495"/>
      <c r="M214" s="13495"/>
      <c r="N214" s="13495"/>
      <c r="P214" s="2371"/>
      <c r="Q214" s="2847"/>
      <c r="R214" s="2847"/>
      <c r="S214" s="2371"/>
      <c r="T214" s="2371"/>
      <c r="U214" s="2371"/>
      <c r="V214" s="2371"/>
      <c r="W214" s="2847"/>
      <c r="X214" s="2371"/>
      <c r="Y214" s="2371"/>
      <c r="Z214" s="1755"/>
      <c r="AA214" s="2371"/>
      <c r="AB214" s="2371"/>
      <c r="AC214" s="2371"/>
      <c r="AD214" s="2371"/>
      <c r="AE214" s="2371"/>
      <c r="AF214" s="2843"/>
      <c r="AG214" s="1777"/>
      <c r="AH214" s="1777"/>
      <c r="AI214" s="1777"/>
      <c r="AJ214" s="1777"/>
      <c r="AK214" s="2852">
        <v>11</v>
      </c>
    </row>
    <row s="65897" customFormat="1" customHeight="1" ht="11.549999999999999">
      <c r="A215" s="2198"/>
      <c r="B215" s="2847"/>
      <c r="C215" s="2847"/>
      <c r="D215" s="1562"/>
      <c r="J215" s="13495"/>
      <c r="K215" s="13495"/>
      <c r="L215" s="13495"/>
      <c r="M215" s="13495"/>
      <c r="N215" s="13495"/>
      <c r="P215" s="2371"/>
      <c r="Q215" s="2847"/>
      <c r="R215" s="2847"/>
      <c r="S215" s="2371"/>
      <c r="T215" s="2371"/>
      <c r="U215" s="2371"/>
      <c r="V215" s="2371"/>
      <c r="W215" s="2847"/>
      <c r="X215" s="2371"/>
      <c r="Y215" s="2371"/>
      <c r="Z215" s="1755"/>
      <c r="AA215" s="2371"/>
      <c r="AB215" s="2371"/>
      <c r="AC215" s="2371"/>
      <c r="AD215" s="2371"/>
      <c r="AE215" s="2371"/>
      <c r="AF215" s="2843"/>
      <c r="AG215" s="1777"/>
      <c r="AH215" s="1777"/>
      <c r="AI215" s="1777"/>
      <c r="AJ215" s="1777"/>
      <c r="AK215" s="2852">
        <v>11</v>
      </c>
    </row>
    <row s="65897" customFormat="1" customHeight="1" ht="11.549999999999999">
      <c r="A216" s="2198"/>
      <c r="B216" s="2847"/>
      <c r="C216" s="2847"/>
      <c r="D216" s="1562"/>
      <c r="J216" s="13495"/>
      <c r="K216" s="13495"/>
      <c r="L216" s="13495"/>
      <c r="M216" s="13495"/>
      <c r="N216" s="13495"/>
      <c r="P216" s="2371"/>
      <c r="Q216" s="2847"/>
      <c r="R216" s="2847"/>
      <c r="S216" s="2371"/>
      <c r="T216" s="2371"/>
      <c r="U216" s="2371"/>
      <c r="V216" s="2371"/>
      <c r="W216" s="2847"/>
      <c r="X216" s="2371"/>
      <c r="Y216" s="2371"/>
      <c r="Z216" s="1755"/>
      <c r="AA216" s="2371"/>
      <c r="AB216" s="2371"/>
      <c r="AC216" s="2371"/>
      <c r="AD216" s="2371"/>
      <c r="AE216" s="2371"/>
      <c r="AF216" s="2843"/>
      <c r="AG216" s="1777"/>
      <c r="AH216" s="1777"/>
      <c r="AI216" s="1777"/>
      <c r="AJ216" s="1777"/>
      <c r="AK216" s="2852">
        <v>11</v>
      </c>
    </row>
    <row s="65897" customFormat="1" customHeight="1" ht="11.549999999999999">
      <c r="A217" s="2198"/>
      <c r="B217" s="2847"/>
      <c r="C217" s="2847"/>
      <c r="D217" s="1562"/>
      <c r="J217" s="13495"/>
      <c r="K217" s="13495"/>
      <c r="L217" s="13495"/>
      <c r="M217" s="13495"/>
      <c r="N217" s="13495"/>
      <c r="P217" s="2371"/>
      <c r="Q217" s="2847"/>
      <c r="R217" s="2847"/>
      <c r="S217" s="2371"/>
      <c r="T217" s="2371"/>
      <c r="U217" s="2371"/>
      <c r="V217" s="2371"/>
      <c r="W217" s="2847"/>
      <c r="X217" s="2371"/>
      <c r="Y217" s="2371"/>
      <c r="Z217" s="1755"/>
      <c r="AA217" s="2371"/>
      <c r="AB217" s="2371"/>
      <c r="AC217" s="2371"/>
      <c r="AD217" s="2371"/>
      <c r="AE217" s="2371"/>
      <c r="AF217" s="2843"/>
      <c r="AG217" s="1777"/>
      <c r="AH217" s="1777"/>
      <c r="AI217" s="1777"/>
      <c r="AJ217" s="1777"/>
      <c r="AK217" s="2852">
        <v>11</v>
      </c>
    </row>
    <row s="65897" customFormat="1" customHeight="1" ht="11.549999999999999">
      <c r="A218" s="2198"/>
      <c r="B218" s="2847"/>
      <c r="C218" s="2847"/>
      <c r="D218" s="1562"/>
      <c r="J218" s="13495"/>
      <c r="K218" s="13495"/>
      <c r="L218" s="13495"/>
      <c r="M218" s="13495"/>
      <c r="N218" s="13495"/>
      <c r="P218" s="2371"/>
      <c r="Q218" s="2847"/>
      <c r="R218" s="2847"/>
      <c r="S218" s="2371"/>
      <c r="T218" s="2371"/>
      <c r="U218" s="2371"/>
      <c r="V218" s="2371"/>
      <c r="W218" s="2847"/>
      <c r="X218" s="2371"/>
      <c r="Y218" s="2371"/>
      <c r="Z218" s="1755"/>
      <c r="AA218" s="2371"/>
      <c r="AB218" s="2371"/>
      <c r="AC218" s="2371"/>
      <c r="AD218" s="2371"/>
      <c r="AE218" s="2371"/>
      <c r="AF218" s="2843"/>
      <c r="AG218" s="1777"/>
      <c r="AH218" s="1777"/>
      <c r="AI218" s="1777"/>
      <c r="AJ218" s="1777"/>
      <c r="AK218" s="2852">
        <v>11</v>
      </c>
    </row>
    <row s="65897" customFormat="1" customHeight="1" ht="11.549999999999999">
      <c r="A219" s="2198"/>
      <c r="B219" s="2847"/>
      <c r="C219" s="2847"/>
      <c r="D219" s="1562"/>
      <c r="J219" s="13495"/>
      <c r="K219" s="13495"/>
      <c r="L219" s="13495"/>
      <c r="M219" s="13495"/>
      <c r="N219" s="13495"/>
      <c r="P219" s="2371"/>
      <c r="Q219" s="2847"/>
      <c r="R219" s="2847"/>
      <c r="S219" s="2371"/>
      <c r="T219" s="2371"/>
      <c r="U219" s="2371"/>
      <c r="V219" s="2371"/>
      <c r="W219" s="2847"/>
      <c r="X219" s="2371"/>
      <c r="Y219" s="2371"/>
      <c r="Z219" s="1755"/>
      <c r="AA219" s="2371"/>
      <c r="AB219" s="2371"/>
      <c r="AC219" s="2371"/>
      <c r="AD219" s="2371"/>
      <c r="AE219" s="2371"/>
      <c r="AF219" s="2843"/>
      <c r="AG219" s="1777"/>
      <c r="AH219" s="1777"/>
      <c r="AI219" s="1777"/>
      <c r="AJ219" s="1777"/>
      <c r="AK219" s="2852">
        <v>11</v>
      </c>
    </row>
    <row s="65897" customFormat="1" customHeight="1" ht="11.549999999999999">
      <c r="A220" s="2198"/>
      <c r="B220" s="2847"/>
      <c r="C220" s="2847"/>
      <c r="D220" s="1562"/>
      <c r="J220" s="13495"/>
      <c r="K220" s="13495"/>
      <c r="L220" s="13495"/>
      <c r="M220" s="13495"/>
      <c r="N220" s="13495"/>
      <c r="P220" s="2371"/>
      <c r="Q220" s="2847"/>
      <c r="R220" s="2847"/>
      <c r="S220" s="2371"/>
      <c r="T220" s="2371"/>
      <c r="U220" s="2371"/>
      <c r="V220" s="2371"/>
      <c r="W220" s="2847"/>
      <c r="X220" s="2371"/>
      <c r="Y220" s="2371"/>
      <c r="Z220" s="1755"/>
      <c r="AA220" s="2371"/>
      <c r="AB220" s="2371"/>
      <c r="AC220" s="2371"/>
      <c r="AD220" s="2371"/>
      <c r="AE220" s="2371"/>
      <c r="AF220" s="2843"/>
      <c r="AG220" s="1777"/>
      <c r="AH220" s="1777"/>
      <c r="AI220" s="1777"/>
      <c r="AJ220" s="1777"/>
      <c r="AK220" s="2852">
        <v>11</v>
      </c>
    </row>
    <row s="65897" customFormat="1" customHeight="1" ht="11.549999999999999">
      <c r="A221" s="2198"/>
      <c r="B221" s="2847"/>
      <c r="C221" s="2847"/>
      <c r="D221" s="1562"/>
      <c r="J221" s="13495"/>
      <c r="K221" s="13495"/>
      <c r="L221" s="13495"/>
      <c r="M221" s="13495"/>
      <c r="N221" s="13495"/>
      <c r="P221" s="2371"/>
      <c r="Q221" s="2847"/>
      <c r="R221" s="2847"/>
      <c r="S221" s="2371"/>
      <c r="T221" s="2371"/>
      <c r="U221" s="2371"/>
      <c r="V221" s="2371"/>
      <c r="W221" s="2847"/>
      <c r="X221" s="2371"/>
      <c r="Y221" s="2371"/>
      <c r="Z221" s="1755"/>
      <c r="AA221" s="2371"/>
      <c r="AB221" s="2371"/>
      <c r="AC221" s="2371"/>
      <c r="AD221" s="2371"/>
      <c r="AE221" s="2371"/>
      <c r="AF221" s="2843"/>
      <c r="AG221" s="1777"/>
      <c r="AH221" s="1777"/>
      <c r="AI221" s="1777"/>
      <c r="AJ221" s="1777"/>
      <c r="AK221" s="2852">
        <v>11</v>
      </c>
    </row>
    <row s="65897" customFormat="1" customHeight="1" ht="11.549999999999999">
      <c r="A222" s="2198"/>
      <c r="B222" s="2847"/>
      <c r="C222" s="2847"/>
      <c r="D222" s="1562"/>
      <c r="J222" s="13495"/>
      <c r="K222" s="13495"/>
      <c r="L222" s="13495"/>
      <c r="M222" s="13495"/>
      <c r="N222" s="13495"/>
      <c r="P222" s="2371"/>
      <c r="Q222" s="2847"/>
      <c r="R222" s="2847"/>
      <c r="S222" s="2371"/>
      <c r="T222" s="2371"/>
      <c r="U222" s="2371"/>
      <c r="V222" s="2371"/>
      <c r="W222" s="2847"/>
      <c r="X222" s="2371"/>
      <c r="Y222" s="2371"/>
      <c r="Z222" s="1755"/>
      <c r="AA222" s="2371"/>
      <c r="AB222" s="2371"/>
      <c r="AC222" s="2371"/>
      <c r="AD222" s="2371"/>
      <c r="AE222" s="2371"/>
      <c r="AF222" s="2843"/>
      <c r="AG222" s="1777"/>
      <c r="AH222" s="1777"/>
      <c r="AI222" s="1777"/>
      <c r="AJ222" s="1777"/>
      <c r="AK222" s="2852">
        <v>11</v>
      </c>
    </row>
    <row s="65897" customFormat="1" customHeight="1" ht="11.549999999999999">
      <c r="A223" s="2198"/>
      <c r="B223" s="2847"/>
      <c r="C223" s="2847"/>
      <c r="D223" s="1562"/>
      <c r="J223" s="13495"/>
      <c r="K223" s="13495"/>
      <c r="L223" s="13495"/>
      <c r="M223" s="13495"/>
      <c r="N223" s="13495"/>
      <c r="P223" s="2371"/>
      <c r="Q223" s="2847"/>
      <c r="R223" s="2847"/>
      <c r="S223" s="2371"/>
      <c r="T223" s="2371"/>
      <c r="U223" s="2371"/>
      <c r="V223" s="2371"/>
      <c r="W223" s="2847"/>
      <c r="X223" s="2371"/>
      <c r="Y223" s="2371"/>
      <c r="Z223" s="1755"/>
      <c r="AA223" s="2371"/>
      <c r="AB223" s="2371"/>
      <c r="AC223" s="2371"/>
      <c r="AD223" s="2371"/>
      <c r="AE223" s="2371"/>
      <c r="AF223" s="2843"/>
      <c r="AG223" s="1777"/>
      <c r="AH223" s="1777"/>
      <c r="AI223" s="1777"/>
      <c r="AJ223" s="1777"/>
      <c r="AK223" s="2852">
        <v>11</v>
      </c>
    </row>
    <row s="65897" customFormat="1" customHeight="1" ht="11.549999999999999">
      <c r="A224" s="2198"/>
      <c r="B224" s="2847"/>
      <c r="C224" s="2847"/>
      <c r="D224" s="1562"/>
      <c r="J224" s="13495"/>
      <c r="K224" s="13495"/>
      <c r="L224" s="13495"/>
      <c r="M224" s="13495"/>
      <c r="N224" s="13495"/>
      <c r="P224" s="2371"/>
      <c r="Q224" s="2847"/>
      <c r="R224" s="2847"/>
      <c r="S224" s="2371"/>
      <c r="T224" s="2371"/>
      <c r="U224" s="2371"/>
      <c r="V224" s="2371"/>
      <c r="W224" s="2847"/>
      <c r="X224" s="2371"/>
      <c r="Y224" s="2371"/>
      <c r="Z224" s="1755"/>
      <c r="AA224" s="2371"/>
      <c r="AB224" s="2371"/>
      <c r="AC224" s="2371"/>
      <c r="AD224" s="2371"/>
      <c r="AE224" s="2371"/>
      <c r="AF224" s="2843"/>
      <c r="AG224" s="1777"/>
      <c r="AH224" s="1777"/>
      <c r="AI224" s="1777"/>
      <c r="AJ224" s="1777"/>
      <c r="AK224" s="2852">
        <v>11</v>
      </c>
    </row>
    <row s="65897" customFormat="1" customHeight="1" ht="11.549999999999999">
      <c r="A225" s="2198"/>
      <c r="B225" s="2847"/>
      <c r="C225" s="2847"/>
      <c r="D225" s="1562"/>
      <c r="J225" s="13495"/>
      <c r="K225" s="13495"/>
      <c r="L225" s="13495"/>
      <c r="M225" s="13495"/>
      <c r="N225" s="13495"/>
      <c r="P225" s="2371"/>
      <c r="Q225" s="2847"/>
      <c r="R225" s="2847"/>
      <c r="S225" s="2371"/>
      <c r="T225" s="2371"/>
      <c r="U225" s="2371"/>
      <c r="V225" s="2371"/>
      <c r="W225" s="2847"/>
      <c r="X225" s="2371"/>
      <c r="Y225" s="2371"/>
      <c r="Z225" s="1755"/>
      <c r="AA225" s="2371"/>
      <c r="AB225" s="2371"/>
      <c r="AC225" s="2371"/>
      <c r="AD225" s="2371"/>
      <c r="AE225" s="2371"/>
      <c r="AF225" s="2843"/>
      <c r="AG225" s="1777"/>
      <c r="AH225" s="1777"/>
      <c r="AI225" s="1777"/>
      <c r="AJ225" s="1777"/>
      <c r="AK225" s="2852">
        <v>11</v>
      </c>
    </row>
    <row s="65897" customFormat="1" customHeight="1" ht="11.549999999999999">
      <c r="A226" s="2198"/>
      <c r="B226" s="2847"/>
      <c r="C226" s="2847"/>
      <c r="D226" s="1562"/>
      <c r="J226" s="13495"/>
      <c r="K226" s="13495"/>
      <c r="L226" s="13495"/>
      <c r="M226" s="13495"/>
      <c r="N226" s="13495"/>
      <c r="P226" s="2371"/>
      <c r="Q226" s="2847"/>
      <c r="R226" s="2847"/>
      <c r="S226" s="2371"/>
      <c r="T226" s="2371"/>
      <c r="U226" s="2371"/>
      <c r="V226" s="2371"/>
      <c r="W226" s="2847"/>
      <c r="X226" s="2371"/>
      <c r="Y226" s="2371"/>
      <c r="Z226" s="1755"/>
      <c r="AA226" s="2371"/>
      <c r="AB226" s="2371"/>
      <c r="AC226" s="2371"/>
      <c r="AD226" s="2371"/>
      <c r="AE226" s="2371"/>
      <c r="AF226" s="2843"/>
      <c r="AG226" s="1777"/>
      <c r="AH226" s="1777"/>
      <c r="AI226" s="1777"/>
      <c r="AJ226" s="1777"/>
      <c r="AK226" s="2852">
        <v>11</v>
      </c>
    </row>
    <row s="65897" customFormat="1" customHeight="1" ht="11.549999999999999">
      <c r="A227" s="2198"/>
      <c r="B227" s="2847"/>
      <c r="C227" s="2847"/>
      <c r="D227" s="1562"/>
      <c r="J227" s="13495"/>
      <c r="K227" s="13495"/>
      <c r="L227" s="13495"/>
      <c r="M227" s="13495"/>
      <c r="N227" s="13495"/>
      <c r="P227" s="2371"/>
      <c r="Q227" s="2847"/>
      <c r="R227" s="2847"/>
      <c r="S227" s="2371"/>
      <c r="T227" s="2371"/>
      <c r="U227" s="2371"/>
      <c r="V227" s="2371"/>
      <c r="W227" s="2847"/>
      <c r="X227" s="2371"/>
      <c r="Y227" s="2371"/>
      <c r="Z227" s="1755"/>
      <c r="AA227" s="2371"/>
      <c r="AB227" s="2371"/>
      <c r="AC227" s="2371"/>
      <c r="AD227" s="2371"/>
      <c r="AE227" s="2371"/>
      <c r="AF227" s="2843"/>
      <c r="AG227" s="1777"/>
      <c r="AH227" s="1777"/>
      <c r="AI227" s="1777"/>
      <c r="AJ227" s="1777"/>
      <c r="AK227" s="2852">
        <v>11</v>
      </c>
    </row>
    <row s="65897" customFormat="1" customHeight="1" ht="11.549999999999999">
      <c r="A228" s="2198"/>
      <c r="B228" s="2847"/>
      <c r="C228" s="2847"/>
      <c r="D228" s="1562"/>
      <c r="J228" s="13495"/>
      <c r="K228" s="13495"/>
      <c r="L228" s="13495"/>
      <c r="M228" s="13495"/>
      <c r="N228" s="13495"/>
      <c r="P228" s="2371"/>
      <c r="Q228" s="2847"/>
      <c r="R228" s="2847"/>
      <c r="S228" s="2371"/>
      <c r="T228" s="2371"/>
      <c r="U228" s="2371"/>
      <c r="V228" s="2371"/>
      <c r="W228" s="2847"/>
      <c r="X228" s="2371"/>
      <c r="Y228" s="2371"/>
      <c r="Z228" s="1755"/>
      <c r="AA228" s="2371"/>
      <c r="AB228" s="2371"/>
      <c r="AC228" s="2371"/>
      <c r="AD228" s="2371"/>
      <c r="AE228" s="2371"/>
      <c r="AF228" s="2843"/>
      <c r="AG228" s="1777"/>
      <c r="AH228" s="1777"/>
      <c r="AI228" s="1777"/>
      <c r="AJ228" s="1777"/>
      <c r="AK228" s="2852">
        <v>11</v>
      </c>
    </row>
    <row s="65897" customFormat="1" customHeight="1" ht="11.549999999999999">
      <c r="A229" s="2198"/>
      <c r="B229" s="2847"/>
      <c r="C229" s="2847"/>
      <c r="D229" s="1562"/>
      <c r="J229" s="13495"/>
      <c r="K229" s="13495"/>
      <c r="L229" s="13495"/>
      <c r="M229" s="13495"/>
      <c r="N229" s="13495"/>
      <c r="P229" s="2371"/>
      <c r="Q229" s="2847"/>
      <c r="R229" s="2847"/>
      <c r="S229" s="2371"/>
      <c r="T229" s="2371"/>
      <c r="U229" s="2371"/>
      <c r="V229" s="2371"/>
      <c r="W229" s="2847"/>
      <c r="X229" s="2371"/>
      <c r="Y229" s="2371"/>
      <c r="Z229" s="1755"/>
      <c r="AA229" s="2371"/>
      <c r="AB229" s="2371"/>
      <c r="AC229" s="2371"/>
      <c r="AD229" s="2371"/>
      <c r="AE229" s="2371"/>
      <c r="AF229" s="2843"/>
      <c r="AG229" s="1777"/>
      <c r="AH229" s="1777"/>
      <c r="AI229" s="1777"/>
      <c r="AJ229" s="1777"/>
      <c r="AK229" s="2852">
        <v>11</v>
      </c>
    </row>
    <row s="65897" customFormat="1" customHeight="1" ht="11.549999999999999">
      <c r="A230" s="2198"/>
      <c r="B230" s="2847"/>
      <c r="C230" s="2847"/>
      <c r="D230" s="1562"/>
      <c r="J230" s="13495"/>
      <c r="K230" s="13495"/>
      <c r="L230" s="13495"/>
      <c r="M230" s="13495"/>
      <c r="N230" s="13495"/>
      <c r="P230" s="2371"/>
      <c r="Q230" s="2847"/>
      <c r="R230" s="2847"/>
      <c r="S230" s="2371"/>
      <c r="T230" s="2371"/>
      <c r="U230" s="2371"/>
      <c r="V230" s="2371"/>
      <c r="W230" s="2847"/>
      <c r="X230" s="2371"/>
      <c r="Y230" s="2371"/>
      <c r="Z230" s="1755"/>
      <c r="AA230" s="2371"/>
      <c r="AB230" s="2371"/>
      <c r="AC230" s="2371"/>
      <c r="AD230" s="2371"/>
      <c r="AE230" s="2371"/>
      <c r="AF230" s="2843"/>
      <c r="AG230" s="1777"/>
      <c r="AH230" s="1777"/>
      <c r="AI230" s="1777"/>
      <c r="AJ230" s="1777"/>
      <c r="AK230" s="2852">
        <v>11</v>
      </c>
    </row>
    <row s="65897" customFormat="1" customHeight="1" ht="11.549999999999999">
      <c r="A231" s="2198"/>
      <c r="B231" s="2847"/>
      <c r="C231" s="2847"/>
      <c r="D231" s="1562"/>
      <c r="J231" s="13495"/>
      <c r="K231" s="13495"/>
      <c r="L231" s="13495"/>
      <c r="M231" s="13495"/>
      <c r="N231" s="13495"/>
      <c r="P231" s="2371"/>
      <c r="Q231" s="2847"/>
      <c r="R231" s="2847"/>
      <c r="S231" s="2371"/>
      <c r="T231" s="2371"/>
      <c r="U231" s="2371"/>
      <c r="V231" s="2371"/>
      <c r="W231" s="2847"/>
      <c r="X231" s="2371"/>
      <c r="Y231" s="2371"/>
      <c r="Z231" s="1755"/>
      <c r="AA231" s="2371"/>
      <c r="AB231" s="2371"/>
      <c r="AC231" s="2371"/>
      <c r="AD231" s="2371"/>
      <c r="AE231" s="2371"/>
      <c r="AF231" s="2843"/>
      <c r="AG231" s="1777"/>
      <c r="AH231" s="1777"/>
      <c r="AI231" s="1777"/>
      <c r="AJ231" s="1777"/>
      <c r="AK231" s="2852">
        <v>11</v>
      </c>
    </row>
    <row s="65897" customFormat="1" customHeight="1" ht="11.549999999999999">
      <c r="A232" s="2198"/>
      <c r="B232" s="2847"/>
      <c r="C232" s="2847"/>
      <c r="D232" s="1562"/>
      <c r="J232" s="13495"/>
      <c r="K232" s="13495"/>
      <c r="L232" s="13495"/>
      <c r="M232" s="13495"/>
      <c r="N232" s="13495"/>
      <c r="P232" s="2371"/>
      <c r="Q232" s="2847"/>
      <c r="R232" s="2847"/>
      <c r="S232" s="2371"/>
      <c r="T232" s="2371"/>
      <c r="U232" s="2371"/>
      <c r="V232" s="2371"/>
      <c r="W232" s="2847"/>
      <c r="X232" s="2371"/>
      <c r="Y232" s="2371"/>
      <c r="Z232" s="1755"/>
      <c r="AA232" s="2371"/>
      <c r="AB232" s="2371"/>
      <c r="AC232" s="2371"/>
      <c r="AD232" s="2371"/>
      <c r="AE232" s="2371"/>
      <c r="AF232" s="2843"/>
      <c r="AG232" s="1777"/>
      <c r="AH232" s="1777"/>
      <c r="AI232" s="1777"/>
      <c r="AJ232" s="1777"/>
      <c r="AK232" s="2852">
        <v>11</v>
      </c>
    </row>
    <row s="65897" customFormat="1" customHeight="1" ht="11.549999999999999">
      <c r="A233" s="2198"/>
      <c r="B233" s="2847"/>
      <c r="C233" s="2847"/>
      <c r="D233" s="1562"/>
      <c r="J233" s="13495"/>
      <c r="K233" s="13495"/>
      <c r="L233" s="13495"/>
      <c r="M233" s="13495"/>
      <c r="N233" s="13495"/>
      <c r="P233" s="2371"/>
      <c r="Q233" s="2847"/>
      <c r="R233" s="2847"/>
      <c r="S233" s="2371"/>
      <c r="T233" s="2371"/>
      <c r="U233" s="2371"/>
      <c r="V233" s="2371"/>
      <c r="W233" s="2847"/>
      <c r="X233" s="2371"/>
      <c r="Y233" s="2371"/>
      <c r="Z233" s="1755"/>
      <c r="AA233" s="2371"/>
      <c r="AB233" s="2371"/>
      <c r="AC233" s="2371"/>
      <c r="AD233" s="2371"/>
      <c r="AE233" s="2371"/>
      <c r="AF233" s="2843"/>
      <c r="AG233" s="1777"/>
      <c r="AH233" s="1777"/>
      <c r="AI233" s="1777"/>
      <c r="AJ233" s="1777"/>
      <c r="AK233" s="2852">
        <v>11</v>
      </c>
    </row>
    <row s="65897" customFormat="1" customHeight="1" ht="11.549999999999999">
      <c r="A234" s="2198"/>
      <c r="B234" s="2847"/>
      <c r="C234" s="2847"/>
      <c r="D234" s="1562"/>
      <c r="J234" s="13495"/>
      <c r="K234" s="13495"/>
      <c r="L234" s="13495"/>
      <c r="M234" s="13495"/>
      <c r="N234" s="13495"/>
      <c r="P234" s="2371"/>
      <c r="Q234" s="2847"/>
      <c r="R234" s="2847"/>
      <c r="S234" s="2371"/>
      <c r="T234" s="2371"/>
      <c r="U234" s="2371"/>
      <c r="V234" s="2371"/>
      <c r="W234" s="2847"/>
      <c r="X234" s="2371"/>
      <c r="Y234" s="2371"/>
      <c r="Z234" s="1755"/>
      <c r="AA234" s="2371"/>
      <c r="AB234" s="2371"/>
      <c r="AC234" s="2371"/>
      <c r="AD234" s="2371"/>
      <c r="AE234" s="2371"/>
      <c r="AF234" s="2843"/>
      <c r="AG234" s="1777"/>
      <c r="AH234" s="1777"/>
      <c r="AI234" s="1777"/>
      <c r="AJ234" s="1777"/>
      <c r="AK234" s="2852">
        <v>11</v>
      </c>
    </row>
    <row s="65897" customFormat="1" customHeight="1" ht="11.549999999999999">
      <c r="A235" s="2198"/>
      <c r="B235" s="2847"/>
      <c r="C235" s="2847"/>
      <c r="D235" s="1562"/>
      <c r="J235" s="13495"/>
      <c r="K235" s="13495"/>
      <c r="L235" s="13495"/>
      <c r="M235" s="13495"/>
      <c r="N235" s="13495"/>
      <c r="P235" s="2371"/>
      <c r="Q235" s="2847"/>
      <c r="R235" s="2847"/>
      <c r="S235" s="2371"/>
      <c r="T235" s="2371"/>
      <c r="U235" s="2371"/>
      <c r="V235" s="2371"/>
      <c r="W235" s="2847"/>
      <c r="X235" s="2371"/>
      <c r="Y235" s="2371"/>
      <c r="Z235" s="1755"/>
      <c r="AA235" s="2371"/>
      <c r="AB235" s="2371"/>
      <c r="AC235" s="2371"/>
      <c r="AD235" s="2371"/>
      <c r="AE235" s="2371"/>
      <c r="AF235" s="2843"/>
      <c r="AG235" s="1777"/>
      <c r="AH235" s="1777"/>
      <c r="AI235" s="1777"/>
      <c r="AJ235" s="1777"/>
      <c r="AK235" s="2852">
        <v>11</v>
      </c>
    </row>
    <row s="65897" customFormat="1" customHeight="1" ht="11.549999999999999">
      <c r="A236" s="2198"/>
      <c r="B236" s="2847"/>
      <c r="C236" s="2847"/>
      <c r="D236" s="1562"/>
      <c r="J236" s="13495"/>
      <c r="K236" s="13495"/>
      <c r="L236" s="13495"/>
      <c r="M236" s="13495"/>
      <c r="N236" s="13495"/>
      <c r="P236" s="2371"/>
      <c r="Q236" s="2847"/>
      <c r="R236" s="2847"/>
      <c r="S236" s="2371"/>
      <c r="T236" s="2371"/>
      <c r="U236" s="2371"/>
      <c r="V236" s="2371"/>
      <c r="W236" s="2847"/>
      <c r="X236" s="2371"/>
      <c r="Y236" s="2371"/>
      <c r="Z236" s="1755"/>
      <c r="AA236" s="2371"/>
      <c r="AB236" s="2371"/>
      <c r="AC236" s="2371"/>
      <c r="AD236" s="2371"/>
      <c r="AE236" s="2371"/>
      <c r="AF236" s="2843"/>
      <c r="AG236" s="1777"/>
      <c r="AH236" s="1777"/>
      <c r="AI236" s="1777"/>
      <c r="AJ236" s="1777"/>
      <c r="AK236" s="2852">
        <v>11</v>
      </c>
    </row>
    <row s="65897" customFormat="1" customHeight="1" ht="11.549999999999999">
      <c r="A237" s="2198"/>
      <c r="B237" s="2847"/>
      <c r="C237" s="2847"/>
      <c r="D237" s="1562"/>
      <c r="J237" s="13495"/>
      <c r="K237" s="13495"/>
      <c r="L237" s="13495"/>
      <c r="M237" s="13495"/>
      <c r="N237" s="13495"/>
      <c r="P237" s="2371"/>
      <c r="Q237" s="2847"/>
      <c r="R237" s="2847"/>
      <c r="S237" s="2371"/>
      <c r="T237" s="2371"/>
      <c r="U237" s="2371"/>
      <c r="V237" s="2371"/>
      <c r="W237" s="2847"/>
      <c r="X237" s="2371"/>
      <c r="Y237" s="2371"/>
      <c r="Z237" s="1755"/>
      <c r="AA237" s="2371"/>
      <c r="AB237" s="2371"/>
      <c r="AC237" s="2371"/>
      <c r="AD237" s="2371"/>
      <c r="AE237" s="2371"/>
      <c r="AF237" s="2843"/>
      <c r="AG237" s="1777"/>
      <c r="AH237" s="1777"/>
      <c r="AI237" s="1777"/>
      <c r="AJ237" s="1777"/>
      <c r="AK237" s="2852">
        <v>11</v>
      </c>
    </row>
    <row s="65897" customFormat="1" customHeight="1" ht="11.549999999999999">
      <c r="A238" s="2198"/>
      <c r="B238" s="2847"/>
      <c r="C238" s="2847"/>
      <c r="D238" s="1562"/>
      <c r="J238" s="13495"/>
      <c r="K238" s="13495"/>
      <c r="L238" s="13495"/>
      <c r="M238" s="13495"/>
      <c r="N238" s="13495"/>
      <c r="P238" s="2371"/>
      <c r="Q238" s="2847"/>
      <c r="R238" s="2847"/>
      <c r="S238" s="2371"/>
      <c r="T238" s="2371"/>
      <c r="U238" s="2371"/>
      <c r="V238" s="2371"/>
      <c r="W238" s="2847"/>
      <c r="X238" s="2371"/>
      <c r="Y238" s="2371"/>
      <c r="Z238" s="1755"/>
      <c r="AA238" s="2371"/>
      <c r="AB238" s="2371"/>
      <c r="AC238" s="2371"/>
      <c r="AD238" s="2371"/>
      <c r="AE238" s="2371"/>
      <c r="AF238" s="2843"/>
      <c r="AG238" s="1777"/>
      <c r="AH238" s="1777"/>
      <c r="AI238" s="1777"/>
      <c r="AJ238" s="1777"/>
      <c r="AK238" s="2852">
        <v>11</v>
      </c>
    </row>
    <row s="65897" customFormat="1" customHeight="1" ht="11.549999999999999">
      <c r="A239" s="2198"/>
      <c r="B239" s="2847"/>
      <c r="C239" s="2847"/>
      <c r="D239" s="1562"/>
      <c r="J239" s="13495"/>
      <c r="K239" s="13495"/>
      <c r="L239" s="13495"/>
      <c r="M239" s="13495"/>
      <c r="N239" s="13495"/>
      <c r="P239" s="2371"/>
      <c r="Q239" s="2847"/>
      <c r="R239" s="2847"/>
      <c r="S239" s="2371"/>
      <c r="T239" s="2371"/>
      <c r="U239" s="2371"/>
      <c r="V239" s="2371"/>
      <c r="W239" s="2847"/>
      <c r="X239" s="2371"/>
      <c r="Y239" s="2371"/>
      <c r="Z239" s="1755"/>
      <c r="AA239" s="2371"/>
      <c r="AB239" s="2371"/>
      <c r="AC239" s="2371"/>
      <c r="AD239" s="2371"/>
      <c r="AE239" s="2371"/>
      <c r="AF239" s="2843"/>
      <c r="AG239" s="1777"/>
      <c r="AH239" s="1777"/>
      <c r="AI239" s="1777"/>
      <c r="AJ239" s="1777"/>
      <c r="AK239" s="2852">
        <v>11</v>
      </c>
    </row>
    <row s="65897" customFormat="1" customHeight="1" ht="11.549999999999999">
      <c r="A240" s="2198"/>
      <c r="B240" s="2847"/>
      <c r="C240" s="2847"/>
      <c r="D240" s="1562"/>
      <c r="J240" s="13495"/>
      <c r="K240" s="13495"/>
      <c r="L240" s="13495"/>
      <c r="M240" s="13495"/>
      <c r="N240" s="13495"/>
      <c r="P240" s="2371"/>
      <c r="Q240" s="2847"/>
      <c r="R240" s="2847"/>
      <c r="S240" s="2371"/>
      <c r="T240" s="2371"/>
      <c r="U240" s="2371"/>
      <c r="V240" s="2371"/>
      <c r="W240" s="2847"/>
      <c r="X240" s="2371"/>
      <c r="Y240" s="2371"/>
      <c r="Z240" s="1755"/>
      <c r="AA240" s="2371"/>
      <c r="AB240" s="2371"/>
      <c r="AC240" s="2371"/>
      <c r="AD240" s="2371"/>
      <c r="AE240" s="2371"/>
      <c r="AF240" s="2843"/>
      <c r="AG240" s="1777"/>
      <c r="AH240" s="1777"/>
      <c r="AI240" s="1777"/>
      <c r="AJ240" s="1777"/>
      <c r="AK240" s="2852">
        <v>11</v>
      </c>
    </row>
    <row s="65897" customFormat="1" customHeight="1" ht="11.549999999999999">
      <c r="A241" s="2198"/>
      <c r="B241" s="2847"/>
      <c r="C241" s="2847"/>
      <c r="D241" s="1562"/>
      <c r="J241" s="13495"/>
      <c r="K241" s="13495"/>
      <c r="L241" s="13495"/>
      <c r="M241" s="13495"/>
      <c r="N241" s="13495"/>
      <c r="P241" s="2371"/>
      <c r="Q241" s="2847"/>
      <c r="R241" s="2847"/>
      <c r="S241" s="2371"/>
      <c r="T241" s="2371"/>
      <c r="U241" s="2371"/>
      <c r="V241" s="2371"/>
      <c r="W241" s="2847"/>
      <c r="X241" s="2371"/>
      <c r="Y241" s="2371"/>
      <c r="Z241" s="1755"/>
      <c r="AA241" s="2371"/>
      <c r="AB241" s="2371"/>
      <c r="AC241" s="2371"/>
      <c r="AD241" s="2371"/>
      <c r="AE241" s="2371"/>
      <c r="AF241" s="2843"/>
      <c r="AG241" s="1777"/>
      <c r="AH241" s="1777"/>
      <c r="AI241" s="1777"/>
      <c r="AJ241" s="1777"/>
      <c r="AK241" s="2852">
        <v>11</v>
      </c>
    </row>
    <row s="65897" customFormat="1" customHeight="1" ht="11.549999999999999">
      <c r="A242" s="2198"/>
      <c r="B242" s="2847"/>
      <c r="C242" s="2847"/>
      <c r="D242" s="1562"/>
      <c r="J242" s="13495"/>
      <c r="K242" s="13495"/>
      <c r="L242" s="13495"/>
      <c r="M242" s="13495"/>
      <c r="N242" s="13495"/>
      <c r="P242" s="2371"/>
      <c r="Q242" s="2847"/>
      <c r="R242" s="2847"/>
      <c r="S242" s="2371"/>
      <c r="T242" s="2371"/>
      <c r="U242" s="2371"/>
      <c r="V242" s="2371"/>
      <c r="W242" s="2847"/>
      <c r="X242" s="2371"/>
      <c r="Y242" s="2371"/>
      <c r="Z242" s="1755"/>
      <c r="AA242" s="2371"/>
      <c r="AB242" s="2371"/>
      <c r="AC242" s="2371"/>
      <c r="AD242" s="2371"/>
      <c r="AE242" s="2371"/>
      <c r="AF242" s="2843"/>
      <c r="AG242" s="1777"/>
      <c r="AH242" s="1777"/>
      <c r="AI242" s="1777"/>
      <c r="AJ242" s="1777"/>
      <c r="AK242" s="2852">
        <v>11</v>
      </c>
    </row>
    <row s="65897" customFormat="1" customHeight="1" ht="11.549999999999999">
      <c r="A243" s="2198"/>
      <c r="B243" s="2847"/>
      <c r="C243" s="2847"/>
      <c r="D243" s="1562"/>
      <c r="J243" s="13495"/>
      <c r="K243" s="13495"/>
      <c r="L243" s="13495"/>
      <c r="M243" s="13495"/>
      <c r="N243" s="13495"/>
      <c r="P243" s="2371"/>
      <c r="Q243" s="2847"/>
      <c r="R243" s="2847"/>
      <c r="S243" s="2371"/>
      <c r="T243" s="2371"/>
      <c r="U243" s="2371"/>
      <c r="V243" s="2371"/>
      <c r="W243" s="2847"/>
      <c r="X243" s="2371"/>
      <c r="Y243" s="2371"/>
      <c r="Z243" s="1755"/>
      <c r="AA243" s="2371"/>
      <c r="AB243" s="2371"/>
      <c r="AC243" s="2371"/>
      <c r="AD243" s="2371"/>
      <c r="AE243" s="2371"/>
      <c r="AF243" s="2843"/>
      <c r="AG243" s="1777"/>
      <c r="AH243" s="1777"/>
      <c r="AI243" s="1777"/>
      <c r="AJ243" s="1777"/>
      <c r="AK243" s="2852">
        <v>11</v>
      </c>
    </row>
    <row s="65897" customFormat="1" customHeight="1" ht="11.549999999999999">
      <c r="A244" s="2198"/>
      <c r="B244" s="2847"/>
      <c r="C244" s="2847"/>
      <c r="D244" s="1562"/>
      <c r="J244" s="13495"/>
      <c r="K244" s="13495"/>
      <c r="L244" s="13495"/>
      <c r="M244" s="13495"/>
      <c r="N244" s="13495"/>
      <c r="P244" s="2371"/>
      <c r="Q244" s="2847"/>
      <c r="R244" s="2847"/>
      <c r="S244" s="2371"/>
      <c r="T244" s="2371"/>
      <c r="U244" s="2371"/>
      <c r="V244" s="2371"/>
      <c r="W244" s="2847"/>
      <c r="X244" s="2371"/>
      <c r="Y244" s="2371"/>
      <c r="Z244" s="1755"/>
      <c r="AA244" s="2371"/>
      <c r="AB244" s="2371"/>
      <c r="AC244" s="2371"/>
      <c r="AD244" s="2371"/>
      <c r="AE244" s="2371"/>
      <c r="AF244" s="2843"/>
      <c r="AG244" s="1777"/>
      <c r="AH244" s="1777"/>
      <c r="AI244" s="1777"/>
      <c r="AJ244" s="1777"/>
      <c r="AK244" s="2852">
        <v>11</v>
      </c>
    </row>
    <row s="65897" customFormat="1" customHeight="1" ht="11.549999999999999">
      <c r="A245" s="2198"/>
      <c r="B245" s="2847"/>
      <c r="C245" s="2847"/>
      <c r="D245" s="1562"/>
      <c r="J245" s="13495"/>
      <c r="K245" s="13495"/>
      <c r="L245" s="13495"/>
      <c r="M245" s="13495"/>
      <c r="N245" s="13495"/>
      <c r="P245" s="2371"/>
      <c r="Q245" s="2847"/>
      <c r="R245" s="2847"/>
      <c r="S245" s="2371"/>
      <c r="T245" s="2371"/>
      <c r="U245" s="2371"/>
      <c r="V245" s="2371"/>
      <c r="W245" s="2847"/>
      <c r="X245" s="2371"/>
      <c r="Y245" s="2371"/>
      <c r="Z245" s="1755"/>
      <c r="AA245" s="2371"/>
      <c r="AB245" s="2371"/>
      <c r="AC245" s="2371"/>
      <c r="AD245" s="2371"/>
      <c r="AE245" s="2371"/>
      <c r="AF245" s="2843"/>
      <c r="AG245" s="1777"/>
      <c r="AH245" s="1777"/>
      <c r="AI245" s="1777"/>
      <c r="AJ245" s="1777"/>
      <c r="AK245" s="2852">
        <v>11</v>
      </c>
    </row>
    <row s="65897" customFormat="1" customHeight="1" ht="11.549999999999999">
      <c r="A246" s="2198"/>
      <c r="B246" s="2847"/>
      <c r="C246" s="2847"/>
      <c r="D246" s="1562"/>
      <c r="J246" s="13495"/>
      <c r="K246" s="13495"/>
      <c r="L246" s="13495"/>
      <c r="M246" s="13495"/>
      <c r="N246" s="13495"/>
      <c r="P246" s="2371"/>
      <c r="Q246" s="2847"/>
      <c r="R246" s="2847"/>
      <c r="S246" s="2371"/>
      <c r="T246" s="2371"/>
      <c r="U246" s="2371"/>
      <c r="V246" s="2371"/>
      <c r="W246" s="2847"/>
      <c r="X246" s="2371"/>
      <c r="Y246" s="2371"/>
      <c r="Z246" s="1755"/>
      <c r="AA246" s="2371"/>
      <c r="AB246" s="2371"/>
      <c r="AC246" s="2371"/>
      <c r="AD246" s="2371"/>
      <c r="AE246" s="2371"/>
      <c r="AF246" s="2843"/>
      <c r="AG246" s="1777"/>
      <c r="AH246" s="1777"/>
      <c r="AI246" s="1777"/>
      <c r="AJ246" s="1777"/>
      <c r="AK246" s="2852">
        <v>11</v>
      </c>
    </row>
    <row s="65897" customFormat="1" customHeight="1" ht="11.549999999999999">
      <c r="A247" s="2198"/>
      <c r="B247" s="2847"/>
      <c r="C247" s="2847"/>
      <c r="D247" s="1562"/>
      <c r="J247" s="13495"/>
      <c r="K247" s="13495"/>
      <c r="L247" s="13495"/>
      <c r="M247" s="13495"/>
      <c r="N247" s="13495"/>
      <c r="P247" s="2371"/>
      <c r="Q247" s="2847"/>
      <c r="R247" s="2847"/>
      <c r="S247" s="2371"/>
      <c r="T247" s="2371"/>
      <c r="U247" s="2371"/>
      <c r="V247" s="2371"/>
      <c r="W247" s="2847"/>
      <c r="X247" s="2371"/>
      <c r="Y247" s="2371"/>
      <c r="Z247" s="1755"/>
      <c r="AA247" s="2371"/>
      <c r="AB247" s="2371"/>
      <c r="AC247" s="2371"/>
      <c r="AD247" s="2371"/>
      <c r="AE247" s="2371"/>
      <c r="AF247" s="2843"/>
      <c r="AG247" s="1777"/>
      <c r="AH247" s="1777"/>
      <c r="AI247" s="1777"/>
      <c r="AJ247" s="1777"/>
      <c r="AK247" s="2852">
        <v>11</v>
      </c>
    </row>
    <row s="65897" customFormat="1" customHeight="1" ht="11.549999999999999">
      <c r="A248" s="2198"/>
      <c r="B248" s="2847"/>
      <c r="C248" s="2847"/>
      <c r="D248" s="1562"/>
      <c r="J248" s="13495"/>
      <c r="K248" s="13495"/>
      <c r="L248" s="13495"/>
      <c r="M248" s="13495"/>
      <c r="N248" s="13495"/>
      <c r="P248" s="2371"/>
      <c r="Q248" s="2847"/>
      <c r="R248" s="2847"/>
      <c r="S248" s="2371"/>
      <c r="T248" s="2371"/>
      <c r="U248" s="2371"/>
      <c r="V248" s="2371"/>
      <c r="W248" s="2847"/>
      <c r="X248" s="2371"/>
      <c r="Y248" s="2371"/>
      <c r="Z248" s="1755"/>
      <c r="AA248" s="2371"/>
      <c r="AB248" s="2371"/>
      <c r="AC248" s="2371"/>
      <c r="AD248" s="2371"/>
      <c r="AE248" s="2371"/>
      <c r="AF248" s="2843"/>
      <c r="AG248" s="1777"/>
      <c r="AH248" s="1777"/>
      <c r="AI248" s="1777"/>
      <c r="AJ248" s="1777"/>
      <c r="AK248" s="2852">
        <v>11</v>
      </c>
    </row>
    <row s="65897" customFormat="1" customHeight="1" ht="11.549999999999999">
      <c r="A249" s="2198"/>
      <c r="B249" s="2847"/>
      <c r="C249" s="2847"/>
      <c r="D249" s="1562"/>
      <c r="J249" s="13495"/>
      <c r="K249" s="13495"/>
      <c r="L249" s="13495"/>
      <c r="M249" s="13495"/>
      <c r="N249" s="13495"/>
      <c r="P249" s="2371"/>
      <c r="Q249" s="2847"/>
      <c r="R249" s="2847"/>
      <c r="S249" s="2371"/>
      <c r="T249" s="2371"/>
      <c r="U249" s="2371"/>
      <c r="V249" s="2371"/>
      <c r="W249" s="2847"/>
      <c r="X249" s="2371"/>
      <c r="Y249" s="2371"/>
      <c r="Z249" s="1755"/>
      <c r="AA249" s="2371"/>
      <c r="AB249" s="2371"/>
      <c r="AC249" s="2371"/>
      <c r="AD249" s="2371"/>
      <c r="AE249" s="2371"/>
      <c r="AF249" s="2843"/>
      <c r="AG249" s="1777"/>
      <c r="AH249" s="1777"/>
      <c r="AI249" s="1777"/>
      <c r="AJ249" s="1777"/>
      <c r="AK249" s="2852">
        <v>11</v>
      </c>
    </row>
    <row s="65897" customFormat="1" customHeight="1" ht="11.549999999999999">
      <c r="A250" s="2198"/>
      <c r="B250" s="2847"/>
      <c r="C250" s="2847"/>
      <c r="D250" s="1562"/>
      <c r="J250" s="13495"/>
      <c r="K250" s="13495"/>
      <c r="L250" s="13495"/>
      <c r="M250" s="13495"/>
      <c r="N250" s="13495"/>
      <c r="P250" s="2371"/>
      <c r="Q250" s="2847"/>
      <c r="R250" s="2847"/>
      <c r="S250" s="2371"/>
      <c r="T250" s="2371"/>
      <c r="U250" s="2371"/>
      <c r="V250" s="2371"/>
      <c r="W250" s="2847"/>
      <c r="X250" s="2371"/>
      <c r="Y250" s="2371"/>
      <c r="Z250" s="1755"/>
      <c r="AA250" s="2371"/>
      <c r="AB250" s="2371"/>
      <c r="AC250" s="2371"/>
      <c r="AD250" s="2371"/>
      <c r="AE250" s="2371"/>
      <c r="AF250" s="2843"/>
      <c r="AG250" s="1777"/>
      <c r="AH250" s="1777"/>
      <c r="AI250" s="1777"/>
      <c r="AJ250" s="1777"/>
      <c r="AK250" s="2852">
        <v>11</v>
      </c>
    </row>
    <row s="65897" customFormat="1" customHeight="1" ht="11.549999999999999">
      <c r="A251" s="2198"/>
      <c r="B251" s="2847"/>
      <c r="C251" s="2847"/>
      <c r="D251" s="1562"/>
      <c r="J251" s="13495"/>
      <c r="K251" s="13495"/>
      <c r="L251" s="13495"/>
      <c r="M251" s="13495"/>
      <c r="N251" s="13495"/>
      <c r="P251" s="2371"/>
      <c r="Q251" s="2847"/>
      <c r="R251" s="2847"/>
      <c r="S251" s="2371"/>
      <c r="T251" s="2371"/>
      <c r="U251" s="2371"/>
      <c r="V251" s="2371"/>
      <c r="W251" s="2847"/>
      <c r="X251" s="2371"/>
      <c r="Y251" s="2371"/>
      <c r="Z251" s="1755"/>
      <c r="AA251" s="2371"/>
      <c r="AB251" s="2371"/>
      <c r="AC251" s="2371"/>
      <c r="AD251" s="2371"/>
      <c r="AE251" s="2371"/>
      <c r="AF251" s="2843"/>
      <c r="AG251" s="1777"/>
      <c r="AH251" s="1777"/>
      <c r="AI251" s="1777"/>
      <c r="AJ251" s="1777"/>
      <c r="AK251" s="2852">
        <v>11</v>
      </c>
    </row>
    <row s="65897" customFormat="1" customHeight="1" ht="11.549999999999999">
      <c r="A252" s="2198"/>
      <c r="B252" s="2847"/>
      <c r="C252" s="2847"/>
      <c r="D252" s="1562"/>
      <c r="J252" s="13495"/>
      <c r="K252" s="13495"/>
      <c r="L252" s="13495"/>
      <c r="M252" s="13495"/>
      <c r="N252" s="13495"/>
      <c r="P252" s="2371"/>
      <c r="Q252" s="2847"/>
      <c r="R252" s="2847"/>
      <c r="S252" s="2371"/>
      <c r="T252" s="2371"/>
      <c r="U252" s="2371"/>
      <c r="V252" s="2371"/>
      <c r="W252" s="2847"/>
      <c r="X252" s="2371"/>
      <c r="Y252" s="2371"/>
      <c r="Z252" s="1755"/>
      <c r="AA252" s="2371"/>
      <c r="AB252" s="2371"/>
      <c r="AC252" s="2371"/>
      <c r="AD252" s="2371"/>
      <c r="AE252" s="2371"/>
      <c r="AF252" s="2843"/>
      <c r="AG252" s="1777"/>
      <c r="AH252" s="1777"/>
      <c r="AI252" s="1777"/>
      <c r="AJ252" s="1777"/>
      <c r="AK252" s="2852">
        <v>11</v>
      </c>
    </row>
    <row s="65897" customFormat="1" customHeight="1" ht="11.549999999999999">
      <c r="A253" s="2198"/>
      <c r="B253" s="2847"/>
      <c r="C253" s="2847"/>
      <c r="D253" s="1562"/>
      <c r="J253" s="13495"/>
      <c r="K253" s="13495"/>
      <c r="L253" s="13495"/>
      <c r="M253" s="13495"/>
      <c r="N253" s="13495"/>
      <c r="P253" s="2371"/>
      <c r="Q253" s="2847"/>
      <c r="R253" s="2847"/>
      <c r="S253" s="2371"/>
      <c r="T253" s="2371"/>
      <c r="U253" s="2371"/>
      <c r="V253" s="2371"/>
      <c r="W253" s="2847"/>
      <c r="X253" s="2371"/>
      <c r="Y253" s="2371"/>
      <c r="Z253" s="1755"/>
      <c r="AA253" s="2371"/>
      <c r="AB253" s="2371"/>
      <c r="AC253" s="2371"/>
      <c r="AD253" s="2371"/>
      <c r="AE253" s="2371"/>
      <c r="AF253" s="2843"/>
      <c r="AG253" s="1777"/>
      <c r="AH253" s="1777"/>
      <c r="AI253" s="1777"/>
      <c r="AJ253" s="1777"/>
      <c r="AK253" s="2852">
        <v>11</v>
      </c>
    </row>
    <row s="65897" customFormat="1" customHeight="1" ht="11.549999999999999">
      <c r="A254" s="2198"/>
      <c r="B254" s="2847"/>
      <c r="C254" s="2847"/>
      <c r="D254" s="1562"/>
      <c r="J254" s="13495"/>
      <c r="K254" s="13495"/>
      <c r="L254" s="13495"/>
      <c r="M254" s="13495"/>
      <c r="N254" s="13495"/>
      <c r="P254" s="2371"/>
      <c r="Q254" s="2847"/>
      <c r="R254" s="2847"/>
      <c r="S254" s="2371"/>
      <c r="T254" s="2371"/>
      <c r="U254" s="2371"/>
      <c r="V254" s="2371"/>
      <c r="W254" s="2847"/>
      <c r="X254" s="2371"/>
      <c r="Y254" s="2371"/>
      <c r="Z254" s="1755"/>
      <c r="AA254" s="2371"/>
      <c r="AB254" s="2371"/>
      <c r="AC254" s="2371"/>
      <c r="AD254" s="2371"/>
      <c r="AE254" s="2371"/>
      <c r="AF254" s="2843"/>
      <c r="AG254" s="1777"/>
      <c r="AH254" s="1777"/>
      <c r="AI254" s="1777"/>
      <c r="AJ254" s="1777"/>
      <c r="AK254" s="2852">
        <v>11</v>
      </c>
    </row>
    <row s="65897" customFormat="1" customHeight="1" ht="11.549999999999999">
      <c r="A255" s="2198"/>
      <c r="B255" s="2847"/>
      <c r="C255" s="2847"/>
      <c r="D255" s="1562"/>
      <c r="J255" s="13495"/>
      <c r="K255" s="13495"/>
      <c r="L255" s="13495"/>
      <c r="M255" s="13495"/>
      <c r="N255" s="13495"/>
      <c r="P255" s="2371"/>
      <c r="Q255" s="2847"/>
      <c r="R255" s="2847"/>
      <c r="S255" s="2371"/>
      <c r="T255" s="2371"/>
      <c r="U255" s="2371"/>
      <c r="V255" s="2371"/>
      <c r="W255" s="2847"/>
      <c r="X255" s="2371"/>
      <c r="Y255" s="2371"/>
      <c r="Z255" s="1755"/>
      <c r="AA255" s="2371"/>
      <c r="AB255" s="2371"/>
      <c r="AC255" s="2371"/>
      <c r="AD255" s="2371"/>
      <c r="AE255" s="2371"/>
      <c r="AF255" s="2843"/>
      <c r="AG255" s="1777"/>
      <c r="AH255" s="1777"/>
      <c r="AI255" s="1777"/>
      <c r="AJ255" s="1777"/>
      <c r="AK255" s="2852">
        <v>11</v>
      </c>
    </row>
    <row s="65897" customFormat="1" customHeight="1" ht="11.549999999999999">
      <c r="A256" s="2198"/>
      <c r="B256" s="2847"/>
      <c r="C256" s="2847"/>
      <c r="D256" s="1562"/>
      <c r="J256" s="13495"/>
      <c r="K256" s="13495"/>
      <c r="L256" s="13495"/>
      <c r="M256" s="13495"/>
      <c r="N256" s="13495"/>
      <c r="P256" s="2371"/>
      <c r="Q256" s="2847"/>
      <c r="R256" s="2847"/>
      <c r="S256" s="2371"/>
      <c r="T256" s="2371"/>
      <c r="U256" s="2371"/>
      <c r="V256" s="2371"/>
      <c r="W256" s="2847"/>
      <c r="X256" s="2371"/>
      <c r="Y256" s="2371"/>
      <c r="Z256" s="1755"/>
      <c r="AA256" s="2371"/>
      <c r="AB256" s="2371"/>
      <c r="AC256" s="2371"/>
      <c r="AD256" s="2371"/>
      <c r="AE256" s="2371"/>
      <c r="AF256" s="2843"/>
      <c r="AG256" s="1777"/>
      <c r="AH256" s="1777"/>
      <c r="AI256" s="1777"/>
      <c r="AJ256" s="1777"/>
      <c r="AK256" s="2852">
        <v>11</v>
      </c>
    </row>
    <row s="65897" customFormat="1" customHeight="1" ht="11.549999999999999">
      <c r="A257" s="2198"/>
      <c r="B257" s="2847"/>
      <c r="C257" s="2847"/>
      <c r="D257" s="1562"/>
      <c r="J257" s="13495"/>
      <c r="K257" s="13495"/>
      <c r="L257" s="13495"/>
      <c r="M257" s="13495"/>
      <c r="N257" s="13495"/>
      <c r="P257" s="2371"/>
      <c r="Q257" s="2847"/>
      <c r="R257" s="2847"/>
      <c r="S257" s="2371"/>
      <c r="T257" s="2371"/>
      <c r="U257" s="2371"/>
      <c r="V257" s="2371"/>
      <c r="W257" s="2847"/>
      <c r="X257" s="2371"/>
      <c r="Y257" s="2371"/>
      <c r="Z257" s="1755"/>
      <c r="AA257" s="2371"/>
      <c r="AB257" s="2371"/>
      <c r="AC257" s="2371"/>
      <c r="AD257" s="2371"/>
      <c r="AE257" s="2371"/>
      <c r="AF257" s="2843"/>
      <c r="AG257" s="1777"/>
      <c r="AH257" s="1777"/>
      <c r="AI257" s="1777"/>
      <c r="AJ257" s="1777"/>
      <c r="AK257" s="2852">
        <v>11</v>
      </c>
    </row>
    <row s="65897" customFormat="1" customHeight="1" ht="11.549999999999999">
      <c r="A258" s="2198"/>
      <c r="B258" s="2847"/>
      <c r="C258" s="2847"/>
      <c r="D258" s="1562"/>
      <c r="J258" s="13495"/>
      <c r="K258" s="13495"/>
      <c r="L258" s="13495"/>
      <c r="M258" s="13495"/>
      <c r="N258" s="13495"/>
      <c r="P258" s="2371"/>
      <c r="Q258" s="2847"/>
      <c r="R258" s="2847"/>
      <c r="S258" s="2371"/>
      <c r="T258" s="2371"/>
      <c r="U258" s="2371"/>
      <c r="V258" s="2371"/>
      <c r="W258" s="2847"/>
      <c r="X258" s="2371"/>
      <c r="Y258" s="2371"/>
      <c r="Z258" s="1755"/>
      <c r="AA258" s="2371"/>
      <c r="AB258" s="2371"/>
      <c r="AC258" s="2371"/>
      <c r="AD258" s="2371"/>
      <c r="AE258" s="2371"/>
      <c r="AF258" s="2843"/>
      <c r="AG258" s="1777"/>
      <c r="AH258" s="1777"/>
      <c r="AI258" s="1777"/>
      <c r="AJ258" s="1777"/>
      <c r="AK258" s="2852">
        <v>11</v>
      </c>
    </row>
    <row s="65897" customFormat="1" customHeight="1" ht="11.549999999999999">
      <c r="A259" s="2198"/>
      <c r="B259" s="2847"/>
      <c r="C259" s="2847"/>
      <c r="D259" s="1562"/>
      <c r="J259" s="13495"/>
      <c r="K259" s="13495"/>
      <c r="L259" s="13495"/>
      <c r="M259" s="13495"/>
      <c r="N259" s="13495"/>
      <c r="P259" s="2371"/>
      <c r="Q259" s="2847"/>
      <c r="R259" s="2847"/>
      <c r="S259" s="2371"/>
      <c r="T259" s="2371"/>
      <c r="U259" s="2371"/>
      <c r="V259" s="2371"/>
      <c r="W259" s="2847"/>
      <c r="X259" s="2371"/>
      <c r="Y259" s="2371"/>
      <c r="Z259" s="1755"/>
      <c r="AA259" s="2371"/>
      <c r="AB259" s="2371"/>
      <c r="AC259" s="2371"/>
      <c r="AD259" s="2371"/>
      <c r="AE259" s="2371"/>
      <c r="AF259" s="2843"/>
      <c r="AG259" s="1777"/>
      <c r="AH259" s="1777"/>
      <c r="AI259" s="1777"/>
      <c r="AJ259" s="1777"/>
      <c r="AK259" s="2852">
        <v>11</v>
      </c>
    </row>
    <row s="65897" customFormat="1" customHeight="1" ht="11.549999999999999">
      <c r="A260" s="2198"/>
      <c r="B260" s="2847"/>
      <c r="C260" s="2847"/>
      <c r="D260" s="1562"/>
      <c r="J260" s="13495"/>
      <c r="K260" s="13495"/>
      <c r="L260" s="13495"/>
      <c r="M260" s="13495"/>
      <c r="N260" s="13495"/>
      <c r="P260" s="2371"/>
      <c r="Q260" s="2847"/>
      <c r="R260" s="2847"/>
      <c r="S260" s="2371"/>
      <c r="T260" s="2371"/>
      <c r="U260" s="2371"/>
      <c r="V260" s="2371"/>
      <c r="W260" s="2847"/>
      <c r="X260" s="2371"/>
      <c r="Y260" s="2371"/>
      <c r="Z260" s="1755"/>
      <c r="AA260" s="2371"/>
      <c r="AB260" s="2371"/>
      <c r="AC260" s="2371"/>
      <c r="AD260" s="2371"/>
      <c r="AE260" s="2371"/>
      <c r="AF260" s="2843"/>
      <c r="AG260" s="1777"/>
      <c r="AH260" s="1777"/>
      <c r="AI260" s="1777"/>
      <c r="AJ260" s="1777"/>
      <c r="AK260" s="2852">
        <v>11</v>
      </c>
    </row>
    <row s="65897" customFormat="1" customHeight="1" ht="11.549999999999999">
      <c r="A261" s="2198"/>
      <c r="B261" s="2847"/>
      <c r="C261" s="2847"/>
      <c r="D261" s="1562"/>
      <c r="J261" s="13495"/>
      <c r="K261" s="13495"/>
      <c r="L261" s="13495"/>
      <c r="M261" s="13495"/>
      <c r="N261" s="13495"/>
      <c r="P261" s="2371"/>
      <c r="Q261" s="2847"/>
      <c r="R261" s="2847"/>
      <c r="S261" s="2371"/>
      <c r="T261" s="2371"/>
      <c r="U261" s="2371"/>
      <c r="V261" s="2371"/>
      <c r="W261" s="2847"/>
      <c r="X261" s="2371"/>
      <c r="Y261" s="2371"/>
      <c r="Z261" s="1755"/>
      <c r="AA261" s="2371"/>
      <c r="AB261" s="2371"/>
      <c r="AC261" s="2371"/>
      <c r="AD261" s="2371"/>
      <c r="AE261" s="2371"/>
      <c r="AF261" s="2843"/>
      <c r="AG261" s="1777"/>
      <c r="AH261" s="1777"/>
      <c r="AI261" s="1777"/>
      <c r="AJ261" s="1777"/>
      <c r="AK261" s="2852">
        <v>11</v>
      </c>
    </row>
    <row s="65897" customFormat="1" customHeight="1" ht="11.549999999999999">
      <c r="A262" s="2198"/>
      <c r="B262" s="2847"/>
      <c r="C262" s="2847"/>
      <c r="D262" s="1562"/>
      <c r="J262" s="13495"/>
      <c r="K262" s="13495"/>
      <c r="L262" s="13495"/>
      <c r="M262" s="13495"/>
      <c r="N262" s="13495"/>
      <c r="P262" s="2371"/>
      <c r="Q262" s="2847"/>
      <c r="R262" s="2847"/>
      <c r="S262" s="2371"/>
      <c r="T262" s="2371"/>
      <c r="U262" s="2371"/>
      <c r="V262" s="2371"/>
      <c r="W262" s="2847"/>
      <c r="X262" s="2371"/>
      <c r="Y262" s="2371"/>
      <c r="Z262" s="1755"/>
      <c r="AA262" s="2371"/>
      <c r="AB262" s="2371"/>
      <c r="AC262" s="2371"/>
      <c r="AD262" s="2371"/>
      <c r="AE262" s="2371"/>
      <c r="AF262" s="2843"/>
      <c r="AG262" s="1777"/>
      <c r="AH262" s="1777"/>
      <c r="AI262" s="1777"/>
      <c r="AJ262" s="1777"/>
      <c r="AK262" s="2852">
        <v>11</v>
      </c>
    </row>
    <row s="65897" customFormat="1" customHeight="1" ht="11.549999999999999">
      <c r="A263" s="2198"/>
      <c r="B263" s="2847"/>
      <c r="C263" s="2847"/>
      <c r="D263" s="1562"/>
      <c r="J263" s="13495"/>
      <c r="K263" s="13495"/>
      <c r="L263" s="13495"/>
      <c r="M263" s="13495"/>
      <c r="N263" s="13495"/>
      <c r="P263" s="2371"/>
      <c r="Q263" s="2847"/>
      <c r="R263" s="2847"/>
      <c r="S263" s="2371"/>
      <c r="T263" s="2371"/>
      <c r="U263" s="2371"/>
      <c r="V263" s="2371"/>
      <c r="W263" s="2847"/>
      <c r="X263" s="2371"/>
      <c r="Y263" s="2371"/>
      <c r="Z263" s="1755"/>
      <c r="AA263" s="2371"/>
      <c r="AB263" s="2371"/>
      <c r="AC263" s="2371"/>
      <c r="AD263" s="2371"/>
      <c r="AE263" s="2371"/>
      <c r="AF263" s="2843"/>
      <c r="AG263" s="1777"/>
      <c r="AH263" s="1777"/>
      <c r="AI263" s="1777"/>
      <c r="AJ263" s="1777"/>
      <c r="AK263" s="2852">
        <v>11</v>
      </c>
    </row>
    <row s="65897" customFormat="1" customHeight="1" ht="11.549999999999999">
      <c r="A264" s="2198"/>
      <c r="B264" s="2847"/>
      <c r="C264" s="2847"/>
      <c r="D264" s="1562"/>
      <c r="J264" s="13495"/>
      <c r="K264" s="13495"/>
      <c r="L264" s="13495"/>
      <c r="M264" s="13495"/>
      <c r="N264" s="13495"/>
      <c r="P264" s="2371"/>
      <c r="Q264" s="2847"/>
      <c r="R264" s="2847"/>
      <c r="S264" s="2371"/>
      <c r="T264" s="2371"/>
      <c r="U264" s="2371"/>
      <c r="V264" s="2371"/>
      <c r="W264" s="2847"/>
      <c r="X264" s="2371"/>
      <c r="Y264" s="2371"/>
      <c r="Z264" s="1755"/>
      <c r="AA264" s="2371"/>
      <c r="AB264" s="2371"/>
      <c r="AC264" s="2371"/>
      <c r="AD264" s="2371"/>
      <c r="AE264" s="2371"/>
      <c r="AF264" s="2843"/>
      <c r="AG264" s="1777"/>
      <c r="AH264" s="1777"/>
      <c r="AI264" s="1777"/>
      <c r="AJ264" s="1777"/>
      <c r="AK264" s="2852">
        <v>11</v>
      </c>
    </row>
    <row s="65897" customFormat="1" customHeight="1" ht="11.549999999999999">
      <c r="A265" s="2198"/>
      <c r="B265" s="2847"/>
      <c r="C265" s="2847"/>
      <c r="D265" s="1562"/>
      <c r="J265" s="13495"/>
      <c r="K265" s="13495"/>
      <c r="L265" s="13495"/>
      <c r="M265" s="13495"/>
      <c r="N265" s="13495"/>
      <c r="P265" s="2371"/>
      <c r="Q265" s="2847"/>
      <c r="R265" s="2847"/>
      <c r="S265" s="2371"/>
      <c r="T265" s="2371"/>
      <c r="U265" s="2371"/>
      <c r="V265" s="2371"/>
      <c r="W265" s="2847"/>
      <c r="X265" s="2371"/>
      <c r="Y265" s="2371"/>
      <c r="Z265" s="1755"/>
      <c r="AA265" s="2371"/>
      <c r="AB265" s="2371"/>
      <c r="AC265" s="2371"/>
      <c r="AD265" s="2371"/>
      <c r="AE265" s="2371"/>
      <c r="AF265" s="2843"/>
      <c r="AG265" s="1777"/>
      <c r="AH265" s="1777"/>
      <c r="AI265" s="1777"/>
      <c r="AJ265" s="1777"/>
      <c r="AK265" s="2852">
        <v>11</v>
      </c>
    </row>
    <row s="65897" customFormat="1" customHeight="1" ht="11.549999999999999">
      <c r="A266" s="2198"/>
      <c r="B266" s="2847"/>
      <c r="C266" s="2847"/>
      <c r="D266" s="1562"/>
      <c r="J266" s="13495"/>
      <c r="K266" s="13495"/>
      <c r="L266" s="13495"/>
      <c r="M266" s="13495"/>
      <c r="N266" s="13495"/>
      <c r="P266" s="2371"/>
      <c r="Q266" s="2847"/>
      <c r="R266" s="2847"/>
      <c r="S266" s="2371"/>
      <c r="T266" s="2371"/>
      <c r="U266" s="2371"/>
      <c r="V266" s="2371"/>
      <c r="W266" s="2847"/>
      <c r="X266" s="2371"/>
      <c r="Y266" s="2371"/>
      <c r="Z266" s="1755"/>
      <c r="AA266" s="2371"/>
      <c r="AB266" s="2371"/>
      <c r="AC266" s="2371"/>
      <c r="AD266" s="2371"/>
      <c r="AE266" s="2371"/>
      <c r="AF266" s="2843"/>
      <c r="AG266" s="1777"/>
      <c r="AH266" s="1777"/>
      <c r="AI266" s="1777"/>
      <c r="AJ266" s="1777"/>
      <c r="AK266" s="2852">
        <v>11</v>
      </c>
    </row>
    <row s="65897" customFormat="1" customHeight="1" ht="11.549999999999999">
      <c r="A267" s="2198"/>
      <c r="B267" s="2847"/>
      <c r="C267" s="2847"/>
      <c r="D267" s="1562"/>
      <c r="J267" s="13495"/>
      <c r="K267" s="13495"/>
      <c r="L267" s="13495"/>
      <c r="M267" s="13495"/>
      <c r="N267" s="13495"/>
      <c r="P267" s="2371"/>
      <c r="Q267" s="2847"/>
      <c r="R267" s="2847"/>
      <c r="S267" s="2371"/>
      <c r="T267" s="2371"/>
      <c r="U267" s="2371"/>
      <c r="V267" s="2371"/>
      <c r="W267" s="2847"/>
      <c r="X267" s="2371"/>
      <c r="Y267" s="2371"/>
      <c r="Z267" s="1755"/>
      <c r="AA267" s="2371"/>
      <c r="AB267" s="2371"/>
      <c r="AC267" s="2371"/>
      <c r="AD267" s="2371"/>
      <c r="AE267" s="2371"/>
      <c r="AF267" s="2843"/>
      <c r="AG267" s="1777"/>
      <c r="AH267" s="1777"/>
      <c r="AI267" s="1777"/>
      <c r="AJ267" s="1777"/>
      <c r="AK267" s="2852">
        <v>11</v>
      </c>
    </row>
    <row s="65897" customFormat="1" customHeight="1" ht="11.549999999999999">
      <c r="A268" s="2198"/>
      <c r="B268" s="2847"/>
      <c r="C268" s="2847"/>
      <c r="D268" s="1562"/>
      <c r="J268" s="13495"/>
      <c r="K268" s="13495"/>
      <c r="L268" s="13495"/>
      <c r="M268" s="13495"/>
      <c r="N268" s="13495"/>
      <c r="P268" s="2371"/>
      <c r="Q268" s="2847"/>
      <c r="R268" s="2847"/>
      <c r="S268" s="2371"/>
      <c r="T268" s="2371"/>
      <c r="U268" s="2371"/>
      <c r="V268" s="2371"/>
      <c r="W268" s="2847"/>
      <c r="X268" s="2371"/>
      <c r="Y268" s="2371"/>
      <c r="Z268" s="1755"/>
      <c r="AA268" s="2371"/>
      <c r="AB268" s="2371"/>
      <c r="AC268" s="2371"/>
      <c r="AD268" s="2371"/>
      <c r="AE268" s="2371"/>
      <c r="AF268" s="2843"/>
      <c r="AG268" s="1777"/>
      <c r="AH268" s="1777"/>
      <c r="AI268" s="1777"/>
      <c r="AJ268" s="1777"/>
      <c r="AK268" s="2852">
        <v>11</v>
      </c>
    </row>
    <row s="65897" customFormat="1" customHeight="1" ht="11.549999999999999">
      <c r="A269" s="2198"/>
      <c r="B269" s="2847"/>
      <c r="C269" s="2847"/>
      <c r="D269" s="1562"/>
      <c r="J269" s="13495"/>
      <c r="K269" s="13495"/>
      <c r="L269" s="13495"/>
      <c r="M269" s="13495"/>
      <c r="N269" s="13495"/>
      <c r="P269" s="2371"/>
      <c r="Q269" s="2847"/>
      <c r="R269" s="2847"/>
      <c r="S269" s="2371"/>
      <c r="T269" s="2371"/>
      <c r="U269" s="2371"/>
      <c r="V269" s="2371"/>
      <c r="W269" s="2847"/>
      <c r="X269" s="2371"/>
      <c r="Y269" s="2371"/>
      <c r="Z269" s="1755"/>
      <c r="AA269" s="2371"/>
      <c r="AB269" s="2371"/>
      <c r="AC269" s="2371"/>
      <c r="AD269" s="2371"/>
      <c r="AE269" s="2371"/>
      <c r="AF269" s="2843"/>
      <c r="AG269" s="1777"/>
      <c r="AH269" s="1777"/>
      <c r="AI269" s="1777"/>
      <c r="AJ269" s="1777"/>
      <c r="AK269" s="2852">
        <v>11</v>
      </c>
    </row>
    <row s="65897" customFormat="1" customHeight="1" ht="11.549999999999999">
      <c r="A270" s="2198"/>
      <c r="B270" s="2847"/>
      <c r="C270" s="2847"/>
      <c r="D270" s="1562"/>
      <c r="J270" s="13495"/>
      <c r="K270" s="13495"/>
      <c r="L270" s="13495"/>
      <c r="M270" s="13495"/>
      <c r="N270" s="13495"/>
      <c r="P270" s="2371"/>
      <c r="Q270" s="2847"/>
      <c r="R270" s="2847"/>
      <c r="S270" s="2371"/>
      <c r="T270" s="2371"/>
      <c r="U270" s="2371"/>
      <c r="V270" s="2371"/>
      <c r="W270" s="2847"/>
      <c r="X270" s="2371"/>
      <c r="Y270" s="2371"/>
      <c r="Z270" s="1755"/>
      <c r="AA270" s="2371"/>
      <c r="AB270" s="2371"/>
      <c r="AC270" s="2371"/>
      <c r="AD270" s="2371"/>
      <c r="AE270" s="2371"/>
      <c r="AF270" s="2843"/>
      <c r="AG270" s="1777"/>
      <c r="AH270" s="1777"/>
      <c r="AI270" s="1777"/>
      <c r="AJ270" s="1777"/>
      <c r="AK270" s="2852">
        <v>11</v>
      </c>
    </row>
    <row s="65897" customFormat="1" customHeight="1" ht="11.549999999999999">
      <c r="A271" s="2198"/>
      <c r="B271" s="2847"/>
      <c r="C271" s="2847"/>
      <c r="D271" s="1562"/>
      <c r="J271" s="13495"/>
      <c r="K271" s="13495"/>
      <c r="L271" s="13495"/>
      <c r="M271" s="13495"/>
      <c r="N271" s="13495"/>
      <c r="P271" s="2371"/>
      <c r="Q271" s="2847"/>
      <c r="R271" s="2847"/>
      <c r="S271" s="2371"/>
      <c r="T271" s="2371"/>
      <c r="U271" s="2371"/>
      <c r="V271" s="2371"/>
      <c r="W271" s="2847"/>
      <c r="X271" s="2371"/>
      <c r="Y271" s="2371"/>
      <c r="Z271" s="1755"/>
      <c r="AA271" s="2371"/>
      <c r="AB271" s="2371"/>
      <c r="AC271" s="2371"/>
      <c r="AD271" s="2371"/>
      <c r="AE271" s="2371"/>
      <c r="AF271" s="2843"/>
      <c r="AG271" s="1777"/>
      <c r="AH271" s="1777"/>
      <c r="AI271" s="1777"/>
      <c r="AJ271" s="1777"/>
      <c r="AK271" s="2852">
        <v>11</v>
      </c>
    </row>
    <row s="65897" customFormat="1" customHeight="1" ht="11.549999999999999">
      <c r="A272" s="2198"/>
      <c r="B272" s="2847"/>
      <c r="C272" s="2847"/>
      <c r="D272" s="1562"/>
      <c r="J272" s="13495"/>
      <c r="K272" s="13495"/>
      <c r="L272" s="13495"/>
      <c r="M272" s="13495"/>
      <c r="N272" s="13495"/>
      <c r="P272" s="2371"/>
      <c r="Q272" s="2847"/>
      <c r="R272" s="2847"/>
      <c r="S272" s="2371"/>
      <c r="T272" s="2371"/>
      <c r="U272" s="2371"/>
      <c r="V272" s="2371"/>
      <c r="W272" s="2847"/>
      <c r="X272" s="2371"/>
      <c r="Y272" s="2371"/>
      <c r="Z272" s="1755"/>
      <c r="AA272" s="2371"/>
      <c r="AB272" s="2371"/>
      <c r="AC272" s="2371"/>
      <c r="AD272" s="2371"/>
      <c r="AE272" s="2371"/>
      <c r="AF272" s="2843"/>
      <c r="AG272" s="1777"/>
      <c r="AH272" s="1777"/>
      <c r="AI272" s="1777"/>
      <c r="AJ272" s="1777"/>
      <c r="AK272" s="2852">
        <v>11</v>
      </c>
    </row>
    <row s="65897" customFormat="1" customHeight="1" ht="11.549999999999999">
      <c r="A273" s="2198"/>
      <c r="B273" s="2847"/>
      <c r="C273" s="2847"/>
      <c r="D273" s="1562"/>
      <c r="J273" s="13495"/>
      <c r="K273" s="13495"/>
      <c r="L273" s="13495"/>
      <c r="M273" s="13495"/>
      <c r="N273" s="13495"/>
      <c r="P273" s="2371"/>
      <c r="Q273" s="2847"/>
      <c r="R273" s="2847"/>
      <c r="S273" s="2371"/>
      <c r="T273" s="2371"/>
      <c r="U273" s="2371"/>
      <c r="V273" s="2371"/>
      <c r="W273" s="2847"/>
      <c r="X273" s="2371"/>
      <c r="Y273" s="2371"/>
      <c r="Z273" s="1755"/>
      <c r="AA273" s="2371"/>
      <c r="AB273" s="2371"/>
      <c r="AC273" s="2371"/>
      <c r="AD273" s="2371"/>
      <c r="AE273" s="2371"/>
      <c r="AF273" s="2843"/>
      <c r="AG273" s="1777"/>
      <c r="AH273" s="1777"/>
      <c r="AI273" s="1777"/>
      <c r="AJ273" s="1777"/>
      <c r="AK273" s="2852">
        <v>11</v>
      </c>
    </row>
    <row s="65897" customFormat="1" customHeight="1" ht="11.549999999999999">
      <c r="A274" s="2198"/>
      <c r="B274" s="2847"/>
      <c r="C274" s="2847"/>
      <c r="D274" s="1562"/>
      <c r="J274" s="13495"/>
      <c r="K274" s="13495"/>
      <c r="L274" s="13495"/>
      <c r="M274" s="13495"/>
      <c r="N274" s="13495"/>
      <c r="P274" s="2371"/>
      <c r="Q274" s="2847"/>
      <c r="R274" s="2847"/>
      <c r="S274" s="2371"/>
      <c r="T274" s="2371"/>
      <c r="U274" s="2371"/>
      <c r="V274" s="2371"/>
      <c r="W274" s="2847"/>
      <c r="X274" s="2371"/>
      <c r="Y274" s="2371"/>
      <c r="Z274" s="1755"/>
      <c r="AA274" s="2371"/>
      <c r="AB274" s="2371"/>
      <c r="AC274" s="2371"/>
      <c r="AD274" s="2371"/>
      <c r="AE274" s="2371"/>
      <c r="AF274" s="2843"/>
      <c r="AG274" s="1777"/>
      <c r="AH274" s="1777"/>
      <c r="AI274" s="1777"/>
      <c r="AJ274" s="1777"/>
      <c r="AK274" s="2852">
        <v>11</v>
      </c>
    </row>
    <row s="65897" customFormat="1" customHeight="1" ht="11.549999999999999">
      <c r="A275" s="2198"/>
      <c r="B275" s="2847"/>
      <c r="C275" s="2847"/>
      <c r="D275" s="1562"/>
      <c r="J275" s="13495"/>
      <c r="K275" s="13495"/>
      <c r="L275" s="13495"/>
      <c r="M275" s="13495"/>
      <c r="N275" s="13495"/>
      <c r="P275" s="2371"/>
      <c r="Q275" s="2847"/>
      <c r="R275" s="2847"/>
      <c r="S275" s="2371"/>
      <c r="T275" s="2371"/>
      <c r="U275" s="2371"/>
      <c r="V275" s="2371"/>
      <c r="W275" s="2847"/>
      <c r="X275" s="2371"/>
      <c r="Y275" s="2371"/>
      <c r="Z275" s="1755"/>
      <c r="AA275" s="2371"/>
      <c r="AB275" s="2371"/>
      <c r="AC275" s="2371"/>
      <c r="AD275" s="2371"/>
      <c r="AE275" s="2371"/>
      <c r="AF275" s="2843"/>
      <c r="AG275" s="1777"/>
      <c r="AH275" s="1777"/>
      <c r="AI275" s="1777"/>
      <c r="AJ275" s="1777"/>
      <c r="AK275" s="2852">
        <v>11</v>
      </c>
    </row>
    <row s="65897" customFormat="1" customHeight="1" ht="11.549999999999999">
      <c r="A276" s="2198"/>
      <c r="B276" s="2847"/>
      <c r="C276" s="2847"/>
      <c r="D276" s="1562"/>
      <c r="J276" s="13495"/>
      <c r="K276" s="13495"/>
      <c r="L276" s="13495"/>
      <c r="M276" s="13495"/>
      <c r="N276" s="13495"/>
      <c r="P276" s="2371"/>
      <c r="Q276" s="2847"/>
      <c r="R276" s="2847"/>
      <c r="S276" s="2371"/>
      <c r="T276" s="2371"/>
      <c r="U276" s="2371"/>
      <c r="V276" s="2371"/>
      <c r="W276" s="2847"/>
      <c r="X276" s="2371"/>
      <c r="Y276" s="2371"/>
      <c r="Z276" s="1755"/>
      <c r="AA276" s="2371"/>
      <c r="AB276" s="2371"/>
      <c r="AC276" s="2371"/>
      <c r="AD276" s="2371"/>
      <c r="AE276" s="2371"/>
      <c r="AF276" s="2843"/>
      <c r="AG276" s="1777"/>
      <c r="AH276" s="1777"/>
      <c r="AI276" s="1777"/>
      <c r="AJ276" s="1777"/>
      <c r="AK276" s="2852">
        <v>11</v>
      </c>
    </row>
    <row s="65897" customFormat="1" customHeight="1" ht="11.549999999999999">
      <c r="A277" s="2198"/>
      <c r="B277" s="2847"/>
      <c r="C277" s="2847"/>
      <c r="D277" s="1562"/>
      <c r="J277" s="13495"/>
      <c r="K277" s="13495"/>
      <c r="L277" s="13495"/>
      <c r="M277" s="13495"/>
      <c r="N277" s="13495"/>
      <c r="P277" s="2371"/>
      <c r="Q277" s="2847"/>
      <c r="R277" s="2847"/>
      <c r="S277" s="2371"/>
      <c r="T277" s="2371"/>
      <c r="U277" s="2371"/>
      <c r="V277" s="2371"/>
      <c r="W277" s="2847"/>
      <c r="X277" s="2371"/>
      <c r="Y277" s="2371"/>
      <c r="Z277" s="1755"/>
      <c r="AA277" s="2371"/>
      <c r="AB277" s="2371"/>
      <c r="AC277" s="2371"/>
      <c r="AD277" s="2371"/>
      <c r="AE277" s="2371"/>
      <c r="AF277" s="2843"/>
      <c r="AG277" s="1777"/>
      <c r="AH277" s="1777"/>
      <c r="AI277" s="1777"/>
      <c r="AJ277" s="1777"/>
      <c r="AK277" s="2852">
        <v>11</v>
      </c>
    </row>
    <row s="65897" customFormat="1" customHeight="1" ht="11.549999999999999">
      <c r="A278" s="2198"/>
      <c r="B278" s="2847"/>
      <c r="C278" s="2847"/>
      <c r="D278" s="1562"/>
      <c r="J278" s="13495"/>
      <c r="K278" s="13495"/>
      <c r="L278" s="13495"/>
      <c r="M278" s="13495"/>
      <c r="N278" s="13495"/>
      <c r="P278" s="2371"/>
      <c r="Q278" s="2847"/>
      <c r="R278" s="2847"/>
      <c r="S278" s="2371"/>
      <c r="T278" s="2371"/>
      <c r="U278" s="2371"/>
      <c r="V278" s="2371"/>
      <c r="W278" s="2847"/>
      <c r="X278" s="2371"/>
      <c r="Y278" s="2371"/>
      <c r="Z278" s="1755"/>
      <c r="AA278" s="2371"/>
      <c r="AB278" s="2371"/>
      <c r="AC278" s="2371"/>
      <c r="AD278" s="2371"/>
      <c r="AE278" s="2371"/>
      <c r="AF278" s="2843"/>
      <c r="AG278" s="1777"/>
      <c r="AH278" s="1777"/>
      <c r="AI278" s="1777"/>
      <c r="AJ278" s="1777"/>
      <c r="AK278" s="2852">
        <v>11</v>
      </c>
    </row>
    <row s="65897" customFormat="1" customHeight="1" ht="11.549999999999999">
      <c r="A279" s="2198"/>
      <c r="B279" s="2847"/>
      <c r="C279" s="2847"/>
      <c r="D279" s="1562"/>
      <c r="J279" s="13495"/>
      <c r="K279" s="13495"/>
      <c r="L279" s="13495"/>
      <c r="M279" s="13495"/>
      <c r="N279" s="13495"/>
      <c r="P279" s="2371"/>
      <c r="Q279" s="2847"/>
      <c r="R279" s="2847"/>
      <c r="S279" s="2371"/>
      <c r="T279" s="2371"/>
      <c r="U279" s="2371"/>
      <c r="V279" s="2371"/>
      <c r="W279" s="2847"/>
      <c r="X279" s="2371"/>
      <c r="Y279" s="2371"/>
      <c r="Z279" s="1755"/>
      <c r="AA279" s="2371"/>
      <c r="AB279" s="2371"/>
      <c r="AC279" s="2371"/>
      <c r="AD279" s="2371"/>
      <c r="AE279" s="2371"/>
      <c r="AF279" s="2843"/>
      <c r="AG279" s="1777"/>
      <c r="AH279" s="1777"/>
      <c r="AI279" s="1777"/>
      <c r="AJ279" s="1777"/>
      <c r="AK279" s="2852">
        <v>11</v>
      </c>
    </row>
    <row s="65897" customFormat="1" customHeight="1" ht="11.549999999999999">
      <c r="A280" s="2198"/>
      <c r="B280" s="2847"/>
      <c r="C280" s="2847"/>
      <c r="D280" s="1562"/>
      <c r="J280" s="13495"/>
      <c r="K280" s="13495"/>
      <c r="L280" s="13495"/>
      <c r="M280" s="13495"/>
      <c r="N280" s="13495"/>
      <c r="P280" s="2371"/>
      <c r="Q280" s="2847"/>
      <c r="R280" s="2847"/>
      <c r="S280" s="2371"/>
      <c r="T280" s="2371"/>
      <c r="U280" s="2371"/>
      <c r="V280" s="2371"/>
      <c r="W280" s="2847"/>
      <c r="X280" s="2371"/>
      <c r="Y280" s="2371"/>
      <c r="Z280" s="1755"/>
      <c r="AA280" s="2371"/>
      <c r="AB280" s="2371"/>
      <c r="AC280" s="2371"/>
      <c r="AD280" s="2371"/>
      <c r="AE280" s="2371"/>
      <c r="AF280" s="2843"/>
      <c r="AG280" s="1777"/>
      <c r="AH280" s="1777"/>
      <c r="AI280" s="1777"/>
      <c r="AJ280" s="1777"/>
      <c r="AK280" s="2852">
        <v>11</v>
      </c>
    </row>
    <row s="65897" customFormat="1" customHeight="1" ht="11.549999999999999">
      <c r="A281" s="2198"/>
      <c r="B281" s="2847"/>
      <c r="C281" s="2847"/>
      <c r="D281" s="1562"/>
      <c r="J281" s="13495"/>
      <c r="K281" s="13495"/>
      <c r="L281" s="13495"/>
      <c r="M281" s="13495"/>
      <c r="N281" s="13495"/>
      <c r="P281" s="2371"/>
      <c r="Q281" s="2847"/>
      <c r="R281" s="2847"/>
      <c r="S281" s="2371"/>
      <c r="T281" s="2371"/>
      <c r="U281" s="2371"/>
      <c r="V281" s="2371"/>
      <c r="W281" s="2847"/>
      <c r="X281" s="2371"/>
      <c r="Y281" s="2371"/>
      <c r="Z281" s="1755"/>
      <c r="AA281" s="2371"/>
      <c r="AB281" s="2371"/>
      <c r="AC281" s="2371"/>
      <c r="AD281" s="2371"/>
      <c r="AE281" s="2371"/>
      <c r="AF281" s="2843"/>
      <c r="AG281" s="1777"/>
      <c r="AH281" s="1777"/>
      <c r="AI281" s="1777"/>
      <c r="AJ281" s="1777"/>
      <c r="AK281" s="2852">
        <v>11</v>
      </c>
    </row>
    <row s="65897" customFormat="1" customHeight="1" ht="11.549999999999999">
      <c r="A282" s="2198"/>
      <c r="B282" s="2847"/>
      <c r="C282" s="2847"/>
      <c r="D282" s="1562"/>
      <c r="J282" s="13495"/>
      <c r="K282" s="13495"/>
      <c r="L282" s="13495"/>
      <c r="M282" s="13495"/>
      <c r="N282" s="13495"/>
      <c r="P282" s="2371"/>
      <c r="Q282" s="2847"/>
      <c r="R282" s="2847"/>
      <c r="S282" s="2371"/>
      <c r="T282" s="2371"/>
      <c r="U282" s="2371"/>
      <c r="V282" s="2371"/>
      <c r="W282" s="2847"/>
      <c r="X282" s="2371"/>
      <c r="Y282" s="2371"/>
      <c r="Z282" s="1755"/>
      <c r="AA282" s="2371"/>
      <c r="AB282" s="2371"/>
      <c r="AC282" s="2371"/>
      <c r="AD282" s="2371"/>
      <c r="AE282" s="2371"/>
      <c r="AF282" s="2843"/>
      <c r="AG282" s="1777"/>
      <c r="AH282" s="1777"/>
      <c r="AI282" s="1777"/>
      <c r="AJ282" s="1777"/>
      <c r="AK282" s="2852">
        <v>11</v>
      </c>
    </row>
    <row s="65897" customFormat="1" customHeight="1" ht="11.549999999999999">
      <c r="A283" s="2198"/>
      <c r="B283" s="2847"/>
      <c r="C283" s="2847"/>
      <c r="D283" s="1562"/>
      <c r="J283" s="13495"/>
      <c r="K283" s="13495"/>
      <c r="L283" s="13495"/>
      <c r="M283" s="13495"/>
      <c r="N283" s="13495"/>
      <c r="P283" s="2371"/>
      <c r="Q283" s="2847"/>
      <c r="R283" s="2847"/>
      <c r="S283" s="2371"/>
      <c r="T283" s="2371"/>
      <c r="U283" s="2371"/>
      <c r="V283" s="2371"/>
      <c r="W283" s="2847"/>
      <c r="X283" s="2371"/>
      <c r="Y283" s="2371"/>
      <c r="Z283" s="1755"/>
      <c r="AA283" s="2371"/>
      <c r="AB283" s="2371"/>
      <c r="AC283" s="2371"/>
      <c r="AD283" s="2371"/>
      <c r="AE283" s="2371"/>
      <c r="AF283" s="2843"/>
      <c r="AG283" s="1777"/>
      <c r="AH283" s="1777"/>
      <c r="AI283" s="1777"/>
      <c r="AJ283" s="1777"/>
      <c r="AK283" s="2852">
        <v>11</v>
      </c>
    </row>
    <row s="65897" customFormat="1" customHeight="1" ht="11.549999999999999">
      <c r="A284" s="2198"/>
      <c r="B284" s="2847"/>
      <c r="C284" s="2847"/>
      <c r="D284" s="1562"/>
      <c r="J284" s="13495"/>
      <c r="K284" s="13495"/>
      <c r="L284" s="13495"/>
      <c r="M284" s="13495"/>
      <c r="N284" s="13495"/>
      <c r="P284" s="2371"/>
      <c r="Q284" s="2847"/>
      <c r="R284" s="2847"/>
      <c r="S284" s="2371"/>
      <c r="T284" s="2371"/>
      <c r="U284" s="2371"/>
      <c r="V284" s="2371"/>
      <c r="W284" s="2847"/>
      <c r="X284" s="2371"/>
      <c r="Y284" s="2371"/>
      <c r="Z284" s="1755"/>
      <c r="AA284" s="2371"/>
      <c r="AB284" s="2371"/>
      <c r="AC284" s="2371"/>
      <c r="AD284" s="2371"/>
      <c r="AE284" s="2371"/>
      <c r="AF284" s="2843"/>
      <c r="AG284" s="1777"/>
      <c r="AH284" s="1777"/>
      <c r="AI284" s="1777"/>
      <c r="AJ284" s="1777"/>
      <c r="AK284" s="2852">
        <v>11</v>
      </c>
    </row>
    <row s="65897" customFormat="1" customHeight="1" ht="11.549999999999999">
      <c r="A285" s="2198"/>
      <c r="B285" s="2847"/>
      <c r="C285" s="2847"/>
      <c r="D285" s="1562"/>
      <c r="J285" s="13495"/>
      <c r="K285" s="13495"/>
      <c r="L285" s="13495"/>
      <c r="M285" s="13495"/>
      <c r="N285" s="13495"/>
      <c r="P285" s="2371"/>
      <c r="Q285" s="2847"/>
      <c r="R285" s="2847"/>
      <c r="S285" s="2371"/>
      <c r="T285" s="2371"/>
      <c r="U285" s="2371"/>
      <c r="V285" s="2371"/>
      <c r="W285" s="2847"/>
      <c r="X285" s="2371"/>
      <c r="Y285" s="2371"/>
      <c r="Z285" s="1755"/>
      <c r="AA285" s="2371"/>
      <c r="AB285" s="2371"/>
      <c r="AC285" s="2371"/>
      <c r="AD285" s="2371"/>
      <c r="AE285" s="2371"/>
      <c r="AF285" s="2843"/>
      <c r="AG285" s="1777"/>
      <c r="AH285" s="1777"/>
      <c r="AI285" s="1777"/>
      <c r="AJ285" s="1777"/>
      <c r="AK285" s="2852">
        <v>11</v>
      </c>
    </row>
    <row s="65897" customFormat="1" customHeight="1" ht="11.549999999999999">
      <c r="A286" s="2198"/>
      <c r="B286" s="2847"/>
      <c r="C286" s="2847"/>
      <c r="D286" s="1562"/>
      <c r="J286" s="13495"/>
      <c r="K286" s="13495"/>
      <c r="L286" s="13495"/>
      <c r="M286" s="13495"/>
      <c r="N286" s="13495"/>
      <c r="P286" s="2371"/>
      <c r="Q286" s="2847"/>
      <c r="R286" s="2847"/>
      <c r="S286" s="2371"/>
      <c r="T286" s="2371"/>
      <c r="U286" s="2371"/>
      <c r="V286" s="2371"/>
      <c r="W286" s="2847"/>
      <c r="X286" s="2371"/>
      <c r="Y286" s="2371"/>
      <c r="Z286" s="1755"/>
      <c r="AA286" s="2371"/>
      <c r="AB286" s="2371"/>
      <c r="AC286" s="2371"/>
      <c r="AD286" s="2371"/>
      <c r="AE286" s="2371"/>
      <c r="AF286" s="2843"/>
      <c r="AG286" s="1777"/>
      <c r="AH286" s="1777"/>
      <c r="AI286" s="1777"/>
      <c r="AJ286" s="1777"/>
      <c r="AK286" s="2852">
        <v>11</v>
      </c>
    </row>
    <row s="65897" customFormat="1" customHeight="1" ht="11.549999999999999">
      <c r="A287" s="2198"/>
      <c r="B287" s="2847"/>
      <c r="C287" s="2847"/>
      <c r="D287" s="1562"/>
      <c r="J287" s="13495"/>
      <c r="K287" s="13495"/>
      <c r="L287" s="13495"/>
      <c r="M287" s="13495"/>
      <c r="N287" s="13495"/>
      <c r="P287" s="2371"/>
      <c r="Q287" s="2847"/>
      <c r="R287" s="2847"/>
      <c r="S287" s="2371"/>
      <c r="T287" s="2371"/>
      <c r="U287" s="2371"/>
      <c r="V287" s="2371"/>
      <c r="W287" s="2847"/>
      <c r="X287" s="2371"/>
      <c r="Y287" s="2371"/>
      <c r="Z287" s="1755"/>
      <c r="AA287" s="2371"/>
      <c r="AB287" s="2371"/>
      <c r="AC287" s="2371"/>
      <c r="AD287" s="2371"/>
      <c r="AE287" s="2371"/>
      <c r="AF287" s="2843"/>
      <c r="AG287" s="1777"/>
      <c r="AH287" s="1777"/>
      <c r="AI287" s="1777"/>
      <c r="AJ287" s="1777"/>
      <c r="AK287" s="2852">
        <v>11</v>
      </c>
    </row>
    <row s="65897" customFormat="1" customHeight="1" ht="11.549999999999999">
      <c r="A288" s="2198"/>
      <c r="B288" s="2847"/>
      <c r="C288" s="2847"/>
      <c r="D288" s="1562"/>
      <c r="J288" s="13495"/>
      <c r="K288" s="13495"/>
      <c r="L288" s="13495"/>
      <c r="M288" s="13495"/>
      <c r="N288" s="13495"/>
      <c r="P288" s="2371"/>
      <c r="Q288" s="2847"/>
      <c r="R288" s="2847"/>
      <c r="S288" s="2371"/>
      <c r="T288" s="2371"/>
      <c r="U288" s="2371"/>
      <c r="V288" s="2371"/>
      <c r="W288" s="2847"/>
      <c r="X288" s="2371"/>
      <c r="Y288" s="2371"/>
      <c r="Z288" s="1755"/>
      <c r="AA288" s="2371"/>
      <c r="AB288" s="2371"/>
      <c r="AC288" s="2371"/>
      <c r="AD288" s="2371"/>
      <c r="AE288" s="2371"/>
      <c r="AF288" s="2843"/>
      <c r="AG288" s="1777"/>
      <c r="AH288" s="1777"/>
      <c r="AI288" s="1777"/>
      <c r="AJ288" s="1777"/>
      <c r="AK288" s="2852">
        <v>11</v>
      </c>
    </row>
    <row s="65897" customFormat="1" customHeight="1" ht="11.549999999999999">
      <c r="A289" s="2198"/>
      <c r="B289" s="2847"/>
      <c r="C289" s="2847"/>
      <c r="D289" s="1562"/>
      <c r="J289" s="13495"/>
      <c r="K289" s="13495"/>
      <c r="L289" s="13495"/>
      <c r="M289" s="13495"/>
      <c r="N289" s="13495"/>
      <c r="P289" s="2371"/>
      <c r="Q289" s="2847"/>
      <c r="R289" s="2847"/>
      <c r="S289" s="2371"/>
      <c r="T289" s="2371"/>
      <c r="U289" s="2371"/>
      <c r="V289" s="2371"/>
      <c r="W289" s="2847"/>
      <c r="X289" s="2371"/>
      <c r="Y289" s="2371"/>
      <c r="Z289" s="1755"/>
      <c r="AA289" s="2371"/>
      <c r="AB289" s="2371"/>
      <c r="AC289" s="2371"/>
      <c r="AD289" s="2371"/>
      <c r="AE289" s="2371"/>
      <c r="AF289" s="2843"/>
      <c r="AG289" s="1777"/>
      <c r="AH289" s="1777"/>
      <c r="AI289" s="1777"/>
      <c r="AJ289" s="1777"/>
      <c r="AK289" s="2852">
        <v>11</v>
      </c>
    </row>
    <row s="65897" customFormat="1" customHeight="1" ht="11.549999999999999">
      <c r="A290" s="2198"/>
      <c r="B290" s="2847"/>
      <c r="C290" s="2847"/>
      <c r="D290" s="1562"/>
      <c r="J290" s="13495"/>
      <c r="K290" s="13495"/>
      <c r="L290" s="13495"/>
      <c r="M290" s="13495"/>
      <c r="N290" s="13495"/>
      <c r="P290" s="2371"/>
      <c r="Q290" s="2847"/>
      <c r="R290" s="2847"/>
      <c r="S290" s="2371"/>
      <c r="T290" s="2371"/>
      <c r="U290" s="2371"/>
      <c r="V290" s="2371"/>
      <c r="W290" s="2847"/>
      <c r="X290" s="2371"/>
      <c r="Y290" s="2371"/>
      <c r="Z290" s="1755"/>
      <c r="AA290" s="2371"/>
      <c r="AB290" s="2371"/>
      <c r="AC290" s="2371"/>
      <c r="AD290" s="2371"/>
      <c r="AE290" s="2371"/>
      <c r="AF290" s="2843"/>
      <c r="AG290" s="1777"/>
      <c r="AH290" s="1777"/>
      <c r="AI290" s="1777"/>
      <c r="AJ290" s="1777"/>
      <c r="AK290" s="2852">
        <v>11</v>
      </c>
    </row>
    <row s="65897" customFormat="1" customHeight="1" ht="11.549999999999999">
      <c r="A291" s="2198"/>
      <c r="B291" s="2847"/>
      <c r="C291" s="2847"/>
      <c r="D291" s="1562"/>
      <c r="J291" s="13495"/>
      <c r="K291" s="13495"/>
      <c r="L291" s="13495"/>
      <c r="M291" s="13495"/>
      <c r="N291" s="13495"/>
      <c r="P291" s="2371"/>
      <c r="Q291" s="2847"/>
      <c r="R291" s="2847"/>
      <c r="S291" s="2371"/>
      <c r="T291" s="2371"/>
      <c r="U291" s="2371"/>
      <c r="V291" s="2371"/>
      <c r="W291" s="2847"/>
      <c r="X291" s="2371"/>
      <c r="Y291" s="2371"/>
      <c r="Z291" s="1755"/>
      <c r="AA291" s="2371"/>
      <c r="AB291" s="2371"/>
      <c r="AC291" s="2371"/>
      <c r="AD291" s="2371"/>
      <c r="AE291" s="2371"/>
      <c r="AF291" s="2843"/>
      <c r="AG291" s="1777"/>
      <c r="AH291" s="1777"/>
      <c r="AI291" s="1777"/>
      <c r="AJ291" s="1777"/>
      <c r="AK291" s="2852">
        <v>11</v>
      </c>
    </row>
    <row s="65897" customFormat="1" customHeight="1" ht="11.549999999999999">
      <c r="A292" s="2198"/>
      <c r="B292" s="2847"/>
      <c r="C292" s="2847"/>
      <c r="D292" s="1562"/>
      <c r="J292" s="13495"/>
      <c r="K292" s="13495"/>
      <c r="L292" s="13495"/>
      <c r="M292" s="13495"/>
      <c r="N292" s="13495"/>
      <c r="P292" s="2371"/>
      <c r="Q292" s="2847"/>
      <c r="R292" s="2847"/>
      <c r="S292" s="2371"/>
      <c r="T292" s="2371"/>
      <c r="U292" s="2371"/>
      <c r="V292" s="2371"/>
      <c r="W292" s="2847"/>
      <c r="X292" s="2371"/>
      <c r="Y292" s="2371"/>
      <c r="Z292" s="1755"/>
      <c r="AA292" s="2371"/>
      <c r="AB292" s="2371"/>
      <c r="AC292" s="2371"/>
      <c r="AD292" s="2371"/>
      <c r="AE292" s="2371"/>
      <c r="AF292" s="2843"/>
      <c r="AG292" s="1777"/>
      <c r="AH292" s="1777"/>
      <c r="AI292" s="1777"/>
      <c r="AJ292" s="1777"/>
      <c r="AK292" s="2852">
        <v>11</v>
      </c>
    </row>
    <row s="65897" customFormat="1" customHeight="1" ht="11.549999999999999">
      <c r="A293" s="2198"/>
      <c r="B293" s="2847"/>
      <c r="C293" s="2847"/>
      <c r="D293" s="1562"/>
      <c r="J293" s="13495"/>
      <c r="K293" s="13495"/>
      <c r="L293" s="13495"/>
      <c r="M293" s="13495"/>
      <c r="N293" s="13495"/>
      <c r="P293" s="2371"/>
      <c r="Q293" s="2847"/>
      <c r="R293" s="2847"/>
      <c r="S293" s="2371"/>
      <c r="T293" s="2371"/>
      <c r="U293" s="2371"/>
      <c r="V293" s="2371"/>
      <c r="W293" s="2847"/>
      <c r="X293" s="2371"/>
      <c r="Y293" s="2371"/>
      <c r="Z293" s="1755"/>
      <c r="AA293" s="2371"/>
      <c r="AB293" s="2371"/>
      <c r="AC293" s="2371"/>
      <c r="AD293" s="2371"/>
      <c r="AE293" s="2371"/>
      <c r="AF293" s="2843"/>
      <c r="AG293" s="1777"/>
      <c r="AH293" s="1777"/>
      <c r="AI293" s="1777"/>
      <c r="AJ293" s="1777"/>
      <c r="AK293" s="2852">
        <v>11</v>
      </c>
    </row>
    <row s="65897" customFormat="1" customHeight="1" ht="11.549999999999999">
      <c r="A294" s="2198"/>
      <c r="B294" s="2847"/>
      <c r="C294" s="2847"/>
      <c r="D294" s="1562"/>
      <c r="J294" s="13495"/>
      <c r="K294" s="13495"/>
      <c r="L294" s="13495"/>
      <c r="M294" s="13495"/>
      <c r="N294" s="13495"/>
      <c r="P294" s="2371"/>
      <c r="Q294" s="2847"/>
      <c r="R294" s="2847"/>
      <c r="S294" s="2371"/>
      <c r="T294" s="2371"/>
      <c r="U294" s="2371"/>
      <c r="V294" s="2371"/>
      <c r="W294" s="2847"/>
      <c r="X294" s="2371"/>
      <c r="Y294" s="2371"/>
      <c r="Z294" s="1755"/>
      <c r="AA294" s="2371"/>
      <c r="AB294" s="2371"/>
      <c r="AC294" s="2371"/>
      <c r="AD294" s="2371"/>
      <c r="AE294" s="2371"/>
      <c r="AF294" s="2843"/>
      <c r="AG294" s="1777"/>
      <c r="AH294" s="1777"/>
      <c r="AI294" s="1777"/>
      <c r="AJ294" s="1777"/>
      <c r="AK294" s="2852">
        <v>11</v>
      </c>
    </row>
    <row s="65897" customFormat="1" customHeight="1" ht="11.549999999999999">
      <c r="A295" s="2198"/>
      <c r="B295" s="2847"/>
      <c r="C295" s="2847"/>
      <c r="D295" s="1562"/>
      <c r="J295" s="13495"/>
      <c r="K295" s="13495"/>
      <c r="L295" s="13495"/>
      <c r="M295" s="13495"/>
      <c r="N295" s="13495"/>
      <c r="P295" s="2371"/>
      <c r="Q295" s="2847"/>
      <c r="R295" s="2847"/>
      <c r="S295" s="2371"/>
      <c r="T295" s="2371"/>
      <c r="U295" s="2371"/>
      <c r="V295" s="2371"/>
      <c r="W295" s="2847"/>
      <c r="X295" s="2371"/>
      <c r="Y295" s="2371"/>
      <c r="Z295" s="1755"/>
      <c r="AA295" s="2371"/>
      <c r="AB295" s="2371"/>
      <c r="AC295" s="2371"/>
      <c r="AD295" s="2371"/>
      <c r="AE295" s="2371"/>
      <c r="AF295" s="2843"/>
      <c r="AG295" s="1777"/>
      <c r="AH295" s="1777"/>
      <c r="AI295" s="1777"/>
      <c r="AJ295" s="1777"/>
      <c r="AK295" s="2852">
        <v>11</v>
      </c>
    </row>
    <row s="65897" customFormat="1" customHeight="1" ht="11.549999999999999">
      <c r="A296" s="2198"/>
      <c r="B296" s="2847"/>
      <c r="C296" s="2847"/>
      <c r="D296" s="1562"/>
      <c r="J296" s="13495"/>
      <c r="K296" s="13495"/>
      <c r="L296" s="13495"/>
      <c r="M296" s="13495"/>
      <c r="N296" s="13495"/>
      <c r="P296" s="2371"/>
      <c r="Q296" s="2847"/>
      <c r="R296" s="2847"/>
      <c r="S296" s="2371"/>
      <c r="T296" s="2371"/>
      <c r="U296" s="2371"/>
      <c r="V296" s="2371"/>
      <c r="W296" s="2847"/>
      <c r="X296" s="2371"/>
      <c r="Y296" s="2371"/>
      <c r="Z296" s="1755"/>
      <c r="AA296" s="2371"/>
      <c r="AB296" s="2371"/>
      <c r="AC296" s="2371"/>
      <c r="AD296" s="2371"/>
      <c r="AE296" s="2371"/>
      <c r="AF296" s="2843"/>
      <c r="AG296" s="1777"/>
      <c r="AH296" s="1777"/>
      <c r="AI296" s="1777"/>
      <c r="AJ296" s="1777"/>
      <c r="AK296" s="2852">
        <v>11</v>
      </c>
    </row>
    <row s="65897" customFormat="1" customHeight="1" ht="11.549999999999999">
      <c r="A297" s="2198"/>
      <c r="B297" s="2847"/>
      <c r="C297" s="2847"/>
      <c r="D297" s="1562"/>
      <c r="J297" s="13495"/>
      <c r="K297" s="13495"/>
      <c r="L297" s="13495"/>
      <c r="M297" s="13495"/>
      <c r="N297" s="13495"/>
      <c r="P297" s="2371"/>
      <c r="Q297" s="2847"/>
      <c r="R297" s="2847"/>
      <c r="S297" s="2371"/>
      <c r="T297" s="2371"/>
      <c r="U297" s="2371"/>
      <c r="V297" s="2371"/>
      <c r="W297" s="2847"/>
      <c r="X297" s="2371"/>
      <c r="Y297" s="2371"/>
      <c r="Z297" s="1755"/>
      <c r="AA297" s="2371"/>
      <c r="AB297" s="2371"/>
      <c r="AC297" s="2371"/>
      <c r="AD297" s="2371"/>
      <c r="AE297" s="2371"/>
      <c r="AF297" s="2843"/>
      <c r="AG297" s="1777"/>
      <c r="AH297" s="1777"/>
      <c r="AI297" s="1777"/>
      <c r="AJ297" s="1777"/>
      <c r="AK297" s="2852">
        <v>11</v>
      </c>
    </row>
    <row s="65897" customFormat="1" customHeight="1" ht="11.549999999999999">
      <c r="A298" s="2198"/>
      <c r="B298" s="2847"/>
      <c r="C298" s="2847"/>
      <c r="D298" s="1562"/>
      <c r="J298" s="13495"/>
      <c r="K298" s="13495"/>
      <c r="L298" s="13495"/>
      <c r="M298" s="13495"/>
      <c r="N298" s="13495"/>
      <c r="P298" s="2371"/>
      <c r="Q298" s="2847"/>
      <c r="R298" s="2847"/>
      <c r="S298" s="2371"/>
      <c r="T298" s="2371"/>
      <c r="U298" s="2371"/>
      <c r="V298" s="2371"/>
      <c r="W298" s="2847"/>
      <c r="X298" s="2371"/>
      <c r="Y298" s="2371"/>
      <c r="Z298" s="1755"/>
      <c r="AA298" s="2371"/>
      <c r="AB298" s="2371"/>
      <c r="AC298" s="2371"/>
      <c r="AD298" s="2371"/>
      <c r="AE298" s="2371"/>
      <c r="AF298" s="2843"/>
      <c r="AG298" s="1777"/>
      <c r="AH298" s="1777"/>
      <c r="AI298" s="1777"/>
      <c r="AJ298" s="1777"/>
      <c r="AK298" s="2852">
        <v>11</v>
      </c>
    </row>
    <row s="65897" customFormat="1" customHeight="1" ht="11.549999999999999">
      <c r="A299" s="2198"/>
      <c r="B299" s="2847"/>
      <c r="C299" s="2847"/>
      <c r="D299" s="1562"/>
      <c r="J299" s="13495"/>
      <c r="K299" s="13495"/>
      <c r="L299" s="13495"/>
      <c r="M299" s="13495"/>
      <c r="N299" s="13495"/>
      <c r="P299" s="2371"/>
      <c r="Q299" s="2847"/>
      <c r="R299" s="2847"/>
      <c r="S299" s="2371"/>
      <c r="T299" s="2371"/>
      <c r="U299" s="2371"/>
      <c r="V299" s="2371"/>
      <c r="W299" s="2847"/>
      <c r="X299" s="2371"/>
      <c r="Y299" s="2371"/>
      <c r="Z299" s="1755"/>
      <c r="AA299" s="2371"/>
      <c r="AB299" s="2371"/>
      <c r="AC299" s="2371"/>
      <c r="AD299" s="2371"/>
      <c r="AE299" s="2371"/>
      <c r="AF299" s="2843"/>
      <c r="AG299" s="1777"/>
      <c r="AH299" s="1777"/>
      <c r="AI299" s="1777"/>
      <c r="AJ299" s="1777"/>
      <c r="AK299" s="2852">
        <v>11</v>
      </c>
    </row>
    <row s="65897" customFormat="1" customHeight="1" ht="11.549999999999999">
      <c r="A300" s="2198"/>
      <c r="B300" s="2847"/>
      <c r="C300" s="2847"/>
      <c r="D300" s="1562"/>
      <c r="J300" s="13495"/>
      <c r="K300" s="13495"/>
      <c r="L300" s="13495"/>
      <c r="M300" s="13495"/>
      <c r="N300" s="13495"/>
      <c r="P300" s="2371"/>
      <c r="Q300" s="2847"/>
      <c r="R300" s="2847"/>
      <c r="S300" s="2371"/>
      <c r="T300" s="2371"/>
      <c r="U300" s="2371"/>
      <c r="V300" s="2371"/>
      <c r="W300" s="2847"/>
      <c r="X300" s="2371"/>
      <c r="Y300" s="2371"/>
      <c r="Z300" s="1755"/>
      <c r="AA300" s="2371"/>
      <c r="AB300" s="2371"/>
      <c r="AC300" s="2371"/>
      <c r="AD300" s="2371"/>
      <c r="AE300" s="2371"/>
      <c r="AF300" s="2843"/>
      <c r="AG300" s="1777"/>
      <c r="AH300" s="1777"/>
      <c r="AI300" s="1777"/>
      <c r="AJ300" s="1777"/>
      <c r="AK300" s="2852">
        <v>11</v>
      </c>
    </row>
    <row s="65897" customFormat="1" customHeight="1" ht="11.549999999999999">
      <c r="A301" s="2198"/>
      <c r="B301" s="2847"/>
      <c r="C301" s="2847"/>
      <c r="D301" s="1562"/>
      <c r="J301" s="13495"/>
      <c r="K301" s="13495"/>
      <c r="L301" s="13495"/>
      <c r="M301" s="13495"/>
      <c r="N301" s="13495"/>
      <c r="P301" s="2371"/>
      <c r="Q301" s="2847"/>
      <c r="R301" s="2847"/>
      <c r="S301" s="2371"/>
      <c r="T301" s="2371"/>
      <c r="U301" s="2371"/>
      <c r="V301" s="2371"/>
      <c r="W301" s="2847"/>
      <c r="X301" s="2371"/>
      <c r="Y301" s="2371"/>
      <c r="Z301" s="1755"/>
      <c r="AA301" s="2371"/>
      <c r="AB301" s="2371"/>
      <c r="AC301" s="2371"/>
      <c r="AD301" s="2371"/>
      <c r="AE301" s="2371"/>
      <c r="AF301" s="2843"/>
      <c r="AG301" s="1777"/>
      <c r="AH301" s="1777"/>
      <c r="AI301" s="1777"/>
      <c r="AJ301" s="1777"/>
      <c r="AK301" s="2852">
        <v>11</v>
      </c>
    </row>
    <row s="65897" customFormat="1" customHeight="1" ht="11.549999999999999">
      <c r="A302" s="2198"/>
      <c r="B302" s="2847"/>
      <c r="C302" s="2847"/>
      <c r="D302" s="1562"/>
      <c r="J302" s="13495"/>
      <c r="K302" s="13495"/>
      <c r="L302" s="13495"/>
      <c r="M302" s="13495"/>
      <c r="N302" s="13495"/>
      <c r="P302" s="2371"/>
      <c r="Q302" s="2847"/>
      <c r="R302" s="2847"/>
      <c r="S302" s="2371"/>
      <c r="T302" s="2371"/>
      <c r="U302" s="2371"/>
      <c r="V302" s="2371"/>
      <c r="W302" s="2847"/>
      <c r="X302" s="2371"/>
      <c r="Y302" s="2371"/>
      <c r="Z302" s="1755"/>
      <c r="AA302" s="2371"/>
      <c r="AB302" s="2371"/>
      <c r="AC302" s="2371"/>
      <c r="AD302" s="2371"/>
      <c r="AE302" s="2371"/>
      <c r="AF302" s="2843"/>
      <c r="AG302" s="1777"/>
      <c r="AH302" s="1777"/>
      <c r="AI302" s="1777"/>
      <c r="AJ302" s="1777"/>
      <c r="AK302" s="2852">
        <v>11</v>
      </c>
    </row>
    <row s="65897" customFormat="1" customHeight="1" ht="11.549999999999999">
      <c r="A303" s="2198"/>
      <c r="B303" s="2847"/>
      <c r="C303" s="2847"/>
      <c r="D303" s="1562"/>
      <c r="J303" s="13495"/>
      <c r="K303" s="13495"/>
      <c r="L303" s="13495"/>
      <c r="M303" s="13495"/>
      <c r="N303" s="13495"/>
      <c r="P303" s="2371"/>
      <c r="Q303" s="2847"/>
      <c r="R303" s="2847"/>
      <c r="S303" s="2371"/>
      <c r="T303" s="2371"/>
      <c r="U303" s="2371"/>
      <c r="V303" s="2371"/>
      <c r="W303" s="2847"/>
      <c r="X303" s="2371"/>
      <c r="Y303" s="2371"/>
      <c r="Z303" s="1755"/>
      <c r="AA303" s="2371"/>
      <c r="AB303" s="2371"/>
      <c r="AC303" s="2371"/>
      <c r="AD303" s="2371"/>
      <c r="AE303" s="2371"/>
      <c r="AF303" s="2843"/>
      <c r="AG303" s="1777"/>
      <c r="AH303" s="1777"/>
      <c r="AI303" s="1777"/>
      <c r="AJ303" s="1777"/>
      <c r="AK303" s="2852">
        <v>11</v>
      </c>
    </row>
    <row s="65897" customFormat="1" customHeight="1" ht="11.549999999999999">
      <c r="A304" s="2198"/>
      <c r="B304" s="2847"/>
      <c r="C304" s="2847"/>
      <c r="D304" s="1562"/>
      <c r="J304" s="13495"/>
      <c r="K304" s="13495"/>
      <c r="L304" s="13495"/>
      <c r="M304" s="13495"/>
      <c r="N304" s="13495"/>
      <c r="P304" s="2371"/>
      <c r="Q304" s="2847"/>
      <c r="R304" s="2847"/>
      <c r="S304" s="2371"/>
      <c r="T304" s="2371"/>
      <c r="U304" s="2371"/>
      <c r="V304" s="2371"/>
      <c r="W304" s="2847"/>
      <c r="X304" s="2371"/>
      <c r="Y304" s="2371"/>
      <c r="Z304" s="1755"/>
      <c r="AA304" s="2371"/>
      <c r="AB304" s="2371"/>
      <c r="AC304" s="2371"/>
      <c r="AD304" s="2371"/>
      <c r="AE304" s="2371"/>
      <c r="AF304" s="2843"/>
      <c r="AG304" s="1777"/>
      <c r="AH304" s="1777"/>
      <c r="AI304" s="1777"/>
      <c r="AJ304" s="1777"/>
      <c r="AK304" s="2852">
        <v>11</v>
      </c>
    </row>
    <row s="65897" customFormat="1" customHeight="1" ht="11.549999999999999">
      <c r="A305" s="2198"/>
      <c r="B305" s="2847"/>
      <c r="C305" s="2847"/>
      <c r="D305" s="1562"/>
      <c r="J305" s="13495"/>
      <c r="K305" s="13495"/>
      <c r="L305" s="13495"/>
      <c r="M305" s="13495"/>
      <c r="N305" s="13495"/>
      <c r="P305" s="2371"/>
      <c r="Q305" s="2847"/>
      <c r="R305" s="2847"/>
      <c r="S305" s="2371"/>
      <c r="T305" s="2371"/>
      <c r="U305" s="2371"/>
      <c r="V305" s="2371"/>
      <c r="W305" s="2847"/>
      <c r="X305" s="2371"/>
      <c r="Y305" s="2371"/>
      <c r="Z305" s="1755"/>
      <c r="AA305" s="2371"/>
      <c r="AB305" s="2371"/>
      <c r="AC305" s="2371"/>
      <c r="AD305" s="2371"/>
      <c r="AE305" s="2371"/>
      <c r="AF305" s="2843"/>
      <c r="AG305" s="1777"/>
      <c r="AH305" s="1777"/>
      <c r="AI305" s="1777"/>
      <c r="AJ305" s="1777"/>
      <c r="AK305" s="2852">
        <v>11</v>
      </c>
    </row>
    <row s="65897" customFormat="1" customHeight="1" ht="11.549999999999999">
      <c r="A306" s="2198"/>
      <c r="B306" s="2847"/>
      <c r="C306" s="2847"/>
      <c r="D306" s="1562"/>
      <c r="J306" s="13495"/>
      <c r="K306" s="13495"/>
      <c r="L306" s="13495"/>
      <c r="M306" s="13495"/>
      <c r="N306" s="13495"/>
      <c r="P306" s="2371"/>
      <c r="Q306" s="2847"/>
      <c r="R306" s="2847"/>
      <c r="S306" s="2371"/>
      <c r="T306" s="2371"/>
      <c r="U306" s="2371"/>
      <c r="V306" s="2371"/>
      <c r="W306" s="2847"/>
      <c r="X306" s="2371"/>
      <c r="Y306" s="2371"/>
      <c r="Z306" s="1755"/>
      <c r="AA306" s="2371"/>
      <c r="AB306" s="2371"/>
      <c r="AC306" s="2371"/>
      <c r="AD306" s="2371"/>
      <c r="AE306" s="2371"/>
      <c r="AF306" s="2843"/>
      <c r="AG306" s="1777"/>
      <c r="AH306" s="1777"/>
      <c r="AI306" s="1777"/>
      <c r="AJ306" s="1777"/>
      <c r="AK306" s="2852">
        <v>11</v>
      </c>
    </row>
    <row s="65897" customFormat="1" customHeight="1" ht="11.549999999999999">
      <c r="A307" s="2198"/>
      <c r="B307" s="2847"/>
      <c r="C307" s="2847"/>
      <c r="D307" s="1562"/>
      <c r="J307" s="13495"/>
      <c r="K307" s="13495"/>
      <c r="L307" s="13495"/>
      <c r="M307" s="13495"/>
      <c r="N307" s="13495"/>
      <c r="P307" s="2371"/>
      <c r="Q307" s="2847"/>
      <c r="R307" s="2847"/>
      <c r="S307" s="2371"/>
      <c r="T307" s="2371"/>
      <c r="U307" s="2371"/>
      <c r="V307" s="2371"/>
      <c r="W307" s="2847"/>
      <c r="X307" s="2371"/>
      <c r="Y307" s="2371"/>
      <c r="Z307" s="1755"/>
      <c r="AA307" s="2371"/>
      <c r="AB307" s="2371"/>
      <c r="AC307" s="2371"/>
      <c r="AD307" s="2371"/>
      <c r="AE307" s="2371"/>
      <c r="AF307" s="2843"/>
      <c r="AG307" s="1777"/>
      <c r="AH307" s="1777"/>
      <c r="AI307" s="1777"/>
      <c r="AJ307" s="1777"/>
      <c r="AK307" s="2852">
        <v>11</v>
      </c>
    </row>
    <row s="65897" customFormat="1" customHeight="1" ht="11.549999999999999">
      <c r="A308" s="2198"/>
      <c r="B308" s="2847"/>
      <c r="C308" s="2847"/>
      <c r="D308" s="1562"/>
      <c r="J308" s="13495"/>
      <c r="K308" s="13495"/>
      <c r="L308" s="13495"/>
      <c r="M308" s="13495"/>
      <c r="N308" s="13495"/>
      <c r="P308" s="2371"/>
      <c r="Q308" s="2847"/>
      <c r="R308" s="2847"/>
      <c r="S308" s="2371"/>
      <c r="T308" s="2371"/>
      <c r="U308" s="2371"/>
      <c r="V308" s="2371"/>
      <c r="W308" s="2847"/>
      <c r="X308" s="2371"/>
      <c r="Y308" s="2371"/>
      <c r="Z308" s="1755"/>
      <c r="AA308" s="2371"/>
      <c r="AB308" s="2371"/>
      <c r="AC308" s="2371"/>
      <c r="AD308" s="2371"/>
      <c r="AE308" s="2371"/>
      <c r="AF308" s="2843"/>
      <c r="AG308" s="1777"/>
      <c r="AH308" s="1777"/>
      <c r="AI308" s="1777"/>
      <c r="AJ308" s="1777"/>
      <c r="AK308" s="2852">
        <v>11</v>
      </c>
    </row>
    <row s="65897" customFormat="1" customHeight="1" ht="11.549999999999999">
      <c r="A309" s="2198"/>
      <c r="B309" s="2847"/>
      <c r="C309" s="2847"/>
      <c r="D309" s="1562"/>
      <c r="J309" s="13495"/>
      <c r="K309" s="13495"/>
      <c r="L309" s="13495"/>
      <c r="M309" s="13495"/>
      <c r="N309" s="13495"/>
      <c r="P309" s="2371"/>
      <c r="Q309" s="2847"/>
      <c r="R309" s="2847"/>
      <c r="S309" s="2371"/>
      <c r="T309" s="2371"/>
      <c r="U309" s="2371"/>
      <c r="V309" s="2371"/>
      <c r="W309" s="2847"/>
      <c r="X309" s="2371"/>
      <c r="Y309" s="2371"/>
      <c r="Z309" s="1755"/>
      <c r="AA309" s="2371"/>
      <c r="AB309" s="2371"/>
      <c r="AC309" s="2371"/>
      <c r="AD309" s="2371"/>
      <c r="AE309" s="2371"/>
      <c r="AF309" s="2843"/>
      <c r="AG309" s="1777"/>
      <c r="AH309" s="1777"/>
      <c r="AI309" s="1777"/>
      <c r="AJ309" s="1777"/>
      <c r="AK309" s="2852">
        <v>11</v>
      </c>
    </row>
    <row s="65897" customFormat="1" customHeight="1" ht="11.549999999999999">
      <c r="A310" s="2198"/>
      <c r="B310" s="2847"/>
      <c r="C310" s="2847"/>
      <c r="D310" s="1562"/>
      <c r="J310" s="13495"/>
      <c r="K310" s="13495"/>
      <c r="L310" s="13495"/>
      <c r="M310" s="13495"/>
      <c r="N310" s="13495"/>
      <c r="P310" s="2371"/>
      <c r="Q310" s="2847"/>
      <c r="R310" s="2847"/>
      <c r="S310" s="2371"/>
      <c r="T310" s="2371"/>
      <c r="U310" s="2371"/>
      <c r="V310" s="2371"/>
      <c r="W310" s="2847"/>
      <c r="X310" s="2371"/>
      <c r="Y310" s="2371"/>
      <c r="Z310" s="1755"/>
      <c r="AA310" s="2371"/>
      <c r="AB310" s="2371"/>
      <c r="AC310" s="2371"/>
      <c r="AD310" s="2371"/>
      <c r="AE310" s="2371"/>
      <c r="AF310" s="2843"/>
      <c r="AG310" s="1777"/>
      <c r="AH310" s="1777"/>
      <c r="AI310" s="1777"/>
      <c r="AJ310" s="1777"/>
      <c r="AK310" s="2852">
        <v>11</v>
      </c>
    </row>
    <row s="65897" customFormat="1" customHeight="1" ht="11.549999999999999">
      <c r="A311" s="2198"/>
      <c r="B311" s="2847"/>
      <c r="C311" s="2847"/>
      <c r="D311" s="1562"/>
      <c r="J311" s="13495"/>
      <c r="K311" s="13495"/>
      <c r="L311" s="13495"/>
      <c r="M311" s="13495"/>
      <c r="N311" s="13495"/>
      <c r="P311" s="2371"/>
      <c r="Q311" s="2847"/>
      <c r="R311" s="2847"/>
      <c r="S311" s="2371"/>
      <c r="T311" s="2371"/>
      <c r="U311" s="2371"/>
      <c r="V311" s="2371"/>
      <c r="W311" s="2847"/>
      <c r="X311" s="2371"/>
      <c r="Y311" s="2371"/>
      <c r="Z311" s="1755"/>
      <c r="AA311" s="2371"/>
      <c r="AB311" s="2371"/>
      <c r="AC311" s="2371"/>
      <c r="AD311" s="2371"/>
      <c r="AE311" s="2371"/>
      <c r="AF311" s="2843"/>
      <c r="AG311" s="1777"/>
      <c r="AH311" s="1777"/>
      <c r="AI311" s="1777"/>
      <c r="AJ311" s="1777"/>
      <c r="AK311" s="2852">
        <v>11</v>
      </c>
    </row>
    <row s="65897" customFormat="1" customHeight="1" ht="11.549999999999999">
      <c r="A312" s="2198"/>
      <c r="B312" s="2847"/>
      <c r="C312" s="2847"/>
      <c r="D312" s="1562"/>
      <c r="J312" s="13495"/>
      <c r="K312" s="13495"/>
      <c r="L312" s="13495"/>
      <c r="M312" s="13495"/>
      <c r="N312" s="13495"/>
      <c r="P312" s="2371"/>
      <c r="Q312" s="2847"/>
      <c r="R312" s="2847"/>
      <c r="S312" s="2371"/>
      <c r="T312" s="2371"/>
      <c r="U312" s="2371"/>
      <c r="V312" s="2371"/>
      <c r="W312" s="2847"/>
      <c r="X312" s="2371"/>
      <c r="Y312" s="2371"/>
      <c r="Z312" s="1755"/>
      <c r="AA312" s="2371"/>
      <c r="AB312" s="2371"/>
      <c r="AC312" s="2371"/>
      <c r="AD312" s="2371"/>
      <c r="AE312" s="2371"/>
      <c r="AF312" s="2843"/>
      <c r="AG312" s="1777"/>
      <c r="AH312" s="1777"/>
      <c r="AI312" s="1777"/>
      <c r="AJ312" s="1777"/>
      <c r="AK312" s="2852">
        <v>11</v>
      </c>
    </row>
    <row s="65897" customFormat="1" customHeight="1" ht="11.549999999999999">
      <c r="A313" s="2198"/>
      <c r="B313" s="2847"/>
      <c r="C313" s="2847"/>
      <c r="D313" s="1562"/>
      <c r="J313" s="13495"/>
      <c r="K313" s="13495"/>
      <c r="L313" s="13495"/>
      <c r="M313" s="13495"/>
      <c r="N313" s="13495"/>
      <c r="P313" s="2371"/>
      <c r="Q313" s="2847"/>
      <c r="R313" s="2847"/>
      <c r="S313" s="2371"/>
      <c r="T313" s="2371"/>
      <c r="U313" s="2371"/>
      <c r="V313" s="2371"/>
      <c r="W313" s="2847"/>
      <c r="X313" s="2371"/>
      <c r="Y313" s="2371"/>
      <c r="Z313" s="1755"/>
      <c r="AA313" s="2371"/>
      <c r="AB313" s="2371"/>
      <c r="AC313" s="2371"/>
      <c r="AD313" s="2371"/>
      <c r="AE313" s="2371"/>
      <c r="AF313" s="2843"/>
      <c r="AG313" s="1777"/>
      <c r="AH313" s="1777"/>
      <c r="AI313" s="1777"/>
      <c r="AJ313" s="1777"/>
      <c r="AK313" s="2852">
        <v>11</v>
      </c>
    </row>
    <row s="65897" customFormat="1" customHeight="1" ht="11.549999999999999">
      <c r="A314" s="2198"/>
      <c r="B314" s="2847"/>
      <c r="C314" s="2847"/>
      <c r="D314" s="1562"/>
      <c r="J314" s="13495"/>
      <c r="K314" s="13495"/>
      <c r="L314" s="13495"/>
      <c r="M314" s="13495"/>
      <c r="N314" s="13495"/>
      <c r="P314" s="2371"/>
      <c r="Q314" s="2847"/>
      <c r="R314" s="2847"/>
      <c r="S314" s="2371"/>
      <c r="T314" s="2371"/>
      <c r="U314" s="2371"/>
      <c r="V314" s="2371"/>
      <c r="W314" s="2847"/>
      <c r="X314" s="2371"/>
      <c r="Y314" s="2371"/>
      <c r="Z314" s="1755"/>
      <c r="AA314" s="2371"/>
      <c r="AB314" s="2371"/>
      <c r="AC314" s="2371"/>
      <c r="AD314" s="2371"/>
      <c r="AE314" s="2371"/>
      <c r="AF314" s="2843"/>
      <c r="AG314" s="1777"/>
      <c r="AH314" s="1777"/>
      <c r="AI314" s="1777"/>
      <c r="AJ314" s="1777"/>
      <c r="AK314" s="2852">
        <v>11</v>
      </c>
    </row>
    <row s="65897" customFormat="1" customHeight="1" ht="11.549999999999999">
      <c r="A315" s="2198"/>
      <c r="B315" s="2847"/>
      <c r="C315" s="2847"/>
      <c r="D315" s="1562"/>
      <c r="J315" s="13495"/>
      <c r="K315" s="13495"/>
      <c r="L315" s="13495"/>
      <c r="M315" s="13495"/>
      <c r="N315" s="13495"/>
      <c r="P315" s="2371"/>
      <c r="Q315" s="2847"/>
      <c r="R315" s="2847"/>
      <c r="S315" s="2371"/>
      <c r="T315" s="2371"/>
      <c r="U315" s="2371"/>
      <c r="V315" s="2371"/>
      <c r="W315" s="2847"/>
      <c r="X315" s="2371"/>
      <c r="Y315" s="2371"/>
      <c r="Z315" s="1755"/>
      <c r="AA315" s="2371"/>
      <c r="AB315" s="2371"/>
      <c r="AC315" s="2371"/>
      <c r="AD315" s="2371"/>
      <c r="AE315" s="2371"/>
      <c r="AF315" s="2843"/>
      <c r="AG315" s="1777"/>
      <c r="AH315" s="1777"/>
      <c r="AI315" s="1777"/>
      <c r="AJ315" s="1777"/>
      <c r="AK315" s="2852">
        <v>11</v>
      </c>
    </row>
    <row s="65897" customFormat="1" customHeight="1" ht="11.549999999999999">
      <c r="A316" s="2198"/>
      <c r="B316" s="2847"/>
      <c r="C316" s="2847"/>
      <c r="D316" s="1562"/>
      <c r="J316" s="13495"/>
      <c r="K316" s="13495"/>
      <c r="L316" s="13495"/>
      <c r="M316" s="13495"/>
      <c r="N316" s="13495"/>
      <c r="P316" s="2371"/>
      <c r="Q316" s="2847"/>
      <c r="R316" s="2847"/>
      <c r="S316" s="2371"/>
      <c r="T316" s="2371"/>
      <c r="U316" s="2371"/>
      <c r="V316" s="2371"/>
      <c r="W316" s="2847"/>
      <c r="X316" s="2371"/>
      <c r="Y316" s="2371"/>
      <c r="Z316" s="1755"/>
      <c r="AA316" s="2371"/>
      <c r="AB316" s="2371"/>
      <c r="AC316" s="2371"/>
      <c r="AD316" s="2371"/>
      <c r="AE316" s="2371"/>
      <c r="AF316" s="2843"/>
      <c r="AG316" s="1777"/>
      <c r="AH316" s="1777"/>
      <c r="AI316" s="1777"/>
      <c r="AJ316" s="1777"/>
      <c r="AK316" s="2852">
        <v>11</v>
      </c>
    </row>
    <row s="65897" customFormat="1" customHeight="1" ht="11.549999999999999">
      <c r="A317" s="2198"/>
      <c r="B317" s="2847"/>
      <c r="C317" s="2847"/>
      <c r="D317" s="1562"/>
      <c r="J317" s="13495"/>
      <c r="K317" s="13495"/>
      <c r="L317" s="13495"/>
      <c r="M317" s="13495"/>
      <c r="N317" s="13495"/>
      <c r="P317" s="2371"/>
      <c r="Q317" s="2847"/>
      <c r="R317" s="2847"/>
      <c r="S317" s="2371"/>
      <c r="T317" s="2371"/>
      <c r="U317" s="2371"/>
      <c r="V317" s="2371"/>
      <c r="W317" s="2847"/>
      <c r="X317" s="2371"/>
      <c r="Y317" s="2371"/>
      <c r="Z317" s="1755"/>
      <c r="AA317" s="2371"/>
      <c r="AB317" s="2371"/>
      <c r="AC317" s="2371"/>
      <c r="AD317" s="2371"/>
      <c r="AE317" s="2371"/>
      <c r="AF317" s="2843"/>
      <c r="AG317" s="1777"/>
      <c r="AH317" s="1777"/>
      <c r="AI317" s="1777"/>
      <c r="AJ317" s="1777"/>
      <c r="AK317" s="2852">
        <v>11</v>
      </c>
    </row>
    <row s="65897" customFormat="1" customHeight="1" ht="11.549999999999999">
      <c r="A318" s="2198"/>
      <c r="B318" s="2847"/>
      <c r="C318" s="2847"/>
      <c r="D318" s="1562"/>
      <c r="J318" s="13495"/>
      <c r="K318" s="13495"/>
      <c r="L318" s="13495"/>
      <c r="M318" s="13495"/>
      <c r="N318" s="13495"/>
      <c r="P318" s="2371"/>
      <c r="Q318" s="2847"/>
      <c r="R318" s="2847"/>
      <c r="S318" s="2371"/>
      <c r="T318" s="2371"/>
      <c r="U318" s="2371"/>
      <c r="V318" s="2371"/>
      <c r="W318" s="2847"/>
      <c r="X318" s="2371"/>
      <c r="Y318" s="2371"/>
      <c r="Z318" s="1755"/>
      <c r="AA318" s="2371"/>
      <c r="AB318" s="2371"/>
      <c r="AC318" s="2371"/>
      <c r="AD318" s="2371"/>
      <c r="AE318" s="2371"/>
      <c r="AF318" s="2843"/>
      <c r="AG318" s="1777"/>
      <c r="AH318" s="1777"/>
      <c r="AI318" s="1777"/>
      <c r="AJ318" s="1777"/>
      <c r="AK318" s="2852">
        <v>11</v>
      </c>
    </row>
    <row s="65897" customFormat="1" customHeight="1" ht="11.549999999999999">
      <c r="A319" s="2198"/>
      <c r="B319" s="2847"/>
      <c r="C319" s="2847"/>
      <c r="D319" s="1562"/>
      <c r="J319" s="13495"/>
      <c r="K319" s="13495"/>
      <c r="L319" s="13495"/>
      <c r="M319" s="13495"/>
      <c r="N319" s="13495"/>
      <c r="P319" s="2371"/>
      <c r="Q319" s="2847"/>
      <c r="R319" s="2847"/>
      <c r="S319" s="2371"/>
      <c r="T319" s="2371"/>
      <c r="U319" s="2371"/>
      <c r="V319" s="2371"/>
      <c r="W319" s="2847"/>
      <c r="X319" s="2371"/>
      <c r="Y319" s="2371"/>
      <c r="Z319" s="1755"/>
      <c r="AA319" s="2371"/>
      <c r="AB319" s="2371"/>
      <c r="AC319" s="2371"/>
      <c r="AD319" s="2371"/>
      <c r="AE319" s="2371"/>
      <c r="AF319" s="2843"/>
      <c r="AG319" s="1777"/>
      <c r="AH319" s="1777"/>
      <c r="AI319" s="1777"/>
      <c r="AJ319" s="1777"/>
      <c r="AK319" s="2852">
        <v>11</v>
      </c>
    </row>
    <row s="65897" customFormat="1" customHeight="1" ht="11.549999999999999">
      <c r="A320" s="2198"/>
      <c r="B320" s="2847"/>
      <c r="C320" s="2847"/>
      <c r="D320" s="1562"/>
      <c r="J320" s="13495"/>
      <c r="K320" s="13495"/>
      <c r="L320" s="13495"/>
      <c r="M320" s="13495"/>
      <c r="N320" s="13495"/>
      <c r="P320" s="2371"/>
      <c r="Q320" s="2847"/>
      <c r="R320" s="2847"/>
      <c r="S320" s="2371"/>
      <c r="T320" s="2371"/>
      <c r="U320" s="2371"/>
      <c r="V320" s="2371"/>
      <c r="W320" s="2847"/>
      <c r="X320" s="2371"/>
      <c r="Y320" s="2371"/>
      <c r="Z320" s="1755"/>
      <c r="AA320" s="2371"/>
      <c r="AB320" s="2371"/>
      <c r="AC320" s="2371"/>
      <c r="AD320" s="2371"/>
      <c r="AE320" s="2371"/>
      <c r="AF320" s="2843"/>
      <c r="AG320" s="1777"/>
      <c r="AH320" s="1777"/>
      <c r="AI320" s="1777"/>
      <c r="AJ320" s="1777"/>
      <c r="AK320" s="2852">
        <v>11</v>
      </c>
    </row>
    <row s="65897" customFormat="1" customHeight="1" ht="11.549999999999999">
      <c r="A321" s="2198"/>
      <c r="B321" s="2847"/>
      <c r="C321" s="2847"/>
      <c r="D321" s="1562"/>
      <c r="J321" s="13495"/>
      <c r="K321" s="13495"/>
      <c r="L321" s="13495"/>
      <c r="M321" s="13495"/>
      <c r="N321" s="13495"/>
      <c r="P321" s="2371"/>
      <c r="Q321" s="2847"/>
      <c r="R321" s="2847"/>
      <c r="S321" s="2371"/>
      <c r="T321" s="2371"/>
      <c r="U321" s="2371"/>
      <c r="V321" s="2371"/>
      <c r="W321" s="2847"/>
      <c r="X321" s="2371"/>
      <c r="Y321" s="2371"/>
      <c r="Z321" s="1755"/>
      <c r="AA321" s="2371"/>
      <c r="AB321" s="2371"/>
      <c r="AC321" s="2371"/>
      <c r="AD321" s="2371"/>
      <c r="AE321" s="2371"/>
      <c r="AF321" s="2843"/>
      <c r="AG321" s="1777"/>
      <c r="AH321" s="1777"/>
      <c r="AI321" s="1777"/>
      <c r="AJ321" s="1777"/>
      <c r="AK321" s="2852">
        <v>11</v>
      </c>
    </row>
    <row customHeight="1" ht="11.549999999999999">
      <c r="J322" s="13315"/>
      <c r="K322" s="13315"/>
      <c r="L322" s="13315"/>
      <c r="M322" s="13315"/>
      <c r="N322" s="13315"/>
      <c r="AK322" s="2842">
        <v>11</v>
      </c>
    </row>
    <row customHeight="1" ht="11.549999999999999">
      <c r="J323" s="13315"/>
      <c r="K323" s="13315"/>
      <c r="L323" s="13315"/>
      <c r="M323" s="13315"/>
      <c r="N323" s="13315"/>
      <c r="AK323" s="2842">
        <v>11</v>
      </c>
    </row>
    <row customHeight="1" ht="11.549999999999999">
      <c r="J324" s="13315"/>
      <c r="K324" s="13315"/>
      <c r="L324" s="13315"/>
      <c r="M324" s="13315"/>
      <c r="N324" s="13315"/>
      <c r="AK324" s="2842">
        <v>11</v>
      </c>
    </row>
    <row customHeight="1" ht="11.549999999999999">
      <c r="A325" s="2201"/>
      <c r="B325" s="2842"/>
      <c r="D325" s="2842"/>
      <c r="J325" s="13315"/>
      <c r="K325" s="13315"/>
      <c r="L325" s="13315"/>
      <c r="M325" s="13315"/>
      <c r="N325" s="13315"/>
      <c r="P325" s="2842"/>
      <c r="S325" s="2842"/>
      <c r="T325" s="2842"/>
      <c r="U325" s="2842"/>
      <c r="V325" s="2842"/>
      <c r="X325" s="2842"/>
      <c r="Y325" s="2842"/>
      <c r="Z325" s="2842"/>
      <c r="AA325" s="2842"/>
      <c r="AB325" s="2842"/>
      <c r="AC325" s="2842"/>
      <c r="AD325" s="2842"/>
      <c r="AE325" s="2842"/>
      <c r="AF325" s="2842"/>
      <c r="AG325" s="2842"/>
      <c r="AH325" s="2842"/>
      <c r="AI325" s="2842"/>
      <c r="AJ325" s="2842"/>
      <c r="AK325" s="2842">
        <v>11</v>
      </c>
    </row>
    <row customHeight="1" ht="11.549999999999999">
      <c r="A326" s="2201"/>
      <c r="B326" s="2842"/>
      <c r="D326" s="2842"/>
      <c r="J326" s="13315"/>
      <c r="K326" s="13315"/>
      <c r="L326" s="13315"/>
      <c r="M326" s="13315"/>
      <c r="N326" s="13315"/>
      <c r="P326" s="2842"/>
      <c r="S326" s="2842"/>
      <c r="T326" s="2842"/>
      <c r="U326" s="2842"/>
      <c r="V326" s="2842"/>
      <c r="X326" s="2842"/>
      <c r="Y326" s="2842"/>
      <c r="Z326" s="2842"/>
      <c r="AA326" s="2842"/>
      <c r="AB326" s="2842"/>
      <c r="AC326" s="2842"/>
      <c r="AD326" s="2842"/>
      <c r="AE326" s="2842"/>
      <c r="AF326" s="2842"/>
      <c r="AG326" s="2842"/>
      <c r="AH326" s="2842"/>
      <c r="AI326" s="2842"/>
      <c r="AJ326" s="2842"/>
      <c r="AK326" s="2842">
        <v>11</v>
      </c>
    </row>
    <row customHeight="1" ht="11.549999999999999">
      <c r="A327" s="2201"/>
      <c r="B327" s="2842"/>
      <c r="D327" s="2842"/>
      <c r="J327" s="13315"/>
      <c r="K327" s="13315"/>
      <c r="L327" s="13315"/>
      <c r="M327" s="13315"/>
      <c r="N327" s="13315"/>
      <c r="P327" s="2842"/>
      <c r="S327" s="2842"/>
      <c r="T327" s="2842"/>
      <c r="U327" s="2842"/>
      <c r="V327" s="2842"/>
      <c r="X327" s="2842"/>
      <c r="Y327" s="2842"/>
      <c r="Z327" s="2842"/>
      <c r="AA327" s="2842"/>
      <c r="AB327" s="2842"/>
      <c r="AC327" s="2842"/>
      <c r="AD327" s="2842"/>
      <c r="AE327" s="2842"/>
      <c r="AF327" s="2842"/>
      <c r="AG327" s="2842"/>
      <c r="AH327" s="2842"/>
      <c r="AI327" s="2842"/>
      <c r="AJ327" s="2842"/>
      <c r="AK327" s="2842">
        <v>11</v>
      </c>
    </row>
    <row customHeight="1" ht="11.549999999999999">
      <c r="A328" s="2201"/>
      <c r="B328" s="2842"/>
      <c r="D328" s="2842"/>
      <c r="J328" s="13315"/>
      <c r="K328" s="13315"/>
      <c r="L328" s="13315"/>
      <c r="M328" s="13315"/>
      <c r="N328" s="13315"/>
      <c r="P328" s="2842"/>
      <c r="S328" s="2842"/>
      <c r="T328" s="2842"/>
      <c r="U328" s="2842"/>
      <c r="V328" s="2842"/>
      <c r="X328" s="2842"/>
      <c r="Y328" s="2842"/>
      <c r="Z328" s="2842"/>
      <c r="AA328" s="2842"/>
      <c r="AB328" s="2842"/>
      <c r="AC328" s="2842"/>
      <c r="AD328" s="2842"/>
      <c r="AE328" s="2842"/>
      <c r="AF328" s="2842"/>
      <c r="AG328" s="2842"/>
      <c r="AH328" s="2842"/>
      <c r="AI328" s="2842"/>
      <c r="AJ328" s="2842"/>
      <c r="AK328" s="2842">
        <v>11</v>
      </c>
    </row>
    <row customHeight="1" ht="11.549999999999999">
      <c r="A329" s="2201"/>
      <c r="B329" s="2842"/>
      <c r="D329" s="2842"/>
      <c r="J329" s="13315"/>
      <c r="K329" s="13315"/>
      <c r="L329" s="13315"/>
      <c r="M329" s="13315"/>
      <c r="N329" s="13315"/>
      <c r="P329" s="2842"/>
      <c r="S329" s="2842"/>
      <c r="T329" s="2842"/>
      <c r="U329" s="2842"/>
      <c r="V329" s="2842"/>
      <c r="X329" s="2842"/>
      <c r="Y329" s="2842"/>
      <c r="Z329" s="2842"/>
      <c r="AA329" s="2842"/>
      <c r="AB329" s="2842"/>
      <c r="AC329" s="2842"/>
      <c r="AD329" s="2842"/>
      <c r="AE329" s="2842"/>
      <c r="AF329" s="2842"/>
      <c r="AG329" s="2842"/>
      <c r="AH329" s="2842"/>
      <c r="AI329" s="2842"/>
      <c r="AJ329" s="2842"/>
      <c r="AK329" s="2842">
        <v>11</v>
      </c>
    </row>
    <row customHeight="1" ht="11.549999999999999">
      <c r="A330" s="2201"/>
      <c r="B330" s="2842"/>
      <c r="D330" s="2842"/>
      <c r="J330" s="13315"/>
      <c r="K330" s="13315"/>
      <c r="L330" s="13315"/>
      <c r="M330" s="13315"/>
      <c r="N330" s="13315"/>
      <c r="P330" s="2842"/>
      <c r="S330" s="2842"/>
      <c r="T330" s="2842"/>
      <c r="U330" s="2842"/>
      <c r="V330" s="2842"/>
      <c r="X330" s="2842"/>
      <c r="Y330" s="2842"/>
      <c r="Z330" s="2842"/>
      <c r="AA330" s="2842"/>
      <c r="AB330" s="2842"/>
      <c r="AC330" s="2842"/>
      <c r="AD330" s="2842"/>
      <c r="AE330" s="2842"/>
      <c r="AF330" s="2842"/>
      <c r="AG330" s="2842"/>
      <c r="AH330" s="2842"/>
      <c r="AI330" s="2842"/>
      <c r="AJ330" s="2842"/>
      <c r="AK330" s="2842">
        <v>11</v>
      </c>
    </row>
    <row customHeight="1" ht="11.549999999999999">
      <c r="A331" s="2201"/>
      <c r="B331" s="2842"/>
      <c r="D331" s="2842"/>
      <c r="J331" s="13315"/>
      <c r="K331" s="13315"/>
      <c r="L331" s="13315"/>
      <c r="M331" s="13315"/>
      <c r="N331" s="13315"/>
      <c r="P331" s="2842"/>
      <c r="S331" s="2842"/>
      <c r="T331" s="2842"/>
      <c r="U331" s="2842"/>
      <c r="V331" s="2842"/>
      <c r="X331" s="2842"/>
      <c r="Y331" s="2842"/>
      <c r="Z331" s="2842"/>
      <c r="AA331" s="2842"/>
      <c r="AB331" s="2842"/>
      <c r="AC331" s="2842"/>
      <c r="AD331" s="2842"/>
      <c r="AE331" s="2842"/>
      <c r="AF331" s="2842"/>
      <c r="AG331" s="2842"/>
      <c r="AH331" s="2842"/>
      <c r="AI331" s="2842"/>
      <c r="AJ331" s="2842"/>
      <c r="AK331" s="2842">
        <v>11</v>
      </c>
    </row>
    <row customHeight="1" ht="11.549999999999999">
      <c r="A332" s="2201"/>
      <c r="B332" s="2842"/>
      <c r="D332" s="2842"/>
      <c r="J332" s="13315"/>
      <c r="K332" s="13315"/>
      <c r="L332" s="13315"/>
      <c r="M332" s="13315"/>
      <c r="N332" s="13315"/>
      <c r="P332" s="2842"/>
      <c r="S332" s="2842"/>
      <c r="T332" s="2842"/>
      <c r="U332" s="2842"/>
      <c r="V332" s="2842"/>
      <c r="X332" s="2842"/>
      <c r="Y332" s="2842"/>
      <c r="Z332" s="2842"/>
      <c r="AA332" s="2842"/>
      <c r="AB332" s="2842"/>
      <c r="AC332" s="2842"/>
      <c r="AD332" s="2842"/>
      <c r="AE332" s="2842"/>
      <c r="AF332" s="2842"/>
      <c r="AG332" s="2842"/>
      <c r="AH332" s="2842"/>
      <c r="AI332" s="2842"/>
      <c r="AJ332" s="2842"/>
      <c r="AK332" s="2842">
        <v>11</v>
      </c>
    </row>
    <row customHeight="1" ht="11.549999999999999">
      <c r="A333" s="2201"/>
      <c r="B333" s="2842"/>
      <c r="D333" s="2842"/>
      <c r="J333" s="13315"/>
      <c r="K333" s="13315"/>
      <c r="L333" s="13315"/>
      <c r="M333" s="13315"/>
      <c r="N333" s="13315"/>
      <c r="P333" s="2842"/>
      <c r="S333" s="2842"/>
      <c r="T333" s="2842"/>
      <c r="U333" s="2842"/>
      <c r="V333" s="2842"/>
      <c r="X333" s="2842"/>
      <c r="Y333" s="2842"/>
      <c r="Z333" s="2842"/>
      <c r="AA333" s="2842"/>
      <c r="AB333" s="2842"/>
      <c r="AC333" s="2842"/>
      <c r="AD333" s="2842"/>
      <c r="AE333" s="2842"/>
      <c r="AF333" s="2842"/>
      <c r="AG333" s="2842"/>
      <c r="AH333" s="2842"/>
      <c r="AI333" s="2842"/>
      <c r="AJ333" s="2842"/>
      <c r="AK333" s="2842">
        <v>11</v>
      </c>
    </row>
    <row customHeight="1" ht="11.549999999999999">
      <c r="A334" s="2201"/>
      <c r="B334" s="2842"/>
      <c r="D334" s="2842"/>
      <c r="J334" s="13315"/>
      <c r="K334" s="13315"/>
      <c r="L334" s="13315"/>
      <c r="M334" s="13315"/>
      <c r="N334" s="13315"/>
      <c r="P334" s="2842"/>
      <c r="S334" s="2842"/>
      <c r="T334" s="2842"/>
      <c r="U334" s="2842"/>
      <c r="V334" s="2842"/>
      <c r="X334" s="2842"/>
      <c r="Y334" s="2842"/>
      <c r="Z334" s="2842"/>
      <c r="AA334" s="2842"/>
      <c r="AB334" s="2842"/>
      <c r="AC334" s="2842"/>
      <c r="AD334" s="2842"/>
      <c r="AE334" s="2842"/>
      <c r="AF334" s="2842"/>
      <c r="AG334" s="2842"/>
      <c r="AH334" s="2842"/>
      <c r="AI334" s="2842"/>
      <c r="AJ334" s="2842"/>
      <c r="AK334" s="2842">
        <v>11</v>
      </c>
    </row>
    <row customHeight="1" ht="11.549999999999999">
      <c r="A335" s="2201"/>
      <c r="B335" s="2842"/>
      <c r="D335" s="2842"/>
      <c r="J335" s="13315"/>
      <c r="K335" s="13315"/>
      <c r="L335" s="13315"/>
      <c r="M335" s="13315"/>
      <c r="N335" s="13315"/>
      <c r="P335" s="2842"/>
      <c r="S335" s="2842"/>
      <c r="T335" s="2842"/>
      <c r="U335" s="2842"/>
      <c r="V335" s="2842"/>
      <c r="X335" s="2842"/>
      <c r="Y335" s="2842"/>
      <c r="Z335" s="2842"/>
      <c r="AA335" s="2842"/>
      <c r="AB335" s="2842"/>
      <c r="AC335" s="2842"/>
      <c r="AD335" s="2842"/>
      <c r="AE335" s="2842"/>
      <c r="AF335" s="2842"/>
      <c r="AG335" s="2842"/>
      <c r="AH335" s="2842"/>
      <c r="AI335" s="2842"/>
      <c r="AJ335" s="2842"/>
      <c r="AK335" s="2842">
        <v>11</v>
      </c>
    </row>
    <row customHeight="1" ht="11.25" hidden="1">
      <c r="A336" s="2198" t="s">
        <v>82</v>
      </c>
      <c r="B336" s="2371">
        <v>0</v>
      </c>
      <c r="C336" s="2847">
        <v>0</v>
      </c>
      <c r="D336" s="2846">
        <v>3</v>
      </c>
      <c r="E336" s="2842">
        <v>7</v>
      </c>
      <c r="F336" s="2842">
        <v>54</v>
      </c>
      <c r="G336" s="2842">
        <v>10</v>
      </c>
      <c r="H336" s="2842">
        <v>0</v>
      </c>
      <c r="I336" s="2842">
        <v>40</v>
      </c>
      <c r="J336" s="13315">
        <v>0</v>
      </c>
      <c r="K336" s="13315">
        <v>0</v>
      </c>
      <c r="L336" s="13315">
        <v>0</v>
      </c>
      <c r="M336" s="13315">
        <v>0</v>
      </c>
      <c r="N336" s="13315">
        <v>0</v>
      </c>
      <c r="O336" s="2842">
        <v>102</v>
      </c>
      <c r="P336" s="2371">
        <v>9</v>
      </c>
      <c r="Q336" s="2847">
        <v>5</v>
      </c>
      <c r="R336" s="2847">
        <v>3</v>
      </c>
      <c r="S336" s="2371">
        <v>3</v>
      </c>
      <c r="T336" s="2371">
        <v>3</v>
      </c>
      <c r="U336" s="2371">
        <v>3</v>
      </c>
      <c r="V336" s="2371">
        <v>3</v>
      </c>
      <c r="W336" s="2847">
        <v>10</v>
      </c>
      <c r="X336" s="2371">
        <v>34</v>
      </c>
      <c r="Y336" s="2371">
        <v>9</v>
      </c>
      <c r="Z336" s="1755">
        <v>8</v>
      </c>
      <c r="AA336" s="2371">
        <v>8</v>
      </c>
      <c r="AB336" s="2371">
        <v>8</v>
      </c>
      <c r="AC336" s="2371">
        <v>8</v>
      </c>
      <c r="AD336" s="2371">
        <v>8</v>
      </c>
      <c r="AE336" s="2371">
        <v>8</v>
      </c>
      <c r="AF336" s="2843">
        <v>8</v>
      </c>
      <c r="AG336" s="2843">
        <v>8</v>
      </c>
      <c r="AH336" s="2843">
        <v>8</v>
      </c>
      <c r="AI336" s="2843">
        <v>8</v>
      </c>
      <c r="AJ336" s="2843">
        <v>8</v>
      </c>
      <c r="AK336" s="2842">
        <v>11</v>
      </c>
    </row>
  </sheetData>
  <sheetProtection formatColumns="0" formatRows="0" autoFilter="0" sort="0" insertRows="0" insertColumns="1" deleteRows="0" deleteColumns="0"/>
  <mergeCells count="22">
    <mergeCell ref="A145:A163"/>
    <mergeCell ref="E21:I21"/>
    <mergeCell ref="E22:I22"/>
    <mergeCell ref="A33:A64"/>
    <mergeCell ref="B34:B39"/>
    <mergeCell ref="A65:A67"/>
    <mergeCell ref="A91:A92"/>
    <mergeCell ref="A107:A115"/>
    <mergeCell ref="A116:A120"/>
    <mergeCell ref="A121:A123"/>
    <mergeCell ref="A124:A136"/>
    <mergeCell ref="A140:A144"/>
    <mergeCell ref="B2:B7"/>
    <mergeCell ref="O25:O29"/>
    <mergeCell ref="F25:G25"/>
    <mergeCell ref="F26:G26"/>
    <mergeCell ref="F27:G27"/>
    <mergeCell ref="E28:G28"/>
    <mergeCell ref="B40:B45"/>
    <mergeCell ref="B46:B51"/>
    <mergeCell ref="B52:B57"/>
    <mergeCell ref="B58:B63"/>
  </mergeCells>
  <dataValidations count="12">
    <dataValidation allowBlank="1" showInputMessage="1" showErrorMessage="1" prompt="Для выбора выполните двойной щелчок левой клавиши мыши по соответствующей ячейке." sqref="H92:N92 H90:N90"/>
    <dataValidation type="decimal" allowBlank="1" showErrorMessage="1" errorTitle="Ошибка" error="Введите значение от 0 до 100%" sqref="H115:N115 H120:N120">
      <formula1>0</formula1>
      <formula2>100</formula2>
    </dataValidation>
    <dataValidation type="decimal" allowBlank="1" showErrorMessage="1" errorTitle="Ошибка" error="Допускается ввод только действительных чисел!" sqref="H152:N152 H145:N145 H159:N159 H100:N105">
      <formula1>-9.99999999999999E+37</formula1>
      <formula2>9.99999999999999E+37</formula2>
    </dataValidation>
    <dataValidation type="decimal" allowBlank="1" showErrorMessage="1" errorTitle="Ошибка" error="Допускается ввод только действительных чисел!" sqref="H97:N9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61:N163 H106:N106">
      <formula1>900</formula1>
    </dataValidation>
    <dataValidation type="list" allowBlank="1" showInputMessage="1" showErrorMessage="1" errorTitle="Ошибка" error="Выберите значение из списка" prompt="Выберите значение из списка" sqref="G118">
      <formula1>kind_of_volume_te_unit</formula1>
    </dataValidation>
    <dataValidation type="list" allowBlank="1" showInputMessage="1" showErrorMessage="1" errorTitle="Ошибка" error="Выберите значение из списка" prompt="Выберите значение из списка" sqref="F2 F40 F46 F52 F58">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91:N91 H93:N93 H116:N119 H160:N160 H30:N30 H32:N33 H35:N38 H64:N89 H107:N111 H17:N17 H9:N13 H15:N15 H121:N144 H99:N99 H113:N114 H4:N6 H42 I42 J42 K42 L42 M42 N42 H43 I43 J43 K43 L43 M43 N43 H44 I44 J44 K44 L44 M44 N44 H48 I48 J48 K48 L48 M48 N48 H49 I49 J49 K49 L49 M49 N49 H50 I50 J50 K50 L50 M50 N50 H54 I54 J54 K54 L54 M54 N54 H55 I55 J55 K55 L55 M55 N55 H56 I56 J56 K56 L56 M56 N56 H60 I60 J60 K60 L60 M60 N60 H61 I61 J61 K61 L61 M61 N61 H62 I62 J62 K62 L62 M62 N62 H95 I95 J95 K95 L95 M95 N95 H154:H157 I154:I157 J154:J157 K154:K157 L154:L157 M154:M157 N154:N157 H147:H150 I147:I150 J147:J150 K147:K150 L147:L150 M147:M150 N147:N15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N34 N39 M39 L39 K39 J39 I39 H39 G42 G48 G54 G6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N94 M94 L94 K94 J94 I94 H94">
      <formula1>900</formula1>
    </dataValidation>
    <dataValidation type="list" allowBlank="1" showInputMessage="1" showErrorMessage="1" errorTitle="Ошибка" error="Выберите значение из списка" prompt="Выберите значение из списка" sqref="H7:N7 H45 H51 H57 H63 I45 I51 I57 I63 J45 J51 J57 J63 K45 K51 K57 K63 L45 L51 L57 L63 M45 M51 M57 M63 N45 N51 N57 N63">
      <formula1>kind_of_purchase_method</formula1>
    </dataValidation>
  </dataValidations>
  <hyperlinks>
    <hyperlink ref="I106" r:id="rId1" tooltip="https://portal.eias.ru/Portal/DownloadPage.aspx?type=12&amp;guid=83e5f5aa-d1d8-4cb1-ba37-d3be34c0e834" xr:uid="{4942175C-F6AB-3023-F33C-D9A7011FD59B}"/>
    <hyperlink ref="J106" r:id="rId2" tooltip="https://portal.eias.ru/Portal/DownloadPage.aspx?type=12&amp;guid=83e5f5aa-d1d8-4cb1-ba37-d3be34c0e834" xr:uid="{EFBA3574-1102-F35A-E8F1-164A57B67353}"/>
    <hyperlink ref="K106" r:id="rId3" tooltip="https://portal.eias.ru/Portal/DownloadPage.aspx?type=12&amp;guid=83e5f5aa-d1d8-4cb1-ba37-d3be34c0e834" xr:uid="{E6C04419-8275-91EA-2779-193C3C23178D}"/>
    <hyperlink ref="L106" r:id="rId4" tooltip="https://portal.eias.ru/Portal/DownloadPage.aspx?type=12&amp;guid=83e5f5aa-d1d8-4cb1-ba37-d3be34c0e834" xr:uid="{1C44E923-EDC2-D511-3035-FE16448CFD87}"/>
    <hyperlink ref="M106" r:id="rId5" tooltip="https://portal.eias.ru/Portal/DownloadPage.aspx?type=12&amp;guid=83e5f5aa-d1d8-4cb1-ba37-d3be34c0e834" xr:uid="{DE46AEA6-0388-B9C6-5ACD-E55C21142C85}"/>
    <hyperlink ref="N106" r:id="rId6" tooltip="https://portal.eias.ru/Portal/DownloadPage.aspx?type=12&amp;guid=83e5f5aa-d1d8-4cb1-ba37-d3be34c0e834" xr:uid="{6329DF46-7AD4-CA45-3886-703553C1FEFB}"/>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98039-1CB8-13EC-0A2E-DBD295A4C099}" mc:Ignorable="x14ac xr xr2 xr3">
  <sheetPr>
    <tabColor theme="9" tint="-0.25"/>
  </sheetPr>
  <dimension ref="A1:CF202"/>
  <sheetViews>
    <sheetView topLeftCell="G4" showGridLines="0" zoomScale="80" workbookViewId="0">
      <selection activeCell="Q181" sqref="Q181"/>
    </sheetView>
  </sheetViews>
  <sheetFormatPr defaultColWidth="9.140625" customHeight="1" defaultRowHeight="11.25"/>
  <cols>
    <col min="1" max="1" style="66552" width="14.7109375" hidden="1" customWidth="1"/>
    <col min="2" max="2" style="67156" width="17.00390625" hidden="1" customWidth="1"/>
    <col min="3" max="3" style="66903" width="3.00390625" customWidth="1"/>
    <col min="4" max="4" style="66903" width="1.8515625" hidden="1" customWidth="1"/>
    <col min="5" max="6" style="66903" width="7.00390625" customWidth="1"/>
    <col min="7" max="7" style="66903" width="29.00390625" customWidth="1"/>
    <col min="8" max="8" style="66903" width="3.7109375" customWidth="1"/>
    <col min="9" max="9" style="66903" width="5.00390625" customWidth="1"/>
    <col min="10" max="11" style="66903" width="24.00390625" customWidth="1"/>
    <col min="12" max="12" style="66903" width="3.00390625" customWidth="1"/>
    <col min="13" max="13" style="66903" width="6.00390625" customWidth="1"/>
    <col min="14" max="14" style="66903" width="25.00390625" customWidth="1"/>
    <col min="15" max="18" style="66903" width="18.00390625" customWidth="1"/>
    <col min="19" max="19" style="66903" width="93.00390625" customWidth="1"/>
    <col min="20" max="20" style="66903" width="10.00390625" customWidth="1"/>
    <col min="21" max="21" style="65923" width="10.00390625" customWidth="1"/>
    <col min="22" max="22" style="65923" width="11.00390625" customWidth="1"/>
    <col min="23" max="27" style="67156" width="10.00390625" customWidth="1"/>
    <col min="28" max="83" style="66903" width="8.00390625" customWidth="1"/>
    <col min="84" max="84" style="66903" width="9.140625" hidden="1"/>
  </cols>
  <sheetData>
    <row customHeight="1" ht="22.5" hidden="1">
      <c r="CF1" s="1716" t="s">
        <v>14</v>
      </c>
    </row>
    <row customHeight="1" ht="11.25" hidden="1">
      <c r="CF2" s="1716">
        <v>0</v>
      </c>
    </row>
    <row customHeight="1" ht="11.25" hidden="1">
      <c r="CF3" s="1716">
        <v>0</v>
      </c>
    </row>
    <row customHeight="1" ht="3">
      <c r="C4" s="1720"/>
      <c r="D4" s="1720"/>
      <c r="E4" s="1720"/>
      <c r="F4" s="1720"/>
      <c r="G4" s="1720"/>
      <c r="H4" s="1720"/>
      <c r="I4" s="1720"/>
      <c r="J4" s="1720"/>
      <c r="K4" s="1377"/>
      <c r="L4" s="1377"/>
      <c r="M4" s="1377"/>
      <c r="CF4" s="1716">
        <v>3</v>
      </c>
    </row>
    <row customHeight="1" ht="29.25">
      <c r="C5" s="1720"/>
      <c r="D5" s="2268"/>
      <c r="E5" s="3448" t="str">
        <f>FHD20_NAME_FORM</f>
        <v>Форма 11. Информация о расходах на капитальный и текущий ремонт основных средств</v>
      </c>
      <c r="F5" s="3448"/>
      <c r="G5" s="3448"/>
      <c r="H5" s="3448"/>
      <c r="I5" s="3448"/>
      <c r="J5" s="3448"/>
      <c r="K5" s="3448"/>
      <c r="L5" s="1824"/>
      <c r="M5" s="1824"/>
      <c r="CF5" s="1716">
        <v>28</v>
      </c>
    </row>
    <row s="66903" customFormat="1" customHeight="1" ht="16.8">
      <c r="A6" s="1821"/>
      <c r="B6" s="1970"/>
      <c r="C6" s="1720"/>
      <c r="D6" s="2269"/>
      <c r="E6" s="3387" t="str">
        <f>IF(org=0,"Не определено",org)</f>
        <v>ПАО "ТГК-2"</v>
      </c>
      <c r="F6" s="3387"/>
      <c r="G6" s="3387"/>
      <c r="H6" s="3387"/>
      <c r="I6" s="3387"/>
      <c r="J6" s="3387"/>
      <c r="K6" s="3387"/>
      <c r="L6" s="1824"/>
      <c r="M6" s="1824"/>
      <c r="U6" s="1822"/>
      <c r="V6" s="1822"/>
      <c r="W6" s="1823"/>
      <c r="X6" s="1970"/>
      <c r="Y6" s="1970"/>
      <c r="Z6" s="1970"/>
      <c r="AA6" s="1970"/>
      <c r="CF6" s="1969">
        <v>16</v>
      </c>
    </row>
    <row customHeight="1" ht="11.549999999999999">
      <c r="C7" s="1720"/>
      <c r="D7" s="1720"/>
      <c r="E7" s="1720"/>
      <c r="F7" s="1720"/>
      <c r="G7" s="1733"/>
      <c r="H7" s="1733"/>
      <c r="I7" s="1733"/>
      <c r="J7" s="1733"/>
      <c r="K7" s="1825"/>
      <c r="L7" s="1825"/>
      <c r="M7" s="1825"/>
      <c r="R7" s="1963"/>
      <c r="CF7" s="1716">
        <v>11</v>
      </c>
    </row>
    <row s="65897" customFormat="1" customHeight="1" ht="4.2">
      <c r="A8" s="1832"/>
      <c r="B8" s="1777"/>
      <c r="C8" s="1562"/>
      <c r="D8" s="1562"/>
      <c r="E8" s="1562"/>
      <c r="F8" s="1562"/>
      <c r="G8" s="2186"/>
      <c r="H8" s="2186"/>
      <c r="I8" s="2186"/>
      <c r="J8" s="2186"/>
      <c r="K8" s="2229"/>
      <c r="L8" s="2229"/>
      <c r="M8" s="2229"/>
      <c r="R8" s="2230"/>
      <c r="U8" s="1822"/>
      <c r="V8" s="1822"/>
      <c r="W8" s="1833"/>
      <c r="X8" s="1777"/>
      <c r="Y8" s="1777"/>
      <c r="Z8" s="1777"/>
      <c r="AA8" s="1777"/>
      <c r="CF8" s="1707">
        <v>4</v>
      </c>
    </row>
    <row customHeight="1" ht="19.95">
      <c r="D9" s="1500"/>
      <c r="E9" s="3312" t="s">
        <v>318</v>
      </c>
      <c r="F9" s="3313"/>
      <c r="G9" s="3313"/>
      <c r="H9" s="3313"/>
      <c r="I9" s="3313"/>
      <c r="J9" s="3313"/>
      <c r="K9" s="3313"/>
      <c r="L9" s="3313"/>
      <c r="M9" s="3313"/>
      <c r="N9" s="3313"/>
      <c r="O9" s="3313"/>
      <c r="P9" s="3313"/>
      <c r="Q9" s="3313"/>
      <c r="R9" s="3314"/>
      <c r="S9" s="3338" t="s">
        <v>319</v>
      </c>
      <c r="T9" s="1545"/>
      <c r="CF9" s="1716">
        <v>19</v>
      </c>
    </row>
    <row customHeight="1" ht="48.29999999999999">
      <c r="D10" s="1762" t="s">
        <v>88</v>
      </c>
      <c r="E10" s="3338" t="s">
        <v>88</v>
      </c>
      <c r="F10" s="3338"/>
      <c r="G10" s="1732" t="s">
        <v>320</v>
      </c>
      <c r="H10" s="3338" t="s">
        <v>88</v>
      </c>
      <c r="I10" s="3338"/>
      <c r="J10" s="1732" t="s">
        <v>639</v>
      </c>
      <c r="K10" s="1732" t="s">
        <v>640</v>
      </c>
      <c r="L10" s="3338" t="s">
        <v>88</v>
      </c>
      <c r="M10" s="3338"/>
      <c r="N10" s="1732" t="s">
        <v>641</v>
      </c>
      <c r="O10" s="1732" t="s">
        <v>642</v>
      </c>
      <c r="P10" s="1732" t="s">
        <v>643</v>
      </c>
      <c r="Q10" s="1732" t="s">
        <v>644</v>
      </c>
      <c r="R10" s="1732" t="s">
        <v>645</v>
      </c>
      <c r="S10" s="3338"/>
      <c r="T10" s="1545"/>
      <c r="CF10" s="1716">
        <v>46</v>
      </c>
    </row>
    <row s="65923" customFormat="1" customHeight="1" ht="15" hidden="1">
      <c r="A11" s="2263"/>
      <c r="D11" s="2236" t="s">
        <v>99</v>
      </c>
      <c r="E11" s="2236"/>
      <c r="F11" s="2236" t="s">
        <v>102</v>
      </c>
      <c r="G11" s="2236" t="s">
        <v>90</v>
      </c>
      <c r="H11" s="2236"/>
      <c r="I11" s="2236" t="s">
        <v>91</v>
      </c>
      <c r="J11" s="2236" t="s">
        <v>122</v>
      </c>
      <c r="K11" s="2236" t="s">
        <v>92</v>
      </c>
      <c r="L11" s="2236"/>
      <c r="M11" s="2236" t="s">
        <v>93</v>
      </c>
      <c r="N11" s="2236" t="s">
        <v>123</v>
      </c>
      <c r="O11" s="2236" t="s">
        <v>168</v>
      </c>
      <c r="P11" s="2236" t="s">
        <v>169</v>
      </c>
      <c r="Q11" s="2236" t="s">
        <v>170</v>
      </c>
      <c r="R11" s="2236" t="s">
        <v>171</v>
      </c>
      <c r="S11" s="2236" t="s">
        <v>172</v>
      </c>
      <c r="U11" s="1822"/>
      <c r="V11" s="1822"/>
      <c r="W11" s="1822"/>
      <c r="CF11" s="1722">
        <v>0</v>
      </c>
    </row>
    <row s="66903" customFormat="1" customHeight="1" ht="1.05">
      <c r="A12" s="1826"/>
      <c r="B12" s="1573"/>
      <c r="D12" s="1759"/>
      <c r="E12" s="1557"/>
      <c r="F12" s="1557"/>
      <c r="Q12" s="1827"/>
      <c r="R12" s="1828"/>
      <c r="T12" s="1829"/>
      <c r="U12" s="1830"/>
      <c r="V12" s="1830"/>
      <c r="W12" s="1831"/>
      <c r="X12" s="1573"/>
      <c r="Y12" s="1573"/>
      <c r="Z12" s="1573"/>
      <c r="AA12" s="1573"/>
      <c r="CF12" s="1720">
        <v>1</v>
      </c>
    </row>
    <row s="65897" customFormat="1" customHeight="1" ht="1.05">
      <c r="A13" s="1832"/>
      <c r="B13" s="1777"/>
      <c r="D13" s="1759" t="s">
        <v>394</v>
      </c>
      <c r="E13" s="1771"/>
      <c r="F13" s="1771"/>
      <c r="G13" s="1771"/>
      <c r="H13" s="1771"/>
      <c r="I13" s="1771"/>
      <c r="J13" s="1771"/>
      <c r="K13" s="1771"/>
      <c r="L13" s="1771"/>
      <c r="M13" s="1771"/>
      <c r="N13" s="1771"/>
      <c r="O13" s="1771"/>
      <c r="P13" s="1771"/>
      <c r="Q13" s="1771"/>
      <c r="R13" s="1771"/>
      <c r="T13" s="1545"/>
      <c r="U13" s="1822"/>
      <c r="V13" s="1822"/>
      <c r="W13" s="1833"/>
      <c r="X13" s="1777"/>
      <c r="Y13" s="1777"/>
      <c r="Z13" s="1777"/>
      <c r="AA13" s="1777"/>
      <c r="CF13" s="1707">
        <v>1</v>
      </c>
    </row>
    <row s="67502" customFormat="1" customHeight="1" ht="15">
      <c r="A14" s="1834" t="s">
        <v>128</v>
      </c>
      <c r="B14" s="1835"/>
      <c r="C14" s="1835"/>
      <c r="D14" s="3591" t="s">
        <v>99</v>
      </c>
      <c r="E14" s="3588" t="s">
        <v>118</v>
      </c>
      <c r="F14" s="3589"/>
      <c r="G14" s="3590"/>
      <c r="H14" s="3594"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3594"/>
      <c r="J14" s="3594"/>
      <c r="K14" s="3594"/>
      <c r="L14" s="3594"/>
      <c r="M14" s="3594"/>
      <c r="N14" s="3594"/>
      <c r="O14" s="3594"/>
      <c r="P14" s="3594"/>
      <c r="Q14" s="3594"/>
      <c r="R14" s="3594"/>
      <c r="S14" s="1930"/>
      <c r="T14" s="1927"/>
      <c r="U14" s="1836"/>
      <c r="V14" s="1836"/>
      <c r="W14" s="1837"/>
      <c r="X14" s="1837"/>
      <c r="Y14" s="1837"/>
      <c r="Z14" s="1837"/>
      <c r="AA14" s="1838"/>
      <c r="AB14" s="1839"/>
      <c r="AC14" s="3586"/>
      <c r="AD14" s="1840"/>
      <c r="AE14" s="1841" t="s">
        <v>22</v>
      </c>
      <c r="AF14" s="1841"/>
      <c r="AG14" s="1842" t="s">
        <v>646</v>
      </c>
      <c r="AH14" s="1843">
        <v>3</v>
      </c>
      <c r="AI14" s="1836"/>
      <c r="AJ14" s="1836"/>
      <c r="AK14" s="1836"/>
      <c r="AL14" s="1836"/>
      <c r="AM14" s="1836"/>
      <c r="AN14" s="1836"/>
      <c r="AO14" s="1836"/>
      <c r="AP14" s="1836"/>
      <c r="AQ14" s="1836"/>
      <c r="AR14" s="1836"/>
      <c r="AS14" s="1836"/>
      <c r="AT14" s="1836"/>
      <c r="AU14" s="1836"/>
      <c r="AV14" s="1836"/>
      <c r="AW14" s="1836"/>
      <c r="AX14" s="1836"/>
      <c r="AY14" s="1836"/>
      <c r="AZ14" s="1836"/>
      <c r="BA14" s="1836"/>
      <c r="BB14" s="1836"/>
      <c r="BC14" s="1836"/>
      <c r="BD14" s="1836"/>
      <c r="BE14" s="1836"/>
      <c r="BF14" s="1836"/>
      <c r="BG14" s="1836"/>
      <c r="BH14" s="1836"/>
      <c r="BI14" s="1836"/>
      <c r="BJ14" s="1836"/>
      <c r="BK14" s="1836"/>
      <c r="BL14" s="1836"/>
      <c r="BM14" s="1836"/>
      <c r="BN14" s="1836"/>
      <c r="BO14" s="1836"/>
      <c r="BP14" s="1836"/>
      <c r="BQ14" s="1836"/>
      <c r="BR14" s="1836"/>
      <c r="BS14" s="1836"/>
      <c r="BT14" s="1836"/>
      <c r="BU14" s="1836"/>
      <c r="BV14" s="1837"/>
      <c r="BW14" s="1837"/>
      <c r="BX14" s="1837"/>
      <c r="BY14" s="1837"/>
      <c r="BZ14" s="1837"/>
      <c r="CA14" s="1837"/>
      <c r="CB14" s="1837"/>
      <c r="CC14" s="1837"/>
      <c r="CD14" s="1837"/>
      <c r="CE14" s="1837"/>
      <c r="CF14" s="1504">
        <v>0</v>
      </c>
    </row>
    <row s="67502" customFormat="1" customHeight="1" ht="15">
      <c r="A15" s="1834"/>
      <c r="B15" s="1835"/>
      <c r="C15" s="1835"/>
      <c r="D15" s="3592"/>
      <c r="E15" s="3588" t="s">
        <v>582</v>
      </c>
      <c r="F15" s="3589"/>
      <c r="G15" s="3590"/>
      <c r="H15" s="3594" t="str">
        <f>IF(A14="","",INDEX(DIFFERENTIATION_UNMERGE_AREA,MATCH(A14,DIFFERENTIATION_ID_DIFF,0)))</f>
        <v>Территория 1</v>
      </c>
      <c r="I15" s="3594"/>
      <c r="J15" s="3594"/>
      <c r="K15" s="3594"/>
      <c r="L15" s="3594"/>
      <c r="M15" s="3594"/>
      <c r="N15" s="3594"/>
      <c r="O15" s="3594"/>
      <c r="P15" s="3594"/>
      <c r="Q15" s="3594"/>
      <c r="R15" s="3594"/>
      <c r="S15" s="1930"/>
      <c r="T15" s="1927"/>
      <c r="U15" s="1836"/>
      <c r="V15" s="1836"/>
      <c r="W15" s="1837"/>
      <c r="X15" s="1837"/>
      <c r="Y15" s="1837"/>
      <c r="Z15" s="1837"/>
      <c r="AA15" s="1838"/>
      <c r="AB15" s="1839"/>
      <c r="AC15" s="3586"/>
      <c r="AD15" s="1840"/>
      <c r="AE15" s="1841"/>
      <c r="AF15" s="1841"/>
      <c r="AG15" s="1842"/>
      <c r="AH15" s="1843"/>
      <c r="AI15" s="1836"/>
      <c r="AJ15" s="1836"/>
      <c r="AK15" s="1836"/>
      <c r="AL15" s="1836"/>
      <c r="AM15" s="1836"/>
      <c r="AN15" s="1836"/>
      <c r="AO15" s="1836"/>
      <c r="AP15" s="1836"/>
      <c r="AQ15" s="1836"/>
      <c r="AR15" s="1836"/>
      <c r="AS15" s="1836"/>
      <c r="AT15" s="1836"/>
      <c r="AU15" s="1836"/>
      <c r="AV15" s="1836"/>
      <c r="AW15" s="1836"/>
      <c r="AX15" s="1836"/>
      <c r="AY15" s="1836"/>
      <c r="AZ15" s="1836"/>
      <c r="BA15" s="1836"/>
      <c r="BB15" s="1836"/>
      <c r="BC15" s="1836"/>
      <c r="BD15" s="1836"/>
      <c r="BE15" s="1836"/>
      <c r="BF15" s="1836"/>
      <c r="BG15" s="1836"/>
      <c r="BH15" s="1836"/>
      <c r="BI15" s="1836"/>
      <c r="BJ15" s="1836"/>
      <c r="BK15" s="1836"/>
      <c r="BL15" s="1836"/>
      <c r="BM15" s="1836"/>
      <c r="BN15" s="1836"/>
      <c r="BO15" s="1836"/>
      <c r="BP15" s="1836"/>
      <c r="BQ15" s="1836"/>
      <c r="BR15" s="1836"/>
      <c r="BS15" s="1836"/>
      <c r="BT15" s="1836"/>
      <c r="BU15" s="1836"/>
      <c r="BV15" s="1837"/>
      <c r="BW15" s="1837"/>
      <c r="BX15" s="1837"/>
      <c r="BY15" s="1837"/>
      <c r="BZ15" s="1837"/>
      <c r="CA15" s="1837"/>
      <c r="CB15" s="1837"/>
      <c r="CC15" s="1837"/>
      <c r="CD15" s="1837"/>
      <c r="CE15" s="1837"/>
      <c r="CF15" s="1504">
        <v>0</v>
      </c>
    </row>
    <row s="67502" customFormat="1" customHeight="1" ht="15">
      <c r="A16" s="1834"/>
      <c r="B16" s="1835"/>
      <c r="C16" s="1835"/>
      <c r="D16" s="3592"/>
      <c r="E16" s="3588" t="s">
        <v>583</v>
      </c>
      <c r="F16" s="3589"/>
      <c r="G16" s="3590"/>
      <c r="H16" s="3594" t="str">
        <f>IF(A14="","",INDEX(DIFFERENTIATION_UNMERGE_SYSTEM,MATCH(A14,DIFFERENTIATION_ID_DIFF,0)))</f>
        <v>без дифференциации</v>
      </c>
      <c r="I16" s="3594"/>
      <c r="J16" s="3594"/>
      <c r="K16" s="3594"/>
      <c r="L16" s="3594"/>
      <c r="M16" s="3594"/>
      <c r="N16" s="3594"/>
      <c r="O16" s="3594"/>
      <c r="P16" s="3594"/>
      <c r="Q16" s="3594"/>
      <c r="R16" s="3594"/>
      <c r="S16" s="1930"/>
      <c r="T16" s="1927"/>
      <c r="U16" s="1836"/>
      <c r="V16" s="1836"/>
      <c r="W16" s="1837"/>
      <c r="X16" s="1837"/>
      <c r="Y16" s="1837"/>
      <c r="Z16" s="1837"/>
      <c r="AA16" s="1838"/>
      <c r="AB16" s="1839"/>
      <c r="AC16" s="3586"/>
      <c r="AD16" s="1840"/>
      <c r="AE16" s="1841"/>
      <c r="AF16" s="1841"/>
      <c r="AG16" s="1842"/>
      <c r="AH16" s="1843"/>
      <c r="AI16" s="1836"/>
      <c r="AJ16" s="1836"/>
      <c r="AK16" s="1836"/>
      <c r="AL16" s="1836"/>
      <c r="AM16" s="1836"/>
      <c r="AN16" s="1836"/>
      <c r="AO16" s="1836"/>
      <c r="AP16" s="1836"/>
      <c r="AQ16" s="1836"/>
      <c r="AR16" s="1836"/>
      <c r="AS16" s="1836"/>
      <c r="AT16" s="1836"/>
      <c r="AU16" s="1836"/>
      <c r="AV16" s="1836"/>
      <c r="AW16" s="1836"/>
      <c r="AX16" s="1836"/>
      <c r="AY16" s="1836"/>
      <c r="AZ16" s="1836"/>
      <c r="BA16" s="1836"/>
      <c r="BB16" s="1836"/>
      <c r="BC16" s="1836"/>
      <c r="BD16" s="1836"/>
      <c r="BE16" s="1836"/>
      <c r="BF16" s="1836"/>
      <c r="BG16" s="1836"/>
      <c r="BH16" s="1836"/>
      <c r="BI16" s="1836"/>
      <c r="BJ16" s="1836"/>
      <c r="BK16" s="1836"/>
      <c r="BL16" s="1836"/>
      <c r="BM16" s="1836"/>
      <c r="BN16" s="1836"/>
      <c r="BO16" s="1836"/>
      <c r="BP16" s="1836"/>
      <c r="BQ16" s="1836"/>
      <c r="BR16" s="1836"/>
      <c r="BS16" s="1836"/>
      <c r="BT16" s="1836"/>
      <c r="BU16" s="1836"/>
      <c r="BV16" s="1837"/>
      <c r="BW16" s="1837"/>
      <c r="BX16" s="1837"/>
      <c r="BY16" s="1837"/>
      <c r="BZ16" s="1837"/>
      <c r="CA16" s="1837"/>
      <c r="CB16" s="1837"/>
      <c r="CC16" s="1837"/>
      <c r="CD16" s="1837"/>
      <c r="CE16" s="1837"/>
      <c r="CF16" s="1504">
        <v>0</v>
      </c>
    </row>
    <row s="67502" customFormat="1" customHeight="1" ht="22.5">
      <c r="A17" s="1844"/>
      <c r="B17" s="1628"/>
      <c r="C17" s="1623"/>
      <c r="D17" s="3592"/>
      <c r="E17" s="3587" t="s">
        <v>647</v>
      </c>
      <c r="F17" s="3587"/>
      <c r="G17" s="3587"/>
      <c r="H17" s="3587"/>
      <c r="I17" s="3587"/>
      <c r="J17" s="3587"/>
      <c r="K17" s="3587"/>
      <c r="L17" s="3587"/>
      <c r="M17" s="3587"/>
      <c r="N17" s="3587"/>
      <c r="O17" s="3587"/>
      <c r="P17" s="3587"/>
      <c r="Q17" s="1769">
        <f>SUMIF(T18:T55,"i",Q18:Q55)</f>
        <v>35694.88349</v>
      </c>
      <c r="R17" s="2228"/>
      <c r="S17" s="2108" t="s">
        <v>648</v>
      </c>
      <c r="T17" s="1928" t="s">
        <v>649</v>
      </c>
      <c r="U17" s="3585">
        <v>1</v>
      </c>
      <c r="V17" s="3585" t="str">
        <f>INDEX(B_FHD_FLAG_INDEX_1,1,MATCH($A$14,B_FHD_FLAG_DIFFERENTIATION,0))</f>
        <v>есть</v>
      </c>
      <c r="W17" s="1628"/>
      <c r="X17" s="1628"/>
      <c r="Y17" s="1628"/>
      <c r="Z17" s="1628"/>
      <c r="AA17" s="1722"/>
      <c r="AB17" s="1628"/>
      <c r="AC17" s="3586"/>
      <c r="AD17" s="1840"/>
      <c r="AE17" s="1628"/>
      <c r="AF17" s="1628"/>
      <c r="AG17" s="1722"/>
      <c r="AH17" s="1722"/>
      <c r="AI17" s="1722"/>
      <c r="AJ17" s="1722"/>
      <c r="AK17" s="1722"/>
      <c r="AL17" s="1722"/>
      <c r="AM17" s="1722"/>
      <c r="AN17" s="1722"/>
      <c r="AO17" s="1722"/>
      <c r="AP17" s="1722"/>
      <c r="AQ17" s="1722"/>
      <c r="AR17" s="1722"/>
      <c r="AS17" s="1722"/>
      <c r="AT17" s="1722"/>
      <c r="AU17" s="1722"/>
      <c r="AV17" s="1722"/>
      <c r="AW17" s="1722"/>
      <c r="AX17" s="1722"/>
      <c r="AY17" s="1722"/>
      <c r="AZ17" s="1722"/>
      <c r="BA17" s="1722"/>
      <c r="BB17" s="1722"/>
      <c r="BC17" s="1722"/>
      <c r="BD17" s="1722"/>
      <c r="BE17" s="1722"/>
      <c r="BF17" s="1722"/>
      <c r="BG17" s="1722"/>
      <c r="BH17" s="1722"/>
      <c r="BI17" s="1722"/>
      <c r="BJ17" s="1722"/>
      <c r="BK17" s="1722"/>
      <c r="BL17" s="1722"/>
      <c r="BM17" s="1722"/>
      <c r="BN17" s="1722"/>
      <c r="BO17" s="1722"/>
      <c r="BP17" s="1722"/>
      <c r="BQ17" s="1722"/>
      <c r="BR17" s="1722"/>
      <c r="BS17" s="1722"/>
      <c r="BT17" s="1722"/>
      <c r="BU17" s="1722"/>
      <c r="BV17" s="1628"/>
      <c r="BW17" s="1628"/>
      <c r="BX17" s="1628"/>
      <c r="BY17" s="1628"/>
      <c r="BZ17" s="1628"/>
      <c r="CA17" s="1628"/>
      <c r="CB17" s="1628"/>
      <c r="CC17" s="1628"/>
      <c r="CD17" s="1628"/>
      <c r="CE17" s="1628"/>
      <c r="CF17" s="1504">
        <v>0</v>
      </c>
    </row>
    <row s="67502" customFormat="1" customHeight="1" ht="11.25" hidden="1">
      <c r="A18" s="1845"/>
      <c r="B18" s="1722"/>
      <c r="C18" s="1722"/>
      <c r="D18" s="3592"/>
      <c r="E18" s="1846"/>
      <c r="F18" s="1846">
        <v>0</v>
      </c>
      <c r="G18" s="1846"/>
      <c r="H18" s="1846"/>
      <c r="I18" s="1846"/>
      <c r="J18" s="1846"/>
      <c r="K18" s="1846"/>
      <c r="L18" s="1846"/>
      <c r="M18" s="1846"/>
      <c r="N18" s="1846"/>
      <c r="O18" s="1846"/>
      <c r="P18" s="1846"/>
      <c r="Q18" s="1846"/>
      <c r="R18" s="1846"/>
      <c r="S18" s="1847"/>
      <c r="T18" s="1929"/>
      <c r="U18" s="3585"/>
      <c r="V18" s="3585"/>
      <c r="W18" s="1722"/>
      <c r="X18" s="1722"/>
      <c r="Y18" s="1722"/>
      <c r="Z18" s="1722"/>
      <c r="AA18" s="1722"/>
      <c r="AB18" s="1628"/>
      <c r="AC18" s="3586"/>
      <c r="AD18" s="1840"/>
      <c r="AE18" s="1628"/>
      <c r="AF18" s="1628"/>
      <c r="AG18" s="1722"/>
      <c r="AH18" s="1722"/>
      <c r="AI18" s="1722"/>
      <c r="AJ18" s="1722"/>
      <c r="AK18" s="1722"/>
      <c r="AL18" s="1722"/>
      <c r="AM18" s="1722"/>
      <c r="AN18" s="1722"/>
      <c r="AO18" s="1722"/>
      <c r="AP18" s="1722"/>
      <c r="AQ18" s="1722"/>
      <c r="AR18" s="1722"/>
      <c r="AS18" s="1722"/>
      <c r="AT18" s="1722"/>
      <c r="AU18" s="1722"/>
      <c r="AV18" s="1722"/>
      <c r="AW18" s="1722"/>
      <c r="AX18" s="1722"/>
      <c r="AY18" s="1722"/>
      <c r="AZ18" s="1722"/>
      <c r="BA18" s="1722"/>
      <c r="BB18" s="1722"/>
      <c r="BC18" s="1722"/>
      <c r="BD18" s="1722"/>
      <c r="BE18" s="1722"/>
      <c r="BF18" s="1722"/>
      <c r="BG18" s="1722"/>
      <c r="BH18" s="1722"/>
      <c r="BI18" s="1722"/>
      <c r="BJ18" s="1722"/>
      <c r="BK18" s="1722"/>
      <c r="BL18" s="1722"/>
      <c r="BM18" s="1722"/>
      <c r="BN18" s="1722"/>
      <c r="BO18" s="1722"/>
      <c r="BP18" s="1722"/>
      <c r="BQ18" s="1722"/>
      <c r="BR18" s="1722"/>
      <c r="BS18" s="1722"/>
      <c r="BT18" s="1722"/>
      <c r="BU18" s="1722"/>
      <c r="BV18" s="1722"/>
      <c r="BW18" s="1722"/>
      <c r="BX18" s="1722"/>
      <c r="BY18" s="1722"/>
      <c r="BZ18" s="1722"/>
      <c r="CA18" s="1722"/>
      <c r="CB18" s="1722"/>
      <c r="CC18" s="1722"/>
      <c r="CD18" s="1722"/>
      <c r="CE18" s="1722"/>
      <c r="CF18" s="1504">
        <v>0</v>
      </c>
    </row>
    <row customHeight="1" ht="15">
      <c r="A19" s="3017"/>
      <c r="B19" s="2371"/>
      <c r="C19" s="1623"/>
      <c r="D19" s="1300"/>
      <c r="E19" s="3783" t="s">
        <v>103</v>
      </c>
      <c r="F19" s="3319" t="s">
        <v>99</v>
      </c>
      <c r="G19" s="3786" t="s">
        <v>650</v>
      </c>
      <c r="H19" s="1500"/>
      <c r="I19" s="1848" t="s">
        <v>99</v>
      </c>
      <c r="J19" s="3018" t="s">
        <v>651</v>
      </c>
      <c r="K19" s="1849" t="s">
        <v>564</v>
      </c>
      <c r="L19" s="3435" t="s">
        <v>564</v>
      </c>
      <c r="M19" s="3788"/>
      <c r="N19" s="1849" t="s">
        <v>564</v>
      </c>
      <c r="O19" s="1849" t="s">
        <v>564</v>
      </c>
      <c r="P19" s="1849" t="s">
        <v>564</v>
      </c>
      <c r="Q19" s="1850">
        <f>SUM(Q20:Q28)</f>
        <v>30824.57349</v>
      </c>
      <c r="R19" s="1850">
        <f>IF('Показатели ФХД'!I89=0,0,($Q$19/'Показатели ФХД'!I89)*100)</f>
        <v>71.1059256793385</v>
      </c>
      <c r="S19" s="3390"/>
      <c r="T19" s="1928" t="s">
        <v>649</v>
      </c>
      <c r="U19" s="1300"/>
      <c r="V19" s="1300"/>
      <c r="W19" s="25905"/>
      <c r="X19" s="25905"/>
      <c r="Y19" s="25905"/>
      <c r="Z19" s="25905"/>
      <c r="AA19" s="25905"/>
      <c r="AB19" s="25905"/>
      <c r="AC19" s="1300"/>
      <c r="AD19" s="25905"/>
      <c r="AE19" s="25905"/>
      <c r="AF19" s="25905"/>
      <c r="AG19" s="25905"/>
      <c r="AH19" s="25905"/>
      <c r="AI19" s="25905"/>
      <c r="AJ19" s="25905"/>
      <c r="AK19" s="25905"/>
      <c r="AL19" s="25905"/>
      <c r="AM19" s="25905"/>
      <c r="AN19" s="25905"/>
      <c r="AO19" s="25905"/>
      <c r="AP19" s="25905"/>
      <c r="AQ19" s="25905"/>
      <c r="AR19" s="25905"/>
      <c r="AS19" s="25905"/>
      <c r="AT19" s="25905"/>
      <c r="AU19" s="25905"/>
      <c r="AV19" s="25905"/>
      <c r="AW19" s="25905"/>
      <c r="AX19" s="25905"/>
      <c r="AY19" s="25905"/>
      <c r="AZ19" s="25905"/>
      <c r="BA19" s="25905"/>
      <c r="BB19" s="25905"/>
      <c r="BC19" s="25905"/>
      <c r="BD19" s="25905"/>
      <c r="BE19" s="25905"/>
      <c r="BF19" s="25905"/>
      <c r="BG19" s="25905"/>
      <c r="BH19" s="25905"/>
      <c r="BI19" s="25905"/>
      <c r="BJ19" s="25905"/>
      <c r="BK19" s="25905"/>
      <c r="BL19" s="25905"/>
      <c r="BM19" s="25905"/>
      <c r="BN19" s="25905"/>
      <c r="BO19" s="25905"/>
      <c r="BP19" s="25905"/>
      <c r="BQ19" s="25905"/>
      <c r="BR19" s="25905"/>
      <c r="BS19" s="25905"/>
      <c r="BT19" s="25905"/>
      <c r="BU19" s="25905"/>
      <c r="BV19" s="25905"/>
      <c r="BW19" s="25905"/>
      <c r="BX19" s="25905"/>
      <c r="BY19" s="25905"/>
      <c r="BZ19" s="25905"/>
      <c r="CA19" s="25905"/>
      <c r="CB19" s="25905"/>
      <c r="CC19" s="25905"/>
      <c r="CD19" s="25905"/>
      <c r="CE19" s="25905"/>
      <c r="CF19" s="25905"/>
    </row>
    <row customHeight="1" ht="36">
      <c r="A20" s="3017"/>
      <c r="B20" s="2371"/>
      <c r="C20" s="1623"/>
      <c r="D20" s="1300"/>
      <c r="E20" s="3784"/>
      <c r="F20" s="3319">
        <v>0</v>
      </c>
      <c r="G20" s="3786"/>
      <c r="H20" s="3338"/>
      <c r="I20" s="3726" t="s">
        <v>652</v>
      </c>
      <c r="J20" s="35171" t="s">
        <v>653</v>
      </c>
      <c r="K20" s="3781" t="s">
        <v>654</v>
      </c>
      <c r="L20" s="1851"/>
      <c r="M20" s="1852" t="s">
        <v>99</v>
      </c>
      <c r="N20" s="3006" t="s">
        <v>655</v>
      </c>
      <c r="O20" s="1853">
        <v>11971.87349</v>
      </c>
      <c r="P20" s="1854" t="s">
        <v>656</v>
      </c>
      <c r="Q20" s="1853">
        <f>O20</f>
        <v>11971.87349</v>
      </c>
      <c r="R20" s="1855">
        <v>0</v>
      </c>
      <c r="S20" s="3390"/>
      <c r="T20" s="1928"/>
      <c r="U20" s="1300"/>
      <c r="V20" s="1300"/>
      <c r="W20" s="25905"/>
      <c r="X20" s="25905"/>
      <c r="Y20" s="25905"/>
      <c r="Z20" s="25905"/>
      <c r="AA20" s="25905"/>
      <c r="AB20" s="25905"/>
      <c r="AC20" s="1300"/>
      <c r="AD20" s="25905"/>
      <c r="AE20" s="25905"/>
      <c r="AF20" s="25905"/>
      <c r="AG20" s="25905"/>
      <c r="AH20" s="25905"/>
      <c r="AI20" s="25905"/>
      <c r="AJ20" s="25905"/>
      <c r="AK20" s="25905"/>
      <c r="AL20" s="25905"/>
      <c r="AM20" s="25905"/>
      <c r="AN20" s="25905"/>
      <c r="AO20" s="25905"/>
      <c r="AP20" s="25905"/>
      <c r="AQ20" s="25905"/>
      <c r="AR20" s="25905"/>
      <c r="AS20" s="25905"/>
      <c r="AT20" s="25905"/>
      <c r="AU20" s="25905"/>
      <c r="AV20" s="25905"/>
      <c r="AW20" s="25905"/>
      <c r="AX20" s="25905"/>
      <c r="AY20" s="25905"/>
      <c r="AZ20" s="25905"/>
      <c r="BA20" s="25905"/>
      <c r="BB20" s="25905"/>
      <c r="BC20" s="25905"/>
      <c r="BD20" s="25905"/>
      <c r="BE20" s="25905"/>
      <c r="BF20" s="25905"/>
      <c r="BG20" s="25905"/>
      <c r="BH20" s="25905"/>
      <c r="BI20" s="25905"/>
      <c r="BJ20" s="25905"/>
      <c r="BK20" s="25905"/>
      <c r="BL20" s="25905"/>
      <c r="BM20" s="25905"/>
      <c r="BN20" s="25905"/>
      <c r="BO20" s="25905"/>
      <c r="BP20" s="25905"/>
      <c r="BQ20" s="25905"/>
      <c r="BR20" s="25905"/>
      <c r="BS20" s="25905"/>
      <c r="BT20" s="25905"/>
      <c r="BU20" s="25905"/>
      <c r="BV20" s="25905"/>
      <c r="BW20" s="25905"/>
      <c r="BX20" s="25905"/>
      <c r="BY20" s="25905"/>
      <c r="BZ20" s="25905"/>
      <c r="CA20" s="25905"/>
      <c r="CB20" s="25905"/>
      <c r="CC20" s="25905"/>
      <c r="CD20" s="25905"/>
      <c r="CE20" s="25905"/>
      <c r="CF20" s="25905"/>
    </row>
    <row customHeight="1" ht="11.25">
      <c r="A21" s="3017"/>
      <c r="B21" s="2371"/>
      <c r="C21" s="1623"/>
      <c r="D21" s="1300"/>
      <c r="E21" s="3784"/>
      <c r="F21" s="3319">
        <v>0</v>
      </c>
      <c r="G21" s="3786"/>
      <c r="H21" s="3338"/>
      <c r="I21" s="3726"/>
      <c r="J21" s="3780"/>
      <c r="K21" s="3782"/>
      <c r="L21" s="1856"/>
      <c r="M21" s="1857"/>
      <c r="N21" s="1858" t="s">
        <v>657</v>
      </c>
      <c r="O21" s="1858"/>
      <c r="P21" s="1858"/>
      <c r="Q21" s="1858"/>
      <c r="R21" s="1859"/>
      <c r="S21" s="3390"/>
      <c r="T21" s="1928"/>
      <c r="U21" s="1300"/>
      <c r="V21" s="1300"/>
      <c r="W21" s="25905"/>
      <c r="X21" s="25905"/>
      <c r="Y21" s="25905"/>
      <c r="Z21" s="25905"/>
      <c r="AA21" s="25905"/>
      <c r="AB21" s="25905"/>
      <c r="AC21" s="1300"/>
      <c r="AD21" s="25905"/>
      <c r="AE21" s="25905"/>
      <c r="AF21" s="25905"/>
      <c r="AG21" s="25905"/>
      <c r="AH21" s="25905"/>
      <c r="AI21" s="25905"/>
      <c r="AJ21" s="25905"/>
      <c r="AK21" s="25905"/>
      <c r="AL21" s="25905"/>
      <c r="AM21" s="25905"/>
      <c r="AN21" s="25905"/>
      <c r="AO21" s="25905"/>
      <c r="AP21" s="25905"/>
      <c r="AQ21" s="25905"/>
      <c r="AR21" s="25905"/>
      <c r="AS21" s="25905"/>
      <c r="AT21" s="25905"/>
      <c r="AU21" s="25905"/>
      <c r="AV21" s="25905"/>
      <c r="AW21" s="25905"/>
      <c r="AX21" s="25905"/>
      <c r="AY21" s="25905"/>
      <c r="AZ21" s="25905"/>
      <c r="BA21" s="25905"/>
      <c r="BB21" s="25905"/>
      <c r="BC21" s="25905"/>
      <c r="BD21" s="25905"/>
      <c r="BE21" s="25905"/>
      <c r="BF21" s="25905"/>
      <c r="BG21" s="25905"/>
      <c r="BH21" s="25905"/>
      <c r="BI21" s="25905"/>
      <c r="BJ21" s="25905"/>
      <c r="BK21" s="25905"/>
      <c r="BL21" s="25905"/>
      <c r="BM21" s="25905"/>
      <c r="BN21" s="25905"/>
      <c r="BO21" s="25905"/>
      <c r="BP21" s="25905"/>
      <c r="BQ21" s="25905"/>
      <c r="BR21" s="25905"/>
      <c r="BS21" s="25905"/>
      <c r="BT21" s="25905"/>
      <c r="BU21" s="25905"/>
      <c r="BV21" s="25905"/>
      <c r="BW21" s="25905"/>
      <c r="BX21" s="25905"/>
      <c r="BY21" s="25905"/>
      <c r="BZ21" s="25905"/>
      <c r="CA21" s="25905"/>
      <c r="CB21" s="25905"/>
      <c r="CC21" s="25905"/>
      <c r="CD21" s="25905"/>
      <c r="CE21" s="25905"/>
      <c r="CF21" s="25905"/>
    </row>
    <row customHeight="1" ht="27">
      <c r="A22" s="3017"/>
      <c r="B22" s="2371"/>
      <c r="C22" s="1623"/>
      <c r="D22" s="1300"/>
      <c r="E22" s="3041"/>
      <c r="F22" s="3041"/>
      <c r="G22" s="3041"/>
      <c r="H22" s="3338" t="s">
        <v>103</v>
      </c>
      <c r="I22" s="3726" t="s">
        <v>658</v>
      </c>
      <c r="J22" s="25908" t="s">
        <v>653</v>
      </c>
      <c r="K22" s="3781" t="s">
        <v>659</v>
      </c>
      <c r="L22" s="1851"/>
      <c r="M22" s="1852" t="s">
        <v>99</v>
      </c>
      <c r="N22" s="3006" t="s">
        <v>660</v>
      </c>
      <c r="O22" s="1853">
        <v>12014.22</v>
      </c>
      <c r="P22" s="1854" t="s">
        <v>656</v>
      </c>
      <c r="Q22" s="1853">
        <f>O22</f>
        <v>12014.22</v>
      </c>
      <c r="R22" s="1855">
        <v>0</v>
      </c>
      <c r="S22" s="1300"/>
      <c r="T22" s="1928"/>
      <c r="U22" s="1300"/>
      <c r="V22" s="1300"/>
      <c r="W22" s="25905"/>
      <c r="X22" s="25905"/>
      <c r="Y22" s="25905"/>
      <c r="Z22" s="25905"/>
      <c r="AA22" s="25905"/>
      <c r="AB22" s="25905"/>
      <c r="AC22" s="1300"/>
      <c r="AD22" s="25905"/>
      <c r="AE22" s="25905"/>
      <c r="AF22" s="25905"/>
      <c r="AG22" s="25905"/>
      <c r="AH22" s="25905"/>
      <c r="AI22" s="25905"/>
      <c r="AJ22" s="25905"/>
      <c r="AK22" s="25905"/>
      <c r="AL22" s="25905"/>
      <c r="AM22" s="25905"/>
      <c r="AN22" s="25905"/>
      <c r="AO22" s="25905"/>
      <c r="AP22" s="25905"/>
      <c r="AQ22" s="25905"/>
      <c r="AR22" s="25905"/>
      <c r="AS22" s="25905"/>
      <c r="AT22" s="25905"/>
      <c r="AU22" s="25905"/>
      <c r="AV22" s="25905"/>
      <c r="AW22" s="25905"/>
      <c r="AX22" s="25905"/>
      <c r="AY22" s="25905"/>
      <c r="AZ22" s="25905"/>
      <c r="BA22" s="25905"/>
      <c r="BB22" s="25905"/>
      <c r="BC22" s="25905"/>
      <c r="BD22" s="25905"/>
      <c r="BE22" s="25905"/>
      <c r="BF22" s="25905"/>
      <c r="BG22" s="25905"/>
      <c r="BH22" s="25905"/>
      <c r="BI22" s="25905"/>
      <c r="BJ22" s="25905"/>
      <c r="BK22" s="25905"/>
      <c r="BL22" s="25905"/>
      <c r="BM22" s="25905"/>
      <c r="BN22" s="25905"/>
      <c r="BO22" s="25905"/>
      <c r="BP22" s="25905"/>
      <c r="BQ22" s="25905"/>
      <c r="BR22" s="25905"/>
      <c r="BS22" s="25905"/>
      <c r="BT22" s="25905"/>
      <c r="BU22" s="25905"/>
      <c r="BV22" s="25905"/>
      <c r="BW22" s="25905"/>
      <c r="BX22" s="25905"/>
      <c r="BY22" s="25905"/>
      <c r="BZ22" s="25905"/>
      <c r="CA22" s="25905"/>
      <c r="CB22" s="25905"/>
      <c r="CC22" s="25905"/>
      <c r="CD22" s="25905"/>
      <c r="CE22" s="25905"/>
      <c r="CF22" s="25905"/>
    </row>
    <row customHeight="1" ht="11.25">
      <c r="A23" s="3017"/>
      <c r="B23" s="2371"/>
      <c r="C23" s="1623"/>
      <c r="D23" s="1300"/>
      <c r="E23" s="3041"/>
      <c r="F23" s="3041"/>
      <c r="G23" s="3041"/>
      <c r="H23" s="3338"/>
      <c r="I23" s="3726" t="s">
        <v>652</v>
      </c>
      <c r="J23" s="3780"/>
      <c r="K23" s="3782"/>
      <c r="L23" s="1856"/>
      <c r="M23" s="1857"/>
      <c r="N23" s="1858" t="s">
        <v>657</v>
      </c>
      <c r="O23" s="1858"/>
      <c r="P23" s="1858"/>
      <c r="Q23" s="1858"/>
      <c r="R23" s="1859"/>
      <c r="S23" s="1300"/>
      <c r="T23" s="1928"/>
      <c r="U23" s="1300"/>
      <c r="V23" s="1300"/>
      <c r="W23" s="25905"/>
      <c r="X23" s="25905"/>
      <c r="Y23" s="25905"/>
      <c r="Z23" s="25905"/>
      <c r="AA23" s="25905"/>
      <c r="AB23" s="25905"/>
      <c r="AC23" s="1300"/>
      <c r="AD23" s="25905"/>
      <c r="AE23" s="25905"/>
      <c r="AF23" s="25905"/>
      <c r="AG23" s="25905"/>
      <c r="AH23" s="25905"/>
      <c r="AI23" s="25905"/>
      <c r="AJ23" s="25905"/>
      <c r="AK23" s="25905"/>
      <c r="AL23" s="25905"/>
      <c r="AM23" s="25905"/>
      <c r="AN23" s="25905"/>
      <c r="AO23" s="25905"/>
      <c r="AP23" s="25905"/>
      <c r="AQ23" s="25905"/>
      <c r="AR23" s="25905"/>
      <c r="AS23" s="25905"/>
      <c r="AT23" s="25905"/>
      <c r="AU23" s="25905"/>
      <c r="AV23" s="25905"/>
      <c r="AW23" s="25905"/>
      <c r="AX23" s="25905"/>
      <c r="AY23" s="25905"/>
      <c r="AZ23" s="25905"/>
      <c r="BA23" s="25905"/>
      <c r="BB23" s="25905"/>
      <c r="BC23" s="25905"/>
      <c r="BD23" s="25905"/>
      <c r="BE23" s="25905"/>
      <c r="BF23" s="25905"/>
      <c r="BG23" s="25905"/>
      <c r="BH23" s="25905"/>
      <c r="BI23" s="25905"/>
      <c r="BJ23" s="25905"/>
      <c r="BK23" s="25905"/>
      <c r="BL23" s="25905"/>
      <c r="BM23" s="25905"/>
      <c r="BN23" s="25905"/>
      <c r="BO23" s="25905"/>
      <c r="BP23" s="25905"/>
      <c r="BQ23" s="25905"/>
      <c r="BR23" s="25905"/>
      <c r="BS23" s="25905"/>
      <c r="BT23" s="25905"/>
      <c r="BU23" s="25905"/>
      <c r="BV23" s="25905"/>
      <c r="BW23" s="25905"/>
      <c r="BX23" s="25905"/>
      <c r="BY23" s="25905"/>
      <c r="BZ23" s="25905"/>
      <c r="CA23" s="25905"/>
      <c r="CB23" s="25905"/>
      <c r="CC23" s="25905"/>
      <c r="CD23" s="25905"/>
      <c r="CE23" s="25905"/>
      <c r="CF23" s="25905"/>
    </row>
    <row customHeight="1" ht="21.75">
      <c r="A24" s="3017"/>
      <c r="B24" s="2371"/>
      <c r="C24" s="1623"/>
      <c r="D24" s="1300"/>
      <c r="E24" s="3041"/>
      <c r="F24" s="3041"/>
      <c r="G24" s="3041"/>
      <c r="H24" s="3338" t="s">
        <v>103</v>
      </c>
      <c r="I24" s="3726" t="s">
        <v>661</v>
      </c>
      <c r="J24" s="29034" t="s">
        <v>653</v>
      </c>
      <c r="K24" s="3781" t="s">
        <v>662</v>
      </c>
      <c r="L24" s="1851"/>
      <c r="M24" s="1852" t="s">
        <v>99</v>
      </c>
      <c r="N24" s="3006" t="s">
        <v>663</v>
      </c>
      <c r="O24" s="1853">
        <v>18.25</v>
      </c>
      <c r="P24" s="1854" t="s">
        <v>656</v>
      </c>
      <c r="Q24" s="1853">
        <f>O24</f>
        <v>18.25</v>
      </c>
      <c r="R24" s="1855">
        <v>0</v>
      </c>
      <c r="S24" s="1300"/>
      <c r="T24" s="1928"/>
      <c r="U24" s="1300"/>
      <c r="V24" s="1300"/>
      <c r="W24" s="25905"/>
      <c r="X24" s="25905"/>
      <c r="Y24" s="25905"/>
      <c r="Z24" s="25905"/>
      <c r="AA24" s="25905"/>
      <c r="AB24" s="25905"/>
      <c r="AC24" s="1300"/>
      <c r="AD24" s="25905"/>
      <c r="AE24" s="25905"/>
      <c r="AF24" s="25905"/>
      <c r="AG24" s="25905"/>
      <c r="AH24" s="25905"/>
      <c r="AI24" s="25905"/>
      <c r="AJ24" s="25905"/>
      <c r="AK24" s="25905"/>
      <c r="AL24" s="25905"/>
      <c r="AM24" s="25905"/>
      <c r="AN24" s="25905"/>
      <c r="AO24" s="25905"/>
      <c r="AP24" s="25905"/>
      <c r="AQ24" s="25905"/>
      <c r="AR24" s="25905"/>
      <c r="AS24" s="25905"/>
      <c r="AT24" s="25905"/>
      <c r="AU24" s="25905"/>
      <c r="AV24" s="25905"/>
      <c r="AW24" s="25905"/>
      <c r="AX24" s="25905"/>
      <c r="AY24" s="25905"/>
      <c r="AZ24" s="25905"/>
      <c r="BA24" s="25905"/>
      <c r="BB24" s="25905"/>
      <c r="BC24" s="25905"/>
      <c r="BD24" s="25905"/>
      <c r="BE24" s="25905"/>
      <c r="BF24" s="25905"/>
      <c r="BG24" s="25905"/>
      <c r="BH24" s="25905"/>
      <c r="BI24" s="25905"/>
      <c r="BJ24" s="25905"/>
      <c r="BK24" s="25905"/>
      <c r="BL24" s="25905"/>
      <c r="BM24" s="25905"/>
      <c r="BN24" s="25905"/>
      <c r="BO24" s="25905"/>
      <c r="BP24" s="25905"/>
      <c r="BQ24" s="25905"/>
      <c r="BR24" s="25905"/>
      <c r="BS24" s="25905"/>
      <c r="BT24" s="25905"/>
      <c r="BU24" s="25905"/>
      <c r="BV24" s="25905"/>
      <c r="BW24" s="25905"/>
      <c r="BX24" s="25905"/>
      <c r="BY24" s="25905"/>
      <c r="BZ24" s="25905"/>
      <c r="CA24" s="25905"/>
      <c r="CB24" s="25905"/>
      <c r="CC24" s="25905"/>
      <c r="CD24" s="25905"/>
      <c r="CE24" s="25905"/>
      <c r="CF24" s="25905"/>
    </row>
    <row customHeight="1" ht="11.25">
      <c r="A25" s="3017"/>
      <c r="B25" s="2371"/>
      <c r="C25" s="1623"/>
      <c r="D25" s="1300"/>
      <c r="E25" s="3041"/>
      <c r="F25" s="3041"/>
      <c r="G25" s="3041"/>
      <c r="H25" s="3338"/>
      <c r="I25" s="3726" t="s">
        <v>658</v>
      </c>
      <c r="J25" s="3780"/>
      <c r="K25" s="3782"/>
      <c r="L25" s="1856"/>
      <c r="M25" s="1857"/>
      <c r="N25" s="1858" t="s">
        <v>657</v>
      </c>
      <c r="O25" s="1858"/>
      <c r="P25" s="1858"/>
      <c r="Q25" s="1858"/>
      <c r="R25" s="1859"/>
      <c r="S25" s="1300"/>
      <c r="T25" s="1928"/>
      <c r="U25" s="1300"/>
      <c r="V25" s="1300"/>
      <c r="W25" s="25905"/>
      <c r="X25" s="25905"/>
      <c r="Y25" s="25905"/>
      <c r="Z25" s="25905"/>
      <c r="AA25" s="25905"/>
      <c r="AB25" s="25905"/>
      <c r="AC25" s="1300"/>
      <c r="AD25" s="25905"/>
      <c r="AE25" s="25905"/>
      <c r="AF25" s="25905"/>
      <c r="AG25" s="25905"/>
      <c r="AH25" s="25905"/>
      <c r="AI25" s="25905"/>
      <c r="AJ25" s="25905"/>
      <c r="AK25" s="25905"/>
      <c r="AL25" s="25905"/>
      <c r="AM25" s="25905"/>
      <c r="AN25" s="25905"/>
      <c r="AO25" s="25905"/>
      <c r="AP25" s="25905"/>
      <c r="AQ25" s="25905"/>
      <c r="AR25" s="25905"/>
      <c r="AS25" s="25905"/>
      <c r="AT25" s="25905"/>
      <c r="AU25" s="25905"/>
      <c r="AV25" s="25905"/>
      <c r="AW25" s="25905"/>
      <c r="AX25" s="25905"/>
      <c r="AY25" s="25905"/>
      <c r="AZ25" s="25905"/>
      <c r="BA25" s="25905"/>
      <c r="BB25" s="25905"/>
      <c r="BC25" s="25905"/>
      <c r="BD25" s="25905"/>
      <c r="BE25" s="25905"/>
      <c r="BF25" s="25905"/>
      <c r="BG25" s="25905"/>
      <c r="BH25" s="25905"/>
      <c r="BI25" s="25905"/>
      <c r="BJ25" s="25905"/>
      <c r="BK25" s="25905"/>
      <c r="BL25" s="25905"/>
      <c r="BM25" s="25905"/>
      <c r="BN25" s="25905"/>
      <c r="BO25" s="25905"/>
      <c r="BP25" s="25905"/>
      <c r="BQ25" s="25905"/>
      <c r="BR25" s="25905"/>
      <c r="BS25" s="25905"/>
      <c r="BT25" s="25905"/>
      <c r="BU25" s="25905"/>
      <c r="BV25" s="25905"/>
      <c r="BW25" s="25905"/>
      <c r="BX25" s="25905"/>
      <c r="BY25" s="25905"/>
      <c r="BZ25" s="25905"/>
      <c r="CA25" s="25905"/>
      <c r="CB25" s="25905"/>
      <c r="CC25" s="25905"/>
      <c r="CD25" s="25905"/>
      <c r="CE25" s="25905"/>
      <c r="CF25" s="25905"/>
    </row>
    <row customHeight="1" ht="25.5">
      <c r="A26" s="3017"/>
      <c r="B26" s="2371"/>
      <c r="C26" s="1623"/>
      <c r="D26" s="1300"/>
      <c r="E26" s="3041"/>
      <c r="F26" s="3041"/>
      <c r="G26" s="3041"/>
      <c r="H26" s="3338" t="s">
        <v>103</v>
      </c>
      <c r="I26" s="3726" t="s">
        <v>664</v>
      </c>
      <c r="J26" s="35171" t="s">
        <v>653</v>
      </c>
      <c r="K26" s="3781" t="s">
        <v>665</v>
      </c>
      <c r="L26" s="1851"/>
      <c r="M26" s="1852" t="s">
        <v>99</v>
      </c>
      <c r="N26" s="3006" t="s">
        <v>666</v>
      </c>
      <c r="O26" s="1853">
        <v>6820.23</v>
      </c>
      <c r="P26" s="1854" t="s">
        <v>656</v>
      </c>
      <c r="Q26" s="1853">
        <f>O26</f>
        <v>6820.23</v>
      </c>
      <c r="R26" s="1855">
        <v>0</v>
      </c>
      <c r="S26" s="1300"/>
      <c r="T26" s="1928"/>
      <c r="U26" s="1300"/>
      <c r="V26" s="1300"/>
      <c r="W26" s="25905"/>
      <c r="X26" s="25905"/>
      <c r="Y26" s="25905"/>
      <c r="Z26" s="25905"/>
      <c r="AA26" s="25905"/>
      <c r="AB26" s="25905"/>
      <c r="AC26" s="1300"/>
      <c r="AD26" s="25905"/>
      <c r="AE26" s="25905"/>
      <c r="AF26" s="25905"/>
      <c r="AG26" s="25905"/>
      <c r="AH26" s="25905"/>
      <c r="AI26" s="25905"/>
      <c r="AJ26" s="25905"/>
      <c r="AK26" s="25905"/>
      <c r="AL26" s="25905"/>
      <c r="AM26" s="25905"/>
      <c r="AN26" s="25905"/>
      <c r="AO26" s="25905"/>
      <c r="AP26" s="25905"/>
      <c r="AQ26" s="25905"/>
      <c r="AR26" s="25905"/>
      <c r="AS26" s="25905"/>
      <c r="AT26" s="25905"/>
      <c r="AU26" s="25905"/>
      <c r="AV26" s="25905"/>
      <c r="AW26" s="25905"/>
      <c r="AX26" s="25905"/>
      <c r="AY26" s="25905"/>
      <c r="AZ26" s="25905"/>
      <c r="BA26" s="25905"/>
      <c r="BB26" s="25905"/>
      <c r="BC26" s="25905"/>
      <c r="BD26" s="25905"/>
      <c r="BE26" s="25905"/>
      <c r="BF26" s="25905"/>
      <c r="BG26" s="25905"/>
      <c r="BH26" s="25905"/>
      <c r="BI26" s="25905"/>
      <c r="BJ26" s="25905"/>
      <c r="BK26" s="25905"/>
      <c r="BL26" s="25905"/>
      <c r="BM26" s="25905"/>
      <c r="BN26" s="25905"/>
      <c r="BO26" s="25905"/>
      <c r="BP26" s="25905"/>
      <c r="BQ26" s="25905"/>
      <c r="BR26" s="25905"/>
      <c r="BS26" s="25905"/>
      <c r="BT26" s="25905"/>
      <c r="BU26" s="25905"/>
      <c r="BV26" s="25905"/>
      <c r="BW26" s="25905"/>
      <c r="BX26" s="25905"/>
      <c r="BY26" s="25905"/>
      <c r="BZ26" s="25905"/>
      <c r="CA26" s="25905"/>
      <c r="CB26" s="25905"/>
      <c r="CC26" s="25905"/>
      <c r="CD26" s="25905"/>
      <c r="CE26" s="25905"/>
      <c r="CF26" s="25905"/>
    </row>
    <row customHeight="1" ht="26.25">
      <c r="A27" s="3017"/>
      <c r="B27" s="2371"/>
      <c r="C27" s="1623"/>
      <c r="D27" s="1300"/>
      <c r="E27" s="3041"/>
      <c r="F27" s="3041"/>
      <c r="G27" s="3041"/>
      <c r="H27" s="3338"/>
      <c r="I27" s="3726" t="s">
        <v>661</v>
      </c>
      <c r="J27" s="3780"/>
      <c r="K27" s="3782"/>
      <c r="L27" s="1856"/>
      <c r="M27" s="1857"/>
      <c r="N27" s="1858" t="s">
        <v>657</v>
      </c>
      <c r="O27" s="1858"/>
      <c r="P27" s="1858"/>
      <c r="Q27" s="1858"/>
      <c r="R27" s="1859"/>
      <c r="S27" s="1300"/>
      <c r="T27" s="1928"/>
      <c r="U27" s="1300"/>
      <c r="V27" s="1300"/>
      <c r="W27" s="25905"/>
      <c r="X27" s="25905"/>
      <c r="Y27" s="25905"/>
      <c r="Z27" s="25905"/>
      <c r="AA27" s="25905"/>
      <c r="AB27" s="25905"/>
      <c r="AC27" s="1300"/>
      <c r="AD27" s="25905"/>
      <c r="AE27" s="25905"/>
      <c r="AF27" s="25905"/>
      <c r="AG27" s="25905"/>
      <c r="AH27" s="25905"/>
      <c r="AI27" s="25905"/>
      <c r="AJ27" s="25905"/>
      <c r="AK27" s="25905"/>
      <c r="AL27" s="25905"/>
      <c r="AM27" s="25905"/>
      <c r="AN27" s="25905"/>
      <c r="AO27" s="25905"/>
      <c r="AP27" s="25905"/>
      <c r="AQ27" s="25905"/>
      <c r="AR27" s="25905"/>
      <c r="AS27" s="25905"/>
      <c r="AT27" s="25905"/>
      <c r="AU27" s="25905"/>
      <c r="AV27" s="25905"/>
      <c r="AW27" s="25905"/>
      <c r="AX27" s="25905"/>
      <c r="AY27" s="25905"/>
      <c r="AZ27" s="25905"/>
      <c r="BA27" s="25905"/>
      <c r="BB27" s="25905"/>
      <c r="BC27" s="25905"/>
      <c r="BD27" s="25905"/>
      <c r="BE27" s="25905"/>
      <c r="BF27" s="25905"/>
      <c r="BG27" s="25905"/>
      <c r="BH27" s="25905"/>
      <c r="BI27" s="25905"/>
      <c r="BJ27" s="25905"/>
      <c r="BK27" s="25905"/>
      <c r="BL27" s="25905"/>
      <c r="BM27" s="25905"/>
      <c r="BN27" s="25905"/>
      <c r="BO27" s="25905"/>
      <c r="BP27" s="25905"/>
      <c r="BQ27" s="25905"/>
      <c r="BR27" s="25905"/>
      <c r="BS27" s="25905"/>
      <c r="BT27" s="25905"/>
      <c r="BU27" s="25905"/>
      <c r="BV27" s="25905"/>
      <c r="BW27" s="25905"/>
      <c r="BX27" s="25905"/>
      <c r="BY27" s="25905"/>
      <c r="BZ27" s="25905"/>
      <c r="CA27" s="25905"/>
      <c r="CB27" s="25905"/>
      <c r="CC27" s="25905"/>
      <c r="CD27" s="25905"/>
      <c r="CE27" s="25905"/>
      <c r="CF27" s="25905"/>
    </row>
    <row customHeight="1" ht="11.25">
      <c r="A28" s="3017"/>
      <c r="B28" s="2371"/>
      <c r="C28" s="1623"/>
      <c r="D28" s="1300"/>
      <c r="E28" s="3785"/>
      <c r="F28" s="3319">
        <v>0</v>
      </c>
      <c r="G28" s="3787"/>
      <c r="H28" s="1856" t="s">
        <v>22</v>
      </c>
      <c r="I28" s="1857"/>
      <c r="J28" s="1858" t="s">
        <v>667</v>
      </c>
      <c r="K28" s="1858"/>
      <c r="L28" s="1858"/>
      <c r="M28" s="1858"/>
      <c r="N28" s="1858"/>
      <c r="O28" s="1858"/>
      <c r="P28" s="1858"/>
      <c r="Q28" s="1858"/>
      <c r="R28" s="1859"/>
      <c r="S28" s="3390"/>
      <c r="T28" s="1928"/>
      <c r="U28" s="1300"/>
      <c r="V28" s="1300"/>
      <c r="W28" s="25905"/>
      <c r="X28" s="25905"/>
      <c r="Y28" s="25905"/>
      <c r="Z28" s="25905"/>
      <c r="AA28" s="25905"/>
      <c r="AB28" s="25905"/>
      <c r="AC28" s="1300"/>
      <c r="AD28" s="25905"/>
      <c r="AE28" s="25905"/>
      <c r="AF28" s="25905"/>
      <c r="AG28" s="25905"/>
      <c r="AH28" s="25905"/>
      <c r="AI28" s="25905"/>
      <c r="AJ28" s="25905"/>
      <c r="AK28" s="25905"/>
      <c r="AL28" s="25905"/>
      <c r="AM28" s="25905"/>
      <c r="AN28" s="25905"/>
      <c r="AO28" s="25905"/>
      <c r="AP28" s="25905"/>
      <c r="AQ28" s="25905"/>
      <c r="AR28" s="25905"/>
      <c r="AS28" s="25905"/>
      <c r="AT28" s="25905"/>
      <c r="AU28" s="25905"/>
      <c r="AV28" s="25905"/>
      <c r="AW28" s="25905"/>
      <c r="AX28" s="25905"/>
      <c r="AY28" s="25905"/>
      <c r="AZ28" s="25905"/>
      <c r="BA28" s="25905"/>
      <c r="BB28" s="25905"/>
      <c r="BC28" s="25905"/>
      <c r="BD28" s="25905"/>
      <c r="BE28" s="25905"/>
      <c r="BF28" s="25905"/>
      <c r="BG28" s="25905"/>
      <c r="BH28" s="25905"/>
      <c r="BI28" s="25905"/>
      <c r="BJ28" s="25905"/>
      <c r="BK28" s="25905"/>
      <c r="BL28" s="25905"/>
      <c r="BM28" s="25905"/>
      <c r="BN28" s="25905"/>
      <c r="BO28" s="25905"/>
      <c r="BP28" s="25905"/>
      <c r="BQ28" s="25905"/>
      <c r="BR28" s="25905"/>
      <c r="BS28" s="25905"/>
      <c r="BT28" s="25905"/>
      <c r="BU28" s="25905"/>
      <c r="BV28" s="25905"/>
      <c r="BW28" s="25905"/>
      <c r="BX28" s="25905"/>
      <c r="BY28" s="25905"/>
      <c r="BZ28" s="25905"/>
      <c r="CA28" s="25905"/>
      <c r="CB28" s="25905"/>
      <c r="CC28" s="25905"/>
      <c r="CD28" s="25905"/>
      <c r="CE28" s="25905"/>
      <c r="CF28" s="25905"/>
    </row>
    <row customHeight="1" ht="18.75">
      <c r="A29" s="3017"/>
      <c r="B29" s="2371"/>
      <c r="C29" s="1623"/>
      <c r="D29" s="1300"/>
      <c r="E29" s="3783" t="s">
        <v>103</v>
      </c>
      <c r="F29" s="3319" t="s">
        <v>102</v>
      </c>
      <c r="G29" s="3786" t="s">
        <v>668</v>
      </c>
      <c r="H29" s="1500"/>
      <c r="I29" s="1848" t="s">
        <v>99</v>
      </c>
      <c r="J29" s="3018" t="s">
        <v>651</v>
      </c>
      <c r="K29" s="1849" t="s">
        <v>564</v>
      </c>
      <c r="L29" s="3435" t="s">
        <v>564</v>
      </c>
      <c r="M29" s="3788"/>
      <c r="N29" s="1849" t="s">
        <v>564</v>
      </c>
      <c r="O29" s="1849" t="s">
        <v>564</v>
      </c>
      <c r="P29" s="1849" t="s">
        <v>564</v>
      </c>
      <c r="Q29" s="1850">
        <f>SUM(Q30:Q32)</f>
        <v>30.27</v>
      </c>
      <c r="R29" s="1850">
        <f>IF('Показатели ФХД'!I89=0,0,($Q$29/'Показатели ФХД'!I89)*100)</f>
        <v>0.0698266391589114</v>
      </c>
      <c r="S29" s="3390"/>
      <c r="T29" s="1928" t="s">
        <v>649</v>
      </c>
      <c r="U29" s="1300"/>
      <c r="V29" s="1300"/>
      <c r="W29" s="35190"/>
      <c r="X29" s="35190"/>
      <c r="Y29" s="35190"/>
      <c r="Z29" s="35190"/>
      <c r="AA29" s="35190"/>
      <c r="AB29" s="35190"/>
      <c r="AC29" s="1300"/>
      <c r="AD29" s="35190"/>
      <c r="AE29" s="35190"/>
      <c r="AF29" s="35190"/>
      <c r="AG29" s="35190"/>
      <c r="AH29" s="35190"/>
      <c r="AI29" s="35190"/>
      <c r="AJ29" s="35190"/>
      <c r="AK29" s="35190"/>
      <c r="AL29" s="35190"/>
      <c r="AM29" s="35190"/>
      <c r="AN29" s="35190"/>
      <c r="AO29" s="35190"/>
      <c r="AP29" s="35190"/>
      <c r="AQ29" s="35190"/>
      <c r="AR29" s="35190"/>
      <c r="AS29" s="35190"/>
      <c r="AT29" s="35190"/>
      <c r="AU29" s="35190"/>
      <c r="AV29" s="35190"/>
      <c r="AW29" s="35190"/>
      <c r="AX29" s="35190"/>
      <c r="AY29" s="35190"/>
      <c r="AZ29" s="35190"/>
      <c r="BA29" s="35190"/>
      <c r="BB29" s="35190"/>
      <c r="BC29" s="35190"/>
      <c r="BD29" s="35190"/>
      <c r="BE29" s="35190"/>
      <c r="BF29" s="35190"/>
      <c r="BG29" s="35190"/>
      <c r="BH29" s="35190"/>
      <c r="BI29" s="35190"/>
      <c r="BJ29" s="35190"/>
      <c r="BK29" s="35190"/>
      <c r="BL29" s="35190"/>
      <c r="BM29" s="35190"/>
      <c r="BN29" s="35190"/>
      <c r="BO29" s="35190"/>
      <c r="BP29" s="35190"/>
      <c r="BQ29" s="35190"/>
      <c r="BR29" s="35190"/>
      <c r="BS29" s="35190"/>
      <c r="BT29" s="35190"/>
      <c r="BU29" s="35190"/>
      <c r="BV29" s="35190"/>
      <c r="BW29" s="35190"/>
      <c r="BX29" s="35190"/>
      <c r="BY29" s="35190"/>
      <c r="BZ29" s="35190"/>
      <c r="CA29" s="35190"/>
      <c r="CB29" s="35190"/>
      <c r="CC29" s="35190"/>
      <c r="CD29" s="35190"/>
      <c r="CE29" s="35190"/>
      <c r="CF29" s="35190"/>
    </row>
    <row customHeight="1" ht="42">
      <c r="A30" s="3017"/>
      <c r="B30" s="2371"/>
      <c r="C30" s="1623"/>
      <c r="D30" s="1300"/>
      <c r="E30" s="3784"/>
      <c r="F30" s="3319" t="s">
        <v>99</v>
      </c>
      <c r="G30" s="3786"/>
      <c r="H30" s="3338"/>
      <c r="I30" s="3726" t="s">
        <v>652</v>
      </c>
      <c r="J30" s="41344" t="s">
        <v>653</v>
      </c>
      <c r="K30" s="3781" t="s">
        <v>669</v>
      </c>
      <c r="L30" s="1851"/>
      <c r="M30" s="1852" t="s">
        <v>99</v>
      </c>
      <c r="N30" s="3006" t="s">
        <v>670</v>
      </c>
      <c r="O30" s="1853">
        <v>30.27</v>
      </c>
      <c r="P30" s="1854" t="s">
        <v>656</v>
      </c>
      <c r="Q30" s="1853">
        <f>O30</f>
        <v>30.27</v>
      </c>
      <c r="R30" s="1855">
        <v>0</v>
      </c>
      <c r="S30" s="3390"/>
      <c r="T30" s="1928"/>
      <c r="U30" s="1300"/>
      <c r="V30" s="1300"/>
      <c r="W30" s="35190"/>
      <c r="X30" s="35190"/>
      <c r="Y30" s="35190"/>
      <c r="Z30" s="35190"/>
      <c r="AA30" s="35190"/>
      <c r="AB30" s="35190"/>
      <c r="AC30" s="1300"/>
      <c r="AD30" s="35190"/>
      <c r="AE30" s="35190"/>
      <c r="AF30" s="35190"/>
      <c r="AG30" s="35190"/>
      <c r="AH30" s="35190"/>
      <c r="AI30" s="35190"/>
      <c r="AJ30" s="35190"/>
      <c r="AK30" s="35190"/>
      <c r="AL30" s="35190"/>
      <c r="AM30" s="35190"/>
      <c r="AN30" s="35190"/>
      <c r="AO30" s="35190"/>
      <c r="AP30" s="35190"/>
      <c r="AQ30" s="35190"/>
      <c r="AR30" s="35190"/>
      <c r="AS30" s="35190"/>
      <c r="AT30" s="35190"/>
      <c r="AU30" s="35190"/>
      <c r="AV30" s="35190"/>
      <c r="AW30" s="35190"/>
      <c r="AX30" s="35190"/>
      <c r="AY30" s="35190"/>
      <c r="AZ30" s="35190"/>
      <c r="BA30" s="35190"/>
      <c r="BB30" s="35190"/>
      <c r="BC30" s="35190"/>
      <c r="BD30" s="35190"/>
      <c r="BE30" s="35190"/>
      <c r="BF30" s="35190"/>
      <c r="BG30" s="35190"/>
      <c r="BH30" s="35190"/>
      <c r="BI30" s="35190"/>
      <c r="BJ30" s="35190"/>
      <c r="BK30" s="35190"/>
      <c r="BL30" s="35190"/>
      <c r="BM30" s="35190"/>
      <c r="BN30" s="35190"/>
      <c r="BO30" s="35190"/>
      <c r="BP30" s="35190"/>
      <c r="BQ30" s="35190"/>
      <c r="BR30" s="35190"/>
      <c r="BS30" s="35190"/>
      <c r="BT30" s="35190"/>
      <c r="BU30" s="35190"/>
      <c r="BV30" s="35190"/>
      <c r="BW30" s="35190"/>
      <c r="BX30" s="35190"/>
      <c r="BY30" s="35190"/>
      <c r="BZ30" s="35190"/>
      <c r="CA30" s="35190"/>
      <c r="CB30" s="35190"/>
      <c r="CC30" s="35190"/>
      <c r="CD30" s="35190"/>
      <c r="CE30" s="35190"/>
      <c r="CF30" s="35190"/>
    </row>
    <row customHeight="1" ht="11.25">
      <c r="A31" s="3017"/>
      <c r="B31" s="2371"/>
      <c r="C31" s="1623"/>
      <c r="D31" s="1300"/>
      <c r="E31" s="3784"/>
      <c r="F31" s="3319" t="s">
        <v>99</v>
      </c>
      <c r="G31" s="3786"/>
      <c r="H31" s="3338"/>
      <c r="I31" s="3726"/>
      <c r="J31" s="3780"/>
      <c r="K31" s="3782"/>
      <c r="L31" s="1856"/>
      <c r="M31" s="1857"/>
      <c r="N31" s="1858" t="s">
        <v>657</v>
      </c>
      <c r="O31" s="1858"/>
      <c r="P31" s="1858"/>
      <c r="Q31" s="1858"/>
      <c r="R31" s="1859"/>
      <c r="S31" s="3390"/>
      <c r="T31" s="1928"/>
      <c r="U31" s="1300"/>
      <c r="V31" s="1300"/>
      <c r="W31" s="35190"/>
      <c r="X31" s="35190"/>
      <c r="Y31" s="35190"/>
      <c r="Z31" s="35190"/>
      <c r="AA31" s="35190"/>
      <c r="AB31" s="35190"/>
      <c r="AC31" s="1300"/>
      <c r="AD31" s="35190"/>
      <c r="AE31" s="35190"/>
      <c r="AF31" s="35190"/>
      <c r="AG31" s="35190"/>
      <c r="AH31" s="35190"/>
      <c r="AI31" s="35190"/>
      <c r="AJ31" s="35190"/>
      <c r="AK31" s="35190"/>
      <c r="AL31" s="35190"/>
      <c r="AM31" s="35190"/>
      <c r="AN31" s="35190"/>
      <c r="AO31" s="35190"/>
      <c r="AP31" s="35190"/>
      <c r="AQ31" s="35190"/>
      <c r="AR31" s="35190"/>
      <c r="AS31" s="35190"/>
      <c r="AT31" s="35190"/>
      <c r="AU31" s="35190"/>
      <c r="AV31" s="35190"/>
      <c r="AW31" s="35190"/>
      <c r="AX31" s="35190"/>
      <c r="AY31" s="35190"/>
      <c r="AZ31" s="35190"/>
      <c r="BA31" s="35190"/>
      <c r="BB31" s="35190"/>
      <c r="BC31" s="35190"/>
      <c r="BD31" s="35190"/>
      <c r="BE31" s="35190"/>
      <c r="BF31" s="35190"/>
      <c r="BG31" s="35190"/>
      <c r="BH31" s="35190"/>
      <c r="BI31" s="35190"/>
      <c r="BJ31" s="35190"/>
      <c r="BK31" s="35190"/>
      <c r="BL31" s="35190"/>
      <c r="BM31" s="35190"/>
      <c r="BN31" s="35190"/>
      <c r="BO31" s="35190"/>
      <c r="BP31" s="35190"/>
      <c r="BQ31" s="35190"/>
      <c r="BR31" s="35190"/>
      <c r="BS31" s="35190"/>
      <c r="BT31" s="35190"/>
      <c r="BU31" s="35190"/>
      <c r="BV31" s="35190"/>
      <c r="BW31" s="35190"/>
      <c r="BX31" s="35190"/>
      <c r="BY31" s="35190"/>
      <c r="BZ31" s="35190"/>
      <c r="CA31" s="35190"/>
      <c r="CB31" s="35190"/>
      <c r="CC31" s="35190"/>
      <c r="CD31" s="35190"/>
      <c r="CE31" s="35190"/>
      <c r="CF31" s="35190"/>
    </row>
    <row customHeight="1" ht="11.25">
      <c r="A32" s="3017"/>
      <c r="B32" s="2371"/>
      <c r="C32" s="1623"/>
      <c r="D32" s="1300"/>
      <c r="E32" s="3785"/>
      <c r="F32" s="3319" t="s">
        <v>99</v>
      </c>
      <c r="G32" s="3787"/>
      <c r="H32" s="1856" t="s">
        <v>22</v>
      </c>
      <c r="I32" s="1857"/>
      <c r="J32" s="1858" t="s">
        <v>667</v>
      </c>
      <c r="K32" s="1858"/>
      <c r="L32" s="1858"/>
      <c r="M32" s="1858"/>
      <c r="N32" s="1858"/>
      <c r="O32" s="1858"/>
      <c r="P32" s="1858"/>
      <c r="Q32" s="1858"/>
      <c r="R32" s="1859"/>
      <c r="S32" s="3390"/>
      <c r="T32" s="1928"/>
      <c r="U32" s="1300"/>
      <c r="V32" s="1300"/>
      <c r="W32" s="35190"/>
      <c r="X32" s="35190"/>
      <c r="Y32" s="35190"/>
      <c r="Z32" s="35190"/>
      <c r="AA32" s="35190"/>
      <c r="AB32" s="35190"/>
      <c r="AC32" s="1300"/>
      <c r="AD32" s="35190"/>
      <c r="AE32" s="35190"/>
      <c r="AF32" s="35190"/>
      <c r="AG32" s="35190"/>
      <c r="AH32" s="35190"/>
      <c r="AI32" s="35190"/>
      <c r="AJ32" s="35190"/>
      <c r="AK32" s="35190"/>
      <c r="AL32" s="35190"/>
      <c r="AM32" s="35190"/>
      <c r="AN32" s="35190"/>
      <c r="AO32" s="35190"/>
      <c r="AP32" s="35190"/>
      <c r="AQ32" s="35190"/>
      <c r="AR32" s="35190"/>
      <c r="AS32" s="35190"/>
      <c r="AT32" s="35190"/>
      <c r="AU32" s="35190"/>
      <c r="AV32" s="35190"/>
      <c r="AW32" s="35190"/>
      <c r="AX32" s="35190"/>
      <c r="AY32" s="35190"/>
      <c r="AZ32" s="35190"/>
      <c r="BA32" s="35190"/>
      <c r="BB32" s="35190"/>
      <c r="BC32" s="35190"/>
      <c r="BD32" s="35190"/>
      <c r="BE32" s="35190"/>
      <c r="BF32" s="35190"/>
      <c r="BG32" s="35190"/>
      <c r="BH32" s="35190"/>
      <c r="BI32" s="35190"/>
      <c r="BJ32" s="35190"/>
      <c r="BK32" s="35190"/>
      <c r="BL32" s="35190"/>
      <c r="BM32" s="35190"/>
      <c r="BN32" s="35190"/>
      <c r="BO32" s="35190"/>
      <c r="BP32" s="35190"/>
      <c r="BQ32" s="35190"/>
      <c r="BR32" s="35190"/>
      <c r="BS32" s="35190"/>
      <c r="BT32" s="35190"/>
      <c r="BU32" s="35190"/>
      <c r="BV32" s="35190"/>
      <c r="BW32" s="35190"/>
      <c r="BX32" s="35190"/>
      <c r="BY32" s="35190"/>
      <c r="BZ32" s="35190"/>
      <c r="CA32" s="35190"/>
      <c r="CB32" s="35190"/>
      <c r="CC32" s="35190"/>
      <c r="CD32" s="35190"/>
      <c r="CE32" s="35190"/>
      <c r="CF32" s="35190"/>
    </row>
    <row customHeight="1" ht="21.75">
      <c r="A33" s="3017"/>
      <c r="B33" s="2371"/>
      <c r="C33" s="1623"/>
      <c r="D33" s="1300"/>
      <c r="E33" s="3783" t="s">
        <v>103</v>
      </c>
      <c r="F33" s="3319" t="s">
        <v>90</v>
      </c>
      <c r="G33" s="3786" t="s">
        <v>671</v>
      </c>
      <c r="H33" s="1500"/>
      <c r="I33" s="1848" t="s">
        <v>99</v>
      </c>
      <c r="J33" s="3018" t="s">
        <v>651</v>
      </c>
      <c r="K33" s="1849" t="s">
        <v>564</v>
      </c>
      <c r="L33" s="3435" t="s">
        <v>564</v>
      </c>
      <c r="M33" s="3788"/>
      <c r="N33" s="1849" t="s">
        <v>564</v>
      </c>
      <c r="O33" s="1849" t="s">
        <v>564</v>
      </c>
      <c r="P33" s="1849" t="s">
        <v>564</v>
      </c>
      <c r="Q33" s="1850">
        <f>SUM(Q34:Q36)</f>
        <v>2749.55</v>
      </c>
      <c r="R33" s="1850">
        <f>IF('Показатели ФХД'!I89=0,0,($Q$33/'Показатели ФХД'!I89)*100)</f>
        <v>6.34264406010522</v>
      </c>
      <c r="S33" s="3390"/>
      <c r="T33" s="1928" t="s">
        <v>649</v>
      </c>
      <c r="U33" s="1300"/>
      <c r="V33" s="1300"/>
      <c r="W33" s="35190"/>
      <c r="X33" s="35190"/>
      <c r="Y33" s="35190"/>
      <c r="Z33" s="35190"/>
      <c r="AA33" s="35190"/>
      <c r="AB33" s="35190"/>
      <c r="AC33" s="1300"/>
      <c r="AD33" s="35190"/>
      <c r="AE33" s="35190"/>
      <c r="AF33" s="35190"/>
      <c r="AG33" s="35190"/>
      <c r="AH33" s="35190"/>
      <c r="AI33" s="35190"/>
      <c r="AJ33" s="35190"/>
      <c r="AK33" s="35190"/>
      <c r="AL33" s="35190"/>
      <c r="AM33" s="35190"/>
      <c r="AN33" s="35190"/>
      <c r="AO33" s="35190"/>
      <c r="AP33" s="35190"/>
      <c r="AQ33" s="35190"/>
      <c r="AR33" s="35190"/>
      <c r="AS33" s="35190"/>
      <c r="AT33" s="35190"/>
      <c r="AU33" s="35190"/>
      <c r="AV33" s="35190"/>
      <c r="AW33" s="35190"/>
      <c r="AX33" s="35190"/>
      <c r="AY33" s="35190"/>
      <c r="AZ33" s="35190"/>
      <c r="BA33" s="35190"/>
      <c r="BB33" s="35190"/>
      <c r="BC33" s="35190"/>
      <c r="BD33" s="35190"/>
      <c r="BE33" s="35190"/>
      <c r="BF33" s="35190"/>
      <c r="BG33" s="35190"/>
      <c r="BH33" s="35190"/>
      <c r="BI33" s="35190"/>
      <c r="BJ33" s="35190"/>
      <c r="BK33" s="35190"/>
      <c r="BL33" s="35190"/>
      <c r="BM33" s="35190"/>
      <c r="BN33" s="35190"/>
      <c r="BO33" s="35190"/>
      <c r="BP33" s="35190"/>
      <c r="BQ33" s="35190"/>
      <c r="BR33" s="35190"/>
      <c r="BS33" s="35190"/>
      <c r="BT33" s="35190"/>
      <c r="BU33" s="35190"/>
      <c r="BV33" s="35190"/>
      <c r="BW33" s="35190"/>
      <c r="BX33" s="35190"/>
      <c r="BY33" s="35190"/>
      <c r="BZ33" s="35190"/>
      <c r="CA33" s="35190"/>
      <c r="CB33" s="35190"/>
      <c r="CC33" s="35190"/>
      <c r="CD33" s="35190"/>
      <c r="CE33" s="35190"/>
      <c r="CF33" s="35190"/>
    </row>
    <row customHeight="1" ht="36">
      <c r="A34" s="3017"/>
      <c r="B34" s="2371"/>
      <c r="C34" s="1623"/>
      <c r="D34" s="1300"/>
      <c r="E34" s="3784"/>
      <c r="F34" s="3319" t="s">
        <v>102</v>
      </c>
      <c r="G34" s="3786"/>
      <c r="H34" s="3338"/>
      <c r="I34" s="3726" t="s">
        <v>652</v>
      </c>
      <c r="J34" s="41344" t="s">
        <v>672</v>
      </c>
      <c r="K34" s="3781" t="s">
        <v>673</v>
      </c>
      <c r="L34" s="1851"/>
      <c r="M34" s="1852" t="s">
        <v>99</v>
      </c>
      <c r="N34" s="3006" t="s">
        <v>674</v>
      </c>
      <c r="O34" s="1853">
        <v>2749.55</v>
      </c>
      <c r="P34" s="1854" t="s">
        <v>656</v>
      </c>
      <c r="Q34" s="1853">
        <f>O34</f>
        <v>2749.55</v>
      </c>
      <c r="R34" s="1855">
        <v>0</v>
      </c>
      <c r="S34" s="3390"/>
      <c r="T34" s="1928"/>
      <c r="U34" s="1300"/>
      <c r="V34" s="1300"/>
      <c r="W34" s="35190"/>
      <c r="X34" s="35190"/>
      <c r="Y34" s="35190"/>
      <c r="Z34" s="35190"/>
      <c r="AA34" s="35190"/>
      <c r="AB34" s="35190"/>
      <c r="AC34" s="1300"/>
      <c r="AD34" s="35190"/>
      <c r="AE34" s="35190"/>
      <c r="AF34" s="35190"/>
      <c r="AG34" s="35190"/>
      <c r="AH34" s="35190"/>
      <c r="AI34" s="35190"/>
      <c r="AJ34" s="35190"/>
      <c r="AK34" s="35190"/>
      <c r="AL34" s="35190"/>
      <c r="AM34" s="35190"/>
      <c r="AN34" s="35190"/>
      <c r="AO34" s="35190"/>
      <c r="AP34" s="35190"/>
      <c r="AQ34" s="35190"/>
      <c r="AR34" s="35190"/>
      <c r="AS34" s="35190"/>
      <c r="AT34" s="35190"/>
      <c r="AU34" s="35190"/>
      <c r="AV34" s="35190"/>
      <c r="AW34" s="35190"/>
      <c r="AX34" s="35190"/>
      <c r="AY34" s="35190"/>
      <c r="AZ34" s="35190"/>
      <c r="BA34" s="35190"/>
      <c r="BB34" s="35190"/>
      <c r="BC34" s="35190"/>
      <c r="BD34" s="35190"/>
      <c r="BE34" s="35190"/>
      <c r="BF34" s="35190"/>
      <c r="BG34" s="35190"/>
      <c r="BH34" s="35190"/>
      <c r="BI34" s="35190"/>
      <c r="BJ34" s="35190"/>
      <c r="BK34" s="35190"/>
      <c r="BL34" s="35190"/>
      <c r="BM34" s="35190"/>
      <c r="BN34" s="35190"/>
      <c r="BO34" s="35190"/>
      <c r="BP34" s="35190"/>
      <c r="BQ34" s="35190"/>
      <c r="BR34" s="35190"/>
      <c r="BS34" s="35190"/>
      <c r="BT34" s="35190"/>
      <c r="BU34" s="35190"/>
      <c r="BV34" s="35190"/>
      <c r="BW34" s="35190"/>
      <c r="BX34" s="35190"/>
      <c r="BY34" s="35190"/>
      <c r="BZ34" s="35190"/>
      <c r="CA34" s="35190"/>
      <c r="CB34" s="35190"/>
      <c r="CC34" s="35190"/>
      <c r="CD34" s="35190"/>
      <c r="CE34" s="35190"/>
      <c r="CF34" s="35190"/>
    </row>
    <row customHeight="1" ht="11.25">
      <c r="A35" s="3017"/>
      <c r="B35" s="2371"/>
      <c r="C35" s="1623"/>
      <c r="D35" s="1300"/>
      <c r="E35" s="3784"/>
      <c r="F35" s="3319" t="s">
        <v>102</v>
      </c>
      <c r="G35" s="3786"/>
      <c r="H35" s="3338"/>
      <c r="I35" s="3726"/>
      <c r="J35" s="3780"/>
      <c r="K35" s="3782"/>
      <c r="L35" s="1856"/>
      <c r="M35" s="1857"/>
      <c r="N35" s="1858" t="s">
        <v>657</v>
      </c>
      <c r="O35" s="1858"/>
      <c r="P35" s="1858"/>
      <c r="Q35" s="1858"/>
      <c r="R35" s="1859"/>
      <c r="S35" s="3390"/>
      <c r="T35" s="1928"/>
      <c r="U35" s="1300"/>
      <c r="V35" s="1300"/>
      <c r="W35" s="35190"/>
      <c r="X35" s="35190"/>
      <c r="Y35" s="35190"/>
      <c r="Z35" s="35190"/>
      <c r="AA35" s="35190"/>
      <c r="AB35" s="35190"/>
      <c r="AC35" s="1300"/>
      <c r="AD35" s="35190"/>
      <c r="AE35" s="35190"/>
      <c r="AF35" s="35190"/>
      <c r="AG35" s="35190"/>
      <c r="AH35" s="35190"/>
      <c r="AI35" s="35190"/>
      <c r="AJ35" s="35190"/>
      <c r="AK35" s="35190"/>
      <c r="AL35" s="35190"/>
      <c r="AM35" s="35190"/>
      <c r="AN35" s="35190"/>
      <c r="AO35" s="35190"/>
      <c r="AP35" s="35190"/>
      <c r="AQ35" s="35190"/>
      <c r="AR35" s="35190"/>
      <c r="AS35" s="35190"/>
      <c r="AT35" s="35190"/>
      <c r="AU35" s="35190"/>
      <c r="AV35" s="35190"/>
      <c r="AW35" s="35190"/>
      <c r="AX35" s="35190"/>
      <c r="AY35" s="35190"/>
      <c r="AZ35" s="35190"/>
      <c r="BA35" s="35190"/>
      <c r="BB35" s="35190"/>
      <c r="BC35" s="35190"/>
      <c r="BD35" s="35190"/>
      <c r="BE35" s="35190"/>
      <c r="BF35" s="35190"/>
      <c r="BG35" s="35190"/>
      <c r="BH35" s="35190"/>
      <c r="BI35" s="35190"/>
      <c r="BJ35" s="35190"/>
      <c r="BK35" s="35190"/>
      <c r="BL35" s="35190"/>
      <c r="BM35" s="35190"/>
      <c r="BN35" s="35190"/>
      <c r="BO35" s="35190"/>
      <c r="BP35" s="35190"/>
      <c r="BQ35" s="35190"/>
      <c r="BR35" s="35190"/>
      <c r="BS35" s="35190"/>
      <c r="BT35" s="35190"/>
      <c r="BU35" s="35190"/>
      <c r="BV35" s="35190"/>
      <c r="BW35" s="35190"/>
      <c r="BX35" s="35190"/>
      <c r="BY35" s="35190"/>
      <c r="BZ35" s="35190"/>
      <c r="CA35" s="35190"/>
      <c r="CB35" s="35190"/>
      <c r="CC35" s="35190"/>
      <c r="CD35" s="35190"/>
      <c r="CE35" s="35190"/>
      <c r="CF35" s="35190"/>
    </row>
    <row customHeight="1" ht="11.25">
      <c r="A36" s="3017"/>
      <c r="B36" s="2371"/>
      <c r="C36" s="1623"/>
      <c r="D36" s="1300"/>
      <c r="E36" s="3785"/>
      <c r="F36" s="3319" t="s">
        <v>102</v>
      </c>
      <c r="G36" s="3787"/>
      <c r="H36" s="1856" t="s">
        <v>22</v>
      </c>
      <c r="I36" s="1857"/>
      <c r="J36" s="1858" t="s">
        <v>667</v>
      </c>
      <c r="K36" s="1858"/>
      <c r="L36" s="1858"/>
      <c r="M36" s="1858"/>
      <c r="N36" s="1858"/>
      <c r="O36" s="1858"/>
      <c r="P36" s="1858"/>
      <c r="Q36" s="1858"/>
      <c r="R36" s="1859"/>
      <c r="S36" s="3390"/>
      <c r="T36" s="1928"/>
      <c r="U36" s="1300"/>
      <c r="V36" s="1300"/>
      <c r="W36" s="35190"/>
      <c r="X36" s="35190"/>
      <c r="Y36" s="35190"/>
      <c r="Z36" s="35190"/>
      <c r="AA36" s="35190"/>
      <c r="AB36" s="35190"/>
      <c r="AC36" s="1300"/>
      <c r="AD36" s="35190"/>
      <c r="AE36" s="35190"/>
      <c r="AF36" s="35190"/>
      <c r="AG36" s="35190"/>
      <c r="AH36" s="35190"/>
      <c r="AI36" s="35190"/>
      <c r="AJ36" s="35190"/>
      <c r="AK36" s="35190"/>
      <c r="AL36" s="35190"/>
      <c r="AM36" s="35190"/>
      <c r="AN36" s="35190"/>
      <c r="AO36" s="35190"/>
      <c r="AP36" s="35190"/>
      <c r="AQ36" s="35190"/>
      <c r="AR36" s="35190"/>
      <c r="AS36" s="35190"/>
      <c r="AT36" s="35190"/>
      <c r="AU36" s="35190"/>
      <c r="AV36" s="35190"/>
      <c r="AW36" s="35190"/>
      <c r="AX36" s="35190"/>
      <c r="AY36" s="35190"/>
      <c r="AZ36" s="35190"/>
      <c r="BA36" s="35190"/>
      <c r="BB36" s="35190"/>
      <c r="BC36" s="35190"/>
      <c r="BD36" s="35190"/>
      <c r="BE36" s="35190"/>
      <c r="BF36" s="35190"/>
      <c r="BG36" s="35190"/>
      <c r="BH36" s="35190"/>
      <c r="BI36" s="35190"/>
      <c r="BJ36" s="35190"/>
      <c r="BK36" s="35190"/>
      <c r="BL36" s="35190"/>
      <c r="BM36" s="35190"/>
      <c r="BN36" s="35190"/>
      <c r="BO36" s="35190"/>
      <c r="BP36" s="35190"/>
      <c r="BQ36" s="35190"/>
      <c r="BR36" s="35190"/>
      <c r="BS36" s="35190"/>
      <c r="BT36" s="35190"/>
      <c r="BU36" s="35190"/>
      <c r="BV36" s="35190"/>
      <c r="BW36" s="35190"/>
      <c r="BX36" s="35190"/>
      <c r="BY36" s="35190"/>
      <c r="BZ36" s="35190"/>
      <c r="CA36" s="35190"/>
      <c r="CB36" s="35190"/>
      <c r="CC36" s="35190"/>
      <c r="CD36" s="35190"/>
      <c r="CE36" s="35190"/>
      <c r="CF36" s="35190"/>
    </row>
    <row customHeight="1" ht="13.5">
      <c r="A37" s="3017"/>
      <c r="B37" s="2371"/>
      <c r="C37" s="1623"/>
      <c r="D37" s="1300"/>
      <c r="E37" s="3783" t="s">
        <v>103</v>
      </c>
      <c r="F37" s="3319" t="s">
        <v>91</v>
      </c>
      <c r="G37" s="3786" t="s">
        <v>675</v>
      </c>
      <c r="H37" s="1500"/>
      <c r="I37" s="1848" t="s">
        <v>99</v>
      </c>
      <c r="J37" s="3018" t="s">
        <v>651</v>
      </c>
      <c r="K37" s="1849" t="s">
        <v>564</v>
      </c>
      <c r="L37" s="3435" t="s">
        <v>564</v>
      </c>
      <c r="M37" s="3788"/>
      <c r="N37" s="1849" t="s">
        <v>564</v>
      </c>
      <c r="O37" s="1849" t="s">
        <v>564</v>
      </c>
      <c r="P37" s="1849" t="s">
        <v>564</v>
      </c>
      <c r="Q37" s="1850">
        <f>SUM(Q38:Q40)</f>
        <v>205.3</v>
      </c>
      <c r="R37" s="1850">
        <f>IF('Показатели ФХД'!I89=0,0,($Q$37/'Показатели ФХД'!I89)*100)</f>
        <v>0.473584704966122</v>
      </c>
      <c r="S37" s="3390"/>
      <c r="T37" s="1928" t="s">
        <v>649</v>
      </c>
      <c r="U37" s="1300"/>
      <c r="V37" s="1300"/>
      <c r="W37" s="35190"/>
      <c r="X37" s="35190"/>
      <c r="Y37" s="35190"/>
      <c r="Z37" s="35190"/>
      <c r="AA37" s="35190"/>
      <c r="AB37" s="35190"/>
      <c r="AC37" s="1300"/>
      <c r="AD37" s="35190"/>
      <c r="AE37" s="35190"/>
      <c r="AF37" s="35190"/>
      <c r="AG37" s="35190"/>
      <c r="AH37" s="35190"/>
      <c r="AI37" s="35190"/>
      <c r="AJ37" s="35190"/>
      <c r="AK37" s="35190"/>
      <c r="AL37" s="35190"/>
      <c r="AM37" s="35190"/>
      <c r="AN37" s="35190"/>
      <c r="AO37" s="35190"/>
      <c r="AP37" s="35190"/>
      <c r="AQ37" s="35190"/>
      <c r="AR37" s="35190"/>
      <c r="AS37" s="35190"/>
      <c r="AT37" s="35190"/>
      <c r="AU37" s="35190"/>
      <c r="AV37" s="35190"/>
      <c r="AW37" s="35190"/>
      <c r="AX37" s="35190"/>
      <c r="AY37" s="35190"/>
      <c r="AZ37" s="35190"/>
      <c r="BA37" s="35190"/>
      <c r="BB37" s="35190"/>
      <c r="BC37" s="35190"/>
      <c r="BD37" s="35190"/>
      <c r="BE37" s="35190"/>
      <c r="BF37" s="35190"/>
      <c r="BG37" s="35190"/>
      <c r="BH37" s="35190"/>
      <c r="BI37" s="35190"/>
      <c r="BJ37" s="35190"/>
      <c r="BK37" s="35190"/>
      <c r="BL37" s="35190"/>
      <c r="BM37" s="35190"/>
      <c r="BN37" s="35190"/>
      <c r="BO37" s="35190"/>
      <c r="BP37" s="35190"/>
      <c r="BQ37" s="35190"/>
      <c r="BR37" s="35190"/>
      <c r="BS37" s="35190"/>
      <c r="BT37" s="35190"/>
      <c r="BU37" s="35190"/>
      <c r="BV37" s="35190"/>
      <c r="BW37" s="35190"/>
      <c r="BX37" s="35190"/>
      <c r="BY37" s="35190"/>
      <c r="BZ37" s="35190"/>
      <c r="CA37" s="35190"/>
      <c r="CB37" s="35190"/>
      <c r="CC37" s="35190"/>
      <c r="CD37" s="35190"/>
      <c r="CE37" s="35190"/>
      <c r="CF37" s="35190"/>
    </row>
    <row customHeight="1" ht="32.25">
      <c r="A38" s="3017"/>
      <c r="B38" s="2371"/>
      <c r="C38" s="1623"/>
      <c r="D38" s="1300"/>
      <c r="E38" s="3784"/>
      <c r="F38" s="3319" t="s">
        <v>122</v>
      </c>
      <c r="G38" s="3786"/>
      <c r="H38" s="3338"/>
      <c r="I38" s="3726" t="s">
        <v>652</v>
      </c>
      <c r="J38" s="41344" t="s">
        <v>672</v>
      </c>
      <c r="K38" s="3781" t="s">
        <v>676</v>
      </c>
      <c r="L38" s="1851"/>
      <c r="M38" s="1852" t="s">
        <v>99</v>
      </c>
      <c r="N38" s="3006" t="s">
        <v>677</v>
      </c>
      <c r="O38" s="1853">
        <v>205.3</v>
      </c>
      <c r="P38" s="1854" t="s">
        <v>656</v>
      </c>
      <c r="Q38" s="1853">
        <f>O38</f>
        <v>205.3</v>
      </c>
      <c r="R38" s="1855">
        <v>0</v>
      </c>
      <c r="S38" s="3390"/>
      <c r="T38" s="1928"/>
      <c r="U38" s="1300"/>
      <c r="V38" s="1300"/>
      <c r="W38" s="35190"/>
      <c r="X38" s="35190"/>
      <c r="Y38" s="35190"/>
      <c r="Z38" s="35190"/>
      <c r="AA38" s="35190"/>
      <c r="AB38" s="35190"/>
      <c r="AC38" s="1300"/>
      <c r="AD38" s="35190"/>
      <c r="AE38" s="35190"/>
      <c r="AF38" s="35190"/>
      <c r="AG38" s="35190"/>
      <c r="AH38" s="35190"/>
      <c r="AI38" s="35190"/>
      <c r="AJ38" s="35190"/>
      <c r="AK38" s="35190"/>
      <c r="AL38" s="35190"/>
      <c r="AM38" s="35190"/>
      <c r="AN38" s="35190"/>
      <c r="AO38" s="35190"/>
      <c r="AP38" s="35190"/>
      <c r="AQ38" s="35190"/>
      <c r="AR38" s="35190"/>
      <c r="AS38" s="35190"/>
      <c r="AT38" s="35190"/>
      <c r="AU38" s="35190"/>
      <c r="AV38" s="35190"/>
      <c r="AW38" s="35190"/>
      <c r="AX38" s="35190"/>
      <c r="AY38" s="35190"/>
      <c r="AZ38" s="35190"/>
      <c r="BA38" s="35190"/>
      <c r="BB38" s="35190"/>
      <c r="BC38" s="35190"/>
      <c r="BD38" s="35190"/>
      <c r="BE38" s="35190"/>
      <c r="BF38" s="35190"/>
      <c r="BG38" s="35190"/>
      <c r="BH38" s="35190"/>
      <c r="BI38" s="35190"/>
      <c r="BJ38" s="35190"/>
      <c r="BK38" s="35190"/>
      <c r="BL38" s="35190"/>
      <c r="BM38" s="35190"/>
      <c r="BN38" s="35190"/>
      <c r="BO38" s="35190"/>
      <c r="BP38" s="35190"/>
      <c r="BQ38" s="35190"/>
      <c r="BR38" s="35190"/>
      <c r="BS38" s="35190"/>
      <c r="BT38" s="35190"/>
      <c r="BU38" s="35190"/>
      <c r="BV38" s="35190"/>
      <c r="BW38" s="35190"/>
      <c r="BX38" s="35190"/>
      <c r="BY38" s="35190"/>
      <c r="BZ38" s="35190"/>
      <c r="CA38" s="35190"/>
      <c r="CB38" s="35190"/>
      <c r="CC38" s="35190"/>
      <c r="CD38" s="35190"/>
      <c r="CE38" s="35190"/>
      <c r="CF38" s="35190"/>
    </row>
    <row customHeight="1" ht="11.25">
      <c r="A39" s="3017"/>
      <c r="B39" s="2371"/>
      <c r="C39" s="1623"/>
      <c r="D39" s="1300"/>
      <c r="E39" s="3784"/>
      <c r="F39" s="3319" t="s">
        <v>122</v>
      </c>
      <c r="G39" s="3786"/>
      <c r="H39" s="3338"/>
      <c r="I39" s="3726"/>
      <c r="J39" s="3780"/>
      <c r="K39" s="3782"/>
      <c r="L39" s="1856"/>
      <c r="M39" s="1857"/>
      <c r="N39" s="1858" t="s">
        <v>657</v>
      </c>
      <c r="O39" s="1858"/>
      <c r="P39" s="1858"/>
      <c r="Q39" s="1858"/>
      <c r="R39" s="1859"/>
      <c r="S39" s="3390"/>
      <c r="T39" s="1928"/>
      <c r="U39" s="1300"/>
      <c r="V39" s="1300"/>
      <c r="W39" s="35190"/>
      <c r="X39" s="35190"/>
      <c r="Y39" s="35190"/>
      <c r="Z39" s="35190"/>
      <c r="AA39" s="35190"/>
      <c r="AB39" s="35190"/>
      <c r="AC39" s="1300"/>
      <c r="AD39" s="35190"/>
      <c r="AE39" s="35190"/>
      <c r="AF39" s="35190"/>
      <c r="AG39" s="35190"/>
      <c r="AH39" s="35190"/>
      <c r="AI39" s="35190"/>
      <c r="AJ39" s="35190"/>
      <c r="AK39" s="35190"/>
      <c r="AL39" s="35190"/>
      <c r="AM39" s="35190"/>
      <c r="AN39" s="35190"/>
      <c r="AO39" s="35190"/>
      <c r="AP39" s="35190"/>
      <c r="AQ39" s="35190"/>
      <c r="AR39" s="35190"/>
      <c r="AS39" s="35190"/>
      <c r="AT39" s="35190"/>
      <c r="AU39" s="35190"/>
      <c r="AV39" s="35190"/>
      <c r="AW39" s="35190"/>
      <c r="AX39" s="35190"/>
      <c r="AY39" s="35190"/>
      <c r="AZ39" s="35190"/>
      <c r="BA39" s="35190"/>
      <c r="BB39" s="35190"/>
      <c r="BC39" s="35190"/>
      <c r="BD39" s="35190"/>
      <c r="BE39" s="35190"/>
      <c r="BF39" s="35190"/>
      <c r="BG39" s="35190"/>
      <c r="BH39" s="35190"/>
      <c r="BI39" s="35190"/>
      <c r="BJ39" s="35190"/>
      <c r="BK39" s="35190"/>
      <c r="BL39" s="35190"/>
      <c r="BM39" s="35190"/>
      <c r="BN39" s="35190"/>
      <c r="BO39" s="35190"/>
      <c r="BP39" s="35190"/>
      <c r="BQ39" s="35190"/>
      <c r="BR39" s="35190"/>
      <c r="BS39" s="35190"/>
      <c r="BT39" s="35190"/>
      <c r="BU39" s="35190"/>
      <c r="BV39" s="35190"/>
      <c r="BW39" s="35190"/>
      <c r="BX39" s="35190"/>
      <c r="BY39" s="35190"/>
      <c r="BZ39" s="35190"/>
      <c r="CA39" s="35190"/>
      <c r="CB39" s="35190"/>
      <c r="CC39" s="35190"/>
      <c r="CD39" s="35190"/>
      <c r="CE39" s="35190"/>
      <c r="CF39" s="35190"/>
    </row>
    <row customHeight="1" ht="11.25">
      <c r="A40" s="3017"/>
      <c r="B40" s="2371"/>
      <c r="C40" s="1623"/>
      <c r="D40" s="1300"/>
      <c r="E40" s="3785"/>
      <c r="F40" s="3319" t="s">
        <v>122</v>
      </c>
      <c r="G40" s="3787"/>
      <c r="H40" s="1856" t="s">
        <v>22</v>
      </c>
      <c r="I40" s="1857"/>
      <c r="J40" s="1858" t="s">
        <v>667</v>
      </c>
      <c r="K40" s="1858"/>
      <c r="L40" s="1858"/>
      <c r="M40" s="1858"/>
      <c r="N40" s="1858"/>
      <c r="O40" s="1858"/>
      <c r="P40" s="1858"/>
      <c r="Q40" s="1858"/>
      <c r="R40" s="1859"/>
      <c r="S40" s="3390"/>
      <c r="T40" s="1928"/>
      <c r="U40" s="1300"/>
      <c r="V40" s="1300"/>
      <c r="W40" s="35190"/>
      <c r="X40" s="35190"/>
      <c r="Y40" s="35190"/>
      <c r="Z40" s="35190"/>
      <c r="AA40" s="35190"/>
      <c r="AB40" s="35190"/>
      <c r="AC40" s="1300"/>
      <c r="AD40" s="35190"/>
      <c r="AE40" s="35190"/>
      <c r="AF40" s="35190"/>
      <c r="AG40" s="35190"/>
      <c r="AH40" s="35190"/>
      <c r="AI40" s="35190"/>
      <c r="AJ40" s="35190"/>
      <c r="AK40" s="35190"/>
      <c r="AL40" s="35190"/>
      <c r="AM40" s="35190"/>
      <c r="AN40" s="35190"/>
      <c r="AO40" s="35190"/>
      <c r="AP40" s="35190"/>
      <c r="AQ40" s="35190"/>
      <c r="AR40" s="35190"/>
      <c r="AS40" s="35190"/>
      <c r="AT40" s="35190"/>
      <c r="AU40" s="35190"/>
      <c r="AV40" s="35190"/>
      <c r="AW40" s="35190"/>
      <c r="AX40" s="35190"/>
      <c r="AY40" s="35190"/>
      <c r="AZ40" s="35190"/>
      <c r="BA40" s="35190"/>
      <c r="BB40" s="35190"/>
      <c r="BC40" s="35190"/>
      <c r="BD40" s="35190"/>
      <c r="BE40" s="35190"/>
      <c r="BF40" s="35190"/>
      <c r="BG40" s="35190"/>
      <c r="BH40" s="35190"/>
      <c r="BI40" s="35190"/>
      <c r="BJ40" s="35190"/>
      <c r="BK40" s="35190"/>
      <c r="BL40" s="35190"/>
      <c r="BM40" s="35190"/>
      <c r="BN40" s="35190"/>
      <c r="BO40" s="35190"/>
      <c r="BP40" s="35190"/>
      <c r="BQ40" s="35190"/>
      <c r="BR40" s="35190"/>
      <c r="BS40" s="35190"/>
      <c r="BT40" s="35190"/>
      <c r="BU40" s="35190"/>
      <c r="BV40" s="35190"/>
      <c r="BW40" s="35190"/>
      <c r="BX40" s="35190"/>
      <c r="BY40" s="35190"/>
      <c r="BZ40" s="35190"/>
      <c r="CA40" s="35190"/>
      <c r="CB40" s="35190"/>
      <c r="CC40" s="35190"/>
      <c r="CD40" s="35190"/>
      <c r="CE40" s="35190"/>
      <c r="CF40" s="35190"/>
    </row>
    <row customHeight="1" ht="45">
      <c r="A41" s="3017"/>
      <c r="B41" s="2371"/>
      <c r="C41" s="1623"/>
      <c r="D41" s="1300"/>
      <c r="E41" s="3783" t="s">
        <v>103</v>
      </c>
      <c r="F41" s="3319" t="s">
        <v>122</v>
      </c>
      <c r="G41" s="3786" t="s">
        <v>678</v>
      </c>
      <c r="H41" s="1500"/>
      <c r="I41" s="1848" t="s">
        <v>99</v>
      </c>
      <c r="J41" s="3018" t="s">
        <v>651</v>
      </c>
      <c r="K41" s="1849" t="s">
        <v>564</v>
      </c>
      <c r="L41" s="3435" t="s">
        <v>564</v>
      </c>
      <c r="M41" s="3788"/>
      <c r="N41" s="1849" t="s">
        <v>564</v>
      </c>
      <c r="O41" s="1849" t="s">
        <v>564</v>
      </c>
      <c r="P41" s="1849" t="s">
        <v>564</v>
      </c>
      <c r="Q41" s="1850">
        <f>SUM(Q42:Q46)</f>
        <v>349.8</v>
      </c>
      <c r="R41" s="1850">
        <f>IF('Показатели ФХД'!I89=0,0,($Q$41/'Показатели ФХД'!I89)*100)</f>
        <v>0.806916365305161</v>
      </c>
      <c r="S41" s="3390"/>
      <c r="T41" s="1928" t="s">
        <v>649</v>
      </c>
      <c r="U41" s="1300"/>
      <c r="V41" s="1300"/>
      <c r="W41" s="35190"/>
      <c r="X41" s="35190"/>
      <c r="Y41" s="35190"/>
      <c r="Z41" s="35190"/>
      <c r="AA41" s="35190"/>
      <c r="AB41" s="35190"/>
      <c r="AC41" s="1300"/>
      <c r="AD41" s="35190"/>
      <c r="AE41" s="35190"/>
      <c r="AF41" s="35190"/>
      <c r="AG41" s="35190"/>
      <c r="AH41" s="35190"/>
      <c r="AI41" s="35190"/>
      <c r="AJ41" s="35190"/>
      <c r="AK41" s="35190"/>
      <c r="AL41" s="35190"/>
      <c r="AM41" s="35190"/>
      <c r="AN41" s="35190"/>
      <c r="AO41" s="35190"/>
      <c r="AP41" s="35190"/>
      <c r="AQ41" s="35190"/>
      <c r="AR41" s="35190"/>
      <c r="AS41" s="35190"/>
      <c r="AT41" s="35190"/>
      <c r="AU41" s="35190"/>
      <c r="AV41" s="35190"/>
      <c r="AW41" s="35190"/>
      <c r="AX41" s="35190"/>
      <c r="AY41" s="35190"/>
      <c r="AZ41" s="35190"/>
      <c r="BA41" s="35190"/>
      <c r="BB41" s="35190"/>
      <c r="BC41" s="35190"/>
      <c r="BD41" s="35190"/>
      <c r="BE41" s="35190"/>
      <c r="BF41" s="35190"/>
      <c r="BG41" s="35190"/>
      <c r="BH41" s="35190"/>
      <c r="BI41" s="35190"/>
      <c r="BJ41" s="35190"/>
      <c r="BK41" s="35190"/>
      <c r="BL41" s="35190"/>
      <c r="BM41" s="35190"/>
      <c r="BN41" s="35190"/>
      <c r="BO41" s="35190"/>
      <c r="BP41" s="35190"/>
      <c r="BQ41" s="35190"/>
      <c r="BR41" s="35190"/>
      <c r="BS41" s="35190"/>
      <c r="BT41" s="35190"/>
      <c r="BU41" s="35190"/>
      <c r="BV41" s="35190"/>
      <c r="BW41" s="35190"/>
      <c r="BX41" s="35190"/>
      <c r="BY41" s="35190"/>
      <c r="BZ41" s="35190"/>
      <c r="CA41" s="35190"/>
      <c r="CB41" s="35190"/>
      <c r="CC41" s="35190"/>
      <c r="CD41" s="35190"/>
      <c r="CE41" s="35190"/>
      <c r="CF41" s="35190"/>
    </row>
    <row customHeight="1" ht="28.5">
      <c r="A42" s="3017"/>
      <c r="B42" s="2371"/>
      <c r="C42" s="1623"/>
      <c r="D42" s="1300"/>
      <c r="E42" s="3784"/>
      <c r="F42" s="3319" t="s">
        <v>92</v>
      </c>
      <c r="G42" s="3786"/>
      <c r="H42" s="3338"/>
      <c r="I42" s="3726" t="s">
        <v>652</v>
      </c>
      <c r="J42" s="35171" t="s">
        <v>672</v>
      </c>
      <c r="K42" s="3781" t="s">
        <v>679</v>
      </c>
      <c r="L42" s="1851"/>
      <c r="M42" s="1852" t="s">
        <v>99</v>
      </c>
      <c r="N42" s="3006" t="s">
        <v>680</v>
      </c>
      <c r="O42" s="1853">
        <v>177.6</v>
      </c>
      <c r="P42" s="1854" t="s">
        <v>656</v>
      </c>
      <c r="Q42" s="1853">
        <f>O42</f>
        <v>177.6</v>
      </c>
      <c r="R42" s="1855">
        <v>0</v>
      </c>
      <c r="S42" s="3390"/>
      <c r="T42" s="1928"/>
      <c r="U42" s="1300"/>
      <c r="V42" s="1300"/>
      <c r="W42" s="35190"/>
      <c r="X42" s="35190"/>
      <c r="Y42" s="35190"/>
      <c r="Z42" s="35190"/>
      <c r="AA42" s="35190"/>
      <c r="AB42" s="35190"/>
      <c r="AC42" s="1300"/>
      <c r="AD42" s="35190"/>
      <c r="AE42" s="35190"/>
      <c r="AF42" s="35190"/>
      <c r="AG42" s="35190"/>
      <c r="AH42" s="35190"/>
      <c r="AI42" s="35190"/>
      <c r="AJ42" s="35190"/>
      <c r="AK42" s="35190"/>
      <c r="AL42" s="35190"/>
      <c r="AM42" s="35190"/>
      <c r="AN42" s="35190"/>
      <c r="AO42" s="35190"/>
      <c r="AP42" s="35190"/>
      <c r="AQ42" s="35190"/>
      <c r="AR42" s="35190"/>
      <c r="AS42" s="35190"/>
      <c r="AT42" s="35190"/>
      <c r="AU42" s="35190"/>
      <c r="AV42" s="35190"/>
      <c r="AW42" s="35190"/>
      <c r="AX42" s="35190"/>
      <c r="AY42" s="35190"/>
      <c r="AZ42" s="35190"/>
      <c r="BA42" s="35190"/>
      <c r="BB42" s="35190"/>
      <c r="BC42" s="35190"/>
      <c r="BD42" s="35190"/>
      <c r="BE42" s="35190"/>
      <c r="BF42" s="35190"/>
      <c r="BG42" s="35190"/>
      <c r="BH42" s="35190"/>
      <c r="BI42" s="35190"/>
      <c r="BJ42" s="35190"/>
      <c r="BK42" s="35190"/>
      <c r="BL42" s="35190"/>
      <c r="BM42" s="35190"/>
      <c r="BN42" s="35190"/>
      <c r="BO42" s="35190"/>
      <c r="BP42" s="35190"/>
      <c r="BQ42" s="35190"/>
      <c r="BR42" s="35190"/>
      <c r="BS42" s="35190"/>
      <c r="BT42" s="35190"/>
      <c r="BU42" s="35190"/>
      <c r="BV42" s="35190"/>
      <c r="BW42" s="35190"/>
      <c r="BX42" s="35190"/>
      <c r="BY42" s="35190"/>
      <c r="BZ42" s="35190"/>
      <c r="CA42" s="35190"/>
      <c r="CB42" s="35190"/>
      <c r="CC42" s="35190"/>
      <c r="CD42" s="35190"/>
      <c r="CE42" s="35190"/>
      <c r="CF42" s="35190"/>
    </row>
    <row customHeight="1" ht="10.5">
      <c r="A43" s="3017"/>
      <c r="B43" s="2371"/>
      <c r="C43" s="1623"/>
      <c r="D43" s="1300"/>
      <c r="E43" s="3784"/>
      <c r="F43" s="3319" t="s">
        <v>92</v>
      </c>
      <c r="G43" s="3786"/>
      <c r="H43" s="3338"/>
      <c r="I43" s="3726"/>
      <c r="J43" s="3780"/>
      <c r="K43" s="3782"/>
      <c r="L43" s="1856"/>
      <c r="M43" s="1857"/>
      <c r="N43" s="1858" t="s">
        <v>657</v>
      </c>
      <c r="O43" s="1858"/>
      <c r="P43" s="1858"/>
      <c r="Q43" s="1858"/>
      <c r="R43" s="1859"/>
      <c r="S43" s="3390"/>
      <c r="T43" s="1928"/>
      <c r="U43" s="1300"/>
      <c r="V43" s="1300"/>
      <c r="W43" s="35190"/>
      <c r="X43" s="35190"/>
      <c r="Y43" s="35190"/>
      <c r="Z43" s="35190"/>
      <c r="AA43" s="35190"/>
      <c r="AB43" s="35190"/>
      <c r="AC43" s="1300"/>
      <c r="AD43" s="35190"/>
      <c r="AE43" s="35190"/>
      <c r="AF43" s="35190"/>
      <c r="AG43" s="35190"/>
      <c r="AH43" s="35190"/>
      <c r="AI43" s="35190"/>
      <c r="AJ43" s="35190"/>
      <c r="AK43" s="35190"/>
      <c r="AL43" s="35190"/>
      <c r="AM43" s="35190"/>
      <c r="AN43" s="35190"/>
      <c r="AO43" s="35190"/>
      <c r="AP43" s="35190"/>
      <c r="AQ43" s="35190"/>
      <c r="AR43" s="35190"/>
      <c r="AS43" s="35190"/>
      <c r="AT43" s="35190"/>
      <c r="AU43" s="35190"/>
      <c r="AV43" s="35190"/>
      <c r="AW43" s="35190"/>
      <c r="AX43" s="35190"/>
      <c r="AY43" s="35190"/>
      <c r="AZ43" s="35190"/>
      <c r="BA43" s="35190"/>
      <c r="BB43" s="35190"/>
      <c r="BC43" s="35190"/>
      <c r="BD43" s="35190"/>
      <c r="BE43" s="35190"/>
      <c r="BF43" s="35190"/>
      <c r="BG43" s="35190"/>
      <c r="BH43" s="35190"/>
      <c r="BI43" s="35190"/>
      <c r="BJ43" s="35190"/>
      <c r="BK43" s="35190"/>
      <c r="BL43" s="35190"/>
      <c r="BM43" s="35190"/>
      <c r="BN43" s="35190"/>
      <c r="BO43" s="35190"/>
      <c r="BP43" s="35190"/>
      <c r="BQ43" s="35190"/>
      <c r="BR43" s="35190"/>
      <c r="BS43" s="35190"/>
      <c r="BT43" s="35190"/>
      <c r="BU43" s="35190"/>
      <c r="BV43" s="35190"/>
      <c r="BW43" s="35190"/>
      <c r="BX43" s="35190"/>
      <c r="BY43" s="35190"/>
      <c r="BZ43" s="35190"/>
      <c r="CA43" s="35190"/>
      <c r="CB43" s="35190"/>
      <c r="CC43" s="35190"/>
      <c r="CD43" s="35190"/>
      <c r="CE43" s="35190"/>
      <c r="CF43" s="35190"/>
    </row>
    <row customHeight="1" ht="30">
      <c r="A44" s="3017"/>
      <c r="B44" s="2371"/>
      <c r="C44" s="1623"/>
      <c r="D44" s="1300"/>
      <c r="E44" s="3041"/>
      <c r="F44" s="3041"/>
      <c r="G44" s="3041"/>
      <c r="H44" s="3338" t="s">
        <v>103</v>
      </c>
      <c r="I44" s="3726" t="s">
        <v>658</v>
      </c>
      <c r="J44" s="35171" t="s">
        <v>672</v>
      </c>
      <c r="K44" s="3781" t="s">
        <v>681</v>
      </c>
      <c r="L44" s="1851"/>
      <c r="M44" s="1852" t="s">
        <v>99</v>
      </c>
      <c r="N44" s="3006" t="s">
        <v>682</v>
      </c>
      <c r="O44" s="1853">
        <v>172.2</v>
      </c>
      <c r="P44" s="1854" t="s">
        <v>656</v>
      </c>
      <c r="Q44" s="1853">
        <f>O44</f>
        <v>172.2</v>
      </c>
      <c r="R44" s="1855">
        <v>0</v>
      </c>
      <c r="S44" s="1300"/>
      <c r="T44" s="1928"/>
      <c r="U44" s="1300"/>
      <c r="V44" s="1300"/>
      <c r="W44" s="35190"/>
      <c r="X44" s="35190"/>
      <c r="Y44" s="35190"/>
      <c r="Z44" s="35190"/>
      <c r="AA44" s="35190"/>
      <c r="AB44" s="35190"/>
      <c r="AC44" s="1300"/>
      <c r="AD44" s="35190"/>
      <c r="AE44" s="35190"/>
      <c r="AF44" s="35190"/>
      <c r="AG44" s="35190"/>
      <c r="AH44" s="35190"/>
      <c r="AI44" s="35190"/>
      <c r="AJ44" s="35190"/>
      <c r="AK44" s="35190"/>
      <c r="AL44" s="35190"/>
      <c r="AM44" s="35190"/>
      <c r="AN44" s="35190"/>
      <c r="AO44" s="35190"/>
      <c r="AP44" s="35190"/>
      <c r="AQ44" s="35190"/>
      <c r="AR44" s="35190"/>
      <c r="AS44" s="35190"/>
      <c r="AT44" s="35190"/>
      <c r="AU44" s="35190"/>
      <c r="AV44" s="35190"/>
      <c r="AW44" s="35190"/>
      <c r="AX44" s="35190"/>
      <c r="AY44" s="35190"/>
      <c r="AZ44" s="35190"/>
      <c r="BA44" s="35190"/>
      <c r="BB44" s="35190"/>
      <c r="BC44" s="35190"/>
      <c r="BD44" s="35190"/>
      <c r="BE44" s="35190"/>
      <c r="BF44" s="35190"/>
      <c r="BG44" s="35190"/>
      <c r="BH44" s="35190"/>
      <c r="BI44" s="35190"/>
      <c r="BJ44" s="35190"/>
      <c r="BK44" s="35190"/>
      <c r="BL44" s="35190"/>
      <c r="BM44" s="35190"/>
      <c r="BN44" s="35190"/>
      <c r="BO44" s="35190"/>
      <c r="BP44" s="35190"/>
      <c r="BQ44" s="35190"/>
      <c r="BR44" s="35190"/>
      <c r="BS44" s="35190"/>
      <c r="BT44" s="35190"/>
      <c r="BU44" s="35190"/>
      <c r="BV44" s="35190"/>
      <c r="BW44" s="35190"/>
      <c r="BX44" s="35190"/>
      <c r="BY44" s="35190"/>
      <c r="BZ44" s="35190"/>
      <c r="CA44" s="35190"/>
      <c r="CB44" s="35190"/>
      <c r="CC44" s="35190"/>
      <c r="CD44" s="35190"/>
      <c r="CE44" s="35190"/>
      <c r="CF44" s="35190"/>
    </row>
    <row customHeight="1" ht="11.25">
      <c r="A45" s="3017"/>
      <c r="B45" s="2371"/>
      <c r="C45" s="1623"/>
      <c r="D45" s="1300"/>
      <c r="E45" s="3041"/>
      <c r="F45" s="3041"/>
      <c r="G45" s="3041"/>
      <c r="H45" s="3338"/>
      <c r="I45" s="3726" t="s">
        <v>652</v>
      </c>
      <c r="J45" s="3780"/>
      <c r="K45" s="3782"/>
      <c r="L45" s="1856"/>
      <c r="M45" s="1857"/>
      <c r="N45" s="1858" t="s">
        <v>657</v>
      </c>
      <c r="O45" s="1858"/>
      <c r="P45" s="1858"/>
      <c r="Q45" s="1858"/>
      <c r="R45" s="1859"/>
      <c r="S45" s="1300"/>
      <c r="T45" s="1928"/>
      <c r="U45" s="1300"/>
      <c r="V45" s="1300"/>
      <c r="W45" s="35190"/>
      <c r="X45" s="35190"/>
      <c r="Y45" s="35190"/>
      <c r="Z45" s="35190"/>
      <c r="AA45" s="35190"/>
      <c r="AB45" s="35190"/>
      <c r="AC45" s="1300"/>
      <c r="AD45" s="35190"/>
      <c r="AE45" s="35190"/>
      <c r="AF45" s="35190"/>
      <c r="AG45" s="35190"/>
      <c r="AH45" s="35190"/>
      <c r="AI45" s="35190"/>
      <c r="AJ45" s="35190"/>
      <c r="AK45" s="35190"/>
      <c r="AL45" s="35190"/>
      <c r="AM45" s="35190"/>
      <c r="AN45" s="35190"/>
      <c r="AO45" s="35190"/>
      <c r="AP45" s="35190"/>
      <c r="AQ45" s="35190"/>
      <c r="AR45" s="35190"/>
      <c r="AS45" s="35190"/>
      <c r="AT45" s="35190"/>
      <c r="AU45" s="35190"/>
      <c r="AV45" s="35190"/>
      <c r="AW45" s="35190"/>
      <c r="AX45" s="35190"/>
      <c r="AY45" s="35190"/>
      <c r="AZ45" s="35190"/>
      <c r="BA45" s="35190"/>
      <c r="BB45" s="35190"/>
      <c r="BC45" s="35190"/>
      <c r="BD45" s="35190"/>
      <c r="BE45" s="35190"/>
      <c r="BF45" s="35190"/>
      <c r="BG45" s="35190"/>
      <c r="BH45" s="35190"/>
      <c r="BI45" s="35190"/>
      <c r="BJ45" s="35190"/>
      <c r="BK45" s="35190"/>
      <c r="BL45" s="35190"/>
      <c r="BM45" s="35190"/>
      <c r="BN45" s="35190"/>
      <c r="BO45" s="35190"/>
      <c r="BP45" s="35190"/>
      <c r="BQ45" s="35190"/>
      <c r="BR45" s="35190"/>
      <c r="BS45" s="35190"/>
      <c r="BT45" s="35190"/>
      <c r="BU45" s="35190"/>
      <c r="BV45" s="35190"/>
      <c r="BW45" s="35190"/>
      <c r="BX45" s="35190"/>
      <c r="BY45" s="35190"/>
      <c r="BZ45" s="35190"/>
      <c r="CA45" s="35190"/>
      <c r="CB45" s="35190"/>
      <c r="CC45" s="35190"/>
      <c r="CD45" s="35190"/>
      <c r="CE45" s="35190"/>
      <c r="CF45" s="35190"/>
    </row>
    <row customHeight="1" ht="11.25">
      <c r="A46" s="3017"/>
      <c r="B46" s="2371"/>
      <c r="C46" s="1623"/>
      <c r="D46" s="1300"/>
      <c r="E46" s="3785"/>
      <c r="F46" s="3319" t="s">
        <v>92</v>
      </c>
      <c r="G46" s="3787"/>
      <c r="H46" s="1856" t="s">
        <v>22</v>
      </c>
      <c r="I46" s="1857"/>
      <c r="J46" s="1858" t="s">
        <v>667</v>
      </c>
      <c r="K46" s="1858"/>
      <c r="L46" s="1858"/>
      <c r="M46" s="1858"/>
      <c r="N46" s="1858"/>
      <c r="O46" s="1858"/>
      <c r="P46" s="1858"/>
      <c r="Q46" s="1858"/>
      <c r="R46" s="1859"/>
      <c r="S46" s="3390"/>
      <c r="T46" s="1928"/>
      <c r="U46" s="1300"/>
      <c r="V46" s="1300"/>
      <c r="W46" s="35190"/>
      <c r="X46" s="35190"/>
      <c r="Y46" s="35190"/>
      <c r="Z46" s="35190"/>
      <c r="AA46" s="35190"/>
      <c r="AB46" s="35190"/>
      <c r="AC46" s="1300"/>
      <c r="AD46" s="35190"/>
      <c r="AE46" s="35190"/>
      <c r="AF46" s="35190"/>
      <c r="AG46" s="35190"/>
      <c r="AH46" s="35190"/>
      <c r="AI46" s="35190"/>
      <c r="AJ46" s="35190"/>
      <c r="AK46" s="35190"/>
      <c r="AL46" s="35190"/>
      <c r="AM46" s="35190"/>
      <c r="AN46" s="35190"/>
      <c r="AO46" s="35190"/>
      <c r="AP46" s="35190"/>
      <c r="AQ46" s="35190"/>
      <c r="AR46" s="35190"/>
      <c r="AS46" s="35190"/>
      <c r="AT46" s="35190"/>
      <c r="AU46" s="35190"/>
      <c r="AV46" s="35190"/>
      <c r="AW46" s="35190"/>
      <c r="AX46" s="35190"/>
      <c r="AY46" s="35190"/>
      <c r="AZ46" s="35190"/>
      <c r="BA46" s="35190"/>
      <c r="BB46" s="35190"/>
      <c r="BC46" s="35190"/>
      <c r="BD46" s="35190"/>
      <c r="BE46" s="35190"/>
      <c r="BF46" s="35190"/>
      <c r="BG46" s="35190"/>
      <c r="BH46" s="35190"/>
      <c r="BI46" s="35190"/>
      <c r="BJ46" s="35190"/>
      <c r="BK46" s="35190"/>
      <c r="BL46" s="35190"/>
      <c r="BM46" s="35190"/>
      <c r="BN46" s="35190"/>
      <c r="BO46" s="35190"/>
      <c r="BP46" s="35190"/>
      <c r="BQ46" s="35190"/>
      <c r="BR46" s="35190"/>
      <c r="BS46" s="35190"/>
      <c r="BT46" s="35190"/>
      <c r="BU46" s="35190"/>
      <c r="BV46" s="35190"/>
      <c r="BW46" s="35190"/>
      <c r="BX46" s="35190"/>
      <c r="BY46" s="35190"/>
      <c r="BZ46" s="35190"/>
      <c r="CA46" s="35190"/>
      <c r="CB46" s="35190"/>
      <c r="CC46" s="35190"/>
      <c r="CD46" s="35190"/>
      <c r="CE46" s="35190"/>
      <c r="CF46" s="35190"/>
    </row>
    <row customHeight="1" ht="45">
      <c r="A47" s="3017"/>
      <c r="B47" s="2371"/>
      <c r="C47" s="1623"/>
      <c r="D47" s="1300"/>
      <c r="E47" s="3783" t="s">
        <v>103</v>
      </c>
      <c r="F47" s="3319" t="s">
        <v>92</v>
      </c>
      <c r="G47" s="3786" t="s">
        <v>683</v>
      </c>
      <c r="H47" s="1500"/>
      <c r="I47" s="1848" t="s">
        <v>99</v>
      </c>
      <c r="J47" s="3018" t="s">
        <v>651</v>
      </c>
      <c r="K47" s="1849" t="s">
        <v>564</v>
      </c>
      <c r="L47" s="3435" t="s">
        <v>564</v>
      </c>
      <c r="M47" s="3788"/>
      <c r="N47" s="1849" t="s">
        <v>564</v>
      </c>
      <c r="O47" s="1849" t="s">
        <v>564</v>
      </c>
      <c r="P47" s="1849" t="s">
        <v>564</v>
      </c>
      <c r="Q47" s="1850">
        <f>SUM(Q48:Q50)</f>
        <v>1368.27</v>
      </c>
      <c r="R47" s="1850">
        <f>IF('Показатели ФХД'!I89=0,0,($Q$47/'Показатели ФХД'!I89)*100)</f>
        <v>3.15631633835361</v>
      </c>
      <c r="S47" s="3390"/>
      <c r="T47" s="1928" t="s">
        <v>649</v>
      </c>
      <c r="U47" s="1300"/>
      <c r="V47" s="1300"/>
      <c r="W47" s="35190"/>
      <c r="X47" s="35190"/>
      <c r="Y47" s="35190"/>
      <c r="Z47" s="35190"/>
      <c r="AA47" s="35190"/>
      <c r="AB47" s="35190"/>
      <c r="AC47" s="1300"/>
      <c r="AD47" s="35190"/>
      <c r="AE47" s="35190"/>
      <c r="AF47" s="35190"/>
      <c r="AG47" s="35190"/>
      <c r="AH47" s="35190"/>
      <c r="AI47" s="35190"/>
      <c r="AJ47" s="35190"/>
      <c r="AK47" s="35190"/>
      <c r="AL47" s="35190"/>
      <c r="AM47" s="35190"/>
      <c r="AN47" s="35190"/>
      <c r="AO47" s="35190"/>
      <c r="AP47" s="35190"/>
      <c r="AQ47" s="35190"/>
      <c r="AR47" s="35190"/>
      <c r="AS47" s="35190"/>
      <c r="AT47" s="35190"/>
      <c r="AU47" s="35190"/>
      <c r="AV47" s="35190"/>
      <c r="AW47" s="35190"/>
      <c r="AX47" s="35190"/>
      <c r="AY47" s="35190"/>
      <c r="AZ47" s="35190"/>
      <c r="BA47" s="35190"/>
      <c r="BB47" s="35190"/>
      <c r="BC47" s="35190"/>
      <c r="BD47" s="35190"/>
      <c r="BE47" s="35190"/>
      <c r="BF47" s="35190"/>
      <c r="BG47" s="35190"/>
      <c r="BH47" s="35190"/>
      <c r="BI47" s="35190"/>
      <c r="BJ47" s="35190"/>
      <c r="BK47" s="35190"/>
      <c r="BL47" s="35190"/>
      <c r="BM47" s="35190"/>
      <c r="BN47" s="35190"/>
      <c r="BO47" s="35190"/>
      <c r="BP47" s="35190"/>
      <c r="BQ47" s="35190"/>
      <c r="BR47" s="35190"/>
      <c r="BS47" s="35190"/>
      <c r="BT47" s="35190"/>
      <c r="BU47" s="35190"/>
      <c r="BV47" s="35190"/>
      <c r="BW47" s="35190"/>
      <c r="BX47" s="35190"/>
      <c r="BY47" s="35190"/>
      <c r="BZ47" s="35190"/>
      <c r="CA47" s="35190"/>
      <c r="CB47" s="35190"/>
      <c r="CC47" s="35190"/>
      <c r="CD47" s="35190"/>
      <c r="CE47" s="35190"/>
      <c r="CF47" s="35190"/>
    </row>
    <row customHeight="1" ht="53.25">
      <c r="A48" s="3017"/>
      <c r="B48" s="2371"/>
      <c r="C48" s="1623"/>
      <c r="D48" s="1300"/>
      <c r="E48" s="3784"/>
      <c r="F48" s="3319" t="s">
        <v>93</v>
      </c>
      <c r="G48" s="3786"/>
      <c r="H48" s="3338"/>
      <c r="I48" s="3726" t="s">
        <v>652</v>
      </c>
      <c r="J48" s="41344" t="s">
        <v>672</v>
      </c>
      <c r="K48" s="3781" t="s">
        <v>684</v>
      </c>
      <c r="L48" s="1851"/>
      <c r="M48" s="1852" t="s">
        <v>99</v>
      </c>
      <c r="N48" s="3006" t="s">
        <v>685</v>
      </c>
      <c r="O48" s="1853">
        <v>1368.27</v>
      </c>
      <c r="P48" s="1854" t="s">
        <v>656</v>
      </c>
      <c r="Q48" s="1853">
        <f>O48</f>
        <v>1368.27</v>
      </c>
      <c r="R48" s="1855">
        <v>0</v>
      </c>
      <c r="S48" s="3390"/>
      <c r="T48" s="1928"/>
      <c r="U48" s="1300"/>
      <c r="V48" s="1300"/>
      <c r="W48" s="35190"/>
      <c r="X48" s="35190"/>
      <c r="Y48" s="35190"/>
      <c r="Z48" s="35190"/>
      <c r="AA48" s="35190"/>
      <c r="AB48" s="35190"/>
      <c r="AC48" s="1300"/>
      <c r="AD48" s="35190"/>
      <c r="AE48" s="35190"/>
      <c r="AF48" s="35190"/>
      <c r="AG48" s="35190"/>
      <c r="AH48" s="35190"/>
      <c r="AI48" s="35190"/>
      <c r="AJ48" s="35190"/>
      <c r="AK48" s="35190"/>
      <c r="AL48" s="35190"/>
      <c r="AM48" s="35190"/>
      <c r="AN48" s="35190"/>
      <c r="AO48" s="35190"/>
      <c r="AP48" s="35190"/>
      <c r="AQ48" s="35190"/>
      <c r="AR48" s="35190"/>
      <c r="AS48" s="35190"/>
      <c r="AT48" s="35190"/>
      <c r="AU48" s="35190"/>
      <c r="AV48" s="35190"/>
      <c r="AW48" s="35190"/>
      <c r="AX48" s="35190"/>
      <c r="AY48" s="35190"/>
      <c r="AZ48" s="35190"/>
      <c r="BA48" s="35190"/>
      <c r="BB48" s="35190"/>
      <c r="BC48" s="35190"/>
      <c r="BD48" s="35190"/>
      <c r="BE48" s="35190"/>
      <c r="BF48" s="35190"/>
      <c r="BG48" s="35190"/>
      <c r="BH48" s="35190"/>
      <c r="BI48" s="35190"/>
      <c r="BJ48" s="35190"/>
      <c r="BK48" s="35190"/>
      <c r="BL48" s="35190"/>
      <c r="BM48" s="35190"/>
      <c r="BN48" s="35190"/>
      <c r="BO48" s="35190"/>
      <c r="BP48" s="35190"/>
      <c r="BQ48" s="35190"/>
      <c r="BR48" s="35190"/>
      <c r="BS48" s="35190"/>
      <c r="BT48" s="35190"/>
      <c r="BU48" s="35190"/>
      <c r="BV48" s="35190"/>
      <c r="BW48" s="35190"/>
      <c r="BX48" s="35190"/>
      <c r="BY48" s="35190"/>
      <c r="BZ48" s="35190"/>
      <c r="CA48" s="35190"/>
      <c r="CB48" s="35190"/>
      <c r="CC48" s="35190"/>
      <c r="CD48" s="35190"/>
      <c r="CE48" s="35190"/>
      <c r="CF48" s="35190"/>
    </row>
    <row customHeight="1" ht="14.25">
      <c r="A49" s="3017"/>
      <c r="B49" s="2371"/>
      <c r="C49" s="1623"/>
      <c r="D49" s="1300"/>
      <c r="E49" s="3784"/>
      <c r="F49" s="3319" t="s">
        <v>93</v>
      </c>
      <c r="G49" s="3786"/>
      <c r="H49" s="3338"/>
      <c r="I49" s="3726"/>
      <c r="J49" s="3780"/>
      <c r="K49" s="3782"/>
      <c r="L49" s="1856"/>
      <c r="M49" s="1857"/>
      <c r="N49" s="1858" t="s">
        <v>657</v>
      </c>
      <c r="O49" s="1858"/>
      <c r="P49" s="1858"/>
      <c r="Q49" s="1858"/>
      <c r="R49" s="1859"/>
      <c r="S49" s="3390"/>
      <c r="T49" s="1928"/>
      <c r="U49" s="1300"/>
      <c r="V49" s="1300"/>
      <c r="W49" s="35190"/>
      <c r="X49" s="35190"/>
      <c r="Y49" s="35190"/>
      <c r="Z49" s="35190"/>
      <c r="AA49" s="35190"/>
      <c r="AB49" s="35190"/>
      <c r="AC49" s="1300"/>
      <c r="AD49" s="35190"/>
      <c r="AE49" s="35190"/>
      <c r="AF49" s="35190"/>
      <c r="AG49" s="35190"/>
      <c r="AH49" s="35190"/>
      <c r="AI49" s="35190"/>
      <c r="AJ49" s="35190"/>
      <c r="AK49" s="35190"/>
      <c r="AL49" s="35190"/>
      <c r="AM49" s="35190"/>
      <c r="AN49" s="35190"/>
      <c r="AO49" s="35190"/>
      <c r="AP49" s="35190"/>
      <c r="AQ49" s="35190"/>
      <c r="AR49" s="35190"/>
      <c r="AS49" s="35190"/>
      <c r="AT49" s="35190"/>
      <c r="AU49" s="35190"/>
      <c r="AV49" s="35190"/>
      <c r="AW49" s="35190"/>
      <c r="AX49" s="35190"/>
      <c r="AY49" s="35190"/>
      <c r="AZ49" s="35190"/>
      <c r="BA49" s="35190"/>
      <c r="BB49" s="35190"/>
      <c r="BC49" s="35190"/>
      <c r="BD49" s="35190"/>
      <c r="BE49" s="35190"/>
      <c r="BF49" s="35190"/>
      <c r="BG49" s="35190"/>
      <c r="BH49" s="35190"/>
      <c r="BI49" s="35190"/>
      <c r="BJ49" s="35190"/>
      <c r="BK49" s="35190"/>
      <c r="BL49" s="35190"/>
      <c r="BM49" s="35190"/>
      <c r="BN49" s="35190"/>
      <c r="BO49" s="35190"/>
      <c r="BP49" s="35190"/>
      <c r="BQ49" s="35190"/>
      <c r="BR49" s="35190"/>
      <c r="BS49" s="35190"/>
      <c r="BT49" s="35190"/>
      <c r="BU49" s="35190"/>
      <c r="BV49" s="35190"/>
      <c r="BW49" s="35190"/>
      <c r="BX49" s="35190"/>
      <c r="BY49" s="35190"/>
      <c r="BZ49" s="35190"/>
      <c r="CA49" s="35190"/>
      <c r="CB49" s="35190"/>
      <c r="CC49" s="35190"/>
      <c r="CD49" s="35190"/>
      <c r="CE49" s="35190"/>
      <c r="CF49" s="35190"/>
    </row>
    <row customHeight="1" ht="11.25">
      <c r="A50" s="3017"/>
      <c r="B50" s="2371"/>
      <c r="C50" s="1623"/>
      <c r="D50" s="1300"/>
      <c r="E50" s="3785"/>
      <c r="F50" s="3319" t="s">
        <v>93</v>
      </c>
      <c r="G50" s="3787"/>
      <c r="H50" s="1856" t="s">
        <v>22</v>
      </c>
      <c r="I50" s="1857"/>
      <c r="J50" s="1858" t="s">
        <v>667</v>
      </c>
      <c r="K50" s="1858"/>
      <c r="L50" s="1858"/>
      <c r="M50" s="1858"/>
      <c r="N50" s="1858"/>
      <c r="O50" s="1858"/>
      <c r="P50" s="1858"/>
      <c r="Q50" s="1858"/>
      <c r="R50" s="1859"/>
      <c r="S50" s="3390"/>
      <c r="T50" s="1928"/>
      <c r="U50" s="1300"/>
      <c r="V50" s="1300"/>
      <c r="W50" s="35190"/>
      <c r="X50" s="35190"/>
      <c r="Y50" s="35190"/>
      <c r="Z50" s="35190"/>
      <c r="AA50" s="35190"/>
      <c r="AB50" s="35190"/>
      <c r="AC50" s="1300"/>
      <c r="AD50" s="35190"/>
      <c r="AE50" s="35190"/>
      <c r="AF50" s="35190"/>
      <c r="AG50" s="35190"/>
      <c r="AH50" s="35190"/>
      <c r="AI50" s="35190"/>
      <c r="AJ50" s="35190"/>
      <c r="AK50" s="35190"/>
      <c r="AL50" s="35190"/>
      <c r="AM50" s="35190"/>
      <c r="AN50" s="35190"/>
      <c r="AO50" s="35190"/>
      <c r="AP50" s="35190"/>
      <c r="AQ50" s="35190"/>
      <c r="AR50" s="35190"/>
      <c r="AS50" s="35190"/>
      <c r="AT50" s="35190"/>
      <c r="AU50" s="35190"/>
      <c r="AV50" s="35190"/>
      <c r="AW50" s="35190"/>
      <c r="AX50" s="35190"/>
      <c r="AY50" s="35190"/>
      <c r="AZ50" s="35190"/>
      <c r="BA50" s="35190"/>
      <c r="BB50" s="35190"/>
      <c r="BC50" s="35190"/>
      <c r="BD50" s="35190"/>
      <c r="BE50" s="35190"/>
      <c r="BF50" s="35190"/>
      <c r="BG50" s="35190"/>
      <c r="BH50" s="35190"/>
      <c r="BI50" s="35190"/>
      <c r="BJ50" s="35190"/>
      <c r="BK50" s="35190"/>
      <c r="BL50" s="35190"/>
      <c r="BM50" s="35190"/>
      <c r="BN50" s="35190"/>
      <c r="BO50" s="35190"/>
      <c r="BP50" s="35190"/>
      <c r="BQ50" s="35190"/>
      <c r="BR50" s="35190"/>
      <c r="BS50" s="35190"/>
      <c r="BT50" s="35190"/>
      <c r="BU50" s="35190"/>
      <c r="BV50" s="35190"/>
      <c r="BW50" s="35190"/>
      <c r="BX50" s="35190"/>
      <c r="BY50" s="35190"/>
      <c r="BZ50" s="35190"/>
      <c r="CA50" s="35190"/>
      <c r="CB50" s="35190"/>
      <c r="CC50" s="35190"/>
      <c r="CD50" s="35190"/>
      <c r="CE50" s="35190"/>
      <c r="CF50" s="35190"/>
    </row>
    <row customHeight="1" ht="45">
      <c r="A51" s="3017"/>
      <c r="B51" s="2371"/>
      <c r="C51" s="1623"/>
      <c r="D51" s="1300"/>
      <c r="E51" s="3783" t="s">
        <v>103</v>
      </c>
      <c r="F51" s="3319" t="s">
        <v>93</v>
      </c>
      <c r="G51" s="3786" t="s">
        <v>686</v>
      </c>
      <c r="H51" s="1500"/>
      <c r="I51" s="1848" t="s">
        <v>99</v>
      </c>
      <c r="J51" s="3018" t="s">
        <v>651</v>
      </c>
      <c r="K51" s="1849" t="s">
        <v>564</v>
      </c>
      <c r="L51" s="3435" t="s">
        <v>564</v>
      </c>
      <c r="M51" s="3788"/>
      <c r="N51" s="1849" t="s">
        <v>564</v>
      </c>
      <c r="O51" s="1849" t="s">
        <v>564</v>
      </c>
      <c r="P51" s="1849" t="s">
        <v>564</v>
      </c>
      <c r="Q51" s="1850">
        <f>SUM(Q52:Q54)</f>
        <v>167.12</v>
      </c>
      <c r="R51" s="1850">
        <f>IF('Показатели ФХД'!I89=0,0,($Q$51/'Показатели ФХД'!I89)*100)</f>
        <v>0.385511329244707</v>
      </c>
      <c r="S51" s="3390"/>
      <c r="T51" s="1928" t="s">
        <v>649</v>
      </c>
      <c r="U51" s="1300"/>
      <c r="V51" s="1300"/>
      <c r="W51" s="41345"/>
      <c r="X51" s="41345"/>
      <c r="Y51" s="41345"/>
      <c r="Z51" s="41345"/>
      <c r="AA51" s="41345"/>
      <c r="AB51" s="41345"/>
      <c r="AC51" s="1300"/>
      <c r="AD51" s="41345"/>
      <c r="AE51" s="41345"/>
      <c r="AF51" s="41345"/>
      <c r="AG51" s="41345"/>
      <c r="AH51" s="41345"/>
      <c r="AI51" s="41345"/>
      <c r="AJ51" s="41345"/>
      <c r="AK51" s="41345"/>
      <c r="AL51" s="41345"/>
      <c r="AM51" s="41345"/>
      <c r="AN51" s="41345"/>
      <c r="AO51" s="41345"/>
      <c r="AP51" s="41345"/>
      <c r="AQ51" s="41345"/>
      <c r="AR51" s="41345"/>
      <c r="AS51" s="41345"/>
      <c r="AT51" s="41345"/>
      <c r="AU51" s="41345"/>
      <c r="AV51" s="41345"/>
      <c r="AW51" s="41345"/>
      <c r="AX51" s="41345"/>
      <c r="AY51" s="41345"/>
      <c r="AZ51" s="41345"/>
      <c r="BA51" s="41345"/>
      <c r="BB51" s="41345"/>
      <c r="BC51" s="41345"/>
      <c r="BD51" s="41345"/>
      <c r="BE51" s="41345"/>
      <c r="BF51" s="41345"/>
      <c r="BG51" s="41345"/>
      <c r="BH51" s="41345"/>
      <c r="BI51" s="41345"/>
      <c r="BJ51" s="41345"/>
      <c r="BK51" s="41345"/>
      <c r="BL51" s="41345"/>
      <c r="BM51" s="41345"/>
      <c r="BN51" s="41345"/>
      <c r="BO51" s="41345"/>
      <c r="BP51" s="41345"/>
      <c r="BQ51" s="41345"/>
      <c r="BR51" s="41345"/>
      <c r="BS51" s="41345"/>
      <c r="BT51" s="41345"/>
      <c r="BU51" s="41345"/>
      <c r="BV51" s="41345"/>
      <c r="BW51" s="41345"/>
      <c r="BX51" s="41345"/>
      <c r="BY51" s="41345"/>
      <c r="BZ51" s="41345"/>
      <c r="CA51" s="41345"/>
      <c r="CB51" s="41345"/>
      <c r="CC51" s="41345"/>
      <c r="CD51" s="41345"/>
      <c r="CE51" s="41345"/>
      <c r="CF51" s="41345"/>
    </row>
    <row customHeight="1" ht="23.25">
      <c r="A52" s="3017"/>
      <c r="B52" s="2371"/>
      <c r="C52" s="1623"/>
      <c r="D52" s="1300"/>
      <c r="E52" s="3784"/>
      <c r="F52" s="3319" t="s">
        <v>92</v>
      </c>
      <c r="G52" s="3786"/>
      <c r="H52" s="3338"/>
      <c r="I52" s="3726" t="s">
        <v>652</v>
      </c>
      <c r="J52" s="41344" t="s">
        <v>672</v>
      </c>
      <c r="K52" s="3781" t="s">
        <v>687</v>
      </c>
      <c r="L52" s="1851"/>
      <c r="M52" s="1852" t="s">
        <v>99</v>
      </c>
      <c r="N52" s="3006" t="s">
        <v>688</v>
      </c>
      <c r="O52" s="1853">
        <v>167.12</v>
      </c>
      <c r="P52" s="1854" t="s">
        <v>656</v>
      </c>
      <c r="Q52" s="1853">
        <f>O52</f>
        <v>167.12</v>
      </c>
      <c r="R52" s="1855">
        <v>0</v>
      </c>
      <c r="S52" s="3390"/>
      <c r="T52" s="1928"/>
      <c r="U52" s="1300"/>
      <c r="V52" s="1300"/>
      <c r="W52" s="41345"/>
      <c r="X52" s="41345"/>
      <c r="Y52" s="41345"/>
      <c r="Z52" s="41345"/>
      <c r="AA52" s="41345"/>
      <c r="AB52" s="41345"/>
      <c r="AC52" s="1300"/>
      <c r="AD52" s="41345"/>
      <c r="AE52" s="41345"/>
      <c r="AF52" s="41345"/>
      <c r="AG52" s="41345"/>
      <c r="AH52" s="41345"/>
      <c r="AI52" s="41345"/>
      <c r="AJ52" s="41345"/>
      <c r="AK52" s="41345"/>
      <c r="AL52" s="41345"/>
      <c r="AM52" s="41345"/>
      <c r="AN52" s="41345"/>
      <c r="AO52" s="41345"/>
      <c r="AP52" s="41345"/>
      <c r="AQ52" s="41345"/>
      <c r="AR52" s="41345"/>
      <c r="AS52" s="41345"/>
      <c r="AT52" s="41345"/>
      <c r="AU52" s="41345"/>
      <c r="AV52" s="41345"/>
      <c r="AW52" s="41345"/>
      <c r="AX52" s="41345"/>
      <c r="AY52" s="41345"/>
      <c r="AZ52" s="41345"/>
      <c r="BA52" s="41345"/>
      <c r="BB52" s="41345"/>
      <c r="BC52" s="41345"/>
      <c r="BD52" s="41345"/>
      <c r="BE52" s="41345"/>
      <c r="BF52" s="41345"/>
      <c r="BG52" s="41345"/>
      <c r="BH52" s="41345"/>
      <c r="BI52" s="41345"/>
      <c r="BJ52" s="41345"/>
      <c r="BK52" s="41345"/>
      <c r="BL52" s="41345"/>
      <c r="BM52" s="41345"/>
      <c r="BN52" s="41345"/>
      <c r="BO52" s="41345"/>
      <c r="BP52" s="41345"/>
      <c r="BQ52" s="41345"/>
      <c r="BR52" s="41345"/>
      <c r="BS52" s="41345"/>
      <c r="BT52" s="41345"/>
      <c r="BU52" s="41345"/>
      <c r="BV52" s="41345"/>
      <c r="BW52" s="41345"/>
      <c r="BX52" s="41345"/>
      <c r="BY52" s="41345"/>
      <c r="BZ52" s="41345"/>
      <c r="CA52" s="41345"/>
      <c r="CB52" s="41345"/>
      <c r="CC52" s="41345"/>
      <c r="CD52" s="41345"/>
      <c r="CE52" s="41345"/>
      <c r="CF52" s="41345"/>
    </row>
    <row customHeight="1" ht="11.25">
      <c r="A53" s="3017"/>
      <c r="B53" s="2371"/>
      <c r="C53" s="1623"/>
      <c r="D53" s="1300"/>
      <c r="E53" s="3784"/>
      <c r="F53" s="3319" t="s">
        <v>92</v>
      </c>
      <c r="G53" s="3786"/>
      <c r="H53" s="3338"/>
      <c r="I53" s="3726"/>
      <c r="J53" s="3780"/>
      <c r="K53" s="3782"/>
      <c r="L53" s="1856"/>
      <c r="M53" s="1857"/>
      <c r="N53" s="1858" t="s">
        <v>657</v>
      </c>
      <c r="O53" s="1858"/>
      <c r="P53" s="1858"/>
      <c r="Q53" s="1858"/>
      <c r="R53" s="1859"/>
      <c r="S53" s="3390"/>
      <c r="T53" s="1928"/>
      <c r="U53" s="1300"/>
      <c r="V53" s="1300"/>
      <c r="W53" s="41345"/>
      <c r="X53" s="41345"/>
      <c r="Y53" s="41345"/>
      <c r="Z53" s="41345"/>
      <c r="AA53" s="41345"/>
      <c r="AB53" s="41345"/>
      <c r="AC53" s="1300"/>
      <c r="AD53" s="41345"/>
      <c r="AE53" s="41345"/>
      <c r="AF53" s="41345"/>
      <c r="AG53" s="41345"/>
      <c r="AH53" s="41345"/>
      <c r="AI53" s="41345"/>
      <c r="AJ53" s="41345"/>
      <c r="AK53" s="41345"/>
      <c r="AL53" s="41345"/>
      <c r="AM53" s="41345"/>
      <c r="AN53" s="41345"/>
      <c r="AO53" s="41345"/>
      <c r="AP53" s="41345"/>
      <c r="AQ53" s="41345"/>
      <c r="AR53" s="41345"/>
      <c r="AS53" s="41345"/>
      <c r="AT53" s="41345"/>
      <c r="AU53" s="41345"/>
      <c r="AV53" s="41345"/>
      <c r="AW53" s="41345"/>
      <c r="AX53" s="41345"/>
      <c r="AY53" s="41345"/>
      <c r="AZ53" s="41345"/>
      <c r="BA53" s="41345"/>
      <c r="BB53" s="41345"/>
      <c r="BC53" s="41345"/>
      <c r="BD53" s="41345"/>
      <c r="BE53" s="41345"/>
      <c r="BF53" s="41345"/>
      <c r="BG53" s="41345"/>
      <c r="BH53" s="41345"/>
      <c r="BI53" s="41345"/>
      <c r="BJ53" s="41345"/>
      <c r="BK53" s="41345"/>
      <c r="BL53" s="41345"/>
      <c r="BM53" s="41345"/>
      <c r="BN53" s="41345"/>
      <c r="BO53" s="41345"/>
      <c r="BP53" s="41345"/>
      <c r="BQ53" s="41345"/>
      <c r="BR53" s="41345"/>
      <c r="BS53" s="41345"/>
      <c r="BT53" s="41345"/>
      <c r="BU53" s="41345"/>
      <c r="BV53" s="41345"/>
      <c r="BW53" s="41345"/>
      <c r="BX53" s="41345"/>
      <c r="BY53" s="41345"/>
      <c r="BZ53" s="41345"/>
      <c r="CA53" s="41345"/>
      <c r="CB53" s="41345"/>
      <c r="CC53" s="41345"/>
      <c r="CD53" s="41345"/>
      <c r="CE53" s="41345"/>
      <c r="CF53" s="41345"/>
    </row>
    <row customHeight="1" ht="11.25">
      <c r="A54" s="3017"/>
      <c r="B54" s="2371"/>
      <c r="C54" s="1623"/>
      <c r="D54" s="1300"/>
      <c r="E54" s="3785"/>
      <c r="F54" s="3319" t="s">
        <v>92</v>
      </c>
      <c r="G54" s="3787"/>
      <c r="H54" s="1856" t="s">
        <v>22</v>
      </c>
      <c r="I54" s="1857"/>
      <c r="J54" s="1858" t="s">
        <v>667</v>
      </c>
      <c r="K54" s="1858"/>
      <c r="L54" s="1858"/>
      <c r="M54" s="1858"/>
      <c r="N54" s="1858"/>
      <c r="O54" s="1858"/>
      <c r="P54" s="1858"/>
      <c r="Q54" s="1858"/>
      <c r="R54" s="1859"/>
      <c r="S54" s="3390"/>
      <c r="T54" s="1928"/>
      <c r="U54" s="1300"/>
      <c r="V54" s="1300"/>
      <c r="W54" s="41345"/>
      <c r="X54" s="41345"/>
      <c r="Y54" s="41345"/>
      <c r="Z54" s="41345"/>
      <c r="AA54" s="41345"/>
      <c r="AB54" s="41345"/>
      <c r="AC54" s="1300"/>
      <c r="AD54" s="41345"/>
      <c r="AE54" s="41345"/>
      <c r="AF54" s="41345"/>
      <c r="AG54" s="41345"/>
      <c r="AH54" s="41345"/>
      <c r="AI54" s="41345"/>
      <c r="AJ54" s="41345"/>
      <c r="AK54" s="41345"/>
      <c r="AL54" s="41345"/>
      <c r="AM54" s="41345"/>
      <c r="AN54" s="41345"/>
      <c r="AO54" s="41345"/>
      <c r="AP54" s="41345"/>
      <c r="AQ54" s="41345"/>
      <c r="AR54" s="41345"/>
      <c r="AS54" s="41345"/>
      <c r="AT54" s="41345"/>
      <c r="AU54" s="41345"/>
      <c r="AV54" s="41345"/>
      <c r="AW54" s="41345"/>
      <c r="AX54" s="41345"/>
      <c r="AY54" s="41345"/>
      <c r="AZ54" s="41345"/>
      <c r="BA54" s="41345"/>
      <c r="BB54" s="41345"/>
      <c r="BC54" s="41345"/>
      <c r="BD54" s="41345"/>
      <c r="BE54" s="41345"/>
      <c r="BF54" s="41345"/>
      <c r="BG54" s="41345"/>
      <c r="BH54" s="41345"/>
      <c r="BI54" s="41345"/>
      <c r="BJ54" s="41345"/>
      <c r="BK54" s="41345"/>
      <c r="BL54" s="41345"/>
      <c r="BM54" s="41345"/>
      <c r="BN54" s="41345"/>
      <c r="BO54" s="41345"/>
      <c r="BP54" s="41345"/>
      <c r="BQ54" s="41345"/>
      <c r="BR54" s="41345"/>
      <c r="BS54" s="41345"/>
      <c r="BT54" s="41345"/>
      <c r="BU54" s="41345"/>
      <c r="BV54" s="41345"/>
      <c r="BW54" s="41345"/>
      <c r="BX54" s="41345"/>
      <c r="BY54" s="41345"/>
      <c r="BZ54" s="41345"/>
      <c r="CA54" s="41345"/>
      <c r="CB54" s="41345"/>
      <c r="CC54" s="41345"/>
      <c r="CD54" s="41345"/>
      <c r="CE54" s="41345"/>
      <c r="CF54" s="41345"/>
    </row>
    <row s="67502" customFormat="1" customHeight="1" ht="11.25">
      <c r="A55" s="1844"/>
      <c r="B55" s="1628"/>
      <c r="C55" s="1623"/>
      <c r="D55" s="3592"/>
      <c r="E55" s="1860" t="s">
        <v>22</v>
      </c>
      <c r="F55" s="1861" t="s">
        <v>22</v>
      </c>
      <c r="G55" s="1861" t="s">
        <v>689</v>
      </c>
      <c r="H55" s="1862" t="s">
        <v>22</v>
      </c>
      <c r="I55" s="1862"/>
      <c r="J55" s="1862"/>
      <c r="K55" s="1862"/>
      <c r="L55" s="1862"/>
      <c r="M55" s="1862"/>
      <c r="N55" s="1862"/>
      <c r="O55" s="1862"/>
      <c r="P55" s="1862"/>
      <c r="Q55" s="1862"/>
      <c r="R55" s="1863"/>
      <c r="S55" s="2231"/>
      <c r="T55" s="1929"/>
      <c r="U55" s="3585"/>
      <c r="V55" s="3585"/>
      <c r="W55" s="1628"/>
      <c r="X55" s="1628"/>
      <c r="Y55" s="1628"/>
      <c r="Z55" s="1628"/>
      <c r="AA55" s="1722"/>
      <c r="AB55" s="1628"/>
      <c r="AC55" s="3586"/>
      <c r="AD55" s="1840"/>
      <c r="AE55" s="1628"/>
      <c r="AF55" s="1628"/>
      <c r="AG55" s="1722"/>
      <c r="AH55" s="1722"/>
      <c r="AI55" s="1722"/>
      <c r="AJ55" s="1722"/>
      <c r="AK55" s="1722"/>
      <c r="AL55" s="1722"/>
      <c r="AM55" s="1722"/>
      <c r="AN55" s="1722"/>
      <c r="AO55" s="1722"/>
      <c r="AP55" s="1722"/>
      <c r="AQ55" s="1722"/>
      <c r="AR55" s="1722"/>
      <c r="AS55" s="1722"/>
      <c r="AT55" s="1722"/>
      <c r="AU55" s="1722"/>
      <c r="AV55" s="1722"/>
      <c r="AW55" s="1722"/>
      <c r="AX55" s="1722"/>
      <c r="AY55" s="1722"/>
      <c r="AZ55" s="1722"/>
      <c r="BA55" s="1722"/>
      <c r="BB55" s="1722"/>
      <c r="BC55" s="1722"/>
      <c r="BD55" s="1722"/>
      <c r="BE55" s="1722"/>
      <c r="BF55" s="1722"/>
      <c r="BG55" s="1722"/>
      <c r="BH55" s="1722"/>
      <c r="BI55" s="1722"/>
      <c r="BJ55" s="1722"/>
      <c r="BK55" s="1722"/>
      <c r="BL55" s="1722"/>
      <c r="BM55" s="1722"/>
      <c r="BN55" s="1722"/>
      <c r="BO55" s="1722"/>
      <c r="BP55" s="1722"/>
      <c r="BQ55" s="1722"/>
      <c r="BR55" s="1722"/>
      <c r="BS55" s="1722"/>
      <c r="BT55" s="1722"/>
      <c r="BU55" s="1722"/>
      <c r="BV55" s="1628"/>
      <c r="BW55" s="1628"/>
      <c r="BX55" s="1628"/>
      <c r="BY55" s="1628"/>
      <c r="BZ55" s="1628"/>
      <c r="CA55" s="1628"/>
      <c r="CB55" s="1628"/>
      <c r="CC55" s="1628"/>
      <c r="CD55" s="1628"/>
      <c r="CE55" s="1628"/>
      <c r="CF55" s="1504">
        <v>0</v>
      </c>
    </row>
    <row s="67502" customFormat="1" customHeight="1" ht="22.5" hidden="1">
      <c r="A56" s="1844"/>
      <c r="B56" s="1628"/>
      <c r="C56" s="1623"/>
      <c r="D56" s="3592"/>
      <c r="E56" s="3587" t="s">
        <v>690</v>
      </c>
      <c r="F56" s="3587"/>
      <c r="G56" s="3587"/>
      <c r="H56" s="3587"/>
      <c r="I56" s="3587"/>
      <c r="J56" s="3587"/>
      <c r="K56" s="3587"/>
      <c r="L56" s="3587"/>
      <c r="M56" s="3587"/>
      <c r="N56" s="3587"/>
      <c r="O56" s="3587"/>
      <c r="P56" s="3587"/>
      <c r="Q56" s="1769">
        <f>SUMIF(T57:T58,"i",Q57:Q58)</f>
        <v>0</v>
      </c>
      <c r="R56" s="2228"/>
      <c r="S56" s="1920" t="s">
        <v>691</v>
      </c>
      <c r="T56" s="1928" t="s">
        <v>649</v>
      </c>
      <c r="U56" s="3585">
        <v>2</v>
      </c>
      <c r="V56" s="3585" t="str">
        <f>INDEX(B_FHD_FLAG_INDEX_2,1,MATCH(A14,B_FHD_FLAG_DIFFERENTIATION,0))</f>
        <v>отсутствует</v>
      </c>
      <c r="W56" s="1628"/>
      <c r="X56" s="1628"/>
      <c r="Y56" s="1628"/>
      <c r="Z56" s="1628"/>
      <c r="AA56" s="1722"/>
      <c r="AB56" s="1628"/>
      <c r="AC56" s="1917"/>
      <c r="AD56" s="1840"/>
      <c r="AE56" s="1628"/>
      <c r="AF56" s="1628"/>
      <c r="AG56" s="1722"/>
      <c r="AH56" s="1722"/>
      <c r="AI56" s="1722"/>
      <c r="AJ56" s="1722"/>
      <c r="AK56" s="1722"/>
      <c r="AL56" s="1722"/>
      <c r="AM56" s="1722"/>
      <c r="AN56" s="1722"/>
      <c r="AO56" s="1722"/>
      <c r="AP56" s="1722"/>
      <c r="AQ56" s="1722"/>
      <c r="AR56" s="1722"/>
      <c r="AS56" s="1722"/>
      <c r="AT56" s="1722"/>
      <c r="AU56" s="1722"/>
      <c r="AV56" s="1722"/>
      <c r="AW56" s="1722"/>
      <c r="AX56" s="1722"/>
      <c r="AY56" s="1722"/>
      <c r="AZ56" s="1722"/>
      <c r="BA56" s="1722"/>
      <c r="BB56" s="1722"/>
      <c r="BC56" s="1722"/>
      <c r="BD56" s="1722"/>
      <c r="BE56" s="1722"/>
      <c r="BF56" s="1722"/>
      <c r="BG56" s="1722"/>
      <c r="BH56" s="1722"/>
      <c r="BI56" s="1722"/>
      <c r="BJ56" s="1722"/>
      <c r="BK56" s="1722"/>
      <c r="BL56" s="1722"/>
      <c r="BM56" s="1722"/>
      <c r="BN56" s="1722"/>
      <c r="BO56" s="1722"/>
      <c r="BP56" s="1722"/>
      <c r="BQ56" s="1722"/>
      <c r="BR56" s="1722"/>
      <c r="BS56" s="1722"/>
      <c r="BT56" s="1722"/>
      <c r="BU56" s="1722"/>
      <c r="BV56" s="1628"/>
      <c r="BW56" s="1628"/>
      <c r="BX56" s="1628"/>
      <c r="BY56" s="1628"/>
      <c r="BZ56" s="1628"/>
      <c r="CA56" s="1628"/>
      <c r="CB56" s="1628"/>
      <c r="CC56" s="1628"/>
      <c r="CD56" s="1628"/>
      <c r="CE56" s="1628"/>
      <c r="CF56" s="1504">
        <v>0</v>
      </c>
    </row>
    <row s="67502" customFormat="1" customHeight="1" ht="11.25" hidden="1">
      <c r="A57" s="1919"/>
      <c r="B57" s="1722"/>
      <c r="C57" s="1722"/>
      <c r="D57" s="3592"/>
      <c r="E57" s="1846"/>
      <c r="F57" s="1846">
        <v>0</v>
      </c>
      <c r="G57" s="1846"/>
      <c r="H57" s="1846"/>
      <c r="I57" s="1846"/>
      <c r="J57" s="1846"/>
      <c r="K57" s="1846"/>
      <c r="L57" s="1846"/>
      <c r="M57" s="1846"/>
      <c r="N57" s="1846"/>
      <c r="O57" s="1846"/>
      <c r="P57" s="1846"/>
      <c r="Q57" s="1846"/>
      <c r="R57" s="1846"/>
      <c r="S57" s="1847"/>
      <c r="T57" s="1929"/>
      <c r="U57" s="3585"/>
      <c r="V57" s="3585"/>
      <c r="W57" s="1722"/>
      <c r="X57" s="1722"/>
      <c r="Y57" s="1722"/>
      <c r="Z57" s="1722"/>
      <c r="AA57" s="1722"/>
      <c r="AB57" s="1628"/>
      <c r="AC57" s="1917"/>
      <c r="AD57" s="1840"/>
      <c r="AE57" s="1628"/>
      <c r="AF57" s="1628"/>
      <c r="AG57" s="1722"/>
      <c r="AH57" s="1722"/>
      <c r="AI57" s="1722"/>
      <c r="AJ57" s="1722"/>
      <c r="AK57" s="1722"/>
      <c r="AL57" s="1722"/>
      <c r="AM57" s="1722"/>
      <c r="AN57" s="1722"/>
      <c r="AO57" s="1722"/>
      <c r="AP57" s="1722"/>
      <c r="AQ57" s="1722"/>
      <c r="AR57" s="1722"/>
      <c r="AS57" s="1722"/>
      <c r="AT57" s="1722"/>
      <c r="AU57" s="1722"/>
      <c r="AV57" s="1722"/>
      <c r="AW57" s="1722"/>
      <c r="AX57" s="1722"/>
      <c r="AY57" s="1722"/>
      <c r="AZ57" s="1722"/>
      <c r="BA57" s="1722"/>
      <c r="BB57" s="1722"/>
      <c r="BC57" s="1722"/>
      <c r="BD57" s="1722"/>
      <c r="BE57" s="1722"/>
      <c r="BF57" s="1722"/>
      <c r="BG57" s="1722"/>
      <c r="BH57" s="1722"/>
      <c r="BI57" s="1722"/>
      <c r="BJ57" s="1722"/>
      <c r="BK57" s="1722"/>
      <c r="BL57" s="1722"/>
      <c r="BM57" s="1722"/>
      <c r="BN57" s="1722"/>
      <c r="BO57" s="1722"/>
      <c r="BP57" s="1722"/>
      <c r="BQ57" s="1722"/>
      <c r="BR57" s="1722"/>
      <c r="BS57" s="1722"/>
      <c r="BT57" s="1722"/>
      <c r="BU57" s="1722"/>
      <c r="BV57" s="1722"/>
      <c r="BW57" s="1722"/>
      <c r="BX57" s="1722"/>
      <c r="BY57" s="1722"/>
      <c r="BZ57" s="1722"/>
      <c r="CA57" s="1722"/>
      <c r="CB57" s="1722"/>
      <c r="CC57" s="1722"/>
      <c r="CD57" s="1722"/>
      <c r="CE57" s="1722"/>
      <c r="CF57" s="1504">
        <v>0</v>
      </c>
    </row>
    <row s="67502" customFormat="1" customHeight="1" ht="11.25" hidden="1">
      <c r="A58" s="1844"/>
      <c r="B58" s="1628"/>
      <c r="C58" s="1623"/>
      <c r="D58" s="3593"/>
      <c r="E58" s="1860" t="s">
        <v>22</v>
      </c>
      <c r="F58" s="1861" t="s">
        <v>22</v>
      </c>
      <c r="G58" s="1861" t="s">
        <v>22</v>
      </c>
      <c r="H58" s="1862" t="s">
        <v>22</v>
      </c>
      <c r="I58" s="1862"/>
      <c r="J58" s="1862"/>
      <c r="K58" s="1862"/>
      <c r="L58" s="1862"/>
      <c r="M58" s="1862"/>
      <c r="N58" s="1862"/>
      <c r="O58" s="1862"/>
      <c r="P58" s="1862"/>
      <c r="Q58" s="1862"/>
      <c r="R58" s="1863"/>
      <c r="S58" s="2231"/>
      <c r="T58" s="1929"/>
      <c r="U58" s="3585"/>
      <c r="V58" s="3585"/>
      <c r="W58" s="1628"/>
      <c r="X58" s="1628"/>
      <c r="Y58" s="1628"/>
      <c r="Z58" s="1628"/>
      <c r="AA58" s="1722"/>
      <c r="AB58" s="1628"/>
      <c r="AC58" s="1917"/>
      <c r="AD58" s="1840"/>
      <c r="AE58" s="1628"/>
      <c r="AF58" s="1628"/>
      <c r="AG58" s="1722"/>
      <c r="AH58" s="1722"/>
      <c r="AI58" s="1722"/>
      <c r="AJ58" s="1722"/>
      <c r="AK58" s="1722"/>
      <c r="AL58" s="1722"/>
      <c r="AM58" s="1722"/>
      <c r="AN58" s="1722"/>
      <c r="AO58" s="1722"/>
      <c r="AP58" s="1722"/>
      <c r="AQ58" s="1722"/>
      <c r="AR58" s="1722"/>
      <c r="AS58" s="1722"/>
      <c r="AT58" s="1722"/>
      <c r="AU58" s="1722"/>
      <c r="AV58" s="1722"/>
      <c r="AW58" s="1722"/>
      <c r="AX58" s="1722"/>
      <c r="AY58" s="1722"/>
      <c r="AZ58" s="1722"/>
      <c r="BA58" s="1722"/>
      <c r="BB58" s="1722"/>
      <c r="BC58" s="1722"/>
      <c r="BD58" s="1722"/>
      <c r="BE58" s="1722"/>
      <c r="BF58" s="1722"/>
      <c r="BG58" s="1722"/>
      <c r="BH58" s="1722"/>
      <c r="BI58" s="1722"/>
      <c r="BJ58" s="1722"/>
      <c r="BK58" s="1722"/>
      <c r="BL58" s="1722"/>
      <c r="BM58" s="1722"/>
      <c r="BN58" s="1722"/>
      <c r="BO58" s="1722"/>
      <c r="BP58" s="1722"/>
      <c r="BQ58" s="1722"/>
      <c r="BR58" s="1722"/>
      <c r="BS58" s="1722"/>
      <c r="BT58" s="1722"/>
      <c r="BU58" s="1722"/>
      <c r="BV58" s="1628"/>
      <c r="BW58" s="1628"/>
      <c r="BX58" s="1628"/>
      <c r="BY58" s="1628"/>
      <c r="BZ58" s="1628"/>
      <c r="CA58" s="1628"/>
      <c r="CB58" s="1628"/>
      <c r="CC58" s="1628"/>
      <c r="CD58" s="1628"/>
      <c r="CE58" s="1628"/>
      <c r="CF58" s="1504">
        <v>0</v>
      </c>
    </row>
    <row customHeight="1" ht="15">
      <c r="A59" s="1834" t="s">
        <v>132</v>
      </c>
      <c r="B59" s="1835"/>
      <c r="C59" s="1835" t="s">
        <v>22</v>
      </c>
      <c r="D59" s="3789" t="s">
        <v>170</v>
      </c>
      <c r="E59" s="3588" t="s">
        <v>118</v>
      </c>
      <c r="F59" s="3589"/>
      <c r="G59" s="3590"/>
      <c r="H59" s="3594" t="str">
        <f>IF(A59="","",INDEX(DIFFERENTIATION_UNMERGE_VD,MATCH(A59,DIFFERENTIATION_ID_DIFF,0)))</f>
        <v>Производство тепловой энергии. Комбинированная выработка с уст. мощностью производства электрической энергии 25 МВт и более</v>
      </c>
      <c r="I59" s="3594"/>
      <c r="J59" s="3594"/>
      <c r="K59" s="3594"/>
      <c r="L59" s="3594"/>
      <c r="M59" s="3594"/>
      <c r="N59" s="3594"/>
      <c r="O59" s="3594"/>
      <c r="P59" s="3594"/>
      <c r="Q59" s="3594"/>
      <c r="R59" s="3594"/>
      <c r="S59" s="1930"/>
      <c r="T59" s="1927"/>
      <c r="U59" s="1836"/>
      <c r="V59" s="1836"/>
      <c r="W59" s="1837"/>
      <c r="X59" s="1837"/>
      <c r="Y59" s="1837"/>
      <c r="Z59" s="1837"/>
      <c r="AA59" s="1838"/>
      <c r="AB59" s="1839"/>
      <c r="AC59" s="3586"/>
      <c r="AD59" s="1840"/>
      <c r="AE59" s="1841" t="s">
        <v>22</v>
      </c>
      <c r="AF59" s="1841"/>
      <c r="AG59" s="1842" t="s">
        <v>646</v>
      </c>
      <c r="AH59" s="1843">
        <v>3</v>
      </c>
      <c r="AI59" s="1836"/>
      <c r="AJ59" s="1836"/>
      <c r="AK59" s="1836"/>
      <c r="AL59" s="1836"/>
      <c r="AM59" s="1836"/>
      <c r="AN59" s="1836"/>
      <c r="AO59" s="1836"/>
      <c r="AP59" s="1836"/>
      <c r="AQ59" s="1836"/>
      <c r="AR59" s="1836"/>
      <c r="AS59" s="1836"/>
      <c r="AT59" s="1836"/>
      <c r="AU59" s="1836"/>
      <c r="AV59" s="1836"/>
      <c r="AW59" s="1836"/>
      <c r="AX59" s="1836"/>
      <c r="AY59" s="1836"/>
      <c r="AZ59" s="1836"/>
      <c r="BA59" s="1836"/>
      <c r="BB59" s="1836"/>
      <c r="BC59" s="1836"/>
      <c r="BD59" s="1836"/>
      <c r="BE59" s="1836"/>
      <c r="BF59" s="1836"/>
      <c r="BG59" s="1836"/>
      <c r="BH59" s="1836"/>
      <c r="BI59" s="1836"/>
      <c r="BJ59" s="1836"/>
      <c r="BK59" s="1836"/>
      <c r="BL59" s="1836"/>
      <c r="BM59" s="1836"/>
      <c r="BN59" s="1836"/>
      <c r="BO59" s="1836"/>
      <c r="BP59" s="1836"/>
      <c r="BQ59" s="1836"/>
      <c r="BR59" s="1836"/>
      <c r="BS59" s="1836"/>
      <c r="BT59" s="1836"/>
      <c r="BU59" s="1836"/>
      <c r="BV59" s="1837"/>
      <c r="BW59" s="1837"/>
      <c r="BX59" s="1837"/>
      <c r="BY59" s="1837"/>
      <c r="BZ59" s="1837"/>
      <c r="CA59" s="1837"/>
      <c r="CB59" s="1837"/>
      <c r="CC59" s="1837"/>
      <c r="CD59" s="1837"/>
      <c r="CE59" s="1837"/>
      <c r="CF59" s="13561"/>
    </row>
    <row customHeight="1" ht="15">
      <c r="A60" s="1834"/>
      <c r="B60" s="1835"/>
      <c r="C60" s="1835"/>
      <c r="D60" s="3790"/>
      <c r="E60" s="3588" t="s">
        <v>582</v>
      </c>
      <c r="F60" s="3589"/>
      <c r="G60" s="3590"/>
      <c r="H60" s="3594" t="str">
        <f>IF(A59="","",INDEX(DIFFERENTIATION_UNMERGE_AREA,MATCH(A59,DIFFERENTIATION_ID_DIFF,0)))</f>
        <v>Территория 2</v>
      </c>
      <c r="I60" s="3594"/>
      <c r="J60" s="3594"/>
      <c r="K60" s="3594"/>
      <c r="L60" s="3594"/>
      <c r="M60" s="3594"/>
      <c r="N60" s="3594"/>
      <c r="O60" s="3594"/>
      <c r="P60" s="3594"/>
      <c r="Q60" s="3594"/>
      <c r="R60" s="3594"/>
      <c r="S60" s="1930"/>
      <c r="T60" s="1927"/>
      <c r="U60" s="1836"/>
      <c r="V60" s="1836"/>
      <c r="W60" s="1837"/>
      <c r="X60" s="1837"/>
      <c r="Y60" s="1837"/>
      <c r="Z60" s="1837"/>
      <c r="AA60" s="1838"/>
      <c r="AB60" s="1839"/>
      <c r="AC60" s="3586"/>
      <c r="AD60" s="1840"/>
      <c r="AE60" s="1841"/>
      <c r="AF60" s="1841"/>
      <c r="AG60" s="1842"/>
      <c r="AH60" s="1843"/>
      <c r="AI60" s="1836"/>
      <c r="AJ60" s="1836"/>
      <c r="AK60" s="1836"/>
      <c r="AL60" s="1836"/>
      <c r="AM60" s="1836"/>
      <c r="AN60" s="1836"/>
      <c r="AO60" s="1836"/>
      <c r="AP60" s="1836"/>
      <c r="AQ60" s="1836"/>
      <c r="AR60" s="1836"/>
      <c r="AS60" s="1836"/>
      <c r="AT60" s="1836"/>
      <c r="AU60" s="1836"/>
      <c r="AV60" s="1836"/>
      <c r="AW60" s="1836"/>
      <c r="AX60" s="1836"/>
      <c r="AY60" s="1836"/>
      <c r="AZ60" s="1836"/>
      <c r="BA60" s="1836"/>
      <c r="BB60" s="1836"/>
      <c r="BC60" s="1836"/>
      <c r="BD60" s="1836"/>
      <c r="BE60" s="1836"/>
      <c r="BF60" s="1836"/>
      <c r="BG60" s="1836"/>
      <c r="BH60" s="1836"/>
      <c r="BI60" s="1836"/>
      <c r="BJ60" s="1836"/>
      <c r="BK60" s="1836"/>
      <c r="BL60" s="1836"/>
      <c r="BM60" s="1836"/>
      <c r="BN60" s="1836"/>
      <c r="BO60" s="1836"/>
      <c r="BP60" s="1836"/>
      <c r="BQ60" s="1836"/>
      <c r="BR60" s="1836"/>
      <c r="BS60" s="1836"/>
      <c r="BT60" s="1836"/>
      <c r="BU60" s="1836"/>
      <c r="BV60" s="1837"/>
      <c r="BW60" s="1837"/>
      <c r="BX60" s="1837"/>
      <c r="BY60" s="1837"/>
      <c r="BZ60" s="1837"/>
      <c r="CA60" s="1837"/>
      <c r="CB60" s="1837"/>
      <c r="CC60" s="1837"/>
      <c r="CD60" s="1837"/>
      <c r="CE60" s="1837"/>
      <c r="CF60" s="13561"/>
    </row>
    <row customHeight="1" ht="20.25">
      <c r="A61" s="1834"/>
      <c r="B61" s="1835"/>
      <c r="C61" s="1835"/>
      <c r="D61" s="3790"/>
      <c r="E61" s="3588" t="s">
        <v>583</v>
      </c>
      <c r="F61" s="3589"/>
      <c r="G61" s="3590"/>
      <c r="H61" s="3594" t="str">
        <f>IF(A59="","",INDEX(DIFFERENTIATION_UNMERGE_SYSTEM,MATCH(A59,DIFFERENTIATION_ID_DIFF,0)))</f>
        <v>без дифференциации</v>
      </c>
      <c r="I61" s="3594"/>
      <c r="J61" s="3594"/>
      <c r="K61" s="3594"/>
      <c r="L61" s="3594"/>
      <c r="M61" s="3594"/>
      <c r="N61" s="3594"/>
      <c r="O61" s="3594"/>
      <c r="P61" s="3594"/>
      <c r="Q61" s="3594"/>
      <c r="R61" s="3594"/>
      <c r="S61" s="1930"/>
      <c r="T61" s="1927"/>
      <c r="U61" s="1836"/>
      <c r="V61" s="1836"/>
      <c r="W61" s="1837"/>
      <c r="X61" s="1837"/>
      <c r="Y61" s="1837"/>
      <c r="Z61" s="1837"/>
      <c r="AA61" s="1838"/>
      <c r="AB61" s="1839"/>
      <c r="AC61" s="3586"/>
      <c r="AD61" s="1840"/>
      <c r="AE61" s="1841"/>
      <c r="AF61" s="1841"/>
      <c r="AG61" s="1842"/>
      <c r="AH61" s="1843"/>
      <c r="AI61" s="1836"/>
      <c r="AJ61" s="1836"/>
      <c r="AK61" s="1836"/>
      <c r="AL61" s="1836"/>
      <c r="AM61" s="1836"/>
      <c r="AN61" s="1836"/>
      <c r="AO61" s="1836"/>
      <c r="AP61" s="1836"/>
      <c r="AQ61" s="1836"/>
      <c r="AR61" s="1836"/>
      <c r="AS61" s="1836"/>
      <c r="AT61" s="1836"/>
      <c r="AU61" s="1836"/>
      <c r="AV61" s="1836"/>
      <c r="AW61" s="1836"/>
      <c r="AX61" s="1836"/>
      <c r="AY61" s="1836"/>
      <c r="AZ61" s="1836"/>
      <c r="BA61" s="1836"/>
      <c r="BB61" s="1836"/>
      <c r="BC61" s="1836"/>
      <c r="BD61" s="1836"/>
      <c r="BE61" s="1836"/>
      <c r="BF61" s="1836"/>
      <c r="BG61" s="1836"/>
      <c r="BH61" s="1836"/>
      <c r="BI61" s="1836"/>
      <c r="BJ61" s="1836"/>
      <c r="BK61" s="1836"/>
      <c r="BL61" s="1836"/>
      <c r="BM61" s="1836"/>
      <c r="BN61" s="1836"/>
      <c r="BO61" s="1836"/>
      <c r="BP61" s="1836"/>
      <c r="BQ61" s="1836"/>
      <c r="BR61" s="1836"/>
      <c r="BS61" s="1836"/>
      <c r="BT61" s="1836"/>
      <c r="BU61" s="1836"/>
      <c r="BV61" s="1837"/>
      <c r="BW61" s="1837"/>
      <c r="BX61" s="1837"/>
      <c r="BY61" s="1837"/>
      <c r="BZ61" s="1837"/>
      <c r="CA61" s="1837"/>
      <c r="CB61" s="1837"/>
      <c r="CC61" s="1837"/>
      <c r="CD61" s="1837"/>
      <c r="CE61" s="1837"/>
      <c r="CF61" s="13561"/>
    </row>
    <row customHeight="1" ht="24">
      <c r="A62" s="3017"/>
      <c r="B62" s="2371"/>
      <c r="C62" s="1623"/>
      <c r="D62" s="3790"/>
      <c r="E62" s="3587" t="s">
        <v>647</v>
      </c>
      <c r="F62" s="3587"/>
      <c r="G62" s="3587"/>
      <c r="H62" s="3587"/>
      <c r="I62" s="3587"/>
      <c r="J62" s="3587"/>
      <c r="K62" s="3587"/>
      <c r="L62" s="3587"/>
      <c r="M62" s="3587"/>
      <c r="N62" s="3587"/>
      <c r="O62" s="3587"/>
      <c r="P62" s="3587"/>
      <c r="Q62" s="1769">
        <f>SUMIF(T63:T116,"i",Q63:Q116)</f>
        <v>102612.64</v>
      </c>
      <c r="R62" s="2228"/>
      <c r="S62" s="3009" t="s">
        <v>648</v>
      </c>
      <c r="T62" s="1928" t="s">
        <v>649</v>
      </c>
      <c r="U62" s="3585">
        <v>1</v>
      </c>
      <c r="V62" s="3585" t="str">
        <f>INDEX(B_FHD_FLAG_INDEX_1,1,MATCH($A$59,B_FHD_FLAG_DIFFERENTIATION,0))</f>
        <v>есть</v>
      </c>
      <c r="W62" s="2371"/>
      <c r="X62" s="2371"/>
      <c r="Y62" s="2371"/>
      <c r="Z62" s="2371"/>
      <c r="AA62" s="2847"/>
      <c r="AB62" s="2371"/>
      <c r="AC62" s="3586"/>
      <c r="AD62" s="1840"/>
      <c r="AE62" s="2371"/>
      <c r="AF62" s="2371"/>
      <c r="AG62" s="2847"/>
      <c r="AH62" s="2847"/>
      <c r="AI62" s="2847"/>
      <c r="AJ62" s="2847"/>
      <c r="AK62" s="2847"/>
      <c r="AL62" s="2847"/>
      <c r="AM62" s="2847"/>
      <c r="AN62" s="2847"/>
      <c r="AO62" s="2847"/>
      <c r="AP62" s="2847"/>
      <c r="AQ62" s="2847"/>
      <c r="AR62" s="2847"/>
      <c r="AS62" s="2847"/>
      <c r="AT62" s="2847"/>
      <c r="AU62" s="2847"/>
      <c r="AV62" s="2847"/>
      <c r="AW62" s="2847"/>
      <c r="AX62" s="2847"/>
      <c r="AY62" s="2847"/>
      <c r="AZ62" s="2847"/>
      <c r="BA62" s="2847"/>
      <c r="BB62" s="2847"/>
      <c r="BC62" s="2847"/>
      <c r="BD62" s="2847"/>
      <c r="BE62" s="2847"/>
      <c r="BF62" s="2847"/>
      <c r="BG62" s="2847"/>
      <c r="BH62" s="2847"/>
      <c r="BI62" s="2847"/>
      <c r="BJ62" s="2847"/>
      <c r="BK62" s="2847"/>
      <c r="BL62" s="2847"/>
      <c r="BM62" s="2847"/>
      <c r="BN62" s="2847"/>
      <c r="BO62" s="2847"/>
      <c r="BP62" s="2847"/>
      <c r="BQ62" s="2847"/>
      <c r="BR62" s="2847"/>
      <c r="BS62" s="2847"/>
      <c r="BT62" s="2847"/>
      <c r="BU62" s="2847"/>
      <c r="BV62" s="2371"/>
      <c r="BW62" s="2371"/>
      <c r="BX62" s="2371"/>
      <c r="BY62" s="2371"/>
      <c r="BZ62" s="2371"/>
      <c r="CA62" s="2371"/>
      <c r="CB62" s="2371"/>
      <c r="CC62" s="2371"/>
      <c r="CD62" s="2371"/>
      <c r="CE62" s="2371"/>
      <c r="CF62" s="13561"/>
    </row>
    <row customHeight="1" ht="3.75" hidden="1">
      <c r="A63" s="3004"/>
      <c r="B63" s="2847"/>
      <c r="C63" s="2847"/>
      <c r="D63" s="3790"/>
      <c r="E63" s="1846"/>
      <c r="F63" s="1846">
        <v>0</v>
      </c>
      <c r="G63" s="1846"/>
      <c r="H63" s="1846"/>
      <c r="I63" s="1846"/>
      <c r="J63" s="1846"/>
      <c r="K63" s="1846"/>
      <c r="L63" s="1846"/>
      <c r="M63" s="1846"/>
      <c r="N63" s="1846"/>
      <c r="O63" s="1846"/>
      <c r="P63" s="1846"/>
      <c r="Q63" s="1846"/>
      <c r="R63" s="1846"/>
      <c r="S63" s="1847"/>
      <c r="T63" s="1929"/>
      <c r="U63" s="3585"/>
      <c r="V63" s="3585"/>
      <c r="W63" s="2847"/>
      <c r="X63" s="2847"/>
      <c r="Y63" s="2847"/>
      <c r="Z63" s="2847"/>
      <c r="AA63" s="2847"/>
      <c r="AB63" s="2371"/>
      <c r="AC63" s="3586"/>
      <c r="AD63" s="1840"/>
      <c r="AE63" s="2371"/>
      <c r="AF63" s="2371"/>
      <c r="AG63" s="2847"/>
      <c r="AH63" s="2847"/>
      <c r="AI63" s="2847"/>
      <c r="AJ63" s="2847"/>
      <c r="AK63" s="2847"/>
      <c r="AL63" s="2847"/>
      <c r="AM63" s="2847"/>
      <c r="AN63" s="2847"/>
      <c r="AO63" s="2847"/>
      <c r="AP63" s="2847"/>
      <c r="AQ63" s="2847"/>
      <c r="AR63" s="2847"/>
      <c r="AS63" s="2847"/>
      <c r="AT63" s="2847"/>
      <c r="AU63" s="2847"/>
      <c r="AV63" s="2847"/>
      <c r="AW63" s="2847"/>
      <c r="AX63" s="2847"/>
      <c r="AY63" s="2847"/>
      <c r="AZ63" s="2847"/>
      <c r="BA63" s="2847"/>
      <c r="BB63" s="2847"/>
      <c r="BC63" s="2847"/>
      <c r="BD63" s="2847"/>
      <c r="BE63" s="2847"/>
      <c r="BF63" s="2847"/>
      <c r="BG63" s="2847"/>
      <c r="BH63" s="2847"/>
      <c r="BI63" s="2847"/>
      <c r="BJ63" s="2847"/>
      <c r="BK63" s="2847"/>
      <c r="BL63" s="2847"/>
      <c r="BM63" s="2847"/>
      <c r="BN63" s="2847"/>
      <c r="BO63" s="2847"/>
      <c r="BP63" s="2847"/>
      <c r="BQ63" s="2847"/>
      <c r="BR63" s="2847"/>
      <c r="BS63" s="2847"/>
      <c r="BT63" s="2847"/>
      <c r="BU63" s="2847"/>
      <c r="BV63" s="2847"/>
      <c r="BW63" s="2847"/>
      <c r="BX63" s="2847"/>
      <c r="BY63" s="2847"/>
      <c r="BZ63" s="2847"/>
      <c r="CA63" s="2847"/>
      <c r="CB63" s="2847"/>
      <c r="CC63" s="2847"/>
      <c r="CD63" s="2847"/>
      <c r="CE63" s="2847"/>
      <c r="CF63" s="13561"/>
    </row>
    <row customHeight="1" ht="45">
      <c r="A64" s="3017"/>
      <c r="B64" s="2371"/>
      <c r="C64" s="1623"/>
      <c r="D64" s="1300"/>
      <c r="E64" s="3783" t="s">
        <v>103</v>
      </c>
      <c r="F64" s="3319" t="s">
        <v>99</v>
      </c>
      <c r="G64" s="3786" t="s">
        <v>692</v>
      </c>
      <c r="H64" s="1500"/>
      <c r="I64" s="1848" t="s">
        <v>99</v>
      </c>
      <c r="J64" s="3018" t="s">
        <v>651</v>
      </c>
      <c r="K64" s="1849" t="s">
        <v>564</v>
      </c>
      <c r="L64" s="3435" t="s">
        <v>564</v>
      </c>
      <c r="M64" s="3788"/>
      <c r="N64" s="1849" t="s">
        <v>564</v>
      </c>
      <c r="O64" s="1849" t="s">
        <v>564</v>
      </c>
      <c r="P64" s="1849" t="s">
        <v>564</v>
      </c>
      <c r="Q64" s="1850">
        <f>SUM(Q65:Q71)</f>
        <v>43868.64</v>
      </c>
      <c r="R64" s="1850">
        <f>IF('Показатели ФХД'!J89=0,0,($Q$64/'Показатели ФХД'!J89)*100)</f>
        <v>33.3452756987511</v>
      </c>
      <c r="S64" s="3390"/>
      <c r="T64" s="1928" t="s">
        <v>649</v>
      </c>
      <c r="U64" s="1300"/>
      <c r="V64" s="1300"/>
      <c r="W64" s="35190"/>
      <c r="X64" s="35190"/>
      <c r="Y64" s="35190"/>
      <c r="Z64" s="35190"/>
      <c r="AA64" s="35190"/>
      <c r="AB64" s="35190"/>
      <c r="AC64" s="1300"/>
      <c r="AD64" s="35190"/>
      <c r="AE64" s="35190"/>
      <c r="AF64" s="35190"/>
      <c r="AG64" s="35190"/>
      <c r="AH64" s="35190"/>
      <c r="AI64" s="35190"/>
      <c r="AJ64" s="35190"/>
      <c r="AK64" s="35190"/>
      <c r="AL64" s="35190"/>
      <c r="AM64" s="35190"/>
      <c r="AN64" s="35190"/>
      <c r="AO64" s="35190"/>
      <c r="AP64" s="35190"/>
      <c r="AQ64" s="35190"/>
      <c r="AR64" s="35190"/>
      <c r="AS64" s="35190"/>
      <c r="AT64" s="35190"/>
      <c r="AU64" s="35190"/>
      <c r="AV64" s="35190"/>
      <c r="AW64" s="35190"/>
      <c r="AX64" s="35190"/>
      <c r="AY64" s="35190"/>
      <c r="AZ64" s="35190"/>
      <c r="BA64" s="35190"/>
      <c r="BB64" s="35190"/>
      <c r="BC64" s="35190"/>
      <c r="BD64" s="35190"/>
      <c r="BE64" s="35190"/>
      <c r="BF64" s="35190"/>
      <c r="BG64" s="35190"/>
      <c r="BH64" s="35190"/>
      <c r="BI64" s="35190"/>
      <c r="BJ64" s="35190"/>
      <c r="BK64" s="35190"/>
      <c r="BL64" s="35190"/>
      <c r="BM64" s="35190"/>
      <c r="BN64" s="35190"/>
      <c r="BO64" s="35190"/>
      <c r="BP64" s="35190"/>
      <c r="BQ64" s="35190"/>
      <c r="BR64" s="35190"/>
      <c r="BS64" s="35190"/>
      <c r="BT64" s="35190"/>
      <c r="BU64" s="35190"/>
      <c r="BV64" s="35190"/>
      <c r="BW64" s="35190"/>
      <c r="BX64" s="35190"/>
      <c r="BY64" s="35190"/>
      <c r="BZ64" s="35190"/>
      <c r="CA64" s="35190"/>
      <c r="CB64" s="35190"/>
      <c r="CC64" s="35190"/>
      <c r="CD64" s="35190"/>
      <c r="CE64" s="35190"/>
      <c r="CF64" s="35190"/>
    </row>
    <row customHeight="1" ht="33">
      <c r="A65" s="3017"/>
      <c r="B65" s="2371"/>
      <c r="C65" s="1623"/>
      <c r="D65" s="1300"/>
      <c r="E65" s="3784"/>
      <c r="F65" s="3319">
        <v>0</v>
      </c>
      <c r="G65" s="3786"/>
      <c r="H65" s="3338"/>
      <c r="I65" s="3726" t="s">
        <v>652</v>
      </c>
      <c r="J65" s="35171" t="s">
        <v>653</v>
      </c>
      <c r="K65" s="3781" t="s">
        <v>693</v>
      </c>
      <c r="L65" s="1851"/>
      <c r="M65" s="1852" t="s">
        <v>99</v>
      </c>
      <c r="N65" s="3006" t="s">
        <v>694</v>
      </c>
      <c r="O65" s="1853">
        <v>8948.21</v>
      </c>
      <c r="P65" s="1854" t="s">
        <v>656</v>
      </c>
      <c r="Q65" s="1853">
        <f>O65</f>
        <v>8948.21</v>
      </c>
      <c r="R65" s="1855">
        <v>0</v>
      </c>
      <c r="S65" s="3390"/>
      <c r="T65" s="1928"/>
      <c r="U65" s="1300"/>
      <c r="V65" s="1300"/>
      <c r="W65" s="35190"/>
      <c r="X65" s="35190"/>
      <c r="Y65" s="35190"/>
      <c r="Z65" s="35190"/>
      <c r="AA65" s="35190"/>
      <c r="AB65" s="35190"/>
      <c r="AC65" s="1300"/>
      <c r="AD65" s="35190"/>
      <c r="AE65" s="35190"/>
      <c r="AF65" s="35190"/>
      <c r="AG65" s="35190"/>
      <c r="AH65" s="35190"/>
      <c r="AI65" s="35190"/>
      <c r="AJ65" s="35190"/>
      <c r="AK65" s="35190"/>
      <c r="AL65" s="35190"/>
      <c r="AM65" s="35190"/>
      <c r="AN65" s="35190"/>
      <c r="AO65" s="35190"/>
      <c r="AP65" s="35190"/>
      <c r="AQ65" s="35190"/>
      <c r="AR65" s="35190"/>
      <c r="AS65" s="35190"/>
      <c r="AT65" s="35190"/>
      <c r="AU65" s="35190"/>
      <c r="AV65" s="35190"/>
      <c r="AW65" s="35190"/>
      <c r="AX65" s="35190"/>
      <c r="AY65" s="35190"/>
      <c r="AZ65" s="35190"/>
      <c r="BA65" s="35190"/>
      <c r="BB65" s="35190"/>
      <c r="BC65" s="35190"/>
      <c r="BD65" s="35190"/>
      <c r="BE65" s="35190"/>
      <c r="BF65" s="35190"/>
      <c r="BG65" s="35190"/>
      <c r="BH65" s="35190"/>
      <c r="BI65" s="35190"/>
      <c r="BJ65" s="35190"/>
      <c r="BK65" s="35190"/>
      <c r="BL65" s="35190"/>
      <c r="BM65" s="35190"/>
      <c r="BN65" s="35190"/>
      <c r="BO65" s="35190"/>
      <c r="BP65" s="35190"/>
      <c r="BQ65" s="35190"/>
      <c r="BR65" s="35190"/>
      <c r="BS65" s="35190"/>
      <c r="BT65" s="35190"/>
      <c r="BU65" s="35190"/>
      <c r="BV65" s="35190"/>
      <c r="BW65" s="35190"/>
      <c r="BX65" s="35190"/>
      <c r="BY65" s="35190"/>
      <c r="BZ65" s="35190"/>
      <c r="CA65" s="35190"/>
      <c r="CB65" s="35190"/>
      <c r="CC65" s="35190"/>
      <c r="CD65" s="35190"/>
      <c r="CE65" s="35190"/>
      <c r="CF65" s="35190"/>
    </row>
    <row customHeight="1" ht="11.25">
      <c r="A66" s="3017"/>
      <c r="B66" s="2371"/>
      <c r="C66" s="1623"/>
      <c r="D66" s="1300"/>
      <c r="E66" s="3784"/>
      <c r="F66" s="3319">
        <v>0</v>
      </c>
      <c r="G66" s="3786"/>
      <c r="H66" s="3338"/>
      <c r="I66" s="3726"/>
      <c r="J66" s="3780"/>
      <c r="K66" s="3782"/>
      <c r="L66" s="1856"/>
      <c r="M66" s="1857"/>
      <c r="N66" s="1858" t="s">
        <v>657</v>
      </c>
      <c r="O66" s="1858"/>
      <c r="P66" s="1858"/>
      <c r="Q66" s="1858"/>
      <c r="R66" s="1859"/>
      <c r="S66" s="3390"/>
      <c r="T66" s="1928"/>
      <c r="U66" s="1300"/>
      <c r="V66" s="1300"/>
      <c r="W66" s="35190"/>
      <c r="X66" s="35190"/>
      <c r="Y66" s="35190"/>
      <c r="Z66" s="35190"/>
      <c r="AA66" s="35190"/>
      <c r="AB66" s="35190"/>
      <c r="AC66" s="1300"/>
      <c r="AD66" s="35190"/>
      <c r="AE66" s="35190"/>
      <c r="AF66" s="35190"/>
      <c r="AG66" s="35190"/>
      <c r="AH66" s="35190"/>
      <c r="AI66" s="35190"/>
      <c r="AJ66" s="35190"/>
      <c r="AK66" s="35190"/>
      <c r="AL66" s="35190"/>
      <c r="AM66" s="35190"/>
      <c r="AN66" s="35190"/>
      <c r="AO66" s="35190"/>
      <c r="AP66" s="35190"/>
      <c r="AQ66" s="35190"/>
      <c r="AR66" s="35190"/>
      <c r="AS66" s="35190"/>
      <c r="AT66" s="35190"/>
      <c r="AU66" s="35190"/>
      <c r="AV66" s="35190"/>
      <c r="AW66" s="35190"/>
      <c r="AX66" s="35190"/>
      <c r="AY66" s="35190"/>
      <c r="AZ66" s="35190"/>
      <c r="BA66" s="35190"/>
      <c r="BB66" s="35190"/>
      <c r="BC66" s="35190"/>
      <c r="BD66" s="35190"/>
      <c r="BE66" s="35190"/>
      <c r="BF66" s="35190"/>
      <c r="BG66" s="35190"/>
      <c r="BH66" s="35190"/>
      <c r="BI66" s="35190"/>
      <c r="BJ66" s="35190"/>
      <c r="BK66" s="35190"/>
      <c r="BL66" s="35190"/>
      <c r="BM66" s="35190"/>
      <c r="BN66" s="35190"/>
      <c r="BO66" s="35190"/>
      <c r="BP66" s="35190"/>
      <c r="BQ66" s="35190"/>
      <c r="BR66" s="35190"/>
      <c r="BS66" s="35190"/>
      <c r="BT66" s="35190"/>
      <c r="BU66" s="35190"/>
      <c r="BV66" s="35190"/>
      <c r="BW66" s="35190"/>
      <c r="BX66" s="35190"/>
      <c r="BY66" s="35190"/>
      <c r="BZ66" s="35190"/>
      <c r="CA66" s="35190"/>
      <c r="CB66" s="35190"/>
      <c r="CC66" s="35190"/>
      <c r="CD66" s="35190"/>
      <c r="CE66" s="35190"/>
      <c r="CF66" s="35190"/>
    </row>
    <row customHeight="1" ht="40.5">
      <c r="A67" s="3017"/>
      <c r="B67" s="2371"/>
      <c r="C67" s="1623"/>
      <c r="D67" s="1300"/>
      <c r="E67" s="3041"/>
      <c r="F67" s="3041"/>
      <c r="G67" s="3041"/>
      <c r="H67" s="3338" t="s">
        <v>103</v>
      </c>
      <c r="I67" s="3726" t="s">
        <v>658</v>
      </c>
      <c r="J67" s="35171" t="s">
        <v>653</v>
      </c>
      <c r="K67" s="3781" t="s">
        <v>695</v>
      </c>
      <c r="L67" s="1851"/>
      <c r="M67" s="1852" t="s">
        <v>99</v>
      </c>
      <c r="N67" s="3006" t="s">
        <v>696</v>
      </c>
      <c r="O67" s="1853">
        <v>18405.39</v>
      </c>
      <c r="P67" s="1854" t="s">
        <v>656</v>
      </c>
      <c r="Q67" s="1853">
        <f>O67</f>
        <v>18405.39</v>
      </c>
      <c r="R67" s="1855">
        <v>0</v>
      </c>
      <c r="S67" s="1300"/>
      <c r="T67" s="1928"/>
      <c r="U67" s="1300"/>
      <c r="V67" s="1300"/>
      <c r="W67" s="35190"/>
      <c r="X67" s="35190"/>
      <c r="Y67" s="35190"/>
      <c r="Z67" s="35190"/>
      <c r="AA67" s="35190"/>
      <c r="AB67" s="35190"/>
      <c r="AC67" s="1300"/>
      <c r="AD67" s="35190"/>
      <c r="AE67" s="35190"/>
      <c r="AF67" s="35190"/>
      <c r="AG67" s="35190"/>
      <c r="AH67" s="35190"/>
      <c r="AI67" s="35190"/>
      <c r="AJ67" s="35190"/>
      <c r="AK67" s="35190"/>
      <c r="AL67" s="35190"/>
      <c r="AM67" s="35190"/>
      <c r="AN67" s="35190"/>
      <c r="AO67" s="35190"/>
      <c r="AP67" s="35190"/>
      <c r="AQ67" s="35190"/>
      <c r="AR67" s="35190"/>
      <c r="AS67" s="35190"/>
      <c r="AT67" s="35190"/>
      <c r="AU67" s="35190"/>
      <c r="AV67" s="35190"/>
      <c r="AW67" s="35190"/>
      <c r="AX67" s="35190"/>
      <c r="AY67" s="35190"/>
      <c r="AZ67" s="35190"/>
      <c r="BA67" s="35190"/>
      <c r="BB67" s="35190"/>
      <c r="BC67" s="35190"/>
      <c r="BD67" s="35190"/>
      <c r="BE67" s="35190"/>
      <c r="BF67" s="35190"/>
      <c r="BG67" s="35190"/>
      <c r="BH67" s="35190"/>
      <c r="BI67" s="35190"/>
      <c r="BJ67" s="35190"/>
      <c r="BK67" s="35190"/>
      <c r="BL67" s="35190"/>
      <c r="BM67" s="35190"/>
      <c r="BN67" s="35190"/>
      <c r="BO67" s="35190"/>
      <c r="BP67" s="35190"/>
      <c r="BQ67" s="35190"/>
      <c r="BR67" s="35190"/>
      <c r="BS67" s="35190"/>
      <c r="BT67" s="35190"/>
      <c r="BU67" s="35190"/>
      <c r="BV67" s="35190"/>
      <c r="BW67" s="35190"/>
      <c r="BX67" s="35190"/>
      <c r="BY67" s="35190"/>
      <c r="BZ67" s="35190"/>
      <c r="CA67" s="35190"/>
      <c r="CB67" s="35190"/>
      <c r="CC67" s="35190"/>
      <c r="CD67" s="35190"/>
      <c r="CE67" s="35190"/>
      <c r="CF67" s="35190"/>
    </row>
    <row customHeight="1" ht="11.25">
      <c r="A68" s="3017"/>
      <c r="B68" s="2371"/>
      <c r="C68" s="1623"/>
      <c r="D68" s="1300"/>
      <c r="E68" s="3041"/>
      <c r="F68" s="3041"/>
      <c r="G68" s="3041"/>
      <c r="H68" s="3338"/>
      <c r="I68" s="3726" t="s">
        <v>652</v>
      </c>
      <c r="J68" s="3780"/>
      <c r="K68" s="3782"/>
      <c r="L68" s="1856"/>
      <c r="M68" s="1857"/>
      <c r="N68" s="1858" t="s">
        <v>657</v>
      </c>
      <c r="O68" s="1858"/>
      <c r="P68" s="1858"/>
      <c r="Q68" s="1858"/>
      <c r="R68" s="1859"/>
      <c r="S68" s="1300"/>
      <c r="T68" s="1928"/>
      <c r="U68" s="1300"/>
      <c r="V68" s="1300"/>
      <c r="W68" s="35190"/>
      <c r="X68" s="35190"/>
      <c r="Y68" s="35190"/>
      <c r="Z68" s="35190"/>
      <c r="AA68" s="35190"/>
      <c r="AB68" s="35190"/>
      <c r="AC68" s="1300"/>
      <c r="AD68" s="35190"/>
      <c r="AE68" s="35190"/>
      <c r="AF68" s="35190"/>
      <c r="AG68" s="35190"/>
      <c r="AH68" s="35190"/>
      <c r="AI68" s="35190"/>
      <c r="AJ68" s="35190"/>
      <c r="AK68" s="35190"/>
      <c r="AL68" s="35190"/>
      <c r="AM68" s="35190"/>
      <c r="AN68" s="35190"/>
      <c r="AO68" s="35190"/>
      <c r="AP68" s="35190"/>
      <c r="AQ68" s="35190"/>
      <c r="AR68" s="35190"/>
      <c r="AS68" s="35190"/>
      <c r="AT68" s="35190"/>
      <c r="AU68" s="35190"/>
      <c r="AV68" s="35190"/>
      <c r="AW68" s="35190"/>
      <c r="AX68" s="35190"/>
      <c r="AY68" s="35190"/>
      <c r="AZ68" s="35190"/>
      <c r="BA68" s="35190"/>
      <c r="BB68" s="35190"/>
      <c r="BC68" s="35190"/>
      <c r="BD68" s="35190"/>
      <c r="BE68" s="35190"/>
      <c r="BF68" s="35190"/>
      <c r="BG68" s="35190"/>
      <c r="BH68" s="35190"/>
      <c r="BI68" s="35190"/>
      <c r="BJ68" s="35190"/>
      <c r="BK68" s="35190"/>
      <c r="BL68" s="35190"/>
      <c r="BM68" s="35190"/>
      <c r="BN68" s="35190"/>
      <c r="BO68" s="35190"/>
      <c r="BP68" s="35190"/>
      <c r="BQ68" s="35190"/>
      <c r="BR68" s="35190"/>
      <c r="BS68" s="35190"/>
      <c r="BT68" s="35190"/>
      <c r="BU68" s="35190"/>
      <c r="BV68" s="35190"/>
      <c r="BW68" s="35190"/>
      <c r="BX68" s="35190"/>
      <c r="BY68" s="35190"/>
      <c r="BZ68" s="35190"/>
      <c r="CA68" s="35190"/>
      <c r="CB68" s="35190"/>
      <c r="CC68" s="35190"/>
      <c r="CD68" s="35190"/>
      <c r="CE68" s="35190"/>
      <c r="CF68" s="35190"/>
    </row>
    <row customHeight="1" ht="36.75">
      <c r="A69" s="3017"/>
      <c r="B69" s="2371"/>
      <c r="C69" s="1623"/>
      <c r="D69" s="1300"/>
      <c r="E69" s="3041"/>
      <c r="F69" s="3041"/>
      <c r="G69" s="3041"/>
      <c r="H69" s="3338" t="s">
        <v>103</v>
      </c>
      <c r="I69" s="3726" t="s">
        <v>661</v>
      </c>
      <c r="J69" s="35171" t="s">
        <v>653</v>
      </c>
      <c r="K69" s="3781" t="s">
        <v>697</v>
      </c>
      <c r="L69" s="1851"/>
      <c r="M69" s="1852" t="s">
        <v>99</v>
      </c>
      <c r="N69" s="3006" t="s">
        <v>698</v>
      </c>
      <c r="O69" s="1853">
        <v>16515.04</v>
      </c>
      <c r="P69" s="1854" t="s">
        <v>656</v>
      </c>
      <c r="Q69" s="1853">
        <f>O69</f>
        <v>16515.04</v>
      </c>
      <c r="R69" s="1855">
        <v>0</v>
      </c>
      <c r="S69" s="1300"/>
      <c r="T69" s="1928"/>
      <c r="U69" s="1300"/>
      <c r="V69" s="1300"/>
      <c r="W69" s="35190"/>
      <c r="X69" s="35190"/>
      <c r="Y69" s="35190"/>
      <c r="Z69" s="35190"/>
      <c r="AA69" s="35190"/>
      <c r="AB69" s="35190"/>
      <c r="AC69" s="1300"/>
      <c r="AD69" s="35190"/>
      <c r="AE69" s="35190"/>
      <c r="AF69" s="35190"/>
      <c r="AG69" s="35190"/>
      <c r="AH69" s="35190"/>
      <c r="AI69" s="35190"/>
      <c r="AJ69" s="35190"/>
      <c r="AK69" s="35190"/>
      <c r="AL69" s="35190"/>
      <c r="AM69" s="35190"/>
      <c r="AN69" s="35190"/>
      <c r="AO69" s="35190"/>
      <c r="AP69" s="35190"/>
      <c r="AQ69" s="35190"/>
      <c r="AR69" s="35190"/>
      <c r="AS69" s="35190"/>
      <c r="AT69" s="35190"/>
      <c r="AU69" s="35190"/>
      <c r="AV69" s="35190"/>
      <c r="AW69" s="35190"/>
      <c r="AX69" s="35190"/>
      <c r="AY69" s="35190"/>
      <c r="AZ69" s="35190"/>
      <c r="BA69" s="35190"/>
      <c r="BB69" s="35190"/>
      <c r="BC69" s="35190"/>
      <c r="BD69" s="35190"/>
      <c r="BE69" s="35190"/>
      <c r="BF69" s="35190"/>
      <c r="BG69" s="35190"/>
      <c r="BH69" s="35190"/>
      <c r="BI69" s="35190"/>
      <c r="BJ69" s="35190"/>
      <c r="BK69" s="35190"/>
      <c r="BL69" s="35190"/>
      <c r="BM69" s="35190"/>
      <c r="BN69" s="35190"/>
      <c r="BO69" s="35190"/>
      <c r="BP69" s="35190"/>
      <c r="BQ69" s="35190"/>
      <c r="BR69" s="35190"/>
      <c r="BS69" s="35190"/>
      <c r="BT69" s="35190"/>
      <c r="BU69" s="35190"/>
      <c r="BV69" s="35190"/>
      <c r="BW69" s="35190"/>
      <c r="BX69" s="35190"/>
      <c r="BY69" s="35190"/>
      <c r="BZ69" s="35190"/>
      <c r="CA69" s="35190"/>
      <c r="CB69" s="35190"/>
      <c r="CC69" s="35190"/>
      <c r="CD69" s="35190"/>
      <c r="CE69" s="35190"/>
      <c r="CF69" s="35190"/>
    </row>
    <row customHeight="1" ht="11.25">
      <c r="A70" s="3017"/>
      <c r="B70" s="2371"/>
      <c r="C70" s="1623"/>
      <c r="D70" s="1300"/>
      <c r="E70" s="3041"/>
      <c r="F70" s="3041"/>
      <c r="G70" s="3041"/>
      <c r="H70" s="3338"/>
      <c r="I70" s="3726" t="s">
        <v>658</v>
      </c>
      <c r="J70" s="3780"/>
      <c r="K70" s="3782"/>
      <c r="L70" s="1856"/>
      <c r="M70" s="1857"/>
      <c r="N70" s="1858" t="s">
        <v>657</v>
      </c>
      <c r="O70" s="1858"/>
      <c r="P70" s="1858"/>
      <c r="Q70" s="1858"/>
      <c r="R70" s="1859"/>
      <c r="S70" s="1300"/>
      <c r="T70" s="1928"/>
      <c r="U70" s="1300"/>
      <c r="V70" s="1300"/>
      <c r="W70" s="35190"/>
      <c r="X70" s="35190"/>
      <c r="Y70" s="35190"/>
      <c r="Z70" s="35190"/>
      <c r="AA70" s="35190"/>
      <c r="AB70" s="35190"/>
      <c r="AC70" s="1300"/>
      <c r="AD70" s="35190"/>
      <c r="AE70" s="35190"/>
      <c r="AF70" s="35190"/>
      <c r="AG70" s="35190"/>
      <c r="AH70" s="35190"/>
      <c r="AI70" s="35190"/>
      <c r="AJ70" s="35190"/>
      <c r="AK70" s="35190"/>
      <c r="AL70" s="35190"/>
      <c r="AM70" s="35190"/>
      <c r="AN70" s="35190"/>
      <c r="AO70" s="35190"/>
      <c r="AP70" s="35190"/>
      <c r="AQ70" s="35190"/>
      <c r="AR70" s="35190"/>
      <c r="AS70" s="35190"/>
      <c r="AT70" s="35190"/>
      <c r="AU70" s="35190"/>
      <c r="AV70" s="35190"/>
      <c r="AW70" s="35190"/>
      <c r="AX70" s="35190"/>
      <c r="AY70" s="35190"/>
      <c r="AZ70" s="35190"/>
      <c r="BA70" s="35190"/>
      <c r="BB70" s="35190"/>
      <c r="BC70" s="35190"/>
      <c r="BD70" s="35190"/>
      <c r="BE70" s="35190"/>
      <c r="BF70" s="35190"/>
      <c r="BG70" s="35190"/>
      <c r="BH70" s="35190"/>
      <c r="BI70" s="35190"/>
      <c r="BJ70" s="35190"/>
      <c r="BK70" s="35190"/>
      <c r="BL70" s="35190"/>
      <c r="BM70" s="35190"/>
      <c r="BN70" s="35190"/>
      <c r="BO70" s="35190"/>
      <c r="BP70" s="35190"/>
      <c r="BQ70" s="35190"/>
      <c r="BR70" s="35190"/>
      <c r="BS70" s="35190"/>
      <c r="BT70" s="35190"/>
      <c r="BU70" s="35190"/>
      <c r="BV70" s="35190"/>
      <c r="BW70" s="35190"/>
      <c r="BX70" s="35190"/>
      <c r="BY70" s="35190"/>
      <c r="BZ70" s="35190"/>
      <c r="CA70" s="35190"/>
      <c r="CB70" s="35190"/>
      <c r="CC70" s="35190"/>
      <c r="CD70" s="35190"/>
      <c r="CE70" s="35190"/>
      <c r="CF70" s="35190"/>
    </row>
    <row customHeight="1" ht="11.25">
      <c r="A71" s="3017"/>
      <c r="B71" s="2371"/>
      <c r="C71" s="1623"/>
      <c r="D71" s="1300"/>
      <c r="E71" s="3785"/>
      <c r="F71" s="3319">
        <v>0</v>
      </c>
      <c r="G71" s="3787"/>
      <c r="H71" s="1856" t="s">
        <v>22</v>
      </c>
      <c r="I71" s="1857"/>
      <c r="J71" s="1858" t="s">
        <v>667</v>
      </c>
      <c r="K71" s="1858"/>
      <c r="L71" s="1858"/>
      <c r="M71" s="1858"/>
      <c r="N71" s="1858"/>
      <c r="O71" s="1858"/>
      <c r="P71" s="1858"/>
      <c r="Q71" s="1858"/>
      <c r="R71" s="1859"/>
      <c r="S71" s="3390"/>
      <c r="T71" s="1928"/>
      <c r="U71" s="1300"/>
      <c r="V71" s="1300"/>
      <c r="W71" s="35190"/>
      <c r="X71" s="35190"/>
      <c r="Y71" s="35190"/>
      <c r="Z71" s="35190"/>
      <c r="AA71" s="35190"/>
      <c r="AB71" s="35190"/>
      <c r="AC71" s="1300"/>
      <c r="AD71" s="35190"/>
      <c r="AE71" s="35190"/>
      <c r="AF71" s="35190"/>
      <c r="AG71" s="35190"/>
      <c r="AH71" s="35190"/>
      <c r="AI71" s="35190"/>
      <c r="AJ71" s="35190"/>
      <c r="AK71" s="35190"/>
      <c r="AL71" s="35190"/>
      <c r="AM71" s="35190"/>
      <c r="AN71" s="35190"/>
      <c r="AO71" s="35190"/>
      <c r="AP71" s="35190"/>
      <c r="AQ71" s="35190"/>
      <c r="AR71" s="35190"/>
      <c r="AS71" s="35190"/>
      <c r="AT71" s="35190"/>
      <c r="AU71" s="35190"/>
      <c r="AV71" s="35190"/>
      <c r="AW71" s="35190"/>
      <c r="AX71" s="35190"/>
      <c r="AY71" s="35190"/>
      <c r="AZ71" s="35190"/>
      <c r="BA71" s="35190"/>
      <c r="BB71" s="35190"/>
      <c r="BC71" s="35190"/>
      <c r="BD71" s="35190"/>
      <c r="BE71" s="35190"/>
      <c r="BF71" s="35190"/>
      <c r="BG71" s="35190"/>
      <c r="BH71" s="35190"/>
      <c r="BI71" s="35190"/>
      <c r="BJ71" s="35190"/>
      <c r="BK71" s="35190"/>
      <c r="BL71" s="35190"/>
      <c r="BM71" s="35190"/>
      <c r="BN71" s="35190"/>
      <c r="BO71" s="35190"/>
      <c r="BP71" s="35190"/>
      <c r="BQ71" s="35190"/>
      <c r="BR71" s="35190"/>
      <c r="BS71" s="35190"/>
      <c r="BT71" s="35190"/>
      <c r="BU71" s="35190"/>
      <c r="BV71" s="35190"/>
      <c r="BW71" s="35190"/>
      <c r="BX71" s="35190"/>
      <c r="BY71" s="35190"/>
      <c r="BZ71" s="35190"/>
      <c r="CA71" s="35190"/>
      <c r="CB71" s="35190"/>
      <c r="CC71" s="35190"/>
      <c r="CD71" s="35190"/>
      <c r="CE71" s="35190"/>
      <c r="CF71" s="35190"/>
    </row>
    <row customHeight="1" ht="45">
      <c r="A72" s="3017"/>
      <c r="B72" s="2371"/>
      <c r="C72" s="1623"/>
      <c r="D72" s="1300"/>
      <c r="E72" s="3783" t="s">
        <v>103</v>
      </c>
      <c r="F72" s="3319" t="s">
        <v>102</v>
      </c>
      <c r="G72" s="3786" t="s">
        <v>699</v>
      </c>
      <c r="H72" s="1500"/>
      <c r="I72" s="1848" t="s">
        <v>99</v>
      </c>
      <c r="J72" s="3018" t="s">
        <v>651</v>
      </c>
      <c r="K72" s="1849" t="s">
        <v>564</v>
      </c>
      <c r="L72" s="3435" t="s">
        <v>564</v>
      </c>
      <c r="M72" s="3788"/>
      <c r="N72" s="1849" t="s">
        <v>564</v>
      </c>
      <c r="O72" s="1849" t="s">
        <v>564</v>
      </c>
      <c r="P72" s="1849" t="s">
        <v>564</v>
      </c>
      <c r="Q72" s="1850">
        <f>SUM(Q73:Q75)</f>
        <v>2671.18</v>
      </c>
      <c r="R72" s="1850">
        <f>IF('Показатели ФХД'!J89=0,0,($Q$72/'Показатели ФХД'!J89)*100)</f>
        <v>2.03040790735683</v>
      </c>
      <c r="S72" s="3390"/>
      <c r="T72" s="1928" t="s">
        <v>649</v>
      </c>
      <c r="U72" s="1300"/>
      <c r="V72" s="1300"/>
      <c r="W72" s="35190"/>
      <c r="X72" s="35190"/>
      <c r="Y72" s="35190"/>
      <c r="Z72" s="35190"/>
      <c r="AA72" s="35190"/>
      <c r="AB72" s="35190"/>
      <c r="AC72" s="1300"/>
      <c r="AD72" s="35190"/>
      <c r="AE72" s="35190"/>
      <c r="AF72" s="35190"/>
      <c r="AG72" s="35190"/>
      <c r="AH72" s="35190"/>
      <c r="AI72" s="35190"/>
      <c r="AJ72" s="35190"/>
      <c r="AK72" s="35190"/>
      <c r="AL72" s="35190"/>
      <c r="AM72" s="35190"/>
      <c r="AN72" s="35190"/>
      <c r="AO72" s="35190"/>
      <c r="AP72" s="35190"/>
      <c r="AQ72" s="35190"/>
      <c r="AR72" s="35190"/>
      <c r="AS72" s="35190"/>
      <c r="AT72" s="35190"/>
      <c r="AU72" s="35190"/>
      <c r="AV72" s="35190"/>
      <c r="AW72" s="35190"/>
      <c r="AX72" s="35190"/>
      <c r="AY72" s="35190"/>
      <c r="AZ72" s="35190"/>
      <c r="BA72" s="35190"/>
      <c r="BB72" s="35190"/>
      <c r="BC72" s="35190"/>
      <c r="BD72" s="35190"/>
      <c r="BE72" s="35190"/>
      <c r="BF72" s="35190"/>
      <c r="BG72" s="35190"/>
      <c r="BH72" s="35190"/>
      <c r="BI72" s="35190"/>
      <c r="BJ72" s="35190"/>
      <c r="BK72" s="35190"/>
      <c r="BL72" s="35190"/>
      <c r="BM72" s="35190"/>
      <c r="BN72" s="35190"/>
      <c r="BO72" s="35190"/>
      <c r="BP72" s="35190"/>
      <c r="BQ72" s="35190"/>
      <c r="BR72" s="35190"/>
      <c r="BS72" s="35190"/>
      <c r="BT72" s="35190"/>
      <c r="BU72" s="35190"/>
      <c r="BV72" s="35190"/>
      <c r="BW72" s="35190"/>
      <c r="BX72" s="35190"/>
      <c r="BY72" s="35190"/>
      <c r="BZ72" s="35190"/>
      <c r="CA72" s="35190"/>
      <c r="CB72" s="35190"/>
      <c r="CC72" s="35190"/>
      <c r="CD72" s="35190"/>
      <c r="CE72" s="35190"/>
      <c r="CF72" s="35190"/>
    </row>
    <row customHeight="1" ht="24.75">
      <c r="A73" s="3017"/>
      <c r="B73" s="2371"/>
      <c r="C73" s="1623"/>
      <c r="D73" s="1300"/>
      <c r="E73" s="3784"/>
      <c r="F73" s="3319" t="s">
        <v>99</v>
      </c>
      <c r="G73" s="3786"/>
      <c r="H73" s="3338"/>
      <c r="I73" s="3726" t="s">
        <v>652</v>
      </c>
      <c r="J73" s="35171" t="s">
        <v>672</v>
      </c>
      <c r="K73" s="3781" t="s">
        <v>700</v>
      </c>
      <c r="L73" s="1851"/>
      <c r="M73" s="1852" t="s">
        <v>99</v>
      </c>
      <c r="N73" s="3006" t="s">
        <v>701</v>
      </c>
      <c r="O73" s="1853">
        <v>2671.18</v>
      </c>
      <c r="P73" s="1854" t="s">
        <v>656</v>
      </c>
      <c r="Q73" s="1853">
        <f>O73</f>
        <v>2671.18</v>
      </c>
      <c r="R73" s="1855">
        <v>0</v>
      </c>
      <c r="S73" s="3390"/>
      <c r="T73" s="1928"/>
      <c r="U73" s="1300"/>
      <c r="V73" s="1300"/>
      <c r="W73" s="35190"/>
      <c r="X73" s="35190"/>
      <c r="Y73" s="35190"/>
      <c r="Z73" s="35190"/>
      <c r="AA73" s="35190"/>
      <c r="AB73" s="35190"/>
      <c r="AC73" s="1300"/>
      <c r="AD73" s="35190"/>
      <c r="AE73" s="35190"/>
      <c r="AF73" s="35190"/>
      <c r="AG73" s="35190"/>
      <c r="AH73" s="35190"/>
      <c r="AI73" s="35190"/>
      <c r="AJ73" s="35190"/>
      <c r="AK73" s="35190"/>
      <c r="AL73" s="35190"/>
      <c r="AM73" s="35190"/>
      <c r="AN73" s="35190"/>
      <c r="AO73" s="35190"/>
      <c r="AP73" s="35190"/>
      <c r="AQ73" s="35190"/>
      <c r="AR73" s="35190"/>
      <c r="AS73" s="35190"/>
      <c r="AT73" s="35190"/>
      <c r="AU73" s="35190"/>
      <c r="AV73" s="35190"/>
      <c r="AW73" s="35190"/>
      <c r="AX73" s="35190"/>
      <c r="AY73" s="35190"/>
      <c r="AZ73" s="35190"/>
      <c r="BA73" s="35190"/>
      <c r="BB73" s="35190"/>
      <c r="BC73" s="35190"/>
      <c r="BD73" s="35190"/>
      <c r="BE73" s="35190"/>
      <c r="BF73" s="35190"/>
      <c r="BG73" s="35190"/>
      <c r="BH73" s="35190"/>
      <c r="BI73" s="35190"/>
      <c r="BJ73" s="35190"/>
      <c r="BK73" s="35190"/>
      <c r="BL73" s="35190"/>
      <c r="BM73" s="35190"/>
      <c r="BN73" s="35190"/>
      <c r="BO73" s="35190"/>
      <c r="BP73" s="35190"/>
      <c r="BQ73" s="35190"/>
      <c r="BR73" s="35190"/>
      <c r="BS73" s="35190"/>
      <c r="BT73" s="35190"/>
      <c r="BU73" s="35190"/>
      <c r="BV73" s="35190"/>
      <c r="BW73" s="35190"/>
      <c r="BX73" s="35190"/>
      <c r="BY73" s="35190"/>
      <c r="BZ73" s="35190"/>
      <c r="CA73" s="35190"/>
      <c r="CB73" s="35190"/>
      <c r="CC73" s="35190"/>
      <c r="CD73" s="35190"/>
      <c r="CE73" s="35190"/>
      <c r="CF73" s="35190"/>
    </row>
    <row customHeight="1" ht="11.25">
      <c r="A74" s="3017"/>
      <c r="B74" s="2371"/>
      <c r="C74" s="1623"/>
      <c r="D74" s="1300"/>
      <c r="E74" s="3784"/>
      <c r="F74" s="3319" t="s">
        <v>99</v>
      </c>
      <c r="G74" s="3786"/>
      <c r="H74" s="3338"/>
      <c r="I74" s="3726"/>
      <c r="J74" s="3780"/>
      <c r="K74" s="3782"/>
      <c r="L74" s="1856"/>
      <c r="M74" s="1857"/>
      <c r="N74" s="1858" t="s">
        <v>657</v>
      </c>
      <c r="O74" s="1858"/>
      <c r="P74" s="1858"/>
      <c r="Q74" s="1858"/>
      <c r="R74" s="1859"/>
      <c r="S74" s="3390"/>
      <c r="T74" s="1928"/>
      <c r="U74" s="1300"/>
      <c r="V74" s="1300"/>
      <c r="W74" s="35190"/>
      <c r="X74" s="35190"/>
      <c r="Y74" s="35190"/>
      <c r="Z74" s="35190"/>
      <c r="AA74" s="35190"/>
      <c r="AB74" s="35190"/>
      <c r="AC74" s="1300"/>
      <c r="AD74" s="35190"/>
      <c r="AE74" s="35190"/>
      <c r="AF74" s="35190"/>
      <c r="AG74" s="35190"/>
      <c r="AH74" s="35190"/>
      <c r="AI74" s="35190"/>
      <c r="AJ74" s="35190"/>
      <c r="AK74" s="35190"/>
      <c r="AL74" s="35190"/>
      <c r="AM74" s="35190"/>
      <c r="AN74" s="35190"/>
      <c r="AO74" s="35190"/>
      <c r="AP74" s="35190"/>
      <c r="AQ74" s="35190"/>
      <c r="AR74" s="35190"/>
      <c r="AS74" s="35190"/>
      <c r="AT74" s="35190"/>
      <c r="AU74" s="35190"/>
      <c r="AV74" s="35190"/>
      <c r="AW74" s="35190"/>
      <c r="AX74" s="35190"/>
      <c r="AY74" s="35190"/>
      <c r="AZ74" s="35190"/>
      <c r="BA74" s="35190"/>
      <c r="BB74" s="35190"/>
      <c r="BC74" s="35190"/>
      <c r="BD74" s="35190"/>
      <c r="BE74" s="35190"/>
      <c r="BF74" s="35190"/>
      <c r="BG74" s="35190"/>
      <c r="BH74" s="35190"/>
      <c r="BI74" s="35190"/>
      <c r="BJ74" s="35190"/>
      <c r="BK74" s="35190"/>
      <c r="BL74" s="35190"/>
      <c r="BM74" s="35190"/>
      <c r="BN74" s="35190"/>
      <c r="BO74" s="35190"/>
      <c r="BP74" s="35190"/>
      <c r="BQ74" s="35190"/>
      <c r="BR74" s="35190"/>
      <c r="BS74" s="35190"/>
      <c r="BT74" s="35190"/>
      <c r="BU74" s="35190"/>
      <c r="BV74" s="35190"/>
      <c r="BW74" s="35190"/>
      <c r="BX74" s="35190"/>
      <c r="BY74" s="35190"/>
      <c r="BZ74" s="35190"/>
      <c r="CA74" s="35190"/>
      <c r="CB74" s="35190"/>
      <c r="CC74" s="35190"/>
      <c r="CD74" s="35190"/>
      <c r="CE74" s="35190"/>
      <c r="CF74" s="35190"/>
    </row>
    <row customHeight="1" ht="11.25">
      <c r="A75" s="3017"/>
      <c r="B75" s="2371"/>
      <c r="C75" s="1623"/>
      <c r="D75" s="1300"/>
      <c r="E75" s="3785"/>
      <c r="F75" s="3319" t="s">
        <v>99</v>
      </c>
      <c r="G75" s="3787"/>
      <c r="H75" s="1856" t="s">
        <v>22</v>
      </c>
      <c r="I75" s="1857"/>
      <c r="J75" s="1858" t="s">
        <v>667</v>
      </c>
      <c r="K75" s="1858"/>
      <c r="L75" s="1858"/>
      <c r="M75" s="1858"/>
      <c r="N75" s="1858"/>
      <c r="O75" s="1858"/>
      <c r="P75" s="1858"/>
      <c r="Q75" s="1858"/>
      <c r="R75" s="1859"/>
      <c r="S75" s="3390"/>
      <c r="T75" s="1928"/>
      <c r="U75" s="1300"/>
      <c r="V75" s="1300"/>
      <c r="W75" s="35190"/>
      <c r="X75" s="35190"/>
      <c r="Y75" s="35190"/>
      <c r="Z75" s="35190"/>
      <c r="AA75" s="35190"/>
      <c r="AB75" s="35190"/>
      <c r="AC75" s="1300"/>
      <c r="AD75" s="35190"/>
      <c r="AE75" s="35190"/>
      <c r="AF75" s="35190"/>
      <c r="AG75" s="35190"/>
      <c r="AH75" s="35190"/>
      <c r="AI75" s="35190"/>
      <c r="AJ75" s="35190"/>
      <c r="AK75" s="35190"/>
      <c r="AL75" s="35190"/>
      <c r="AM75" s="35190"/>
      <c r="AN75" s="35190"/>
      <c r="AO75" s="35190"/>
      <c r="AP75" s="35190"/>
      <c r="AQ75" s="35190"/>
      <c r="AR75" s="35190"/>
      <c r="AS75" s="35190"/>
      <c r="AT75" s="35190"/>
      <c r="AU75" s="35190"/>
      <c r="AV75" s="35190"/>
      <c r="AW75" s="35190"/>
      <c r="AX75" s="35190"/>
      <c r="AY75" s="35190"/>
      <c r="AZ75" s="35190"/>
      <c r="BA75" s="35190"/>
      <c r="BB75" s="35190"/>
      <c r="BC75" s="35190"/>
      <c r="BD75" s="35190"/>
      <c r="BE75" s="35190"/>
      <c r="BF75" s="35190"/>
      <c r="BG75" s="35190"/>
      <c r="BH75" s="35190"/>
      <c r="BI75" s="35190"/>
      <c r="BJ75" s="35190"/>
      <c r="BK75" s="35190"/>
      <c r="BL75" s="35190"/>
      <c r="BM75" s="35190"/>
      <c r="BN75" s="35190"/>
      <c r="BO75" s="35190"/>
      <c r="BP75" s="35190"/>
      <c r="BQ75" s="35190"/>
      <c r="BR75" s="35190"/>
      <c r="BS75" s="35190"/>
      <c r="BT75" s="35190"/>
      <c r="BU75" s="35190"/>
      <c r="BV75" s="35190"/>
      <c r="BW75" s="35190"/>
      <c r="BX75" s="35190"/>
      <c r="BY75" s="35190"/>
      <c r="BZ75" s="35190"/>
      <c r="CA75" s="35190"/>
      <c r="CB75" s="35190"/>
      <c r="CC75" s="35190"/>
      <c r="CD75" s="35190"/>
      <c r="CE75" s="35190"/>
      <c r="CF75" s="35190"/>
    </row>
    <row customHeight="1" ht="45">
      <c r="A76" s="3017"/>
      <c r="B76" s="2371"/>
      <c r="C76" s="1623"/>
      <c r="D76" s="1300"/>
      <c r="E76" s="3783" t="s">
        <v>103</v>
      </c>
      <c r="F76" s="3319" t="s">
        <v>90</v>
      </c>
      <c r="G76" s="3786" t="s">
        <v>702</v>
      </c>
      <c r="H76" s="1500"/>
      <c r="I76" s="1848" t="s">
        <v>99</v>
      </c>
      <c r="J76" s="3018" t="s">
        <v>651</v>
      </c>
      <c r="K76" s="1849" t="s">
        <v>564</v>
      </c>
      <c r="L76" s="3435" t="s">
        <v>564</v>
      </c>
      <c r="M76" s="3788"/>
      <c r="N76" s="1849" t="s">
        <v>564</v>
      </c>
      <c r="O76" s="1849" t="s">
        <v>564</v>
      </c>
      <c r="P76" s="1849" t="s">
        <v>564</v>
      </c>
      <c r="Q76" s="1850">
        <f>SUM(Q77:Q79)</f>
        <v>959.8</v>
      </c>
      <c r="R76" s="1850">
        <f>IF('Показатели ФХД'!J89=0,0,($Q$76/'Показатели ФХД'!J89)*100)</f>
        <v>0.729559786117403</v>
      </c>
      <c r="S76" s="3390"/>
      <c r="T76" s="1928" t="s">
        <v>649</v>
      </c>
      <c r="U76" s="1300"/>
      <c r="V76" s="1300"/>
      <c r="W76" s="35190"/>
      <c r="X76" s="35190"/>
      <c r="Y76" s="35190"/>
      <c r="Z76" s="35190"/>
      <c r="AA76" s="35190"/>
      <c r="AB76" s="35190"/>
      <c r="AC76" s="1300"/>
      <c r="AD76" s="35190"/>
      <c r="AE76" s="35190"/>
      <c r="AF76" s="35190"/>
      <c r="AG76" s="35190"/>
      <c r="AH76" s="35190"/>
      <c r="AI76" s="35190"/>
      <c r="AJ76" s="35190"/>
      <c r="AK76" s="35190"/>
      <c r="AL76" s="35190"/>
      <c r="AM76" s="35190"/>
      <c r="AN76" s="35190"/>
      <c r="AO76" s="35190"/>
      <c r="AP76" s="35190"/>
      <c r="AQ76" s="35190"/>
      <c r="AR76" s="35190"/>
      <c r="AS76" s="35190"/>
      <c r="AT76" s="35190"/>
      <c r="AU76" s="35190"/>
      <c r="AV76" s="35190"/>
      <c r="AW76" s="35190"/>
      <c r="AX76" s="35190"/>
      <c r="AY76" s="35190"/>
      <c r="AZ76" s="35190"/>
      <c r="BA76" s="35190"/>
      <c r="BB76" s="35190"/>
      <c r="BC76" s="35190"/>
      <c r="BD76" s="35190"/>
      <c r="BE76" s="35190"/>
      <c r="BF76" s="35190"/>
      <c r="BG76" s="35190"/>
      <c r="BH76" s="35190"/>
      <c r="BI76" s="35190"/>
      <c r="BJ76" s="35190"/>
      <c r="BK76" s="35190"/>
      <c r="BL76" s="35190"/>
      <c r="BM76" s="35190"/>
      <c r="BN76" s="35190"/>
      <c r="BO76" s="35190"/>
      <c r="BP76" s="35190"/>
      <c r="BQ76" s="35190"/>
      <c r="BR76" s="35190"/>
      <c r="BS76" s="35190"/>
      <c r="BT76" s="35190"/>
      <c r="BU76" s="35190"/>
      <c r="BV76" s="35190"/>
      <c r="BW76" s="35190"/>
      <c r="BX76" s="35190"/>
      <c r="BY76" s="35190"/>
      <c r="BZ76" s="35190"/>
      <c r="CA76" s="35190"/>
      <c r="CB76" s="35190"/>
      <c r="CC76" s="35190"/>
      <c r="CD76" s="35190"/>
      <c r="CE76" s="35190"/>
      <c r="CF76" s="35190"/>
    </row>
    <row customHeight="1" ht="33.75">
      <c r="A77" s="3017"/>
      <c r="B77" s="2371"/>
      <c r="C77" s="1623"/>
      <c r="D77" s="1300"/>
      <c r="E77" s="3784"/>
      <c r="F77" s="3319" t="s">
        <v>102</v>
      </c>
      <c r="G77" s="3786"/>
      <c r="H77" s="3338"/>
      <c r="I77" s="3726" t="s">
        <v>652</v>
      </c>
      <c r="J77" s="41344" t="s">
        <v>672</v>
      </c>
      <c r="K77" s="3781" t="s">
        <v>703</v>
      </c>
      <c r="L77" s="1851"/>
      <c r="M77" s="1852" t="s">
        <v>99</v>
      </c>
      <c r="N77" s="3006" t="s">
        <v>704</v>
      </c>
      <c r="O77" s="1853">
        <v>959.8</v>
      </c>
      <c r="P77" s="1854" t="s">
        <v>656</v>
      </c>
      <c r="Q77" s="1853">
        <f>O77</f>
        <v>959.8</v>
      </c>
      <c r="R77" s="1855">
        <v>0</v>
      </c>
      <c r="S77" s="3390"/>
      <c r="T77" s="1928"/>
      <c r="U77" s="1300"/>
      <c r="V77" s="1300"/>
      <c r="W77" s="35190"/>
      <c r="X77" s="35190"/>
      <c r="Y77" s="35190"/>
      <c r="Z77" s="35190"/>
      <c r="AA77" s="35190"/>
      <c r="AB77" s="35190"/>
      <c r="AC77" s="1300"/>
      <c r="AD77" s="35190"/>
      <c r="AE77" s="35190"/>
      <c r="AF77" s="35190"/>
      <c r="AG77" s="35190"/>
      <c r="AH77" s="35190"/>
      <c r="AI77" s="35190"/>
      <c r="AJ77" s="35190"/>
      <c r="AK77" s="35190"/>
      <c r="AL77" s="35190"/>
      <c r="AM77" s="35190"/>
      <c r="AN77" s="35190"/>
      <c r="AO77" s="35190"/>
      <c r="AP77" s="35190"/>
      <c r="AQ77" s="35190"/>
      <c r="AR77" s="35190"/>
      <c r="AS77" s="35190"/>
      <c r="AT77" s="35190"/>
      <c r="AU77" s="35190"/>
      <c r="AV77" s="35190"/>
      <c r="AW77" s="35190"/>
      <c r="AX77" s="35190"/>
      <c r="AY77" s="35190"/>
      <c r="AZ77" s="35190"/>
      <c r="BA77" s="35190"/>
      <c r="BB77" s="35190"/>
      <c r="BC77" s="35190"/>
      <c r="BD77" s="35190"/>
      <c r="BE77" s="35190"/>
      <c r="BF77" s="35190"/>
      <c r="BG77" s="35190"/>
      <c r="BH77" s="35190"/>
      <c r="BI77" s="35190"/>
      <c r="BJ77" s="35190"/>
      <c r="BK77" s="35190"/>
      <c r="BL77" s="35190"/>
      <c r="BM77" s="35190"/>
      <c r="BN77" s="35190"/>
      <c r="BO77" s="35190"/>
      <c r="BP77" s="35190"/>
      <c r="BQ77" s="35190"/>
      <c r="BR77" s="35190"/>
      <c r="BS77" s="35190"/>
      <c r="BT77" s="35190"/>
      <c r="BU77" s="35190"/>
      <c r="BV77" s="35190"/>
      <c r="BW77" s="35190"/>
      <c r="BX77" s="35190"/>
      <c r="BY77" s="35190"/>
      <c r="BZ77" s="35190"/>
      <c r="CA77" s="35190"/>
      <c r="CB77" s="35190"/>
      <c r="CC77" s="35190"/>
      <c r="CD77" s="35190"/>
      <c r="CE77" s="35190"/>
      <c r="CF77" s="35190"/>
    </row>
    <row customHeight="1" ht="11.25">
      <c r="A78" s="3017"/>
      <c r="B78" s="2371"/>
      <c r="C78" s="1623"/>
      <c r="D78" s="1300"/>
      <c r="E78" s="3784"/>
      <c r="F78" s="3319" t="s">
        <v>102</v>
      </c>
      <c r="G78" s="3786"/>
      <c r="H78" s="3338"/>
      <c r="I78" s="3726"/>
      <c r="J78" s="3780"/>
      <c r="K78" s="3782"/>
      <c r="L78" s="1856"/>
      <c r="M78" s="1857"/>
      <c r="N78" s="1858" t="s">
        <v>657</v>
      </c>
      <c r="O78" s="1858"/>
      <c r="P78" s="1858"/>
      <c r="Q78" s="1858"/>
      <c r="R78" s="1859"/>
      <c r="S78" s="3390"/>
      <c r="T78" s="1928"/>
      <c r="U78" s="1300"/>
      <c r="V78" s="1300"/>
      <c r="W78" s="35190"/>
      <c r="X78" s="35190"/>
      <c r="Y78" s="35190"/>
      <c r="Z78" s="35190"/>
      <c r="AA78" s="35190"/>
      <c r="AB78" s="35190"/>
      <c r="AC78" s="1300"/>
      <c r="AD78" s="35190"/>
      <c r="AE78" s="35190"/>
      <c r="AF78" s="35190"/>
      <c r="AG78" s="35190"/>
      <c r="AH78" s="35190"/>
      <c r="AI78" s="35190"/>
      <c r="AJ78" s="35190"/>
      <c r="AK78" s="35190"/>
      <c r="AL78" s="35190"/>
      <c r="AM78" s="35190"/>
      <c r="AN78" s="35190"/>
      <c r="AO78" s="35190"/>
      <c r="AP78" s="35190"/>
      <c r="AQ78" s="35190"/>
      <c r="AR78" s="35190"/>
      <c r="AS78" s="35190"/>
      <c r="AT78" s="35190"/>
      <c r="AU78" s="35190"/>
      <c r="AV78" s="35190"/>
      <c r="AW78" s="35190"/>
      <c r="AX78" s="35190"/>
      <c r="AY78" s="35190"/>
      <c r="AZ78" s="35190"/>
      <c r="BA78" s="35190"/>
      <c r="BB78" s="35190"/>
      <c r="BC78" s="35190"/>
      <c r="BD78" s="35190"/>
      <c r="BE78" s="35190"/>
      <c r="BF78" s="35190"/>
      <c r="BG78" s="35190"/>
      <c r="BH78" s="35190"/>
      <c r="BI78" s="35190"/>
      <c r="BJ78" s="35190"/>
      <c r="BK78" s="35190"/>
      <c r="BL78" s="35190"/>
      <c r="BM78" s="35190"/>
      <c r="BN78" s="35190"/>
      <c r="BO78" s="35190"/>
      <c r="BP78" s="35190"/>
      <c r="BQ78" s="35190"/>
      <c r="BR78" s="35190"/>
      <c r="BS78" s="35190"/>
      <c r="BT78" s="35190"/>
      <c r="BU78" s="35190"/>
      <c r="BV78" s="35190"/>
      <c r="BW78" s="35190"/>
      <c r="BX78" s="35190"/>
      <c r="BY78" s="35190"/>
      <c r="BZ78" s="35190"/>
      <c r="CA78" s="35190"/>
      <c r="CB78" s="35190"/>
      <c r="CC78" s="35190"/>
      <c r="CD78" s="35190"/>
      <c r="CE78" s="35190"/>
      <c r="CF78" s="35190"/>
    </row>
    <row customHeight="1" ht="11.25">
      <c r="A79" s="3017"/>
      <c r="B79" s="2371"/>
      <c r="C79" s="1623"/>
      <c r="D79" s="1300"/>
      <c r="E79" s="3785"/>
      <c r="F79" s="3319" t="s">
        <v>102</v>
      </c>
      <c r="G79" s="3787"/>
      <c r="H79" s="1856" t="s">
        <v>22</v>
      </c>
      <c r="I79" s="1857"/>
      <c r="J79" s="1858" t="s">
        <v>667</v>
      </c>
      <c r="K79" s="1858"/>
      <c r="L79" s="1858"/>
      <c r="M79" s="1858"/>
      <c r="N79" s="1858"/>
      <c r="O79" s="1858"/>
      <c r="P79" s="1858"/>
      <c r="Q79" s="1858"/>
      <c r="R79" s="1859"/>
      <c r="S79" s="3390"/>
      <c r="T79" s="1928"/>
      <c r="U79" s="1300"/>
      <c r="V79" s="1300"/>
      <c r="W79" s="35190"/>
      <c r="X79" s="35190"/>
      <c r="Y79" s="35190"/>
      <c r="Z79" s="35190"/>
      <c r="AA79" s="35190"/>
      <c r="AB79" s="35190"/>
      <c r="AC79" s="1300"/>
      <c r="AD79" s="35190"/>
      <c r="AE79" s="35190"/>
      <c r="AF79" s="35190"/>
      <c r="AG79" s="35190"/>
      <c r="AH79" s="35190"/>
      <c r="AI79" s="35190"/>
      <c r="AJ79" s="35190"/>
      <c r="AK79" s="35190"/>
      <c r="AL79" s="35190"/>
      <c r="AM79" s="35190"/>
      <c r="AN79" s="35190"/>
      <c r="AO79" s="35190"/>
      <c r="AP79" s="35190"/>
      <c r="AQ79" s="35190"/>
      <c r="AR79" s="35190"/>
      <c r="AS79" s="35190"/>
      <c r="AT79" s="35190"/>
      <c r="AU79" s="35190"/>
      <c r="AV79" s="35190"/>
      <c r="AW79" s="35190"/>
      <c r="AX79" s="35190"/>
      <c r="AY79" s="35190"/>
      <c r="AZ79" s="35190"/>
      <c r="BA79" s="35190"/>
      <c r="BB79" s="35190"/>
      <c r="BC79" s="35190"/>
      <c r="BD79" s="35190"/>
      <c r="BE79" s="35190"/>
      <c r="BF79" s="35190"/>
      <c r="BG79" s="35190"/>
      <c r="BH79" s="35190"/>
      <c r="BI79" s="35190"/>
      <c r="BJ79" s="35190"/>
      <c r="BK79" s="35190"/>
      <c r="BL79" s="35190"/>
      <c r="BM79" s="35190"/>
      <c r="BN79" s="35190"/>
      <c r="BO79" s="35190"/>
      <c r="BP79" s="35190"/>
      <c r="BQ79" s="35190"/>
      <c r="BR79" s="35190"/>
      <c r="BS79" s="35190"/>
      <c r="BT79" s="35190"/>
      <c r="BU79" s="35190"/>
      <c r="BV79" s="35190"/>
      <c r="BW79" s="35190"/>
      <c r="BX79" s="35190"/>
      <c r="BY79" s="35190"/>
      <c r="BZ79" s="35190"/>
      <c r="CA79" s="35190"/>
      <c r="CB79" s="35190"/>
      <c r="CC79" s="35190"/>
      <c r="CD79" s="35190"/>
      <c r="CE79" s="35190"/>
      <c r="CF79" s="35190"/>
    </row>
    <row customHeight="1" ht="45">
      <c r="A80" s="3017"/>
      <c r="B80" s="2371"/>
      <c r="C80" s="1623"/>
      <c r="D80" s="1300"/>
      <c r="E80" s="3783" t="s">
        <v>103</v>
      </c>
      <c r="F80" s="3319" t="s">
        <v>91</v>
      </c>
      <c r="G80" s="3786" t="s">
        <v>705</v>
      </c>
      <c r="H80" s="1500"/>
      <c r="I80" s="1848" t="s">
        <v>99</v>
      </c>
      <c r="J80" s="3018" t="s">
        <v>651</v>
      </c>
      <c r="K80" s="1849" t="s">
        <v>564</v>
      </c>
      <c r="L80" s="3435" t="s">
        <v>564</v>
      </c>
      <c r="M80" s="3788"/>
      <c r="N80" s="1849" t="s">
        <v>564</v>
      </c>
      <c r="O80" s="1849" t="s">
        <v>564</v>
      </c>
      <c r="P80" s="1849" t="s">
        <v>564</v>
      </c>
      <c r="Q80" s="1850">
        <f>SUM(Q81:Q83)</f>
        <v>341.49</v>
      </c>
      <c r="R80" s="1850">
        <f>IF('Показатели ФХД'!J89=0,0,($Q$80/'Показатели ФХД'!J89)*100)</f>
        <v>0.25957217270393</v>
      </c>
      <c r="S80" s="3390"/>
      <c r="T80" s="1928" t="s">
        <v>649</v>
      </c>
      <c r="U80" s="1300"/>
      <c r="V80" s="1300"/>
      <c r="W80" s="35190"/>
      <c r="X80" s="35190"/>
      <c r="Y80" s="35190"/>
      <c r="Z80" s="35190"/>
      <c r="AA80" s="35190"/>
      <c r="AB80" s="35190"/>
      <c r="AC80" s="1300"/>
      <c r="AD80" s="35190"/>
      <c r="AE80" s="35190"/>
      <c r="AF80" s="35190"/>
      <c r="AG80" s="35190"/>
      <c r="AH80" s="35190"/>
      <c r="AI80" s="35190"/>
      <c r="AJ80" s="35190"/>
      <c r="AK80" s="35190"/>
      <c r="AL80" s="35190"/>
      <c r="AM80" s="35190"/>
      <c r="AN80" s="35190"/>
      <c r="AO80" s="35190"/>
      <c r="AP80" s="35190"/>
      <c r="AQ80" s="35190"/>
      <c r="AR80" s="35190"/>
      <c r="AS80" s="35190"/>
      <c r="AT80" s="35190"/>
      <c r="AU80" s="35190"/>
      <c r="AV80" s="35190"/>
      <c r="AW80" s="35190"/>
      <c r="AX80" s="35190"/>
      <c r="AY80" s="35190"/>
      <c r="AZ80" s="35190"/>
      <c r="BA80" s="35190"/>
      <c r="BB80" s="35190"/>
      <c r="BC80" s="35190"/>
      <c r="BD80" s="35190"/>
      <c r="BE80" s="35190"/>
      <c r="BF80" s="35190"/>
      <c r="BG80" s="35190"/>
      <c r="BH80" s="35190"/>
      <c r="BI80" s="35190"/>
      <c r="BJ80" s="35190"/>
      <c r="BK80" s="35190"/>
      <c r="BL80" s="35190"/>
      <c r="BM80" s="35190"/>
      <c r="BN80" s="35190"/>
      <c r="BO80" s="35190"/>
      <c r="BP80" s="35190"/>
      <c r="BQ80" s="35190"/>
      <c r="BR80" s="35190"/>
      <c r="BS80" s="35190"/>
      <c r="BT80" s="35190"/>
      <c r="BU80" s="35190"/>
      <c r="BV80" s="35190"/>
      <c r="BW80" s="35190"/>
      <c r="BX80" s="35190"/>
      <c r="BY80" s="35190"/>
      <c r="BZ80" s="35190"/>
      <c r="CA80" s="35190"/>
      <c r="CB80" s="35190"/>
      <c r="CC80" s="35190"/>
      <c r="CD80" s="35190"/>
      <c r="CE80" s="35190"/>
      <c r="CF80" s="35190"/>
    </row>
    <row customHeight="1" ht="47.25">
      <c r="A81" s="3017"/>
      <c r="B81" s="2371"/>
      <c r="C81" s="1623"/>
      <c r="D81" s="1300"/>
      <c r="E81" s="3784"/>
      <c r="F81" s="3319" t="s">
        <v>90</v>
      </c>
      <c r="G81" s="3786"/>
      <c r="H81" s="3338"/>
      <c r="I81" s="3726" t="s">
        <v>652</v>
      </c>
      <c r="J81" s="59831" t="s">
        <v>672</v>
      </c>
      <c r="K81" s="3781" t="s">
        <v>706</v>
      </c>
      <c r="L81" s="1851"/>
      <c r="M81" s="1852" t="s">
        <v>99</v>
      </c>
      <c r="N81" s="3006" t="s">
        <v>707</v>
      </c>
      <c r="O81" s="1853">
        <v>341.49</v>
      </c>
      <c r="P81" s="1854" t="s">
        <v>656</v>
      </c>
      <c r="Q81" s="1853">
        <f>O81</f>
        <v>341.49</v>
      </c>
      <c r="R81" s="1855">
        <v>0</v>
      </c>
      <c r="S81" s="3390"/>
      <c r="T81" s="1928"/>
      <c r="U81" s="1300"/>
      <c r="V81" s="1300"/>
      <c r="W81" s="35190"/>
      <c r="X81" s="35190"/>
      <c r="Y81" s="35190"/>
      <c r="Z81" s="35190"/>
      <c r="AA81" s="35190"/>
      <c r="AB81" s="35190"/>
      <c r="AC81" s="1300"/>
      <c r="AD81" s="35190"/>
      <c r="AE81" s="35190"/>
      <c r="AF81" s="35190"/>
      <c r="AG81" s="35190"/>
      <c r="AH81" s="35190"/>
      <c r="AI81" s="35190"/>
      <c r="AJ81" s="35190"/>
      <c r="AK81" s="35190"/>
      <c r="AL81" s="35190"/>
      <c r="AM81" s="35190"/>
      <c r="AN81" s="35190"/>
      <c r="AO81" s="35190"/>
      <c r="AP81" s="35190"/>
      <c r="AQ81" s="35190"/>
      <c r="AR81" s="35190"/>
      <c r="AS81" s="35190"/>
      <c r="AT81" s="35190"/>
      <c r="AU81" s="35190"/>
      <c r="AV81" s="35190"/>
      <c r="AW81" s="35190"/>
      <c r="AX81" s="35190"/>
      <c r="AY81" s="35190"/>
      <c r="AZ81" s="35190"/>
      <c r="BA81" s="35190"/>
      <c r="BB81" s="35190"/>
      <c r="BC81" s="35190"/>
      <c r="BD81" s="35190"/>
      <c r="BE81" s="35190"/>
      <c r="BF81" s="35190"/>
      <c r="BG81" s="35190"/>
      <c r="BH81" s="35190"/>
      <c r="BI81" s="35190"/>
      <c r="BJ81" s="35190"/>
      <c r="BK81" s="35190"/>
      <c r="BL81" s="35190"/>
      <c r="BM81" s="35190"/>
      <c r="BN81" s="35190"/>
      <c r="BO81" s="35190"/>
      <c r="BP81" s="35190"/>
      <c r="BQ81" s="35190"/>
      <c r="BR81" s="35190"/>
      <c r="BS81" s="35190"/>
      <c r="BT81" s="35190"/>
      <c r="BU81" s="35190"/>
      <c r="BV81" s="35190"/>
      <c r="BW81" s="35190"/>
      <c r="BX81" s="35190"/>
      <c r="BY81" s="35190"/>
      <c r="BZ81" s="35190"/>
      <c r="CA81" s="35190"/>
      <c r="CB81" s="35190"/>
      <c r="CC81" s="35190"/>
      <c r="CD81" s="35190"/>
      <c r="CE81" s="35190"/>
      <c r="CF81" s="35190"/>
    </row>
    <row customHeight="1" ht="11.25">
      <c r="A82" s="3017"/>
      <c r="B82" s="2371"/>
      <c r="C82" s="1623"/>
      <c r="D82" s="1300"/>
      <c r="E82" s="3784"/>
      <c r="F82" s="3319" t="s">
        <v>90</v>
      </c>
      <c r="G82" s="3786"/>
      <c r="H82" s="3338"/>
      <c r="I82" s="3726"/>
      <c r="J82" s="3780"/>
      <c r="K82" s="3782"/>
      <c r="L82" s="1856"/>
      <c r="M82" s="1857"/>
      <c r="N82" s="1858" t="s">
        <v>657</v>
      </c>
      <c r="O82" s="1858"/>
      <c r="P82" s="1858"/>
      <c r="Q82" s="1858"/>
      <c r="R82" s="1859"/>
      <c r="S82" s="3390"/>
      <c r="T82" s="1928"/>
      <c r="U82" s="1300"/>
      <c r="V82" s="1300"/>
      <c r="W82" s="35190"/>
      <c r="X82" s="35190"/>
      <c r="Y82" s="35190"/>
      <c r="Z82" s="35190"/>
      <c r="AA82" s="35190"/>
      <c r="AB82" s="35190"/>
      <c r="AC82" s="1300"/>
      <c r="AD82" s="35190"/>
      <c r="AE82" s="35190"/>
      <c r="AF82" s="35190"/>
      <c r="AG82" s="35190"/>
      <c r="AH82" s="35190"/>
      <c r="AI82" s="35190"/>
      <c r="AJ82" s="35190"/>
      <c r="AK82" s="35190"/>
      <c r="AL82" s="35190"/>
      <c r="AM82" s="35190"/>
      <c r="AN82" s="35190"/>
      <c r="AO82" s="35190"/>
      <c r="AP82" s="35190"/>
      <c r="AQ82" s="35190"/>
      <c r="AR82" s="35190"/>
      <c r="AS82" s="35190"/>
      <c r="AT82" s="35190"/>
      <c r="AU82" s="35190"/>
      <c r="AV82" s="35190"/>
      <c r="AW82" s="35190"/>
      <c r="AX82" s="35190"/>
      <c r="AY82" s="35190"/>
      <c r="AZ82" s="35190"/>
      <c r="BA82" s="35190"/>
      <c r="BB82" s="35190"/>
      <c r="BC82" s="35190"/>
      <c r="BD82" s="35190"/>
      <c r="BE82" s="35190"/>
      <c r="BF82" s="35190"/>
      <c r="BG82" s="35190"/>
      <c r="BH82" s="35190"/>
      <c r="BI82" s="35190"/>
      <c r="BJ82" s="35190"/>
      <c r="BK82" s="35190"/>
      <c r="BL82" s="35190"/>
      <c r="BM82" s="35190"/>
      <c r="BN82" s="35190"/>
      <c r="BO82" s="35190"/>
      <c r="BP82" s="35190"/>
      <c r="BQ82" s="35190"/>
      <c r="BR82" s="35190"/>
      <c r="BS82" s="35190"/>
      <c r="BT82" s="35190"/>
      <c r="BU82" s="35190"/>
      <c r="BV82" s="35190"/>
      <c r="BW82" s="35190"/>
      <c r="BX82" s="35190"/>
      <c r="BY82" s="35190"/>
      <c r="BZ82" s="35190"/>
      <c r="CA82" s="35190"/>
      <c r="CB82" s="35190"/>
      <c r="CC82" s="35190"/>
      <c r="CD82" s="35190"/>
      <c r="CE82" s="35190"/>
      <c r="CF82" s="35190"/>
    </row>
    <row customHeight="1" ht="11.25">
      <c r="A83" s="3017"/>
      <c r="B83" s="2371"/>
      <c r="C83" s="1623"/>
      <c r="D83" s="1300"/>
      <c r="E83" s="3785"/>
      <c r="F83" s="3319" t="s">
        <v>90</v>
      </c>
      <c r="G83" s="3787"/>
      <c r="H83" s="1856" t="s">
        <v>22</v>
      </c>
      <c r="I83" s="1857"/>
      <c r="J83" s="1858" t="s">
        <v>667</v>
      </c>
      <c r="K83" s="1858"/>
      <c r="L83" s="1858"/>
      <c r="M83" s="1858"/>
      <c r="N83" s="1858"/>
      <c r="O83" s="1858"/>
      <c r="P83" s="1858"/>
      <c r="Q83" s="1858"/>
      <c r="R83" s="1859"/>
      <c r="S83" s="3390"/>
      <c r="T83" s="1928"/>
      <c r="U83" s="1300"/>
      <c r="V83" s="1300"/>
      <c r="W83" s="35190"/>
      <c r="X83" s="35190"/>
      <c r="Y83" s="35190"/>
      <c r="Z83" s="35190"/>
      <c r="AA83" s="35190"/>
      <c r="AB83" s="35190"/>
      <c r="AC83" s="1300"/>
      <c r="AD83" s="35190"/>
      <c r="AE83" s="35190"/>
      <c r="AF83" s="35190"/>
      <c r="AG83" s="35190"/>
      <c r="AH83" s="35190"/>
      <c r="AI83" s="35190"/>
      <c r="AJ83" s="35190"/>
      <c r="AK83" s="35190"/>
      <c r="AL83" s="35190"/>
      <c r="AM83" s="35190"/>
      <c r="AN83" s="35190"/>
      <c r="AO83" s="35190"/>
      <c r="AP83" s="35190"/>
      <c r="AQ83" s="35190"/>
      <c r="AR83" s="35190"/>
      <c r="AS83" s="35190"/>
      <c r="AT83" s="35190"/>
      <c r="AU83" s="35190"/>
      <c r="AV83" s="35190"/>
      <c r="AW83" s="35190"/>
      <c r="AX83" s="35190"/>
      <c r="AY83" s="35190"/>
      <c r="AZ83" s="35190"/>
      <c r="BA83" s="35190"/>
      <c r="BB83" s="35190"/>
      <c r="BC83" s="35190"/>
      <c r="BD83" s="35190"/>
      <c r="BE83" s="35190"/>
      <c r="BF83" s="35190"/>
      <c r="BG83" s="35190"/>
      <c r="BH83" s="35190"/>
      <c r="BI83" s="35190"/>
      <c r="BJ83" s="35190"/>
      <c r="BK83" s="35190"/>
      <c r="BL83" s="35190"/>
      <c r="BM83" s="35190"/>
      <c r="BN83" s="35190"/>
      <c r="BO83" s="35190"/>
      <c r="BP83" s="35190"/>
      <c r="BQ83" s="35190"/>
      <c r="BR83" s="35190"/>
      <c r="BS83" s="35190"/>
      <c r="BT83" s="35190"/>
      <c r="BU83" s="35190"/>
      <c r="BV83" s="35190"/>
      <c r="BW83" s="35190"/>
      <c r="BX83" s="35190"/>
      <c r="BY83" s="35190"/>
      <c r="BZ83" s="35190"/>
      <c r="CA83" s="35190"/>
      <c r="CB83" s="35190"/>
      <c r="CC83" s="35190"/>
      <c r="CD83" s="35190"/>
      <c r="CE83" s="35190"/>
      <c r="CF83" s="35190"/>
    </row>
    <row customHeight="1" ht="45">
      <c r="A84" s="3017"/>
      <c r="B84" s="2371"/>
      <c r="C84" s="1623"/>
      <c r="D84" s="1300"/>
      <c r="E84" s="3783" t="s">
        <v>103</v>
      </c>
      <c r="F84" s="3319" t="s">
        <v>122</v>
      </c>
      <c r="G84" s="3786" t="s">
        <v>708</v>
      </c>
      <c r="H84" s="1500"/>
      <c r="I84" s="1848" t="s">
        <v>99</v>
      </c>
      <c r="J84" s="3018" t="s">
        <v>651</v>
      </c>
      <c r="K84" s="1849" t="s">
        <v>564</v>
      </c>
      <c r="L84" s="3435" t="s">
        <v>564</v>
      </c>
      <c r="M84" s="3788"/>
      <c r="N84" s="1849" t="s">
        <v>564</v>
      </c>
      <c r="O84" s="1849" t="s">
        <v>564</v>
      </c>
      <c r="P84" s="1849" t="s">
        <v>564</v>
      </c>
      <c r="Q84" s="1850">
        <f>SUM(Q85:Q87)</f>
        <v>3405.9</v>
      </c>
      <c r="R84" s="1850">
        <f>IF('Показатели ФХД'!J89=0,0,($Q$84/'Показатели ФХД'!J89)*100)</f>
        <v>2.58888067882607</v>
      </c>
      <c r="S84" s="3390"/>
      <c r="T84" s="1928" t="s">
        <v>649</v>
      </c>
      <c r="U84" s="1300"/>
      <c r="V84" s="1300"/>
      <c r="W84" s="35190"/>
      <c r="X84" s="35190"/>
      <c r="Y84" s="35190"/>
      <c r="Z84" s="35190"/>
      <c r="AA84" s="35190"/>
      <c r="AB84" s="35190"/>
      <c r="AC84" s="1300"/>
      <c r="AD84" s="35190"/>
      <c r="AE84" s="35190"/>
      <c r="AF84" s="35190"/>
      <c r="AG84" s="35190"/>
      <c r="AH84" s="35190"/>
      <c r="AI84" s="35190"/>
      <c r="AJ84" s="35190"/>
      <c r="AK84" s="35190"/>
      <c r="AL84" s="35190"/>
      <c r="AM84" s="35190"/>
      <c r="AN84" s="35190"/>
      <c r="AO84" s="35190"/>
      <c r="AP84" s="35190"/>
      <c r="AQ84" s="35190"/>
      <c r="AR84" s="35190"/>
      <c r="AS84" s="35190"/>
      <c r="AT84" s="35190"/>
      <c r="AU84" s="35190"/>
      <c r="AV84" s="35190"/>
      <c r="AW84" s="35190"/>
      <c r="AX84" s="35190"/>
      <c r="AY84" s="35190"/>
      <c r="AZ84" s="35190"/>
      <c r="BA84" s="35190"/>
      <c r="BB84" s="35190"/>
      <c r="BC84" s="35190"/>
      <c r="BD84" s="35190"/>
      <c r="BE84" s="35190"/>
      <c r="BF84" s="35190"/>
      <c r="BG84" s="35190"/>
      <c r="BH84" s="35190"/>
      <c r="BI84" s="35190"/>
      <c r="BJ84" s="35190"/>
      <c r="BK84" s="35190"/>
      <c r="BL84" s="35190"/>
      <c r="BM84" s="35190"/>
      <c r="BN84" s="35190"/>
      <c r="BO84" s="35190"/>
      <c r="BP84" s="35190"/>
      <c r="BQ84" s="35190"/>
      <c r="BR84" s="35190"/>
      <c r="BS84" s="35190"/>
      <c r="BT84" s="35190"/>
      <c r="BU84" s="35190"/>
      <c r="BV84" s="35190"/>
      <c r="BW84" s="35190"/>
      <c r="BX84" s="35190"/>
      <c r="BY84" s="35190"/>
      <c r="BZ84" s="35190"/>
      <c r="CA84" s="35190"/>
      <c r="CB84" s="35190"/>
      <c r="CC84" s="35190"/>
      <c r="CD84" s="35190"/>
      <c r="CE84" s="35190"/>
      <c r="CF84" s="35190"/>
    </row>
    <row customHeight="1" ht="33.75">
      <c r="A85" s="3017"/>
      <c r="B85" s="2371"/>
      <c r="C85" s="1623"/>
      <c r="D85" s="1300"/>
      <c r="E85" s="3784"/>
      <c r="F85" s="3319" t="s">
        <v>91</v>
      </c>
      <c r="G85" s="3786"/>
      <c r="H85" s="3338"/>
      <c r="I85" s="3726" t="s">
        <v>652</v>
      </c>
      <c r="J85" s="59831" t="s">
        <v>672</v>
      </c>
      <c r="K85" s="3781" t="s">
        <v>709</v>
      </c>
      <c r="L85" s="1851"/>
      <c r="M85" s="1852" t="s">
        <v>99</v>
      </c>
      <c r="N85" s="3006" t="s">
        <v>710</v>
      </c>
      <c r="O85" s="1853">
        <v>3405.9</v>
      </c>
      <c r="P85" s="1854" t="s">
        <v>656</v>
      </c>
      <c r="Q85" s="1853">
        <f>O85</f>
        <v>3405.9</v>
      </c>
      <c r="R85" s="1855">
        <v>0</v>
      </c>
      <c r="S85" s="3390"/>
      <c r="T85" s="1928"/>
      <c r="U85" s="1300"/>
      <c r="V85" s="1300"/>
      <c r="W85" s="35190"/>
      <c r="X85" s="35190"/>
      <c r="Y85" s="35190"/>
      <c r="Z85" s="35190"/>
      <c r="AA85" s="35190"/>
      <c r="AB85" s="35190"/>
      <c r="AC85" s="1300"/>
      <c r="AD85" s="35190"/>
      <c r="AE85" s="35190"/>
      <c r="AF85" s="35190"/>
      <c r="AG85" s="35190"/>
      <c r="AH85" s="35190"/>
      <c r="AI85" s="35190"/>
      <c r="AJ85" s="35190"/>
      <c r="AK85" s="35190"/>
      <c r="AL85" s="35190"/>
      <c r="AM85" s="35190"/>
      <c r="AN85" s="35190"/>
      <c r="AO85" s="35190"/>
      <c r="AP85" s="35190"/>
      <c r="AQ85" s="35190"/>
      <c r="AR85" s="35190"/>
      <c r="AS85" s="35190"/>
      <c r="AT85" s="35190"/>
      <c r="AU85" s="35190"/>
      <c r="AV85" s="35190"/>
      <c r="AW85" s="35190"/>
      <c r="AX85" s="35190"/>
      <c r="AY85" s="35190"/>
      <c r="AZ85" s="35190"/>
      <c r="BA85" s="35190"/>
      <c r="BB85" s="35190"/>
      <c r="BC85" s="35190"/>
      <c r="BD85" s="35190"/>
      <c r="BE85" s="35190"/>
      <c r="BF85" s="35190"/>
      <c r="BG85" s="35190"/>
      <c r="BH85" s="35190"/>
      <c r="BI85" s="35190"/>
      <c r="BJ85" s="35190"/>
      <c r="BK85" s="35190"/>
      <c r="BL85" s="35190"/>
      <c r="BM85" s="35190"/>
      <c r="BN85" s="35190"/>
      <c r="BO85" s="35190"/>
      <c r="BP85" s="35190"/>
      <c r="BQ85" s="35190"/>
      <c r="BR85" s="35190"/>
      <c r="BS85" s="35190"/>
      <c r="BT85" s="35190"/>
      <c r="BU85" s="35190"/>
      <c r="BV85" s="35190"/>
      <c r="BW85" s="35190"/>
      <c r="BX85" s="35190"/>
      <c r="BY85" s="35190"/>
      <c r="BZ85" s="35190"/>
      <c r="CA85" s="35190"/>
      <c r="CB85" s="35190"/>
      <c r="CC85" s="35190"/>
      <c r="CD85" s="35190"/>
      <c r="CE85" s="35190"/>
      <c r="CF85" s="35190"/>
    </row>
    <row customHeight="1" ht="11.25">
      <c r="A86" s="3017"/>
      <c r="B86" s="2371"/>
      <c r="C86" s="1623"/>
      <c r="D86" s="1300"/>
      <c r="E86" s="3784"/>
      <c r="F86" s="3319" t="s">
        <v>91</v>
      </c>
      <c r="G86" s="3786"/>
      <c r="H86" s="3338"/>
      <c r="I86" s="3726"/>
      <c r="J86" s="3780"/>
      <c r="K86" s="3782"/>
      <c r="L86" s="1856"/>
      <c r="M86" s="1857"/>
      <c r="N86" s="1858" t="s">
        <v>657</v>
      </c>
      <c r="O86" s="1858"/>
      <c r="P86" s="1858"/>
      <c r="Q86" s="1858"/>
      <c r="R86" s="1859"/>
      <c r="S86" s="3390"/>
      <c r="T86" s="1928"/>
      <c r="U86" s="1300"/>
      <c r="V86" s="1300"/>
      <c r="W86" s="35190"/>
      <c r="X86" s="35190"/>
      <c r="Y86" s="35190"/>
      <c r="Z86" s="35190"/>
      <c r="AA86" s="35190"/>
      <c r="AB86" s="35190"/>
      <c r="AC86" s="1300"/>
      <c r="AD86" s="35190"/>
      <c r="AE86" s="35190"/>
      <c r="AF86" s="35190"/>
      <c r="AG86" s="35190"/>
      <c r="AH86" s="35190"/>
      <c r="AI86" s="35190"/>
      <c r="AJ86" s="35190"/>
      <c r="AK86" s="35190"/>
      <c r="AL86" s="35190"/>
      <c r="AM86" s="35190"/>
      <c r="AN86" s="35190"/>
      <c r="AO86" s="35190"/>
      <c r="AP86" s="35190"/>
      <c r="AQ86" s="35190"/>
      <c r="AR86" s="35190"/>
      <c r="AS86" s="35190"/>
      <c r="AT86" s="35190"/>
      <c r="AU86" s="35190"/>
      <c r="AV86" s="35190"/>
      <c r="AW86" s="35190"/>
      <c r="AX86" s="35190"/>
      <c r="AY86" s="35190"/>
      <c r="AZ86" s="35190"/>
      <c r="BA86" s="35190"/>
      <c r="BB86" s="35190"/>
      <c r="BC86" s="35190"/>
      <c r="BD86" s="35190"/>
      <c r="BE86" s="35190"/>
      <c r="BF86" s="35190"/>
      <c r="BG86" s="35190"/>
      <c r="BH86" s="35190"/>
      <c r="BI86" s="35190"/>
      <c r="BJ86" s="35190"/>
      <c r="BK86" s="35190"/>
      <c r="BL86" s="35190"/>
      <c r="BM86" s="35190"/>
      <c r="BN86" s="35190"/>
      <c r="BO86" s="35190"/>
      <c r="BP86" s="35190"/>
      <c r="BQ86" s="35190"/>
      <c r="BR86" s="35190"/>
      <c r="BS86" s="35190"/>
      <c r="BT86" s="35190"/>
      <c r="BU86" s="35190"/>
      <c r="BV86" s="35190"/>
      <c r="BW86" s="35190"/>
      <c r="BX86" s="35190"/>
      <c r="BY86" s="35190"/>
      <c r="BZ86" s="35190"/>
      <c r="CA86" s="35190"/>
      <c r="CB86" s="35190"/>
      <c r="CC86" s="35190"/>
      <c r="CD86" s="35190"/>
      <c r="CE86" s="35190"/>
      <c r="CF86" s="35190"/>
    </row>
    <row customHeight="1" ht="11.25">
      <c r="A87" s="3017"/>
      <c r="B87" s="2371"/>
      <c r="C87" s="1623"/>
      <c r="D87" s="1300"/>
      <c r="E87" s="3785"/>
      <c r="F87" s="3319" t="s">
        <v>91</v>
      </c>
      <c r="G87" s="3787"/>
      <c r="H87" s="1856" t="s">
        <v>22</v>
      </c>
      <c r="I87" s="1857"/>
      <c r="J87" s="1858" t="s">
        <v>667</v>
      </c>
      <c r="K87" s="1858"/>
      <c r="L87" s="1858"/>
      <c r="M87" s="1858"/>
      <c r="N87" s="1858"/>
      <c r="O87" s="1858"/>
      <c r="P87" s="1858"/>
      <c r="Q87" s="1858"/>
      <c r="R87" s="1859"/>
      <c r="S87" s="3390"/>
      <c r="T87" s="1928"/>
      <c r="U87" s="1300"/>
      <c r="V87" s="1300"/>
      <c r="W87" s="35190"/>
      <c r="X87" s="35190"/>
      <c r="Y87" s="35190"/>
      <c r="Z87" s="35190"/>
      <c r="AA87" s="35190"/>
      <c r="AB87" s="35190"/>
      <c r="AC87" s="1300"/>
      <c r="AD87" s="35190"/>
      <c r="AE87" s="35190"/>
      <c r="AF87" s="35190"/>
      <c r="AG87" s="35190"/>
      <c r="AH87" s="35190"/>
      <c r="AI87" s="35190"/>
      <c r="AJ87" s="35190"/>
      <c r="AK87" s="35190"/>
      <c r="AL87" s="35190"/>
      <c r="AM87" s="35190"/>
      <c r="AN87" s="35190"/>
      <c r="AO87" s="35190"/>
      <c r="AP87" s="35190"/>
      <c r="AQ87" s="35190"/>
      <c r="AR87" s="35190"/>
      <c r="AS87" s="35190"/>
      <c r="AT87" s="35190"/>
      <c r="AU87" s="35190"/>
      <c r="AV87" s="35190"/>
      <c r="AW87" s="35190"/>
      <c r="AX87" s="35190"/>
      <c r="AY87" s="35190"/>
      <c r="AZ87" s="35190"/>
      <c r="BA87" s="35190"/>
      <c r="BB87" s="35190"/>
      <c r="BC87" s="35190"/>
      <c r="BD87" s="35190"/>
      <c r="BE87" s="35190"/>
      <c r="BF87" s="35190"/>
      <c r="BG87" s="35190"/>
      <c r="BH87" s="35190"/>
      <c r="BI87" s="35190"/>
      <c r="BJ87" s="35190"/>
      <c r="BK87" s="35190"/>
      <c r="BL87" s="35190"/>
      <c r="BM87" s="35190"/>
      <c r="BN87" s="35190"/>
      <c r="BO87" s="35190"/>
      <c r="BP87" s="35190"/>
      <c r="BQ87" s="35190"/>
      <c r="BR87" s="35190"/>
      <c r="BS87" s="35190"/>
      <c r="BT87" s="35190"/>
      <c r="BU87" s="35190"/>
      <c r="BV87" s="35190"/>
      <c r="BW87" s="35190"/>
      <c r="BX87" s="35190"/>
      <c r="BY87" s="35190"/>
      <c r="BZ87" s="35190"/>
      <c r="CA87" s="35190"/>
      <c r="CB87" s="35190"/>
      <c r="CC87" s="35190"/>
      <c r="CD87" s="35190"/>
      <c r="CE87" s="35190"/>
      <c r="CF87" s="35190"/>
    </row>
    <row customHeight="1" ht="60">
      <c r="A88" s="3017"/>
      <c r="B88" s="2371"/>
      <c r="C88" s="1623"/>
      <c r="D88" s="1300"/>
      <c r="E88" s="3783" t="s">
        <v>103</v>
      </c>
      <c r="F88" s="3319" t="s">
        <v>92</v>
      </c>
      <c r="G88" s="3786" t="s">
        <v>711</v>
      </c>
      <c r="H88" s="1500"/>
      <c r="I88" s="1848" t="s">
        <v>99</v>
      </c>
      <c r="J88" s="3018" t="s">
        <v>651</v>
      </c>
      <c r="K88" s="1849" t="s">
        <v>564</v>
      </c>
      <c r="L88" s="3435" t="s">
        <v>564</v>
      </c>
      <c r="M88" s="3788"/>
      <c r="N88" s="1849" t="s">
        <v>564</v>
      </c>
      <c r="O88" s="1849" t="s">
        <v>564</v>
      </c>
      <c r="P88" s="1849" t="s">
        <v>564</v>
      </c>
      <c r="Q88" s="1850">
        <f>SUM(Q89:Q95)</f>
        <v>38441.8</v>
      </c>
      <c r="R88" s="1850">
        <f>IF('Показатели ФХД'!J89=0,0,($Q$88/'Показатели ФХД'!J89)*100)</f>
        <v>29.2202452448093</v>
      </c>
      <c r="S88" s="3390"/>
      <c r="T88" s="1928" t="s">
        <v>649</v>
      </c>
      <c r="U88" s="1300"/>
      <c r="V88" s="1300"/>
      <c r="W88" s="59832"/>
      <c r="X88" s="59832"/>
      <c r="Y88" s="59832"/>
      <c r="Z88" s="59832"/>
      <c r="AA88" s="59832"/>
      <c r="AB88" s="59832"/>
      <c r="AC88" s="1300"/>
      <c r="AD88" s="59832"/>
      <c r="AE88" s="59832"/>
      <c r="AF88" s="59832"/>
      <c r="AG88" s="59832"/>
      <c r="AH88" s="59832"/>
      <c r="AI88" s="59832"/>
      <c r="AJ88" s="59832"/>
      <c r="AK88" s="59832"/>
      <c r="AL88" s="59832"/>
      <c r="AM88" s="59832"/>
      <c r="AN88" s="59832"/>
      <c r="AO88" s="59832"/>
      <c r="AP88" s="59832"/>
      <c r="AQ88" s="59832"/>
      <c r="AR88" s="59832"/>
      <c r="AS88" s="59832"/>
      <c r="AT88" s="59832"/>
      <c r="AU88" s="59832"/>
      <c r="AV88" s="59832"/>
      <c r="AW88" s="59832"/>
      <c r="AX88" s="59832"/>
      <c r="AY88" s="59832"/>
      <c r="AZ88" s="59832"/>
      <c r="BA88" s="59832"/>
      <c r="BB88" s="59832"/>
      <c r="BC88" s="59832"/>
      <c r="BD88" s="59832"/>
      <c r="BE88" s="59832"/>
      <c r="BF88" s="59832"/>
      <c r="BG88" s="59832"/>
      <c r="BH88" s="59832"/>
      <c r="BI88" s="59832"/>
      <c r="BJ88" s="59832"/>
      <c r="BK88" s="59832"/>
      <c r="BL88" s="59832"/>
      <c r="BM88" s="59832"/>
      <c r="BN88" s="59832"/>
      <c r="BO88" s="59832"/>
      <c r="BP88" s="59832"/>
      <c r="BQ88" s="59832"/>
      <c r="BR88" s="59832"/>
      <c r="BS88" s="59832"/>
      <c r="BT88" s="59832"/>
      <c r="BU88" s="59832"/>
      <c r="BV88" s="59832"/>
      <c r="BW88" s="59832"/>
      <c r="BX88" s="59832"/>
      <c r="BY88" s="59832"/>
      <c r="BZ88" s="59832"/>
      <c r="CA88" s="59832"/>
      <c r="CB88" s="59832"/>
      <c r="CC88" s="59832"/>
      <c r="CD88" s="59832"/>
      <c r="CE88" s="59832"/>
      <c r="CF88" s="59832"/>
    </row>
    <row customHeight="1" ht="30.75">
      <c r="A89" s="3017"/>
      <c r="B89" s="2371"/>
      <c r="C89" s="1623"/>
      <c r="D89" s="1300"/>
      <c r="E89" s="3784"/>
      <c r="F89" s="3319" t="s">
        <v>122</v>
      </c>
      <c r="G89" s="3786"/>
      <c r="H89" s="3338"/>
      <c r="I89" s="3726" t="s">
        <v>652</v>
      </c>
      <c r="J89" s="59831" t="s">
        <v>653</v>
      </c>
      <c r="K89" s="3781" t="s">
        <v>712</v>
      </c>
      <c r="L89" s="1851"/>
      <c r="M89" s="1852" t="s">
        <v>99</v>
      </c>
      <c r="N89" s="3006" t="s">
        <v>713</v>
      </c>
      <c r="O89" s="1853">
        <v>8884.29</v>
      </c>
      <c r="P89" s="1854" t="s">
        <v>656</v>
      </c>
      <c r="Q89" s="1853">
        <f>O89</f>
        <v>8884.29</v>
      </c>
      <c r="R89" s="1855">
        <v>0</v>
      </c>
      <c r="S89" s="3390"/>
      <c r="T89" s="1928"/>
      <c r="U89" s="1300"/>
      <c r="V89" s="1300"/>
      <c r="W89" s="59832"/>
      <c r="X89" s="59832"/>
      <c r="Y89" s="59832"/>
      <c r="Z89" s="59832"/>
      <c r="AA89" s="59832"/>
      <c r="AB89" s="59832"/>
      <c r="AC89" s="1300"/>
      <c r="AD89" s="59832"/>
      <c r="AE89" s="59832"/>
      <c r="AF89" s="59832"/>
      <c r="AG89" s="59832"/>
      <c r="AH89" s="59832"/>
      <c r="AI89" s="59832"/>
      <c r="AJ89" s="59832"/>
      <c r="AK89" s="59832"/>
      <c r="AL89" s="59832"/>
      <c r="AM89" s="59832"/>
      <c r="AN89" s="59832"/>
      <c r="AO89" s="59832"/>
      <c r="AP89" s="59832"/>
      <c r="AQ89" s="59832"/>
      <c r="AR89" s="59832"/>
      <c r="AS89" s="59832"/>
      <c r="AT89" s="59832"/>
      <c r="AU89" s="59832"/>
      <c r="AV89" s="59832"/>
      <c r="AW89" s="59832"/>
      <c r="AX89" s="59832"/>
      <c r="AY89" s="59832"/>
      <c r="AZ89" s="59832"/>
      <c r="BA89" s="59832"/>
      <c r="BB89" s="59832"/>
      <c r="BC89" s="59832"/>
      <c r="BD89" s="59832"/>
      <c r="BE89" s="59832"/>
      <c r="BF89" s="59832"/>
      <c r="BG89" s="59832"/>
      <c r="BH89" s="59832"/>
      <c r="BI89" s="59832"/>
      <c r="BJ89" s="59832"/>
      <c r="BK89" s="59832"/>
      <c r="BL89" s="59832"/>
      <c r="BM89" s="59832"/>
      <c r="BN89" s="59832"/>
      <c r="BO89" s="59832"/>
      <c r="BP89" s="59832"/>
      <c r="BQ89" s="59832"/>
      <c r="BR89" s="59832"/>
      <c r="BS89" s="59832"/>
      <c r="BT89" s="59832"/>
      <c r="BU89" s="59832"/>
      <c r="BV89" s="59832"/>
      <c r="BW89" s="59832"/>
      <c r="BX89" s="59832"/>
      <c r="BY89" s="59832"/>
      <c r="BZ89" s="59832"/>
      <c r="CA89" s="59832"/>
      <c r="CB89" s="59832"/>
      <c r="CC89" s="59832"/>
      <c r="CD89" s="59832"/>
      <c r="CE89" s="59832"/>
      <c r="CF89" s="59832"/>
    </row>
    <row customHeight="1" ht="11.25">
      <c r="A90" s="3017"/>
      <c r="B90" s="2371"/>
      <c r="C90" s="1623"/>
      <c r="D90" s="1300"/>
      <c r="E90" s="3784"/>
      <c r="F90" s="3319" t="s">
        <v>122</v>
      </c>
      <c r="G90" s="3786"/>
      <c r="H90" s="3338"/>
      <c r="I90" s="3726"/>
      <c r="J90" s="3780"/>
      <c r="K90" s="3782"/>
      <c r="L90" s="1856"/>
      <c r="M90" s="1857"/>
      <c r="N90" s="1858" t="s">
        <v>657</v>
      </c>
      <c r="O90" s="1858"/>
      <c r="P90" s="1858"/>
      <c r="Q90" s="1858"/>
      <c r="R90" s="1859"/>
      <c r="S90" s="3390"/>
      <c r="T90" s="1928"/>
      <c r="U90" s="1300"/>
      <c r="V90" s="1300"/>
      <c r="W90" s="59832"/>
      <c r="X90" s="59832"/>
      <c r="Y90" s="59832"/>
      <c r="Z90" s="59832"/>
      <c r="AA90" s="59832"/>
      <c r="AB90" s="59832"/>
      <c r="AC90" s="1300"/>
      <c r="AD90" s="59832"/>
      <c r="AE90" s="59832"/>
      <c r="AF90" s="59832"/>
      <c r="AG90" s="59832"/>
      <c r="AH90" s="59832"/>
      <c r="AI90" s="59832"/>
      <c r="AJ90" s="59832"/>
      <c r="AK90" s="59832"/>
      <c r="AL90" s="59832"/>
      <c r="AM90" s="59832"/>
      <c r="AN90" s="59832"/>
      <c r="AO90" s="59832"/>
      <c r="AP90" s="59832"/>
      <c r="AQ90" s="59832"/>
      <c r="AR90" s="59832"/>
      <c r="AS90" s="59832"/>
      <c r="AT90" s="59832"/>
      <c r="AU90" s="59832"/>
      <c r="AV90" s="59832"/>
      <c r="AW90" s="59832"/>
      <c r="AX90" s="59832"/>
      <c r="AY90" s="59832"/>
      <c r="AZ90" s="59832"/>
      <c r="BA90" s="59832"/>
      <c r="BB90" s="59832"/>
      <c r="BC90" s="59832"/>
      <c r="BD90" s="59832"/>
      <c r="BE90" s="59832"/>
      <c r="BF90" s="59832"/>
      <c r="BG90" s="59832"/>
      <c r="BH90" s="59832"/>
      <c r="BI90" s="59832"/>
      <c r="BJ90" s="59832"/>
      <c r="BK90" s="59832"/>
      <c r="BL90" s="59832"/>
      <c r="BM90" s="59832"/>
      <c r="BN90" s="59832"/>
      <c r="BO90" s="59832"/>
      <c r="BP90" s="59832"/>
      <c r="BQ90" s="59832"/>
      <c r="BR90" s="59832"/>
      <c r="BS90" s="59832"/>
      <c r="BT90" s="59832"/>
      <c r="BU90" s="59832"/>
      <c r="BV90" s="59832"/>
      <c r="BW90" s="59832"/>
      <c r="BX90" s="59832"/>
      <c r="BY90" s="59832"/>
      <c r="BZ90" s="59832"/>
      <c r="CA90" s="59832"/>
      <c r="CB90" s="59832"/>
      <c r="CC90" s="59832"/>
      <c r="CD90" s="59832"/>
      <c r="CE90" s="59832"/>
      <c r="CF90" s="59832"/>
    </row>
    <row customHeight="1" ht="39.75">
      <c r="A91" s="3017"/>
      <c r="B91" s="2371"/>
      <c r="C91" s="1623"/>
      <c r="D91" s="1300"/>
      <c r="E91" s="3041"/>
      <c r="F91" s="3041"/>
      <c r="G91" s="3041"/>
      <c r="H91" s="3338" t="s">
        <v>103</v>
      </c>
      <c r="I91" s="3726" t="s">
        <v>658</v>
      </c>
      <c r="J91" s="59831" t="s">
        <v>653</v>
      </c>
      <c r="K91" s="3781" t="s">
        <v>714</v>
      </c>
      <c r="L91" s="1851"/>
      <c r="M91" s="1852" t="s">
        <v>99</v>
      </c>
      <c r="N91" s="3006" t="s">
        <v>715</v>
      </c>
      <c r="O91" s="1853">
        <v>23448.48</v>
      </c>
      <c r="P91" s="1854" t="s">
        <v>656</v>
      </c>
      <c r="Q91" s="1853">
        <f>O91</f>
        <v>23448.48</v>
      </c>
      <c r="R91" s="1855">
        <v>0</v>
      </c>
      <c r="S91" s="1300"/>
      <c r="T91" s="1928"/>
      <c r="U91" s="1300"/>
      <c r="V91" s="1300"/>
      <c r="W91" s="59832"/>
      <c r="X91" s="59832"/>
      <c r="Y91" s="59832"/>
      <c r="Z91" s="59832"/>
      <c r="AA91" s="59832"/>
      <c r="AB91" s="59832"/>
      <c r="AC91" s="1300"/>
      <c r="AD91" s="59832"/>
      <c r="AE91" s="59832"/>
      <c r="AF91" s="59832"/>
      <c r="AG91" s="59832"/>
      <c r="AH91" s="59832"/>
      <c r="AI91" s="59832"/>
      <c r="AJ91" s="59832"/>
      <c r="AK91" s="59832"/>
      <c r="AL91" s="59832"/>
      <c r="AM91" s="59832"/>
      <c r="AN91" s="59832"/>
      <c r="AO91" s="59832"/>
      <c r="AP91" s="59832"/>
      <c r="AQ91" s="59832"/>
      <c r="AR91" s="59832"/>
      <c r="AS91" s="59832"/>
      <c r="AT91" s="59832"/>
      <c r="AU91" s="59832"/>
      <c r="AV91" s="59832"/>
      <c r="AW91" s="59832"/>
      <c r="AX91" s="59832"/>
      <c r="AY91" s="59832"/>
      <c r="AZ91" s="59832"/>
      <c r="BA91" s="59832"/>
      <c r="BB91" s="59832"/>
      <c r="BC91" s="59832"/>
      <c r="BD91" s="59832"/>
      <c r="BE91" s="59832"/>
      <c r="BF91" s="59832"/>
      <c r="BG91" s="59832"/>
      <c r="BH91" s="59832"/>
      <c r="BI91" s="59832"/>
      <c r="BJ91" s="59832"/>
      <c r="BK91" s="59832"/>
      <c r="BL91" s="59832"/>
      <c r="BM91" s="59832"/>
      <c r="BN91" s="59832"/>
      <c r="BO91" s="59832"/>
      <c r="BP91" s="59832"/>
      <c r="BQ91" s="59832"/>
      <c r="BR91" s="59832"/>
      <c r="BS91" s="59832"/>
      <c r="BT91" s="59832"/>
      <c r="BU91" s="59832"/>
      <c r="BV91" s="59832"/>
      <c r="BW91" s="59832"/>
      <c r="BX91" s="59832"/>
      <c r="BY91" s="59832"/>
      <c r="BZ91" s="59832"/>
      <c r="CA91" s="59832"/>
      <c r="CB91" s="59832"/>
      <c r="CC91" s="59832"/>
      <c r="CD91" s="59832"/>
      <c r="CE91" s="59832"/>
      <c r="CF91" s="59832"/>
    </row>
    <row customHeight="1" ht="11.25">
      <c r="A92" s="3017"/>
      <c r="B92" s="2371"/>
      <c r="C92" s="1623"/>
      <c r="D92" s="1300"/>
      <c r="E92" s="3041"/>
      <c r="F92" s="3041"/>
      <c r="G92" s="3041"/>
      <c r="H92" s="3338"/>
      <c r="I92" s="3726" t="s">
        <v>652</v>
      </c>
      <c r="J92" s="3780"/>
      <c r="K92" s="3782"/>
      <c r="L92" s="1856"/>
      <c r="M92" s="1857"/>
      <c r="N92" s="1858" t="s">
        <v>657</v>
      </c>
      <c r="O92" s="1858"/>
      <c r="P92" s="1858"/>
      <c r="Q92" s="1858"/>
      <c r="R92" s="1859"/>
      <c r="S92" s="1300"/>
      <c r="T92" s="1928"/>
      <c r="U92" s="1300"/>
      <c r="V92" s="1300"/>
      <c r="W92" s="59832"/>
      <c r="X92" s="59832"/>
      <c r="Y92" s="59832"/>
      <c r="Z92" s="59832"/>
      <c r="AA92" s="59832"/>
      <c r="AB92" s="59832"/>
      <c r="AC92" s="1300"/>
      <c r="AD92" s="59832"/>
      <c r="AE92" s="59832"/>
      <c r="AF92" s="59832"/>
      <c r="AG92" s="59832"/>
      <c r="AH92" s="59832"/>
      <c r="AI92" s="59832"/>
      <c r="AJ92" s="59832"/>
      <c r="AK92" s="59832"/>
      <c r="AL92" s="59832"/>
      <c r="AM92" s="59832"/>
      <c r="AN92" s="59832"/>
      <c r="AO92" s="59832"/>
      <c r="AP92" s="59832"/>
      <c r="AQ92" s="59832"/>
      <c r="AR92" s="59832"/>
      <c r="AS92" s="59832"/>
      <c r="AT92" s="59832"/>
      <c r="AU92" s="59832"/>
      <c r="AV92" s="59832"/>
      <c r="AW92" s="59832"/>
      <c r="AX92" s="59832"/>
      <c r="AY92" s="59832"/>
      <c r="AZ92" s="59832"/>
      <c r="BA92" s="59832"/>
      <c r="BB92" s="59832"/>
      <c r="BC92" s="59832"/>
      <c r="BD92" s="59832"/>
      <c r="BE92" s="59832"/>
      <c r="BF92" s="59832"/>
      <c r="BG92" s="59832"/>
      <c r="BH92" s="59832"/>
      <c r="BI92" s="59832"/>
      <c r="BJ92" s="59832"/>
      <c r="BK92" s="59832"/>
      <c r="BL92" s="59832"/>
      <c r="BM92" s="59832"/>
      <c r="BN92" s="59832"/>
      <c r="BO92" s="59832"/>
      <c r="BP92" s="59832"/>
      <c r="BQ92" s="59832"/>
      <c r="BR92" s="59832"/>
      <c r="BS92" s="59832"/>
      <c r="BT92" s="59832"/>
      <c r="BU92" s="59832"/>
      <c r="BV92" s="59832"/>
      <c r="BW92" s="59832"/>
      <c r="BX92" s="59832"/>
      <c r="BY92" s="59832"/>
      <c r="BZ92" s="59832"/>
      <c r="CA92" s="59832"/>
      <c r="CB92" s="59832"/>
      <c r="CC92" s="59832"/>
      <c r="CD92" s="59832"/>
      <c r="CE92" s="59832"/>
      <c r="CF92" s="59832"/>
    </row>
    <row customHeight="1" ht="37.5">
      <c r="A93" s="3017"/>
      <c r="B93" s="2371"/>
      <c r="C93" s="1623"/>
      <c r="D93" s="1300"/>
      <c r="E93" s="3041"/>
      <c r="F93" s="3041"/>
      <c r="G93" s="3041"/>
      <c r="H93" s="3338" t="s">
        <v>103</v>
      </c>
      <c r="I93" s="3726" t="s">
        <v>661</v>
      </c>
      <c r="J93" s="59831" t="s">
        <v>653</v>
      </c>
      <c r="K93" s="3781" t="s">
        <v>716</v>
      </c>
      <c r="L93" s="1851"/>
      <c r="M93" s="1852" t="s">
        <v>99</v>
      </c>
      <c r="N93" s="3006" t="s">
        <v>717</v>
      </c>
      <c r="O93" s="1853">
        <v>6109.03</v>
      </c>
      <c r="P93" s="1854" t="s">
        <v>656</v>
      </c>
      <c r="Q93" s="1853">
        <f>O93</f>
        <v>6109.03</v>
      </c>
      <c r="R93" s="1855">
        <v>0</v>
      </c>
      <c r="S93" s="1300"/>
      <c r="T93" s="1928"/>
      <c r="U93" s="1300"/>
      <c r="V93" s="1300"/>
      <c r="W93" s="59832"/>
      <c r="X93" s="59832"/>
      <c r="Y93" s="59832"/>
      <c r="Z93" s="59832"/>
      <c r="AA93" s="59832"/>
      <c r="AB93" s="59832"/>
      <c r="AC93" s="1300"/>
      <c r="AD93" s="59832"/>
      <c r="AE93" s="59832"/>
      <c r="AF93" s="59832"/>
      <c r="AG93" s="59832"/>
      <c r="AH93" s="59832"/>
      <c r="AI93" s="59832"/>
      <c r="AJ93" s="59832"/>
      <c r="AK93" s="59832"/>
      <c r="AL93" s="59832"/>
      <c r="AM93" s="59832"/>
      <c r="AN93" s="59832"/>
      <c r="AO93" s="59832"/>
      <c r="AP93" s="59832"/>
      <c r="AQ93" s="59832"/>
      <c r="AR93" s="59832"/>
      <c r="AS93" s="59832"/>
      <c r="AT93" s="59832"/>
      <c r="AU93" s="59832"/>
      <c r="AV93" s="59832"/>
      <c r="AW93" s="59832"/>
      <c r="AX93" s="59832"/>
      <c r="AY93" s="59832"/>
      <c r="AZ93" s="59832"/>
      <c r="BA93" s="59832"/>
      <c r="BB93" s="59832"/>
      <c r="BC93" s="59832"/>
      <c r="BD93" s="59832"/>
      <c r="BE93" s="59832"/>
      <c r="BF93" s="59832"/>
      <c r="BG93" s="59832"/>
      <c r="BH93" s="59832"/>
      <c r="BI93" s="59832"/>
      <c r="BJ93" s="59832"/>
      <c r="BK93" s="59832"/>
      <c r="BL93" s="59832"/>
      <c r="BM93" s="59832"/>
      <c r="BN93" s="59832"/>
      <c r="BO93" s="59832"/>
      <c r="BP93" s="59832"/>
      <c r="BQ93" s="59832"/>
      <c r="BR93" s="59832"/>
      <c r="BS93" s="59832"/>
      <c r="BT93" s="59832"/>
      <c r="BU93" s="59832"/>
      <c r="BV93" s="59832"/>
      <c r="BW93" s="59832"/>
      <c r="BX93" s="59832"/>
      <c r="BY93" s="59832"/>
      <c r="BZ93" s="59832"/>
      <c r="CA93" s="59832"/>
      <c r="CB93" s="59832"/>
      <c r="CC93" s="59832"/>
      <c r="CD93" s="59832"/>
      <c r="CE93" s="59832"/>
      <c r="CF93" s="59832"/>
    </row>
    <row customHeight="1" ht="11.25">
      <c r="A94" s="3017"/>
      <c r="B94" s="2371"/>
      <c r="C94" s="1623"/>
      <c r="D94" s="1300"/>
      <c r="E94" s="3041"/>
      <c r="F94" s="3041"/>
      <c r="G94" s="3041"/>
      <c r="H94" s="3338"/>
      <c r="I94" s="3726" t="s">
        <v>658</v>
      </c>
      <c r="J94" s="3780"/>
      <c r="K94" s="3782"/>
      <c r="L94" s="1856"/>
      <c r="M94" s="1857"/>
      <c r="N94" s="1858" t="s">
        <v>657</v>
      </c>
      <c r="O94" s="1858"/>
      <c r="P94" s="1858"/>
      <c r="Q94" s="1858"/>
      <c r="R94" s="1859"/>
      <c r="S94" s="1300"/>
      <c r="T94" s="1928"/>
      <c r="U94" s="1300"/>
      <c r="V94" s="1300"/>
      <c r="W94" s="59832"/>
      <c r="X94" s="59832"/>
      <c r="Y94" s="59832"/>
      <c r="Z94" s="59832"/>
      <c r="AA94" s="59832"/>
      <c r="AB94" s="59832"/>
      <c r="AC94" s="1300"/>
      <c r="AD94" s="59832"/>
      <c r="AE94" s="59832"/>
      <c r="AF94" s="59832"/>
      <c r="AG94" s="59832"/>
      <c r="AH94" s="59832"/>
      <c r="AI94" s="59832"/>
      <c r="AJ94" s="59832"/>
      <c r="AK94" s="59832"/>
      <c r="AL94" s="59832"/>
      <c r="AM94" s="59832"/>
      <c r="AN94" s="59832"/>
      <c r="AO94" s="59832"/>
      <c r="AP94" s="59832"/>
      <c r="AQ94" s="59832"/>
      <c r="AR94" s="59832"/>
      <c r="AS94" s="59832"/>
      <c r="AT94" s="59832"/>
      <c r="AU94" s="59832"/>
      <c r="AV94" s="59832"/>
      <c r="AW94" s="59832"/>
      <c r="AX94" s="59832"/>
      <c r="AY94" s="59832"/>
      <c r="AZ94" s="59832"/>
      <c r="BA94" s="59832"/>
      <c r="BB94" s="59832"/>
      <c r="BC94" s="59832"/>
      <c r="BD94" s="59832"/>
      <c r="BE94" s="59832"/>
      <c r="BF94" s="59832"/>
      <c r="BG94" s="59832"/>
      <c r="BH94" s="59832"/>
      <c r="BI94" s="59832"/>
      <c r="BJ94" s="59832"/>
      <c r="BK94" s="59832"/>
      <c r="BL94" s="59832"/>
      <c r="BM94" s="59832"/>
      <c r="BN94" s="59832"/>
      <c r="BO94" s="59832"/>
      <c r="BP94" s="59832"/>
      <c r="BQ94" s="59832"/>
      <c r="BR94" s="59832"/>
      <c r="BS94" s="59832"/>
      <c r="BT94" s="59832"/>
      <c r="BU94" s="59832"/>
      <c r="BV94" s="59832"/>
      <c r="BW94" s="59832"/>
      <c r="BX94" s="59832"/>
      <c r="BY94" s="59832"/>
      <c r="BZ94" s="59832"/>
      <c r="CA94" s="59832"/>
      <c r="CB94" s="59832"/>
      <c r="CC94" s="59832"/>
      <c r="CD94" s="59832"/>
      <c r="CE94" s="59832"/>
      <c r="CF94" s="59832"/>
    </row>
    <row customHeight="1" ht="11.25">
      <c r="A95" s="3017"/>
      <c r="B95" s="2371"/>
      <c r="C95" s="1623"/>
      <c r="D95" s="1300"/>
      <c r="E95" s="3785"/>
      <c r="F95" s="3319" t="s">
        <v>122</v>
      </c>
      <c r="G95" s="3787"/>
      <c r="H95" s="1856" t="s">
        <v>22</v>
      </c>
      <c r="I95" s="1857"/>
      <c r="J95" s="1858" t="s">
        <v>667</v>
      </c>
      <c r="K95" s="1858"/>
      <c r="L95" s="1858"/>
      <c r="M95" s="1858"/>
      <c r="N95" s="1858"/>
      <c r="O95" s="1858"/>
      <c r="P95" s="1858"/>
      <c r="Q95" s="1858"/>
      <c r="R95" s="1859"/>
      <c r="S95" s="3390"/>
      <c r="T95" s="1928"/>
      <c r="U95" s="1300"/>
      <c r="V95" s="1300"/>
      <c r="W95" s="59832"/>
      <c r="X95" s="59832"/>
      <c r="Y95" s="59832"/>
      <c r="Z95" s="59832"/>
      <c r="AA95" s="59832"/>
      <c r="AB95" s="59832"/>
      <c r="AC95" s="1300"/>
      <c r="AD95" s="59832"/>
      <c r="AE95" s="59832"/>
      <c r="AF95" s="59832"/>
      <c r="AG95" s="59832"/>
      <c r="AH95" s="59832"/>
      <c r="AI95" s="59832"/>
      <c r="AJ95" s="59832"/>
      <c r="AK95" s="59832"/>
      <c r="AL95" s="59832"/>
      <c r="AM95" s="59832"/>
      <c r="AN95" s="59832"/>
      <c r="AO95" s="59832"/>
      <c r="AP95" s="59832"/>
      <c r="AQ95" s="59832"/>
      <c r="AR95" s="59832"/>
      <c r="AS95" s="59832"/>
      <c r="AT95" s="59832"/>
      <c r="AU95" s="59832"/>
      <c r="AV95" s="59832"/>
      <c r="AW95" s="59832"/>
      <c r="AX95" s="59832"/>
      <c r="AY95" s="59832"/>
      <c r="AZ95" s="59832"/>
      <c r="BA95" s="59832"/>
      <c r="BB95" s="59832"/>
      <c r="BC95" s="59832"/>
      <c r="BD95" s="59832"/>
      <c r="BE95" s="59832"/>
      <c r="BF95" s="59832"/>
      <c r="BG95" s="59832"/>
      <c r="BH95" s="59832"/>
      <c r="BI95" s="59832"/>
      <c r="BJ95" s="59832"/>
      <c r="BK95" s="59832"/>
      <c r="BL95" s="59832"/>
      <c r="BM95" s="59832"/>
      <c r="BN95" s="59832"/>
      <c r="BO95" s="59832"/>
      <c r="BP95" s="59832"/>
      <c r="BQ95" s="59832"/>
      <c r="BR95" s="59832"/>
      <c r="BS95" s="59832"/>
      <c r="BT95" s="59832"/>
      <c r="BU95" s="59832"/>
      <c r="BV95" s="59832"/>
      <c r="BW95" s="59832"/>
      <c r="BX95" s="59832"/>
      <c r="BY95" s="59832"/>
      <c r="BZ95" s="59832"/>
      <c r="CA95" s="59832"/>
      <c r="CB95" s="59832"/>
      <c r="CC95" s="59832"/>
      <c r="CD95" s="59832"/>
      <c r="CE95" s="59832"/>
      <c r="CF95" s="59832"/>
    </row>
    <row customHeight="1" ht="45">
      <c r="A96" s="3017"/>
      <c r="B96" s="2371"/>
      <c r="C96" s="1623"/>
      <c r="D96" s="1300"/>
      <c r="E96" s="3783" t="s">
        <v>103</v>
      </c>
      <c r="F96" s="3319" t="s">
        <v>93</v>
      </c>
      <c r="G96" s="3786" t="s">
        <v>718</v>
      </c>
      <c r="H96" s="1500"/>
      <c r="I96" s="1848" t="s">
        <v>99</v>
      </c>
      <c r="J96" s="3018" t="s">
        <v>651</v>
      </c>
      <c r="K96" s="1849" t="s">
        <v>564</v>
      </c>
      <c r="L96" s="3435" t="s">
        <v>564</v>
      </c>
      <c r="M96" s="3788"/>
      <c r="N96" s="1849" t="s">
        <v>564</v>
      </c>
      <c r="O96" s="1849" t="s">
        <v>564</v>
      </c>
      <c r="P96" s="1849" t="s">
        <v>564</v>
      </c>
      <c r="Q96" s="1850">
        <f>SUM(Q97:Q99)</f>
        <v>3097.02</v>
      </c>
      <c r="R96" s="1850">
        <f>IF('Показатели ФХД'!J89=0,0,($Q$96/'Показатели ФХД'!J89)*100)</f>
        <v>2.35409590414807</v>
      </c>
      <c r="S96" s="3390"/>
      <c r="T96" s="1928" t="s">
        <v>649</v>
      </c>
      <c r="U96" s="1300"/>
      <c r="V96" s="1300"/>
      <c r="W96" s="59832"/>
      <c r="X96" s="59832"/>
      <c r="Y96" s="59832"/>
      <c r="Z96" s="59832"/>
      <c r="AA96" s="59832"/>
      <c r="AB96" s="59832"/>
      <c r="AC96" s="1300"/>
      <c r="AD96" s="59832"/>
      <c r="AE96" s="59832"/>
      <c r="AF96" s="59832"/>
      <c r="AG96" s="59832"/>
      <c r="AH96" s="59832"/>
      <c r="AI96" s="59832"/>
      <c r="AJ96" s="59832"/>
      <c r="AK96" s="59832"/>
      <c r="AL96" s="59832"/>
      <c r="AM96" s="59832"/>
      <c r="AN96" s="59832"/>
      <c r="AO96" s="59832"/>
      <c r="AP96" s="59832"/>
      <c r="AQ96" s="59832"/>
      <c r="AR96" s="59832"/>
      <c r="AS96" s="59832"/>
      <c r="AT96" s="59832"/>
      <c r="AU96" s="59832"/>
      <c r="AV96" s="59832"/>
      <c r="AW96" s="59832"/>
      <c r="AX96" s="59832"/>
      <c r="AY96" s="59832"/>
      <c r="AZ96" s="59832"/>
      <c r="BA96" s="59832"/>
      <c r="BB96" s="59832"/>
      <c r="BC96" s="59832"/>
      <c r="BD96" s="59832"/>
      <c r="BE96" s="59832"/>
      <c r="BF96" s="59832"/>
      <c r="BG96" s="59832"/>
      <c r="BH96" s="59832"/>
      <c r="BI96" s="59832"/>
      <c r="BJ96" s="59832"/>
      <c r="BK96" s="59832"/>
      <c r="BL96" s="59832"/>
      <c r="BM96" s="59832"/>
      <c r="BN96" s="59832"/>
      <c r="BO96" s="59832"/>
      <c r="BP96" s="59832"/>
      <c r="BQ96" s="59832"/>
      <c r="BR96" s="59832"/>
      <c r="BS96" s="59832"/>
      <c r="BT96" s="59832"/>
      <c r="BU96" s="59832"/>
      <c r="BV96" s="59832"/>
      <c r="BW96" s="59832"/>
      <c r="BX96" s="59832"/>
      <c r="BY96" s="59832"/>
      <c r="BZ96" s="59832"/>
      <c r="CA96" s="59832"/>
      <c r="CB96" s="59832"/>
      <c r="CC96" s="59832"/>
      <c r="CD96" s="59832"/>
      <c r="CE96" s="59832"/>
      <c r="CF96" s="59832"/>
    </row>
    <row customHeight="1" ht="38.25">
      <c r="A97" s="3017"/>
      <c r="B97" s="2371"/>
      <c r="C97" s="1623"/>
      <c r="D97" s="1300"/>
      <c r="E97" s="3784"/>
      <c r="F97" s="3319" t="s">
        <v>92</v>
      </c>
      <c r="G97" s="3786"/>
      <c r="H97" s="3338"/>
      <c r="I97" s="3726" t="s">
        <v>652</v>
      </c>
      <c r="J97" s="59831" t="s">
        <v>672</v>
      </c>
      <c r="K97" s="3781" t="s">
        <v>719</v>
      </c>
      <c r="L97" s="1851"/>
      <c r="M97" s="1852" t="s">
        <v>99</v>
      </c>
      <c r="N97" s="3006" t="s">
        <v>715</v>
      </c>
      <c r="O97" s="1853">
        <v>3097.02</v>
      </c>
      <c r="P97" s="1854" t="s">
        <v>656</v>
      </c>
      <c r="Q97" s="1853">
        <f>O97</f>
        <v>3097.02</v>
      </c>
      <c r="R97" s="1855">
        <v>0</v>
      </c>
      <c r="S97" s="3390"/>
      <c r="T97" s="1928"/>
      <c r="U97" s="1300"/>
      <c r="V97" s="1300"/>
      <c r="W97" s="59832"/>
      <c r="X97" s="59832"/>
      <c r="Y97" s="59832"/>
      <c r="Z97" s="59832"/>
      <c r="AA97" s="59832"/>
      <c r="AB97" s="59832"/>
      <c r="AC97" s="1300"/>
      <c r="AD97" s="59832"/>
      <c r="AE97" s="59832"/>
      <c r="AF97" s="59832"/>
      <c r="AG97" s="59832"/>
      <c r="AH97" s="59832"/>
      <c r="AI97" s="59832"/>
      <c r="AJ97" s="59832"/>
      <c r="AK97" s="59832"/>
      <c r="AL97" s="59832"/>
      <c r="AM97" s="59832"/>
      <c r="AN97" s="59832"/>
      <c r="AO97" s="59832"/>
      <c r="AP97" s="59832"/>
      <c r="AQ97" s="59832"/>
      <c r="AR97" s="59832"/>
      <c r="AS97" s="59832"/>
      <c r="AT97" s="59832"/>
      <c r="AU97" s="59832"/>
      <c r="AV97" s="59832"/>
      <c r="AW97" s="59832"/>
      <c r="AX97" s="59832"/>
      <c r="AY97" s="59832"/>
      <c r="AZ97" s="59832"/>
      <c r="BA97" s="59832"/>
      <c r="BB97" s="59832"/>
      <c r="BC97" s="59832"/>
      <c r="BD97" s="59832"/>
      <c r="BE97" s="59832"/>
      <c r="BF97" s="59832"/>
      <c r="BG97" s="59832"/>
      <c r="BH97" s="59832"/>
      <c r="BI97" s="59832"/>
      <c r="BJ97" s="59832"/>
      <c r="BK97" s="59832"/>
      <c r="BL97" s="59832"/>
      <c r="BM97" s="59832"/>
      <c r="BN97" s="59832"/>
      <c r="BO97" s="59832"/>
      <c r="BP97" s="59832"/>
      <c r="BQ97" s="59832"/>
      <c r="BR97" s="59832"/>
      <c r="BS97" s="59832"/>
      <c r="BT97" s="59832"/>
      <c r="BU97" s="59832"/>
      <c r="BV97" s="59832"/>
      <c r="BW97" s="59832"/>
      <c r="BX97" s="59832"/>
      <c r="BY97" s="59832"/>
      <c r="BZ97" s="59832"/>
      <c r="CA97" s="59832"/>
      <c r="CB97" s="59832"/>
      <c r="CC97" s="59832"/>
      <c r="CD97" s="59832"/>
      <c r="CE97" s="59832"/>
      <c r="CF97" s="59832"/>
    </row>
    <row customHeight="1" ht="11.25">
      <c r="A98" s="3017"/>
      <c r="B98" s="2371"/>
      <c r="C98" s="1623"/>
      <c r="D98" s="1300"/>
      <c r="E98" s="3784"/>
      <c r="F98" s="3319" t="s">
        <v>92</v>
      </c>
      <c r="G98" s="3786"/>
      <c r="H98" s="3338"/>
      <c r="I98" s="3726"/>
      <c r="J98" s="3780"/>
      <c r="K98" s="3782"/>
      <c r="L98" s="1856"/>
      <c r="M98" s="1857"/>
      <c r="N98" s="1858" t="s">
        <v>657</v>
      </c>
      <c r="O98" s="1858"/>
      <c r="P98" s="1858"/>
      <c r="Q98" s="1858"/>
      <c r="R98" s="1859"/>
      <c r="S98" s="3390"/>
      <c r="T98" s="1928"/>
      <c r="U98" s="1300"/>
      <c r="V98" s="1300"/>
      <c r="W98" s="59832"/>
      <c r="X98" s="59832"/>
      <c r="Y98" s="59832"/>
      <c r="Z98" s="59832"/>
      <c r="AA98" s="59832"/>
      <c r="AB98" s="59832"/>
      <c r="AC98" s="1300"/>
      <c r="AD98" s="59832"/>
      <c r="AE98" s="59832"/>
      <c r="AF98" s="59832"/>
      <c r="AG98" s="59832"/>
      <c r="AH98" s="59832"/>
      <c r="AI98" s="59832"/>
      <c r="AJ98" s="59832"/>
      <c r="AK98" s="59832"/>
      <c r="AL98" s="59832"/>
      <c r="AM98" s="59832"/>
      <c r="AN98" s="59832"/>
      <c r="AO98" s="59832"/>
      <c r="AP98" s="59832"/>
      <c r="AQ98" s="59832"/>
      <c r="AR98" s="59832"/>
      <c r="AS98" s="59832"/>
      <c r="AT98" s="59832"/>
      <c r="AU98" s="59832"/>
      <c r="AV98" s="59832"/>
      <c r="AW98" s="59832"/>
      <c r="AX98" s="59832"/>
      <c r="AY98" s="59832"/>
      <c r="AZ98" s="59832"/>
      <c r="BA98" s="59832"/>
      <c r="BB98" s="59832"/>
      <c r="BC98" s="59832"/>
      <c r="BD98" s="59832"/>
      <c r="BE98" s="59832"/>
      <c r="BF98" s="59832"/>
      <c r="BG98" s="59832"/>
      <c r="BH98" s="59832"/>
      <c r="BI98" s="59832"/>
      <c r="BJ98" s="59832"/>
      <c r="BK98" s="59832"/>
      <c r="BL98" s="59832"/>
      <c r="BM98" s="59832"/>
      <c r="BN98" s="59832"/>
      <c r="BO98" s="59832"/>
      <c r="BP98" s="59832"/>
      <c r="BQ98" s="59832"/>
      <c r="BR98" s="59832"/>
      <c r="BS98" s="59832"/>
      <c r="BT98" s="59832"/>
      <c r="BU98" s="59832"/>
      <c r="BV98" s="59832"/>
      <c r="BW98" s="59832"/>
      <c r="BX98" s="59832"/>
      <c r="BY98" s="59832"/>
      <c r="BZ98" s="59832"/>
      <c r="CA98" s="59832"/>
      <c r="CB98" s="59832"/>
      <c r="CC98" s="59832"/>
      <c r="CD98" s="59832"/>
      <c r="CE98" s="59832"/>
      <c r="CF98" s="59832"/>
    </row>
    <row customHeight="1" ht="11.25">
      <c r="A99" s="3017"/>
      <c r="B99" s="2371"/>
      <c r="C99" s="1623"/>
      <c r="D99" s="1300"/>
      <c r="E99" s="3785"/>
      <c r="F99" s="3319" t="s">
        <v>92</v>
      </c>
      <c r="G99" s="3787"/>
      <c r="H99" s="1856" t="s">
        <v>22</v>
      </c>
      <c r="I99" s="1857"/>
      <c r="J99" s="1858" t="s">
        <v>667</v>
      </c>
      <c r="K99" s="1858"/>
      <c r="L99" s="1858"/>
      <c r="M99" s="1858"/>
      <c r="N99" s="1858"/>
      <c r="O99" s="1858"/>
      <c r="P99" s="1858"/>
      <c r="Q99" s="1858"/>
      <c r="R99" s="1859"/>
      <c r="S99" s="3390"/>
      <c r="T99" s="1928"/>
      <c r="U99" s="1300"/>
      <c r="V99" s="1300"/>
      <c r="W99" s="59832"/>
      <c r="X99" s="59832"/>
      <c r="Y99" s="59832"/>
      <c r="Z99" s="59832"/>
      <c r="AA99" s="59832"/>
      <c r="AB99" s="59832"/>
      <c r="AC99" s="1300"/>
      <c r="AD99" s="59832"/>
      <c r="AE99" s="59832"/>
      <c r="AF99" s="59832"/>
      <c r="AG99" s="59832"/>
      <c r="AH99" s="59832"/>
      <c r="AI99" s="59832"/>
      <c r="AJ99" s="59832"/>
      <c r="AK99" s="59832"/>
      <c r="AL99" s="59832"/>
      <c r="AM99" s="59832"/>
      <c r="AN99" s="59832"/>
      <c r="AO99" s="59832"/>
      <c r="AP99" s="59832"/>
      <c r="AQ99" s="59832"/>
      <c r="AR99" s="59832"/>
      <c r="AS99" s="59832"/>
      <c r="AT99" s="59832"/>
      <c r="AU99" s="59832"/>
      <c r="AV99" s="59832"/>
      <c r="AW99" s="59832"/>
      <c r="AX99" s="59832"/>
      <c r="AY99" s="59832"/>
      <c r="AZ99" s="59832"/>
      <c r="BA99" s="59832"/>
      <c r="BB99" s="59832"/>
      <c r="BC99" s="59832"/>
      <c r="BD99" s="59832"/>
      <c r="BE99" s="59832"/>
      <c r="BF99" s="59832"/>
      <c r="BG99" s="59832"/>
      <c r="BH99" s="59832"/>
      <c r="BI99" s="59832"/>
      <c r="BJ99" s="59832"/>
      <c r="BK99" s="59832"/>
      <c r="BL99" s="59832"/>
      <c r="BM99" s="59832"/>
      <c r="BN99" s="59832"/>
      <c r="BO99" s="59832"/>
      <c r="BP99" s="59832"/>
      <c r="BQ99" s="59832"/>
      <c r="BR99" s="59832"/>
      <c r="BS99" s="59832"/>
      <c r="BT99" s="59832"/>
      <c r="BU99" s="59832"/>
      <c r="BV99" s="59832"/>
      <c r="BW99" s="59832"/>
      <c r="BX99" s="59832"/>
      <c r="BY99" s="59832"/>
      <c r="BZ99" s="59832"/>
      <c r="CA99" s="59832"/>
      <c r="CB99" s="59832"/>
      <c r="CC99" s="59832"/>
      <c r="CD99" s="59832"/>
      <c r="CE99" s="59832"/>
      <c r="CF99" s="59832"/>
    </row>
    <row customHeight="1" ht="45">
      <c r="A100" s="3017"/>
      <c r="B100" s="2371"/>
      <c r="C100" s="1623"/>
      <c r="D100" s="1300"/>
      <c r="E100" s="3783" t="s">
        <v>103</v>
      </c>
      <c r="F100" s="3319" t="s">
        <v>123</v>
      </c>
      <c r="G100" s="3786" t="s">
        <v>720</v>
      </c>
      <c r="H100" s="1500"/>
      <c r="I100" s="1848" t="s">
        <v>99</v>
      </c>
      <c r="J100" s="3018" t="s">
        <v>651</v>
      </c>
      <c r="K100" s="1849" t="s">
        <v>564</v>
      </c>
      <c r="L100" s="3435" t="s">
        <v>564</v>
      </c>
      <c r="M100" s="3788"/>
      <c r="N100" s="1849" t="s">
        <v>564</v>
      </c>
      <c r="O100" s="1849" t="s">
        <v>564</v>
      </c>
      <c r="P100" s="1849" t="s">
        <v>564</v>
      </c>
      <c r="Q100" s="1850">
        <f>SUM(Q101:Q103)</f>
        <v>3525.23</v>
      </c>
      <c r="R100" s="1850">
        <f>IF('Показатели ФХД'!J89=0,0,($Q$100/'Показатели ФХД'!J89)*100)</f>
        <v>2.6795853769688</v>
      </c>
      <c r="S100" s="3390"/>
      <c r="T100" s="1928" t="s">
        <v>649</v>
      </c>
      <c r="U100" s="1300"/>
      <c r="V100" s="1300"/>
      <c r="W100" s="59832"/>
      <c r="X100" s="59832"/>
      <c r="Y100" s="59832"/>
      <c r="Z100" s="59832"/>
      <c r="AA100" s="59832"/>
      <c r="AB100" s="59832"/>
      <c r="AC100" s="1300"/>
      <c r="AD100" s="59832"/>
      <c r="AE100" s="59832"/>
      <c r="AF100" s="59832"/>
      <c r="AG100" s="59832"/>
      <c r="AH100" s="59832"/>
      <c r="AI100" s="59832"/>
      <c r="AJ100" s="59832"/>
      <c r="AK100" s="59832"/>
      <c r="AL100" s="59832"/>
      <c r="AM100" s="59832"/>
      <c r="AN100" s="59832"/>
      <c r="AO100" s="59832"/>
      <c r="AP100" s="59832"/>
      <c r="AQ100" s="59832"/>
      <c r="AR100" s="59832"/>
      <c r="AS100" s="59832"/>
      <c r="AT100" s="59832"/>
      <c r="AU100" s="59832"/>
      <c r="AV100" s="59832"/>
      <c r="AW100" s="59832"/>
      <c r="AX100" s="59832"/>
      <c r="AY100" s="59832"/>
      <c r="AZ100" s="59832"/>
      <c r="BA100" s="59832"/>
      <c r="BB100" s="59832"/>
      <c r="BC100" s="59832"/>
      <c r="BD100" s="59832"/>
      <c r="BE100" s="59832"/>
      <c r="BF100" s="59832"/>
      <c r="BG100" s="59832"/>
      <c r="BH100" s="59832"/>
      <c r="BI100" s="59832"/>
      <c r="BJ100" s="59832"/>
      <c r="BK100" s="59832"/>
      <c r="BL100" s="59832"/>
      <c r="BM100" s="59832"/>
      <c r="BN100" s="59832"/>
      <c r="BO100" s="59832"/>
      <c r="BP100" s="59832"/>
      <c r="BQ100" s="59832"/>
      <c r="BR100" s="59832"/>
      <c r="BS100" s="59832"/>
      <c r="BT100" s="59832"/>
      <c r="BU100" s="59832"/>
      <c r="BV100" s="59832"/>
      <c r="BW100" s="59832"/>
      <c r="BX100" s="59832"/>
      <c r="BY100" s="59832"/>
      <c r="BZ100" s="59832"/>
      <c r="CA100" s="59832"/>
      <c r="CB100" s="59832"/>
      <c r="CC100" s="59832"/>
      <c r="CD100" s="59832"/>
      <c r="CE100" s="59832"/>
      <c r="CF100" s="59832"/>
    </row>
    <row customHeight="1" ht="32.25">
      <c r="A101" s="3017"/>
      <c r="B101" s="2371"/>
      <c r="C101" s="1623"/>
      <c r="D101" s="1300"/>
      <c r="E101" s="3784"/>
      <c r="F101" s="3319" t="s">
        <v>93</v>
      </c>
      <c r="G101" s="3786"/>
      <c r="H101" s="3338"/>
      <c r="I101" s="3726" t="s">
        <v>652</v>
      </c>
      <c r="J101" s="59831" t="s">
        <v>672</v>
      </c>
      <c r="K101" s="3781" t="s">
        <v>721</v>
      </c>
      <c r="L101" s="1851"/>
      <c r="M101" s="1852" t="s">
        <v>99</v>
      </c>
      <c r="N101" s="3006" t="s">
        <v>722</v>
      </c>
      <c r="O101" s="1853">
        <v>3525.23</v>
      </c>
      <c r="P101" s="1854" t="s">
        <v>656</v>
      </c>
      <c r="Q101" s="1853">
        <f>O101</f>
        <v>3525.23</v>
      </c>
      <c r="R101" s="1855">
        <v>0</v>
      </c>
      <c r="S101" s="3390"/>
      <c r="T101" s="1928"/>
      <c r="U101" s="1300"/>
      <c r="V101" s="1300"/>
      <c r="W101" s="59832"/>
      <c r="X101" s="59832"/>
      <c r="Y101" s="59832"/>
      <c r="Z101" s="59832"/>
      <c r="AA101" s="59832"/>
      <c r="AB101" s="59832"/>
      <c r="AC101" s="1300"/>
      <c r="AD101" s="59832"/>
      <c r="AE101" s="59832"/>
      <c r="AF101" s="59832"/>
      <c r="AG101" s="59832"/>
      <c r="AH101" s="59832"/>
      <c r="AI101" s="59832"/>
      <c r="AJ101" s="59832"/>
      <c r="AK101" s="59832"/>
      <c r="AL101" s="59832"/>
      <c r="AM101" s="59832"/>
      <c r="AN101" s="59832"/>
      <c r="AO101" s="59832"/>
      <c r="AP101" s="59832"/>
      <c r="AQ101" s="59832"/>
      <c r="AR101" s="59832"/>
      <c r="AS101" s="59832"/>
      <c r="AT101" s="59832"/>
      <c r="AU101" s="59832"/>
      <c r="AV101" s="59832"/>
      <c r="AW101" s="59832"/>
      <c r="AX101" s="59832"/>
      <c r="AY101" s="59832"/>
      <c r="AZ101" s="59832"/>
      <c r="BA101" s="59832"/>
      <c r="BB101" s="59832"/>
      <c r="BC101" s="59832"/>
      <c r="BD101" s="59832"/>
      <c r="BE101" s="59832"/>
      <c r="BF101" s="59832"/>
      <c r="BG101" s="59832"/>
      <c r="BH101" s="59832"/>
      <c r="BI101" s="59832"/>
      <c r="BJ101" s="59832"/>
      <c r="BK101" s="59832"/>
      <c r="BL101" s="59832"/>
      <c r="BM101" s="59832"/>
      <c r="BN101" s="59832"/>
      <c r="BO101" s="59832"/>
      <c r="BP101" s="59832"/>
      <c r="BQ101" s="59832"/>
      <c r="BR101" s="59832"/>
      <c r="BS101" s="59832"/>
      <c r="BT101" s="59832"/>
      <c r="BU101" s="59832"/>
      <c r="BV101" s="59832"/>
      <c r="BW101" s="59832"/>
      <c r="BX101" s="59832"/>
      <c r="BY101" s="59832"/>
      <c r="BZ101" s="59832"/>
      <c r="CA101" s="59832"/>
      <c r="CB101" s="59832"/>
      <c r="CC101" s="59832"/>
      <c r="CD101" s="59832"/>
      <c r="CE101" s="59832"/>
      <c r="CF101" s="59832"/>
    </row>
    <row customHeight="1" ht="11.25">
      <c r="A102" s="3017"/>
      <c r="B102" s="2371"/>
      <c r="C102" s="1623"/>
      <c r="D102" s="1300"/>
      <c r="E102" s="3784"/>
      <c r="F102" s="3319" t="s">
        <v>93</v>
      </c>
      <c r="G102" s="3786"/>
      <c r="H102" s="3338"/>
      <c r="I102" s="3726"/>
      <c r="J102" s="3780"/>
      <c r="K102" s="3782"/>
      <c r="L102" s="1856"/>
      <c r="M102" s="1857"/>
      <c r="N102" s="1858" t="s">
        <v>657</v>
      </c>
      <c r="O102" s="1858"/>
      <c r="P102" s="1858"/>
      <c r="Q102" s="1858"/>
      <c r="R102" s="1859"/>
      <c r="S102" s="3390"/>
      <c r="T102" s="1928"/>
      <c r="U102" s="1300"/>
      <c r="V102" s="1300"/>
      <c r="W102" s="59832"/>
      <c r="X102" s="59832"/>
      <c r="Y102" s="59832"/>
      <c r="Z102" s="59832"/>
      <c r="AA102" s="59832"/>
      <c r="AB102" s="59832"/>
      <c r="AC102" s="1300"/>
      <c r="AD102" s="59832"/>
      <c r="AE102" s="59832"/>
      <c r="AF102" s="59832"/>
      <c r="AG102" s="59832"/>
      <c r="AH102" s="59832"/>
      <c r="AI102" s="59832"/>
      <c r="AJ102" s="59832"/>
      <c r="AK102" s="59832"/>
      <c r="AL102" s="59832"/>
      <c r="AM102" s="59832"/>
      <c r="AN102" s="59832"/>
      <c r="AO102" s="59832"/>
      <c r="AP102" s="59832"/>
      <c r="AQ102" s="59832"/>
      <c r="AR102" s="59832"/>
      <c r="AS102" s="59832"/>
      <c r="AT102" s="59832"/>
      <c r="AU102" s="59832"/>
      <c r="AV102" s="59832"/>
      <c r="AW102" s="59832"/>
      <c r="AX102" s="59832"/>
      <c r="AY102" s="59832"/>
      <c r="AZ102" s="59832"/>
      <c r="BA102" s="59832"/>
      <c r="BB102" s="59832"/>
      <c r="BC102" s="59832"/>
      <c r="BD102" s="59832"/>
      <c r="BE102" s="59832"/>
      <c r="BF102" s="59832"/>
      <c r="BG102" s="59832"/>
      <c r="BH102" s="59832"/>
      <c r="BI102" s="59832"/>
      <c r="BJ102" s="59832"/>
      <c r="BK102" s="59832"/>
      <c r="BL102" s="59832"/>
      <c r="BM102" s="59832"/>
      <c r="BN102" s="59832"/>
      <c r="BO102" s="59832"/>
      <c r="BP102" s="59832"/>
      <c r="BQ102" s="59832"/>
      <c r="BR102" s="59832"/>
      <c r="BS102" s="59832"/>
      <c r="BT102" s="59832"/>
      <c r="BU102" s="59832"/>
      <c r="BV102" s="59832"/>
      <c r="BW102" s="59832"/>
      <c r="BX102" s="59832"/>
      <c r="BY102" s="59832"/>
      <c r="BZ102" s="59832"/>
      <c r="CA102" s="59832"/>
      <c r="CB102" s="59832"/>
      <c r="CC102" s="59832"/>
      <c r="CD102" s="59832"/>
      <c r="CE102" s="59832"/>
      <c r="CF102" s="59832"/>
    </row>
    <row customHeight="1" ht="11.25">
      <c r="A103" s="3017"/>
      <c r="B103" s="2371"/>
      <c r="C103" s="1623"/>
      <c r="D103" s="1300"/>
      <c r="E103" s="3785"/>
      <c r="F103" s="3319" t="s">
        <v>93</v>
      </c>
      <c r="G103" s="3787"/>
      <c r="H103" s="1856" t="s">
        <v>22</v>
      </c>
      <c r="I103" s="1857"/>
      <c r="J103" s="1858" t="s">
        <v>667</v>
      </c>
      <c r="K103" s="1858"/>
      <c r="L103" s="1858"/>
      <c r="M103" s="1858"/>
      <c r="N103" s="1858"/>
      <c r="O103" s="1858"/>
      <c r="P103" s="1858"/>
      <c r="Q103" s="1858"/>
      <c r="R103" s="1859"/>
      <c r="S103" s="3390"/>
      <c r="T103" s="1928"/>
      <c r="U103" s="1300"/>
      <c r="V103" s="1300"/>
      <c r="W103" s="59832"/>
      <c r="X103" s="59832"/>
      <c r="Y103" s="59832"/>
      <c r="Z103" s="59832"/>
      <c r="AA103" s="59832"/>
      <c r="AB103" s="59832"/>
      <c r="AC103" s="1300"/>
      <c r="AD103" s="59832"/>
      <c r="AE103" s="59832"/>
      <c r="AF103" s="59832"/>
      <c r="AG103" s="59832"/>
      <c r="AH103" s="59832"/>
      <c r="AI103" s="59832"/>
      <c r="AJ103" s="59832"/>
      <c r="AK103" s="59832"/>
      <c r="AL103" s="59832"/>
      <c r="AM103" s="59832"/>
      <c r="AN103" s="59832"/>
      <c r="AO103" s="59832"/>
      <c r="AP103" s="59832"/>
      <c r="AQ103" s="59832"/>
      <c r="AR103" s="59832"/>
      <c r="AS103" s="59832"/>
      <c r="AT103" s="59832"/>
      <c r="AU103" s="59832"/>
      <c r="AV103" s="59832"/>
      <c r="AW103" s="59832"/>
      <c r="AX103" s="59832"/>
      <c r="AY103" s="59832"/>
      <c r="AZ103" s="59832"/>
      <c r="BA103" s="59832"/>
      <c r="BB103" s="59832"/>
      <c r="BC103" s="59832"/>
      <c r="BD103" s="59832"/>
      <c r="BE103" s="59832"/>
      <c r="BF103" s="59832"/>
      <c r="BG103" s="59832"/>
      <c r="BH103" s="59832"/>
      <c r="BI103" s="59832"/>
      <c r="BJ103" s="59832"/>
      <c r="BK103" s="59832"/>
      <c r="BL103" s="59832"/>
      <c r="BM103" s="59832"/>
      <c r="BN103" s="59832"/>
      <c r="BO103" s="59832"/>
      <c r="BP103" s="59832"/>
      <c r="BQ103" s="59832"/>
      <c r="BR103" s="59832"/>
      <c r="BS103" s="59832"/>
      <c r="BT103" s="59832"/>
      <c r="BU103" s="59832"/>
      <c r="BV103" s="59832"/>
      <c r="BW103" s="59832"/>
      <c r="BX103" s="59832"/>
      <c r="BY103" s="59832"/>
      <c r="BZ103" s="59832"/>
      <c r="CA103" s="59832"/>
      <c r="CB103" s="59832"/>
      <c r="CC103" s="59832"/>
      <c r="CD103" s="59832"/>
      <c r="CE103" s="59832"/>
      <c r="CF103" s="59832"/>
    </row>
    <row customHeight="1" ht="45">
      <c r="A104" s="3017"/>
      <c r="B104" s="2371"/>
      <c r="C104" s="1623"/>
      <c r="D104" s="1300"/>
      <c r="E104" s="3783" t="s">
        <v>103</v>
      </c>
      <c r="F104" s="3319" t="s">
        <v>168</v>
      </c>
      <c r="G104" s="3786" t="s">
        <v>723</v>
      </c>
      <c r="H104" s="1500"/>
      <c r="I104" s="1848" t="s">
        <v>99</v>
      </c>
      <c r="J104" s="3018" t="s">
        <v>651</v>
      </c>
      <c r="K104" s="1849" t="s">
        <v>564</v>
      </c>
      <c r="L104" s="3435" t="s">
        <v>564</v>
      </c>
      <c r="M104" s="3788"/>
      <c r="N104" s="1849" t="s">
        <v>564</v>
      </c>
      <c r="O104" s="1849" t="s">
        <v>564</v>
      </c>
      <c r="P104" s="1849" t="s">
        <v>564</v>
      </c>
      <c r="Q104" s="1850">
        <f>SUM(Q105:Q107)</f>
        <v>1966.61</v>
      </c>
      <c r="R104" s="1850">
        <f>IF('Показатели ФХД'!J89=0,0,($Q$104/'Показатели ФХД'!J89)*100)</f>
        <v>1.4948526474019</v>
      </c>
      <c r="S104" s="3390"/>
      <c r="T104" s="1928" t="s">
        <v>649</v>
      </c>
      <c r="U104" s="1300"/>
      <c r="V104" s="1300"/>
      <c r="W104" s="59832"/>
      <c r="X104" s="59832"/>
      <c r="Y104" s="59832"/>
      <c r="Z104" s="59832"/>
      <c r="AA104" s="59832"/>
      <c r="AB104" s="59832"/>
      <c r="AC104" s="1300"/>
      <c r="AD104" s="59832"/>
      <c r="AE104" s="59832"/>
      <c r="AF104" s="59832"/>
      <c r="AG104" s="59832"/>
      <c r="AH104" s="59832"/>
      <c r="AI104" s="59832"/>
      <c r="AJ104" s="59832"/>
      <c r="AK104" s="59832"/>
      <c r="AL104" s="59832"/>
      <c r="AM104" s="59832"/>
      <c r="AN104" s="59832"/>
      <c r="AO104" s="59832"/>
      <c r="AP104" s="59832"/>
      <c r="AQ104" s="59832"/>
      <c r="AR104" s="59832"/>
      <c r="AS104" s="59832"/>
      <c r="AT104" s="59832"/>
      <c r="AU104" s="59832"/>
      <c r="AV104" s="59832"/>
      <c r="AW104" s="59832"/>
      <c r="AX104" s="59832"/>
      <c r="AY104" s="59832"/>
      <c r="AZ104" s="59832"/>
      <c r="BA104" s="59832"/>
      <c r="BB104" s="59832"/>
      <c r="BC104" s="59832"/>
      <c r="BD104" s="59832"/>
      <c r="BE104" s="59832"/>
      <c r="BF104" s="59832"/>
      <c r="BG104" s="59832"/>
      <c r="BH104" s="59832"/>
      <c r="BI104" s="59832"/>
      <c r="BJ104" s="59832"/>
      <c r="BK104" s="59832"/>
      <c r="BL104" s="59832"/>
      <c r="BM104" s="59832"/>
      <c r="BN104" s="59832"/>
      <c r="BO104" s="59832"/>
      <c r="BP104" s="59832"/>
      <c r="BQ104" s="59832"/>
      <c r="BR104" s="59832"/>
      <c r="BS104" s="59832"/>
      <c r="BT104" s="59832"/>
      <c r="BU104" s="59832"/>
      <c r="BV104" s="59832"/>
      <c r="BW104" s="59832"/>
      <c r="BX104" s="59832"/>
      <c r="BY104" s="59832"/>
      <c r="BZ104" s="59832"/>
      <c r="CA104" s="59832"/>
      <c r="CB104" s="59832"/>
      <c r="CC104" s="59832"/>
      <c r="CD104" s="59832"/>
      <c r="CE104" s="59832"/>
      <c r="CF104" s="59832"/>
    </row>
    <row customHeight="1" ht="26.25">
      <c r="A105" s="3017"/>
      <c r="B105" s="2371"/>
      <c r="C105" s="1623"/>
      <c r="D105" s="1300"/>
      <c r="E105" s="3784"/>
      <c r="F105" s="3319" t="s">
        <v>123</v>
      </c>
      <c r="G105" s="3786"/>
      <c r="H105" s="3338"/>
      <c r="I105" s="3726" t="s">
        <v>652</v>
      </c>
      <c r="J105" s="59831" t="s">
        <v>672</v>
      </c>
      <c r="K105" s="3781" t="s">
        <v>724</v>
      </c>
      <c r="L105" s="1851"/>
      <c r="M105" s="1852" t="s">
        <v>99</v>
      </c>
      <c r="N105" s="3006" t="s">
        <v>725</v>
      </c>
      <c r="O105" s="1853">
        <v>1966.61</v>
      </c>
      <c r="P105" s="1854" t="s">
        <v>656</v>
      </c>
      <c r="Q105" s="1853">
        <f>O105</f>
        <v>1966.61</v>
      </c>
      <c r="R105" s="1855">
        <v>0</v>
      </c>
      <c r="S105" s="3390"/>
      <c r="T105" s="1928"/>
      <c r="U105" s="1300"/>
      <c r="V105" s="1300"/>
      <c r="W105" s="59832"/>
      <c r="X105" s="59832"/>
      <c r="Y105" s="59832"/>
      <c r="Z105" s="59832"/>
      <c r="AA105" s="59832"/>
      <c r="AB105" s="59832"/>
      <c r="AC105" s="1300"/>
      <c r="AD105" s="59832"/>
      <c r="AE105" s="59832"/>
      <c r="AF105" s="59832"/>
      <c r="AG105" s="59832"/>
      <c r="AH105" s="59832"/>
      <c r="AI105" s="59832"/>
      <c r="AJ105" s="59832"/>
      <c r="AK105" s="59832"/>
      <c r="AL105" s="59832"/>
      <c r="AM105" s="59832"/>
      <c r="AN105" s="59832"/>
      <c r="AO105" s="59832"/>
      <c r="AP105" s="59832"/>
      <c r="AQ105" s="59832"/>
      <c r="AR105" s="59832"/>
      <c r="AS105" s="59832"/>
      <c r="AT105" s="59832"/>
      <c r="AU105" s="59832"/>
      <c r="AV105" s="59832"/>
      <c r="AW105" s="59832"/>
      <c r="AX105" s="59832"/>
      <c r="AY105" s="59832"/>
      <c r="AZ105" s="59832"/>
      <c r="BA105" s="59832"/>
      <c r="BB105" s="59832"/>
      <c r="BC105" s="59832"/>
      <c r="BD105" s="59832"/>
      <c r="BE105" s="59832"/>
      <c r="BF105" s="59832"/>
      <c r="BG105" s="59832"/>
      <c r="BH105" s="59832"/>
      <c r="BI105" s="59832"/>
      <c r="BJ105" s="59832"/>
      <c r="BK105" s="59832"/>
      <c r="BL105" s="59832"/>
      <c r="BM105" s="59832"/>
      <c r="BN105" s="59832"/>
      <c r="BO105" s="59832"/>
      <c r="BP105" s="59832"/>
      <c r="BQ105" s="59832"/>
      <c r="BR105" s="59832"/>
      <c r="BS105" s="59832"/>
      <c r="BT105" s="59832"/>
      <c r="BU105" s="59832"/>
      <c r="BV105" s="59832"/>
      <c r="BW105" s="59832"/>
      <c r="BX105" s="59832"/>
      <c r="BY105" s="59832"/>
      <c r="BZ105" s="59832"/>
      <c r="CA105" s="59832"/>
      <c r="CB105" s="59832"/>
      <c r="CC105" s="59832"/>
      <c r="CD105" s="59832"/>
      <c r="CE105" s="59832"/>
      <c r="CF105" s="59832"/>
    </row>
    <row customHeight="1" ht="11.25">
      <c r="A106" s="3017"/>
      <c r="B106" s="2371"/>
      <c r="C106" s="1623"/>
      <c r="D106" s="1300"/>
      <c r="E106" s="3784"/>
      <c r="F106" s="3319" t="s">
        <v>123</v>
      </c>
      <c r="G106" s="3786"/>
      <c r="H106" s="3338"/>
      <c r="I106" s="3726"/>
      <c r="J106" s="3780"/>
      <c r="K106" s="3782"/>
      <c r="L106" s="1856"/>
      <c r="M106" s="1857"/>
      <c r="N106" s="1858" t="s">
        <v>657</v>
      </c>
      <c r="O106" s="1858"/>
      <c r="P106" s="1858"/>
      <c r="Q106" s="1858"/>
      <c r="R106" s="1859"/>
      <c r="S106" s="3390"/>
      <c r="T106" s="1928"/>
      <c r="U106" s="1300"/>
      <c r="V106" s="1300"/>
      <c r="W106" s="59832"/>
      <c r="X106" s="59832"/>
      <c r="Y106" s="59832"/>
      <c r="Z106" s="59832"/>
      <c r="AA106" s="59832"/>
      <c r="AB106" s="59832"/>
      <c r="AC106" s="1300"/>
      <c r="AD106" s="59832"/>
      <c r="AE106" s="59832"/>
      <c r="AF106" s="59832"/>
      <c r="AG106" s="59832"/>
      <c r="AH106" s="59832"/>
      <c r="AI106" s="59832"/>
      <c r="AJ106" s="59832"/>
      <c r="AK106" s="59832"/>
      <c r="AL106" s="59832"/>
      <c r="AM106" s="59832"/>
      <c r="AN106" s="59832"/>
      <c r="AO106" s="59832"/>
      <c r="AP106" s="59832"/>
      <c r="AQ106" s="59832"/>
      <c r="AR106" s="59832"/>
      <c r="AS106" s="59832"/>
      <c r="AT106" s="59832"/>
      <c r="AU106" s="59832"/>
      <c r="AV106" s="59832"/>
      <c r="AW106" s="59832"/>
      <c r="AX106" s="59832"/>
      <c r="AY106" s="59832"/>
      <c r="AZ106" s="59832"/>
      <c r="BA106" s="59832"/>
      <c r="BB106" s="59832"/>
      <c r="BC106" s="59832"/>
      <c r="BD106" s="59832"/>
      <c r="BE106" s="59832"/>
      <c r="BF106" s="59832"/>
      <c r="BG106" s="59832"/>
      <c r="BH106" s="59832"/>
      <c r="BI106" s="59832"/>
      <c r="BJ106" s="59832"/>
      <c r="BK106" s="59832"/>
      <c r="BL106" s="59832"/>
      <c r="BM106" s="59832"/>
      <c r="BN106" s="59832"/>
      <c r="BO106" s="59832"/>
      <c r="BP106" s="59832"/>
      <c r="BQ106" s="59832"/>
      <c r="BR106" s="59832"/>
      <c r="BS106" s="59832"/>
      <c r="BT106" s="59832"/>
      <c r="BU106" s="59832"/>
      <c r="BV106" s="59832"/>
      <c r="BW106" s="59832"/>
      <c r="BX106" s="59832"/>
      <c r="BY106" s="59832"/>
      <c r="BZ106" s="59832"/>
      <c r="CA106" s="59832"/>
      <c r="CB106" s="59832"/>
      <c r="CC106" s="59832"/>
      <c r="CD106" s="59832"/>
      <c r="CE106" s="59832"/>
      <c r="CF106" s="59832"/>
    </row>
    <row customHeight="1" ht="11.25">
      <c r="A107" s="3017"/>
      <c r="B107" s="2371"/>
      <c r="C107" s="1623"/>
      <c r="D107" s="1300"/>
      <c r="E107" s="3785"/>
      <c r="F107" s="3319" t="s">
        <v>123</v>
      </c>
      <c r="G107" s="3787"/>
      <c r="H107" s="1856" t="s">
        <v>22</v>
      </c>
      <c r="I107" s="1857"/>
      <c r="J107" s="1858" t="s">
        <v>667</v>
      </c>
      <c r="K107" s="1858"/>
      <c r="L107" s="1858"/>
      <c r="M107" s="1858"/>
      <c r="N107" s="1858"/>
      <c r="O107" s="1858"/>
      <c r="P107" s="1858"/>
      <c r="Q107" s="1858"/>
      <c r="R107" s="1859"/>
      <c r="S107" s="3390"/>
      <c r="T107" s="1928"/>
      <c r="U107" s="1300"/>
      <c r="V107" s="1300"/>
      <c r="W107" s="59832"/>
      <c r="X107" s="59832"/>
      <c r="Y107" s="59832"/>
      <c r="Z107" s="59832"/>
      <c r="AA107" s="59832"/>
      <c r="AB107" s="59832"/>
      <c r="AC107" s="1300"/>
      <c r="AD107" s="59832"/>
      <c r="AE107" s="59832"/>
      <c r="AF107" s="59832"/>
      <c r="AG107" s="59832"/>
      <c r="AH107" s="59832"/>
      <c r="AI107" s="59832"/>
      <c r="AJ107" s="59832"/>
      <c r="AK107" s="59832"/>
      <c r="AL107" s="59832"/>
      <c r="AM107" s="59832"/>
      <c r="AN107" s="59832"/>
      <c r="AO107" s="59832"/>
      <c r="AP107" s="59832"/>
      <c r="AQ107" s="59832"/>
      <c r="AR107" s="59832"/>
      <c r="AS107" s="59832"/>
      <c r="AT107" s="59832"/>
      <c r="AU107" s="59832"/>
      <c r="AV107" s="59832"/>
      <c r="AW107" s="59832"/>
      <c r="AX107" s="59832"/>
      <c r="AY107" s="59832"/>
      <c r="AZ107" s="59832"/>
      <c r="BA107" s="59832"/>
      <c r="BB107" s="59832"/>
      <c r="BC107" s="59832"/>
      <c r="BD107" s="59832"/>
      <c r="BE107" s="59832"/>
      <c r="BF107" s="59832"/>
      <c r="BG107" s="59832"/>
      <c r="BH107" s="59832"/>
      <c r="BI107" s="59832"/>
      <c r="BJ107" s="59832"/>
      <c r="BK107" s="59832"/>
      <c r="BL107" s="59832"/>
      <c r="BM107" s="59832"/>
      <c r="BN107" s="59832"/>
      <c r="BO107" s="59832"/>
      <c r="BP107" s="59832"/>
      <c r="BQ107" s="59832"/>
      <c r="BR107" s="59832"/>
      <c r="BS107" s="59832"/>
      <c r="BT107" s="59832"/>
      <c r="BU107" s="59832"/>
      <c r="BV107" s="59832"/>
      <c r="BW107" s="59832"/>
      <c r="BX107" s="59832"/>
      <c r="BY107" s="59832"/>
      <c r="BZ107" s="59832"/>
      <c r="CA107" s="59832"/>
      <c r="CB107" s="59832"/>
      <c r="CC107" s="59832"/>
      <c r="CD107" s="59832"/>
      <c r="CE107" s="59832"/>
      <c r="CF107" s="59832"/>
    </row>
    <row customHeight="1" ht="45">
      <c r="A108" s="3017"/>
      <c r="B108" s="2371"/>
      <c r="C108" s="1623"/>
      <c r="D108" s="1300"/>
      <c r="E108" s="3783" t="s">
        <v>103</v>
      </c>
      <c r="F108" s="3319" t="s">
        <v>169</v>
      </c>
      <c r="G108" s="3786" t="s">
        <v>726</v>
      </c>
      <c r="H108" s="1500"/>
      <c r="I108" s="1848" t="s">
        <v>99</v>
      </c>
      <c r="J108" s="3018" t="s">
        <v>651</v>
      </c>
      <c r="K108" s="1849" t="s">
        <v>564</v>
      </c>
      <c r="L108" s="3435" t="s">
        <v>564</v>
      </c>
      <c r="M108" s="3788"/>
      <c r="N108" s="1849" t="s">
        <v>564</v>
      </c>
      <c r="O108" s="1849" t="s">
        <v>564</v>
      </c>
      <c r="P108" s="1849" t="s">
        <v>564</v>
      </c>
      <c r="Q108" s="1850">
        <f>SUM(Q109:Q111)</f>
        <v>1285.11</v>
      </c>
      <c r="R108" s="1850">
        <f>IF('Показатели ФХД'!J89=0,0,($Q$108/'Показатели ФХД'!J89)*100)</f>
        <v>0.976833274366884</v>
      </c>
      <c r="S108" s="3390"/>
      <c r="T108" s="1928" t="s">
        <v>649</v>
      </c>
      <c r="U108" s="1300"/>
      <c r="V108" s="1300"/>
      <c r="W108" s="59832"/>
      <c r="X108" s="59832"/>
      <c r="Y108" s="59832"/>
      <c r="Z108" s="59832"/>
      <c r="AA108" s="59832"/>
      <c r="AB108" s="59832"/>
      <c r="AC108" s="1300"/>
      <c r="AD108" s="59832"/>
      <c r="AE108" s="59832"/>
      <c r="AF108" s="59832"/>
      <c r="AG108" s="59832"/>
      <c r="AH108" s="59832"/>
      <c r="AI108" s="59832"/>
      <c r="AJ108" s="59832"/>
      <c r="AK108" s="59832"/>
      <c r="AL108" s="59832"/>
      <c r="AM108" s="59832"/>
      <c r="AN108" s="59832"/>
      <c r="AO108" s="59832"/>
      <c r="AP108" s="59832"/>
      <c r="AQ108" s="59832"/>
      <c r="AR108" s="59832"/>
      <c r="AS108" s="59832"/>
      <c r="AT108" s="59832"/>
      <c r="AU108" s="59832"/>
      <c r="AV108" s="59832"/>
      <c r="AW108" s="59832"/>
      <c r="AX108" s="59832"/>
      <c r="AY108" s="59832"/>
      <c r="AZ108" s="59832"/>
      <c r="BA108" s="59832"/>
      <c r="BB108" s="59832"/>
      <c r="BC108" s="59832"/>
      <c r="BD108" s="59832"/>
      <c r="BE108" s="59832"/>
      <c r="BF108" s="59832"/>
      <c r="BG108" s="59832"/>
      <c r="BH108" s="59832"/>
      <c r="BI108" s="59832"/>
      <c r="BJ108" s="59832"/>
      <c r="BK108" s="59832"/>
      <c r="BL108" s="59832"/>
      <c r="BM108" s="59832"/>
      <c r="BN108" s="59832"/>
      <c r="BO108" s="59832"/>
      <c r="BP108" s="59832"/>
      <c r="BQ108" s="59832"/>
      <c r="BR108" s="59832"/>
      <c r="BS108" s="59832"/>
      <c r="BT108" s="59832"/>
      <c r="BU108" s="59832"/>
      <c r="BV108" s="59832"/>
      <c r="BW108" s="59832"/>
      <c r="BX108" s="59832"/>
      <c r="BY108" s="59832"/>
      <c r="BZ108" s="59832"/>
      <c r="CA108" s="59832"/>
      <c r="CB108" s="59832"/>
      <c r="CC108" s="59832"/>
      <c r="CD108" s="59832"/>
      <c r="CE108" s="59832"/>
      <c r="CF108" s="59832"/>
    </row>
    <row customHeight="1" ht="36">
      <c r="A109" s="3017"/>
      <c r="B109" s="2371"/>
      <c r="C109" s="1623"/>
      <c r="D109" s="1300"/>
      <c r="E109" s="3784"/>
      <c r="F109" s="3319" t="s">
        <v>168</v>
      </c>
      <c r="G109" s="3786"/>
      <c r="H109" s="3338"/>
      <c r="I109" s="3726" t="s">
        <v>652</v>
      </c>
      <c r="J109" s="59831" t="s">
        <v>672</v>
      </c>
      <c r="K109" s="3781" t="s">
        <v>727</v>
      </c>
      <c r="L109" s="1851"/>
      <c r="M109" s="1852" t="s">
        <v>99</v>
      </c>
      <c r="N109" s="3006" t="s">
        <v>728</v>
      </c>
      <c r="O109" s="1853">
        <v>1285.11</v>
      </c>
      <c r="P109" s="1854" t="s">
        <v>656</v>
      </c>
      <c r="Q109" s="1853">
        <f>O109</f>
        <v>1285.11</v>
      </c>
      <c r="R109" s="1855">
        <v>0</v>
      </c>
      <c r="S109" s="3390"/>
      <c r="T109" s="1928"/>
      <c r="U109" s="1300"/>
      <c r="V109" s="1300"/>
      <c r="W109" s="59832"/>
      <c r="X109" s="59832"/>
      <c r="Y109" s="59832"/>
      <c r="Z109" s="59832"/>
      <c r="AA109" s="59832"/>
      <c r="AB109" s="59832"/>
      <c r="AC109" s="1300"/>
      <c r="AD109" s="59832"/>
      <c r="AE109" s="59832"/>
      <c r="AF109" s="59832"/>
      <c r="AG109" s="59832"/>
      <c r="AH109" s="59832"/>
      <c r="AI109" s="59832"/>
      <c r="AJ109" s="59832"/>
      <c r="AK109" s="59832"/>
      <c r="AL109" s="59832"/>
      <c r="AM109" s="59832"/>
      <c r="AN109" s="59832"/>
      <c r="AO109" s="59832"/>
      <c r="AP109" s="59832"/>
      <c r="AQ109" s="59832"/>
      <c r="AR109" s="59832"/>
      <c r="AS109" s="59832"/>
      <c r="AT109" s="59832"/>
      <c r="AU109" s="59832"/>
      <c r="AV109" s="59832"/>
      <c r="AW109" s="59832"/>
      <c r="AX109" s="59832"/>
      <c r="AY109" s="59832"/>
      <c r="AZ109" s="59832"/>
      <c r="BA109" s="59832"/>
      <c r="BB109" s="59832"/>
      <c r="BC109" s="59832"/>
      <c r="BD109" s="59832"/>
      <c r="BE109" s="59832"/>
      <c r="BF109" s="59832"/>
      <c r="BG109" s="59832"/>
      <c r="BH109" s="59832"/>
      <c r="BI109" s="59832"/>
      <c r="BJ109" s="59832"/>
      <c r="BK109" s="59832"/>
      <c r="BL109" s="59832"/>
      <c r="BM109" s="59832"/>
      <c r="BN109" s="59832"/>
      <c r="BO109" s="59832"/>
      <c r="BP109" s="59832"/>
      <c r="BQ109" s="59832"/>
      <c r="BR109" s="59832"/>
      <c r="BS109" s="59832"/>
      <c r="BT109" s="59832"/>
      <c r="BU109" s="59832"/>
      <c r="BV109" s="59832"/>
      <c r="BW109" s="59832"/>
      <c r="BX109" s="59832"/>
      <c r="BY109" s="59832"/>
      <c r="BZ109" s="59832"/>
      <c r="CA109" s="59832"/>
      <c r="CB109" s="59832"/>
      <c r="CC109" s="59832"/>
      <c r="CD109" s="59832"/>
      <c r="CE109" s="59832"/>
      <c r="CF109" s="59832"/>
    </row>
    <row customHeight="1" ht="11.25">
      <c r="A110" s="3017"/>
      <c r="B110" s="2371"/>
      <c r="C110" s="1623"/>
      <c r="D110" s="1300"/>
      <c r="E110" s="3784"/>
      <c r="F110" s="3319" t="s">
        <v>168</v>
      </c>
      <c r="G110" s="3786"/>
      <c r="H110" s="3338"/>
      <c r="I110" s="3726"/>
      <c r="J110" s="3780"/>
      <c r="K110" s="3782"/>
      <c r="L110" s="1856"/>
      <c r="M110" s="1857"/>
      <c r="N110" s="1858" t="s">
        <v>657</v>
      </c>
      <c r="O110" s="1858"/>
      <c r="P110" s="1858"/>
      <c r="Q110" s="1858"/>
      <c r="R110" s="1859"/>
      <c r="S110" s="3390"/>
      <c r="T110" s="1928"/>
      <c r="U110" s="1300"/>
      <c r="V110" s="1300"/>
      <c r="W110" s="59832"/>
      <c r="X110" s="59832"/>
      <c r="Y110" s="59832"/>
      <c r="Z110" s="59832"/>
      <c r="AA110" s="59832"/>
      <c r="AB110" s="59832"/>
      <c r="AC110" s="1300"/>
      <c r="AD110" s="59832"/>
      <c r="AE110" s="59832"/>
      <c r="AF110" s="59832"/>
      <c r="AG110" s="59832"/>
      <c r="AH110" s="59832"/>
      <c r="AI110" s="59832"/>
      <c r="AJ110" s="59832"/>
      <c r="AK110" s="59832"/>
      <c r="AL110" s="59832"/>
      <c r="AM110" s="59832"/>
      <c r="AN110" s="59832"/>
      <c r="AO110" s="59832"/>
      <c r="AP110" s="59832"/>
      <c r="AQ110" s="59832"/>
      <c r="AR110" s="59832"/>
      <c r="AS110" s="59832"/>
      <c r="AT110" s="59832"/>
      <c r="AU110" s="59832"/>
      <c r="AV110" s="59832"/>
      <c r="AW110" s="59832"/>
      <c r="AX110" s="59832"/>
      <c r="AY110" s="59832"/>
      <c r="AZ110" s="59832"/>
      <c r="BA110" s="59832"/>
      <c r="BB110" s="59832"/>
      <c r="BC110" s="59832"/>
      <c r="BD110" s="59832"/>
      <c r="BE110" s="59832"/>
      <c r="BF110" s="59832"/>
      <c r="BG110" s="59832"/>
      <c r="BH110" s="59832"/>
      <c r="BI110" s="59832"/>
      <c r="BJ110" s="59832"/>
      <c r="BK110" s="59832"/>
      <c r="BL110" s="59832"/>
      <c r="BM110" s="59832"/>
      <c r="BN110" s="59832"/>
      <c r="BO110" s="59832"/>
      <c r="BP110" s="59832"/>
      <c r="BQ110" s="59832"/>
      <c r="BR110" s="59832"/>
      <c r="BS110" s="59832"/>
      <c r="BT110" s="59832"/>
      <c r="BU110" s="59832"/>
      <c r="BV110" s="59832"/>
      <c r="BW110" s="59832"/>
      <c r="BX110" s="59832"/>
      <c r="BY110" s="59832"/>
      <c r="BZ110" s="59832"/>
      <c r="CA110" s="59832"/>
      <c r="CB110" s="59832"/>
      <c r="CC110" s="59832"/>
      <c r="CD110" s="59832"/>
      <c r="CE110" s="59832"/>
      <c r="CF110" s="59832"/>
    </row>
    <row customHeight="1" ht="11.25">
      <c r="A111" s="3017"/>
      <c r="B111" s="2371"/>
      <c r="C111" s="1623"/>
      <c r="D111" s="1300"/>
      <c r="E111" s="3785"/>
      <c r="F111" s="3319" t="s">
        <v>168</v>
      </c>
      <c r="G111" s="3787"/>
      <c r="H111" s="1856" t="s">
        <v>22</v>
      </c>
      <c r="I111" s="1857"/>
      <c r="J111" s="1858" t="s">
        <v>667</v>
      </c>
      <c r="K111" s="1858"/>
      <c r="L111" s="1858"/>
      <c r="M111" s="1858"/>
      <c r="N111" s="1858"/>
      <c r="O111" s="1858"/>
      <c r="P111" s="1858"/>
      <c r="Q111" s="1858"/>
      <c r="R111" s="1859"/>
      <c r="S111" s="3390"/>
      <c r="T111" s="1928"/>
      <c r="U111" s="1300"/>
      <c r="V111" s="1300"/>
      <c r="W111" s="59832"/>
      <c r="X111" s="59832"/>
      <c r="Y111" s="59832"/>
      <c r="Z111" s="59832"/>
      <c r="AA111" s="59832"/>
      <c r="AB111" s="59832"/>
      <c r="AC111" s="1300"/>
      <c r="AD111" s="59832"/>
      <c r="AE111" s="59832"/>
      <c r="AF111" s="59832"/>
      <c r="AG111" s="59832"/>
      <c r="AH111" s="59832"/>
      <c r="AI111" s="59832"/>
      <c r="AJ111" s="59832"/>
      <c r="AK111" s="59832"/>
      <c r="AL111" s="59832"/>
      <c r="AM111" s="59832"/>
      <c r="AN111" s="59832"/>
      <c r="AO111" s="59832"/>
      <c r="AP111" s="59832"/>
      <c r="AQ111" s="59832"/>
      <c r="AR111" s="59832"/>
      <c r="AS111" s="59832"/>
      <c r="AT111" s="59832"/>
      <c r="AU111" s="59832"/>
      <c r="AV111" s="59832"/>
      <c r="AW111" s="59832"/>
      <c r="AX111" s="59832"/>
      <c r="AY111" s="59832"/>
      <c r="AZ111" s="59832"/>
      <c r="BA111" s="59832"/>
      <c r="BB111" s="59832"/>
      <c r="BC111" s="59832"/>
      <c r="BD111" s="59832"/>
      <c r="BE111" s="59832"/>
      <c r="BF111" s="59832"/>
      <c r="BG111" s="59832"/>
      <c r="BH111" s="59832"/>
      <c r="BI111" s="59832"/>
      <c r="BJ111" s="59832"/>
      <c r="BK111" s="59832"/>
      <c r="BL111" s="59832"/>
      <c r="BM111" s="59832"/>
      <c r="BN111" s="59832"/>
      <c r="BO111" s="59832"/>
      <c r="BP111" s="59832"/>
      <c r="BQ111" s="59832"/>
      <c r="BR111" s="59832"/>
      <c r="BS111" s="59832"/>
      <c r="BT111" s="59832"/>
      <c r="BU111" s="59832"/>
      <c r="BV111" s="59832"/>
      <c r="BW111" s="59832"/>
      <c r="BX111" s="59832"/>
      <c r="BY111" s="59832"/>
      <c r="BZ111" s="59832"/>
      <c r="CA111" s="59832"/>
      <c r="CB111" s="59832"/>
      <c r="CC111" s="59832"/>
      <c r="CD111" s="59832"/>
      <c r="CE111" s="59832"/>
      <c r="CF111" s="59832"/>
    </row>
    <row customHeight="1" ht="45">
      <c r="A112" s="3017"/>
      <c r="B112" s="2371"/>
      <c r="C112" s="1623"/>
      <c r="D112" s="1300"/>
      <c r="E112" s="3783" t="s">
        <v>103</v>
      </c>
      <c r="F112" s="3319" t="s">
        <v>170</v>
      </c>
      <c r="G112" s="3786" t="s">
        <v>729</v>
      </c>
      <c r="H112" s="1500"/>
      <c r="I112" s="1848" t="s">
        <v>99</v>
      </c>
      <c r="J112" s="3018" t="s">
        <v>651</v>
      </c>
      <c r="K112" s="1849" t="s">
        <v>564</v>
      </c>
      <c r="L112" s="3435" t="s">
        <v>564</v>
      </c>
      <c r="M112" s="3788"/>
      <c r="N112" s="1849" t="s">
        <v>564</v>
      </c>
      <c r="O112" s="1849" t="s">
        <v>564</v>
      </c>
      <c r="P112" s="1849" t="s">
        <v>564</v>
      </c>
      <c r="Q112" s="1850">
        <f>SUM(Q113:Q115)</f>
        <v>3049.86</v>
      </c>
      <c r="R112" s="1850">
        <f>IF('Показатели ФХД'!J89=0,0,($Q$112/'Показатели ФХД'!J89)*100)</f>
        <v>2.31824881151075</v>
      </c>
      <c r="S112" s="3390"/>
      <c r="T112" s="1928" t="s">
        <v>649</v>
      </c>
      <c r="U112" s="1300"/>
      <c r="V112" s="1300"/>
      <c r="W112" s="59832"/>
      <c r="X112" s="59832"/>
      <c r="Y112" s="59832"/>
      <c r="Z112" s="59832"/>
      <c r="AA112" s="59832"/>
      <c r="AB112" s="59832"/>
      <c r="AC112" s="1300"/>
      <c r="AD112" s="59832"/>
      <c r="AE112" s="59832"/>
      <c r="AF112" s="59832"/>
      <c r="AG112" s="59832"/>
      <c r="AH112" s="59832"/>
      <c r="AI112" s="59832"/>
      <c r="AJ112" s="59832"/>
      <c r="AK112" s="59832"/>
      <c r="AL112" s="59832"/>
      <c r="AM112" s="59832"/>
      <c r="AN112" s="59832"/>
      <c r="AO112" s="59832"/>
      <c r="AP112" s="59832"/>
      <c r="AQ112" s="59832"/>
      <c r="AR112" s="59832"/>
      <c r="AS112" s="59832"/>
      <c r="AT112" s="59832"/>
      <c r="AU112" s="59832"/>
      <c r="AV112" s="59832"/>
      <c r="AW112" s="59832"/>
      <c r="AX112" s="59832"/>
      <c r="AY112" s="59832"/>
      <c r="AZ112" s="59832"/>
      <c r="BA112" s="59832"/>
      <c r="BB112" s="59832"/>
      <c r="BC112" s="59832"/>
      <c r="BD112" s="59832"/>
      <c r="BE112" s="59832"/>
      <c r="BF112" s="59832"/>
      <c r="BG112" s="59832"/>
      <c r="BH112" s="59832"/>
      <c r="BI112" s="59832"/>
      <c r="BJ112" s="59832"/>
      <c r="BK112" s="59832"/>
      <c r="BL112" s="59832"/>
      <c r="BM112" s="59832"/>
      <c r="BN112" s="59832"/>
      <c r="BO112" s="59832"/>
      <c r="BP112" s="59832"/>
      <c r="BQ112" s="59832"/>
      <c r="BR112" s="59832"/>
      <c r="BS112" s="59832"/>
      <c r="BT112" s="59832"/>
      <c r="BU112" s="59832"/>
      <c r="BV112" s="59832"/>
      <c r="BW112" s="59832"/>
      <c r="BX112" s="59832"/>
      <c r="BY112" s="59832"/>
      <c r="BZ112" s="59832"/>
      <c r="CA112" s="59832"/>
      <c r="CB112" s="59832"/>
      <c r="CC112" s="59832"/>
      <c r="CD112" s="59832"/>
      <c r="CE112" s="59832"/>
      <c r="CF112" s="59832"/>
    </row>
    <row customHeight="1" ht="28.5">
      <c r="A113" s="3017"/>
      <c r="B113" s="2371"/>
      <c r="C113" s="1623"/>
      <c r="D113" s="1300"/>
      <c r="E113" s="3784"/>
      <c r="F113" s="3319" t="s">
        <v>169</v>
      </c>
      <c r="G113" s="3786"/>
      <c r="H113" s="3338"/>
      <c r="I113" s="3726" t="s">
        <v>652</v>
      </c>
      <c r="J113" s="59831" t="s">
        <v>672</v>
      </c>
      <c r="K113" s="3781" t="s">
        <v>730</v>
      </c>
      <c r="L113" s="1851"/>
      <c r="M113" s="1852" t="s">
        <v>99</v>
      </c>
      <c r="N113" s="3006" t="s">
        <v>731</v>
      </c>
      <c r="O113" s="1853">
        <v>3049.86</v>
      </c>
      <c r="P113" s="1854" t="s">
        <v>656</v>
      </c>
      <c r="Q113" s="1853">
        <f>O113</f>
        <v>3049.86</v>
      </c>
      <c r="R113" s="1855">
        <v>0</v>
      </c>
      <c r="S113" s="3390"/>
      <c r="T113" s="1928"/>
      <c r="U113" s="1300"/>
      <c r="V113" s="1300"/>
      <c r="W113" s="59832"/>
      <c r="X113" s="59832"/>
      <c r="Y113" s="59832"/>
      <c r="Z113" s="59832"/>
      <c r="AA113" s="59832"/>
      <c r="AB113" s="59832"/>
      <c r="AC113" s="1300"/>
      <c r="AD113" s="59832"/>
      <c r="AE113" s="59832"/>
      <c r="AF113" s="59832"/>
      <c r="AG113" s="59832"/>
      <c r="AH113" s="59832"/>
      <c r="AI113" s="59832"/>
      <c r="AJ113" s="59832"/>
      <c r="AK113" s="59832"/>
      <c r="AL113" s="59832"/>
      <c r="AM113" s="59832"/>
      <c r="AN113" s="59832"/>
      <c r="AO113" s="59832"/>
      <c r="AP113" s="59832"/>
      <c r="AQ113" s="59832"/>
      <c r="AR113" s="59832"/>
      <c r="AS113" s="59832"/>
      <c r="AT113" s="59832"/>
      <c r="AU113" s="59832"/>
      <c r="AV113" s="59832"/>
      <c r="AW113" s="59832"/>
      <c r="AX113" s="59832"/>
      <c r="AY113" s="59832"/>
      <c r="AZ113" s="59832"/>
      <c r="BA113" s="59832"/>
      <c r="BB113" s="59832"/>
      <c r="BC113" s="59832"/>
      <c r="BD113" s="59832"/>
      <c r="BE113" s="59832"/>
      <c r="BF113" s="59832"/>
      <c r="BG113" s="59832"/>
      <c r="BH113" s="59832"/>
      <c r="BI113" s="59832"/>
      <c r="BJ113" s="59832"/>
      <c r="BK113" s="59832"/>
      <c r="BL113" s="59832"/>
      <c r="BM113" s="59832"/>
      <c r="BN113" s="59832"/>
      <c r="BO113" s="59832"/>
      <c r="BP113" s="59832"/>
      <c r="BQ113" s="59832"/>
      <c r="BR113" s="59832"/>
      <c r="BS113" s="59832"/>
      <c r="BT113" s="59832"/>
      <c r="BU113" s="59832"/>
      <c r="BV113" s="59832"/>
      <c r="BW113" s="59832"/>
      <c r="BX113" s="59832"/>
      <c r="BY113" s="59832"/>
      <c r="BZ113" s="59832"/>
      <c r="CA113" s="59832"/>
      <c r="CB113" s="59832"/>
      <c r="CC113" s="59832"/>
      <c r="CD113" s="59832"/>
      <c r="CE113" s="59832"/>
      <c r="CF113" s="59832"/>
    </row>
    <row customHeight="1" ht="11.25">
      <c r="A114" s="3017"/>
      <c r="B114" s="2371"/>
      <c r="C114" s="1623"/>
      <c r="D114" s="1300"/>
      <c r="E114" s="3784"/>
      <c r="F114" s="3319" t="s">
        <v>169</v>
      </c>
      <c r="G114" s="3786"/>
      <c r="H114" s="3338"/>
      <c r="I114" s="3726"/>
      <c r="J114" s="3780"/>
      <c r="K114" s="3782"/>
      <c r="L114" s="1856"/>
      <c r="M114" s="1857"/>
      <c r="N114" s="1858" t="s">
        <v>657</v>
      </c>
      <c r="O114" s="1858"/>
      <c r="P114" s="1858"/>
      <c r="Q114" s="1858"/>
      <c r="R114" s="1859"/>
      <c r="S114" s="3390"/>
      <c r="T114" s="1928"/>
      <c r="U114" s="1300"/>
      <c r="V114" s="1300"/>
      <c r="W114" s="59832"/>
      <c r="X114" s="59832"/>
      <c r="Y114" s="59832"/>
      <c r="Z114" s="59832"/>
      <c r="AA114" s="59832"/>
      <c r="AB114" s="59832"/>
      <c r="AC114" s="1300"/>
      <c r="AD114" s="59832"/>
      <c r="AE114" s="59832"/>
      <c r="AF114" s="59832"/>
      <c r="AG114" s="59832"/>
      <c r="AH114" s="59832"/>
      <c r="AI114" s="59832"/>
      <c r="AJ114" s="59832"/>
      <c r="AK114" s="59832"/>
      <c r="AL114" s="59832"/>
      <c r="AM114" s="59832"/>
      <c r="AN114" s="59832"/>
      <c r="AO114" s="59832"/>
      <c r="AP114" s="59832"/>
      <c r="AQ114" s="59832"/>
      <c r="AR114" s="59832"/>
      <c r="AS114" s="59832"/>
      <c r="AT114" s="59832"/>
      <c r="AU114" s="59832"/>
      <c r="AV114" s="59832"/>
      <c r="AW114" s="59832"/>
      <c r="AX114" s="59832"/>
      <c r="AY114" s="59832"/>
      <c r="AZ114" s="59832"/>
      <c r="BA114" s="59832"/>
      <c r="BB114" s="59832"/>
      <c r="BC114" s="59832"/>
      <c r="BD114" s="59832"/>
      <c r="BE114" s="59832"/>
      <c r="BF114" s="59832"/>
      <c r="BG114" s="59832"/>
      <c r="BH114" s="59832"/>
      <c r="BI114" s="59832"/>
      <c r="BJ114" s="59832"/>
      <c r="BK114" s="59832"/>
      <c r="BL114" s="59832"/>
      <c r="BM114" s="59832"/>
      <c r="BN114" s="59832"/>
      <c r="BO114" s="59832"/>
      <c r="BP114" s="59832"/>
      <c r="BQ114" s="59832"/>
      <c r="BR114" s="59832"/>
      <c r="BS114" s="59832"/>
      <c r="BT114" s="59832"/>
      <c r="BU114" s="59832"/>
      <c r="BV114" s="59832"/>
      <c r="BW114" s="59832"/>
      <c r="BX114" s="59832"/>
      <c r="BY114" s="59832"/>
      <c r="BZ114" s="59832"/>
      <c r="CA114" s="59832"/>
      <c r="CB114" s="59832"/>
      <c r="CC114" s="59832"/>
      <c r="CD114" s="59832"/>
      <c r="CE114" s="59832"/>
      <c r="CF114" s="59832"/>
    </row>
    <row customHeight="1" ht="11.25">
      <c r="A115" s="3017"/>
      <c r="B115" s="2371"/>
      <c r="C115" s="1623"/>
      <c r="D115" s="1300"/>
      <c r="E115" s="3785"/>
      <c r="F115" s="3319" t="s">
        <v>169</v>
      </c>
      <c r="G115" s="3787"/>
      <c r="H115" s="1856" t="s">
        <v>22</v>
      </c>
      <c r="I115" s="1857"/>
      <c r="J115" s="1858" t="s">
        <v>667</v>
      </c>
      <c r="K115" s="1858"/>
      <c r="L115" s="1858"/>
      <c r="M115" s="1858"/>
      <c r="N115" s="1858"/>
      <c r="O115" s="1858"/>
      <c r="P115" s="1858"/>
      <c r="Q115" s="1858"/>
      <c r="R115" s="1859"/>
      <c r="S115" s="3390"/>
      <c r="T115" s="1928"/>
      <c r="U115" s="1300"/>
      <c r="V115" s="1300"/>
      <c r="W115" s="59832"/>
      <c r="X115" s="59832"/>
      <c r="Y115" s="59832"/>
      <c r="Z115" s="59832"/>
      <c r="AA115" s="59832"/>
      <c r="AB115" s="59832"/>
      <c r="AC115" s="1300"/>
      <c r="AD115" s="59832"/>
      <c r="AE115" s="59832"/>
      <c r="AF115" s="59832"/>
      <c r="AG115" s="59832"/>
      <c r="AH115" s="59832"/>
      <c r="AI115" s="59832"/>
      <c r="AJ115" s="59832"/>
      <c r="AK115" s="59832"/>
      <c r="AL115" s="59832"/>
      <c r="AM115" s="59832"/>
      <c r="AN115" s="59832"/>
      <c r="AO115" s="59832"/>
      <c r="AP115" s="59832"/>
      <c r="AQ115" s="59832"/>
      <c r="AR115" s="59832"/>
      <c r="AS115" s="59832"/>
      <c r="AT115" s="59832"/>
      <c r="AU115" s="59832"/>
      <c r="AV115" s="59832"/>
      <c r="AW115" s="59832"/>
      <c r="AX115" s="59832"/>
      <c r="AY115" s="59832"/>
      <c r="AZ115" s="59832"/>
      <c r="BA115" s="59832"/>
      <c r="BB115" s="59832"/>
      <c r="BC115" s="59832"/>
      <c r="BD115" s="59832"/>
      <c r="BE115" s="59832"/>
      <c r="BF115" s="59832"/>
      <c r="BG115" s="59832"/>
      <c r="BH115" s="59832"/>
      <c r="BI115" s="59832"/>
      <c r="BJ115" s="59832"/>
      <c r="BK115" s="59832"/>
      <c r="BL115" s="59832"/>
      <c r="BM115" s="59832"/>
      <c r="BN115" s="59832"/>
      <c r="BO115" s="59832"/>
      <c r="BP115" s="59832"/>
      <c r="BQ115" s="59832"/>
      <c r="BR115" s="59832"/>
      <c r="BS115" s="59832"/>
      <c r="BT115" s="59832"/>
      <c r="BU115" s="59832"/>
      <c r="BV115" s="59832"/>
      <c r="BW115" s="59832"/>
      <c r="BX115" s="59832"/>
      <c r="BY115" s="59832"/>
      <c r="BZ115" s="59832"/>
      <c r="CA115" s="59832"/>
      <c r="CB115" s="59832"/>
      <c r="CC115" s="59832"/>
      <c r="CD115" s="59832"/>
      <c r="CE115" s="59832"/>
      <c r="CF115" s="59832"/>
    </row>
    <row customHeight="1" ht="11.25">
      <c r="A116" s="3017"/>
      <c r="B116" s="2371"/>
      <c r="C116" s="1623"/>
      <c r="D116" s="3790"/>
      <c r="E116" s="1860" t="s">
        <v>22</v>
      </c>
      <c r="F116" s="2379" t="s">
        <v>22</v>
      </c>
      <c r="G116" s="2379" t="s">
        <v>689</v>
      </c>
      <c r="H116" s="1862" t="s">
        <v>22</v>
      </c>
      <c r="I116" s="1862"/>
      <c r="J116" s="1862"/>
      <c r="K116" s="1862"/>
      <c r="L116" s="1862"/>
      <c r="M116" s="1862"/>
      <c r="N116" s="1862"/>
      <c r="O116" s="1862"/>
      <c r="P116" s="1862"/>
      <c r="Q116" s="1862"/>
      <c r="R116" s="1863"/>
      <c r="S116" s="1864"/>
      <c r="T116" s="1929"/>
      <c r="U116" s="3585"/>
      <c r="V116" s="3585"/>
      <c r="W116" s="2371"/>
      <c r="X116" s="2371"/>
      <c r="Y116" s="2371"/>
      <c r="Z116" s="2371"/>
      <c r="AA116" s="2847"/>
      <c r="AB116" s="2371"/>
      <c r="AC116" s="3586"/>
      <c r="AD116" s="1840"/>
      <c r="AE116" s="2371"/>
      <c r="AF116" s="2371"/>
      <c r="AG116" s="2847"/>
      <c r="AH116" s="2847"/>
      <c r="AI116" s="2847"/>
      <c r="AJ116" s="2847"/>
      <c r="AK116" s="2847"/>
      <c r="AL116" s="2847"/>
      <c r="AM116" s="2847"/>
      <c r="AN116" s="2847"/>
      <c r="AO116" s="2847"/>
      <c r="AP116" s="2847"/>
      <c r="AQ116" s="2847"/>
      <c r="AR116" s="2847"/>
      <c r="AS116" s="2847"/>
      <c r="AT116" s="2847"/>
      <c r="AU116" s="2847"/>
      <c r="AV116" s="2847"/>
      <c r="AW116" s="2847"/>
      <c r="AX116" s="2847"/>
      <c r="AY116" s="2847"/>
      <c r="AZ116" s="2847"/>
      <c r="BA116" s="2847"/>
      <c r="BB116" s="2847"/>
      <c r="BC116" s="2847"/>
      <c r="BD116" s="2847"/>
      <c r="BE116" s="2847"/>
      <c r="BF116" s="2847"/>
      <c r="BG116" s="2847"/>
      <c r="BH116" s="2847"/>
      <c r="BI116" s="2847"/>
      <c r="BJ116" s="2847"/>
      <c r="BK116" s="2847"/>
      <c r="BL116" s="2847"/>
      <c r="BM116" s="2847"/>
      <c r="BN116" s="2847"/>
      <c r="BO116" s="2847"/>
      <c r="BP116" s="2847"/>
      <c r="BQ116" s="2847"/>
      <c r="BR116" s="2847"/>
      <c r="BS116" s="2847"/>
      <c r="BT116" s="2847"/>
      <c r="BU116" s="2847"/>
      <c r="BV116" s="2371"/>
      <c r="BW116" s="2371"/>
      <c r="BX116" s="2371"/>
      <c r="BY116" s="2371"/>
      <c r="BZ116" s="2371"/>
      <c r="CA116" s="2371"/>
      <c r="CB116" s="2371"/>
      <c r="CC116" s="2371"/>
      <c r="CD116" s="2371"/>
      <c r="CE116" s="2371"/>
      <c r="CF116" s="13561"/>
    </row>
    <row customHeight="1" ht="3.75" hidden="1">
      <c r="A117" s="3004"/>
      <c r="B117" s="2847"/>
      <c r="C117" s="2847"/>
      <c r="D117" s="3790"/>
      <c r="E117" s="2250"/>
      <c r="F117" s="2250"/>
      <c r="G117" s="2250"/>
      <c r="H117" s="2250"/>
      <c r="I117" s="2250"/>
      <c r="J117" s="2250"/>
      <c r="K117" s="2250"/>
      <c r="L117" s="2250"/>
      <c r="M117" s="2250"/>
      <c r="N117" s="2250"/>
      <c r="O117" s="2250"/>
      <c r="P117" s="2250"/>
      <c r="Q117" s="2251"/>
      <c r="R117" s="2252"/>
      <c r="S117" s="2253"/>
      <c r="T117" s="1928" t="s">
        <v>649</v>
      </c>
      <c r="U117" s="3585">
        <v>1</v>
      </c>
      <c r="V117" s="3585" t="s">
        <v>599</v>
      </c>
      <c r="W117" s="2847"/>
      <c r="X117" s="2847"/>
      <c r="Y117" s="2847"/>
      <c r="Z117" s="2847"/>
      <c r="AA117" s="2847"/>
      <c r="AB117" s="2847"/>
      <c r="AC117" s="2248"/>
      <c r="AD117" s="2249"/>
      <c r="AE117" s="2847"/>
      <c r="AF117" s="2847"/>
      <c r="AG117" s="2847"/>
      <c r="AH117" s="2847"/>
      <c r="AI117" s="2847"/>
      <c r="AJ117" s="2847"/>
      <c r="AK117" s="2847"/>
      <c r="AL117" s="2847"/>
      <c r="AM117" s="2847"/>
      <c r="AN117" s="2847"/>
      <c r="AO117" s="2847"/>
      <c r="AP117" s="2847"/>
      <c r="AQ117" s="2847"/>
      <c r="AR117" s="2847"/>
      <c r="AS117" s="2847"/>
      <c r="AT117" s="2847"/>
      <c r="AU117" s="2847"/>
      <c r="AV117" s="2847"/>
      <c r="AW117" s="2847"/>
      <c r="AX117" s="2847"/>
      <c r="AY117" s="2847"/>
      <c r="AZ117" s="2847"/>
      <c r="BA117" s="2847"/>
      <c r="BB117" s="2847"/>
      <c r="BC117" s="2847"/>
      <c r="BD117" s="2847"/>
      <c r="BE117" s="2847"/>
      <c r="BF117" s="2847"/>
      <c r="BG117" s="2847"/>
      <c r="BH117" s="2847"/>
      <c r="BI117" s="2847"/>
      <c r="BJ117" s="2847"/>
      <c r="BK117" s="2847"/>
      <c r="BL117" s="2847"/>
      <c r="BM117" s="2847"/>
      <c r="BN117" s="2847"/>
      <c r="BO117" s="2847"/>
      <c r="BP117" s="2847"/>
      <c r="BQ117" s="2847"/>
      <c r="BR117" s="2847"/>
      <c r="BS117" s="2847"/>
      <c r="BT117" s="2847"/>
      <c r="BU117" s="2847"/>
      <c r="BV117" s="2847"/>
      <c r="BW117" s="2847"/>
      <c r="BX117" s="2847"/>
      <c r="BY117" s="2847"/>
      <c r="BZ117" s="2847"/>
      <c r="CA117" s="2847"/>
      <c r="CB117" s="2847"/>
      <c r="CC117" s="2847"/>
      <c r="CD117" s="2847"/>
      <c r="CE117" s="2847"/>
      <c r="CF117" s="13572"/>
    </row>
    <row customHeight="1" ht="11.25" hidden="1">
      <c r="A118" s="3004"/>
      <c r="B118" s="2847"/>
      <c r="C118" s="2847"/>
      <c r="D118" s="3790"/>
      <c r="E118" s="1846"/>
      <c r="F118" s="1846"/>
      <c r="G118" s="1846"/>
      <c r="H118" s="1846"/>
      <c r="I118" s="1846"/>
      <c r="J118" s="1846"/>
      <c r="K118" s="1846"/>
      <c r="L118" s="1846"/>
      <c r="M118" s="1846"/>
      <c r="N118" s="1846"/>
      <c r="O118" s="1846"/>
      <c r="P118" s="1846"/>
      <c r="Q118" s="1846"/>
      <c r="R118" s="1846"/>
      <c r="S118" s="1847"/>
      <c r="T118" s="1929"/>
      <c r="U118" s="3585"/>
      <c r="V118" s="3585"/>
      <c r="W118" s="2847"/>
      <c r="X118" s="2847"/>
      <c r="Y118" s="2847"/>
      <c r="Z118" s="2847"/>
      <c r="AA118" s="2847"/>
      <c r="AB118" s="2847"/>
      <c r="AC118" s="2248"/>
      <c r="AD118" s="2249"/>
      <c r="AE118" s="2847"/>
      <c r="AF118" s="2847"/>
      <c r="AG118" s="2847"/>
      <c r="AH118" s="2847"/>
      <c r="AI118" s="2847"/>
      <c r="AJ118" s="2847"/>
      <c r="AK118" s="2847"/>
      <c r="AL118" s="2847"/>
      <c r="AM118" s="2847"/>
      <c r="AN118" s="2847"/>
      <c r="AO118" s="2847"/>
      <c r="AP118" s="2847"/>
      <c r="AQ118" s="2847"/>
      <c r="AR118" s="2847"/>
      <c r="AS118" s="2847"/>
      <c r="AT118" s="2847"/>
      <c r="AU118" s="2847"/>
      <c r="AV118" s="2847"/>
      <c r="AW118" s="2847"/>
      <c r="AX118" s="2847"/>
      <c r="AY118" s="2847"/>
      <c r="AZ118" s="2847"/>
      <c r="BA118" s="2847"/>
      <c r="BB118" s="2847"/>
      <c r="BC118" s="2847"/>
      <c r="BD118" s="2847"/>
      <c r="BE118" s="2847"/>
      <c r="BF118" s="2847"/>
      <c r="BG118" s="2847"/>
      <c r="BH118" s="2847"/>
      <c r="BI118" s="2847"/>
      <c r="BJ118" s="2847"/>
      <c r="BK118" s="2847"/>
      <c r="BL118" s="2847"/>
      <c r="BM118" s="2847"/>
      <c r="BN118" s="2847"/>
      <c r="BO118" s="2847"/>
      <c r="BP118" s="2847"/>
      <c r="BQ118" s="2847"/>
      <c r="BR118" s="2847"/>
      <c r="BS118" s="2847"/>
      <c r="BT118" s="2847"/>
      <c r="BU118" s="2847"/>
      <c r="BV118" s="2847"/>
      <c r="BW118" s="2847"/>
      <c r="BX118" s="2847"/>
      <c r="BY118" s="2847"/>
      <c r="BZ118" s="2847"/>
      <c r="CA118" s="2847"/>
      <c r="CB118" s="2847"/>
      <c r="CC118" s="2847"/>
      <c r="CD118" s="2847"/>
      <c r="CE118" s="2847"/>
      <c r="CF118" s="13572"/>
    </row>
    <row customHeight="1" ht="11.25" hidden="1">
      <c r="A119" s="3004"/>
      <c r="B119" s="2847"/>
      <c r="C119" s="2847"/>
      <c r="D119" s="3791"/>
      <c r="E119" s="2254"/>
      <c r="F119" s="2255"/>
      <c r="G119" s="2255" t="s">
        <v>22</v>
      </c>
      <c r="H119" s="2256"/>
      <c r="I119" s="2256"/>
      <c r="J119" s="2256"/>
      <c r="K119" s="2256"/>
      <c r="L119" s="2256"/>
      <c r="M119" s="2256"/>
      <c r="N119" s="2256"/>
      <c r="O119" s="2256"/>
      <c r="P119" s="2256"/>
      <c r="Q119" s="2256"/>
      <c r="R119" s="2157"/>
      <c r="S119" s="2257"/>
      <c r="T119" s="1929"/>
      <c r="U119" s="3585"/>
      <c r="V119" s="3585"/>
      <c r="W119" s="2847"/>
      <c r="X119" s="2847"/>
      <c r="Y119" s="2847"/>
      <c r="Z119" s="2847"/>
      <c r="AA119" s="2847"/>
      <c r="AB119" s="2847"/>
      <c r="AC119" s="2248"/>
      <c r="AD119" s="2249"/>
      <c r="AE119" s="2847"/>
      <c r="AF119" s="2847"/>
      <c r="AG119" s="2847"/>
      <c r="AH119" s="2847"/>
      <c r="AI119" s="2847"/>
      <c r="AJ119" s="2847"/>
      <c r="AK119" s="2847"/>
      <c r="AL119" s="2847"/>
      <c r="AM119" s="2847"/>
      <c r="AN119" s="2847"/>
      <c r="AO119" s="2847"/>
      <c r="AP119" s="2847"/>
      <c r="AQ119" s="2847"/>
      <c r="AR119" s="2847"/>
      <c r="AS119" s="2847"/>
      <c r="AT119" s="2847"/>
      <c r="AU119" s="2847"/>
      <c r="AV119" s="2847"/>
      <c r="AW119" s="2847"/>
      <c r="AX119" s="2847"/>
      <c r="AY119" s="2847"/>
      <c r="AZ119" s="2847"/>
      <c r="BA119" s="2847"/>
      <c r="BB119" s="2847"/>
      <c r="BC119" s="2847"/>
      <c r="BD119" s="2847"/>
      <c r="BE119" s="2847"/>
      <c r="BF119" s="2847"/>
      <c r="BG119" s="2847"/>
      <c r="BH119" s="2847"/>
      <c r="BI119" s="2847"/>
      <c r="BJ119" s="2847"/>
      <c r="BK119" s="2847"/>
      <c r="BL119" s="2847"/>
      <c r="BM119" s="2847"/>
      <c r="BN119" s="2847"/>
      <c r="BO119" s="2847"/>
      <c r="BP119" s="2847"/>
      <c r="BQ119" s="2847"/>
      <c r="BR119" s="2847"/>
      <c r="BS119" s="2847"/>
      <c r="BT119" s="2847"/>
      <c r="BU119" s="2847"/>
      <c r="BV119" s="2847"/>
      <c r="BW119" s="2847"/>
      <c r="BX119" s="2847"/>
      <c r="BY119" s="2847"/>
      <c r="BZ119" s="2847"/>
      <c r="CA119" s="2847"/>
      <c r="CB119" s="2847"/>
      <c r="CC119" s="2847"/>
      <c r="CD119" s="2847"/>
      <c r="CE119" s="2847"/>
      <c r="CF119" s="13572"/>
    </row>
    <row customHeight="1" ht="16.5" hidden="1">
      <c r="A120" s="1834" t="s">
        <v>134</v>
      </c>
      <c r="B120" s="1835"/>
      <c r="C120" s="1835" t="s">
        <v>22</v>
      </c>
      <c r="D120" s="3789" t="s">
        <v>732</v>
      </c>
      <c r="E120" s="3588" t="s">
        <v>118</v>
      </c>
      <c r="F120" s="3589"/>
      <c r="G120" s="3590"/>
      <c r="H120" s="3594" t="str">
        <f>IF(A120="","",INDEX(DIFFERENTIATION_UNMERGE_VD,MATCH(A120,DIFFERENTIATION_ID_DIFF,0)))</f>
        <v>Производство тепловой энергии. Некомбинированная выработка</v>
      </c>
      <c r="I120" s="3594"/>
      <c r="J120" s="3594"/>
      <c r="K120" s="3594"/>
      <c r="L120" s="3594"/>
      <c r="M120" s="3594"/>
      <c r="N120" s="3594"/>
      <c r="O120" s="3594"/>
      <c r="P120" s="3594"/>
      <c r="Q120" s="3594"/>
      <c r="R120" s="3594"/>
      <c r="S120" s="1930"/>
      <c r="T120" s="1927"/>
      <c r="U120" s="1836"/>
      <c r="V120" s="1836"/>
      <c r="W120" s="1837"/>
      <c r="X120" s="1837"/>
      <c r="Y120" s="1837"/>
      <c r="Z120" s="1837"/>
      <c r="AA120" s="1838"/>
      <c r="AB120" s="1839"/>
      <c r="AC120" s="3586"/>
      <c r="AD120" s="1840"/>
      <c r="AE120" s="1841" t="s">
        <v>22</v>
      </c>
      <c r="AF120" s="1841"/>
      <c r="AG120" s="1842" t="s">
        <v>646</v>
      </c>
      <c r="AH120" s="1843">
        <v>3</v>
      </c>
      <c r="AI120" s="1836"/>
      <c r="AJ120" s="1836"/>
      <c r="AK120" s="1836"/>
      <c r="AL120" s="1836"/>
      <c r="AM120" s="1836"/>
      <c r="AN120" s="1836"/>
      <c r="AO120" s="1836"/>
      <c r="AP120" s="1836"/>
      <c r="AQ120" s="1836"/>
      <c r="AR120" s="1836"/>
      <c r="AS120" s="1836"/>
      <c r="AT120" s="1836"/>
      <c r="AU120" s="1836"/>
      <c r="AV120" s="1836"/>
      <c r="AW120" s="1836"/>
      <c r="AX120" s="1836"/>
      <c r="AY120" s="1836"/>
      <c r="AZ120" s="1836"/>
      <c r="BA120" s="1836"/>
      <c r="BB120" s="1836"/>
      <c r="BC120" s="1836"/>
      <c r="BD120" s="1836"/>
      <c r="BE120" s="1836"/>
      <c r="BF120" s="1836"/>
      <c r="BG120" s="1836"/>
      <c r="BH120" s="1836"/>
      <c r="BI120" s="1836"/>
      <c r="BJ120" s="1836"/>
      <c r="BK120" s="1836"/>
      <c r="BL120" s="1836"/>
      <c r="BM120" s="1836"/>
      <c r="BN120" s="1836"/>
      <c r="BO120" s="1836"/>
      <c r="BP120" s="1836"/>
      <c r="BQ120" s="1836"/>
      <c r="BR120" s="1836"/>
      <c r="BS120" s="1836"/>
      <c r="BT120" s="1836"/>
      <c r="BU120" s="1836"/>
      <c r="BV120" s="1837"/>
      <c r="BW120" s="1837"/>
      <c r="BX120" s="1837"/>
      <c r="BY120" s="1837"/>
      <c r="BZ120" s="1837"/>
      <c r="CA120" s="1837"/>
      <c r="CB120" s="1837"/>
      <c r="CC120" s="1837"/>
      <c r="CD120" s="1837"/>
      <c r="CE120" s="1837"/>
      <c r="CF120" s="13561"/>
    </row>
    <row customHeight="1" ht="15" hidden="1">
      <c r="A121" s="1834"/>
      <c r="B121" s="1835"/>
      <c r="C121" s="1835"/>
      <c r="D121" s="3790"/>
      <c r="E121" s="3588" t="s">
        <v>582</v>
      </c>
      <c r="F121" s="3589"/>
      <c r="G121" s="3590"/>
      <c r="H121" s="3594" t="str">
        <f>IF(A120="","",INDEX(DIFFERENTIATION_UNMERGE_AREA,MATCH(A120,DIFFERENTIATION_ID_DIFF,0)))</f>
        <v>Территория 1</v>
      </c>
      <c r="I121" s="3594"/>
      <c r="J121" s="3594"/>
      <c r="K121" s="3594"/>
      <c r="L121" s="3594"/>
      <c r="M121" s="3594"/>
      <c r="N121" s="3594"/>
      <c r="O121" s="3594"/>
      <c r="P121" s="3594"/>
      <c r="Q121" s="3594"/>
      <c r="R121" s="3594"/>
      <c r="S121" s="1930"/>
      <c r="T121" s="1927"/>
      <c r="U121" s="1836"/>
      <c r="V121" s="1836"/>
      <c r="W121" s="1837"/>
      <c r="X121" s="1837"/>
      <c r="Y121" s="1837"/>
      <c r="Z121" s="1837"/>
      <c r="AA121" s="1838"/>
      <c r="AB121" s="1839"/>
      <c r="AC121" s="3586"/>
      <c r="AD121" s="1840"/>
      <c r="AE121" s="1841"/>
      <c r="AF121" s="1841"/>
      <c r="AG121" s="1842"/>
      <c r="AH121" s="1843"/>
      <c r="AI121" s="1836"/>
      <c r="AJ121" s="1836"/>
      <c r="AK121" s="1836"/>
      <c r="AL121" s="1836"/>
      <c r="AM121" s="1836"/>
      <c r="AN121" s="1836"/>
      <c r="AO121" s="1836"/>
      <c r="AP121" s="1836"/>
      <c r="AQ121" s="1836"/>
      <c r="AR121" s="1836"/>
      <c r="AS121" s="1836"/>
      <c r="AT121" s="1836"/>
      <c r="AU121" s="1836"/>
      <c r="AV121" s="1836"/>
      <c r="AW121" s="1836"/>
      <c r="AX121" s="1836"/>
      <c r="AY121" s="1836"/>
      <c r="AZ121" s="1836"/>
      <c r="BA121" s="1836"/>
      <c r="BB121" s="1836"/>
      <c r="BC121" s="1836"/>
      <c r="BD121" s="1836"/>
      <c r="BE121" s="1836"/>
      <c r="BF121" s="1836"/>
      <c r="BG121" s="1836"/>
      <c r="BH121" s="1836"/>
      <c r="BI121" s="1836"/>
      <c r="BJ121" s="1836"/>
      <c r="BK121" s="1836"/>
      <c r="BL121" s="1836"/>
      <c r="BM121" s="1836"/>
      <c r="BN121" s="1836"/>
      <c r="BO121" s="1836"/>
      <c r="BP121" s="1836"/>
      <c r="BQ121" s="1836"/>
      <c r="BR121" s="1836"/>
      <c r="BS121" s="1836"/>
      <c r="BT121" s="1836"/>
      <c r="BU121" s="1836"/>
      <c r="BV121" s="1837"/>
      <c r="BW121" s="1837"/>
      <c r="BX121" s="1837"/>
      <c r="BY121" s="1837"/>
      <c r="BZ121" s="1837"/>
      <c r="CA121" s="1837"/>
      <c r="CB121" s="1837"/>
      <c r="CC121" s="1837"/>
      <c r="CD121" s="1837"/>
      <c r="CE121" s="1837"/>
      <c r="CF121" s="13561"/>
    </row>
    <row customHeight="1" ht="15" hidden="1">
      <c r="A122" s="1834"/>
      <c r="B122" s="1835"/>
      <c r="C122" s="1835"/>
      <c r="D122" s="3790"/>
      <c r="E122" s="3588" t="s">
        <v>583</v>
      </c>
      <c r="F122" s="3589"/>
      <c r="G122" s="3590"/>
      <c r="H122" s="3594" t="str">
        <f>IF(A120="","",INDEX(DIFFERENTIATION_UNMERGE_SYSTEM,MATCH(A120,DIFFERENTIATION_ID_DIFF,0)))</f>
        <v>без дифференциации</v>
      </c>
      <c r="I122" s="3594"/>
      <c r="J122" s="3594"/>
      <c r="K122" s="3594"/>
      <c r="L122" s="3594"/>
      <c r="M122" s="3594"/>
      <c r="N122" s="3594"/>
      <c r="O122" s="3594"/>
      <c r="P122" s="3594"/>
      <c r="Q122" s="3594"/>
      <c r="R122" s="3594"/>
      <c r="S122" s="1930"/>
      <c r="T122" s="1927"/>
      <c r="U122" s="1836"/>
      <c r="V122" s="1836"/>
      <c r="W122" s="1837"/>
      <c r="X122" s="1837"/>
      <c r="Y122" s="1837"/>
      <c r="Z122" s="1837"/>
      <c r="AA122" s="1838"/>
      <c r="AB122" s="1839"/>
      <c r="AC122" s="3586"/>
      <c r="AD122" s="1840"/>
      <c r="AE122" s="1841"/>
      <c r="AF122" s="1841"/>
      <c r="AG122" s="1842"/>
      <c r="AH122" s="1843"/>
      <c r="AI122" s="1836"/>
      <c r="AJ122" s="1836"/>
      <c r="AK122" s="1836"/>
      <c r="AL122" s="1836"/>
      <c r="AM122" s="1836"/>
      <c r="AN122" s="1836"/>
      <c r="AO122" s="1836"/>
      <c r="AP122" s="1836"/>
      <c r="AQ122" s="1836"/>
      <c r="AR122" s="1836"/>
      <c r="AS122" s="1836"/>
      <c r="AT122" s="1836"/>
      <c r="AU122" s="1836"/>
      <c r="AV122" s="1836"/>
      <c r="AW122" s="1836"/>
      <c r="AX122" s="1836"/>
      <c r="AY122" s="1836"/>
      <c r="AZ122" s="1836"/>
      <c r="BA122" s="1836"/>
      <c r="BB122" s="1836"/>
      <c r="BC122" s="1836"/>
      <c r="BD122" s="1836"/>
      <c r="BE122" s="1836"/>
      <c r="BF122" s="1836"/>
      <c r="BG122" s="1836"/>
      <c r="BH122" s="1836"/>
      <c r="BI122" s="1836"/>
      <c r="BJ122" s="1836"/>
      <c r="BK122" s="1836"/>
      <c r="BL122" s="1836"/>
      <c r="BM122" s="1836"/>
      <c r="BN122" s="1836"/>
      <c r="BO122" s="1836"/>
      <c r="BP122" s="1836"/>
      <c r="BQ122" s="1836"/>
      <c r="BR122" s="1836"/>
      <c r="BS122" s="1836"/>
      <c r="BT122" s="1836"/>
      <c r="BU122" s="1836"/>
      <c r="BV122" s="1837"/>
      <c r="BW122" s="1837"/>
      <c r="BX122" s="1837"/>
      <c r="BY122" s="1837"/>
      <c r="BZ122" s="1837"/>
      <c r="CA122" s="1837"/>
      <c r="CB122" s="1837"/>
      <c r="CC122" s="1837"/>
      <c r="CD122" s="1837"/>
      <c r="CE122" s="1837"/>
      <c r="CF122" s="13561"/>
    </row>
    <row customHeight="1" ht="24.75" hidden="1">
      <c r="A123" s="3017"/>
      <c r="B123" s="2371"/>
      <c r="C123" s="1623"/>
      <c r="D123" s="3790"/>
      <c r="E123" s="3587" t="s">
        <v>647</v>
      </c>
      <c r="F123" s="3587"/>
      <c r="G123" s="3587"/>
      <c r="H123" s="3587"/>
      <c r="I123" s="3587"/>
      <c r="J123" s="3587"/>
      <c r="K123" s="3587"/>
      <c r="L123" s="3587"/>
      <c r="M123" s="3587"/>
      <c r="N123" s="3587"/>
      <c r="O123" s="3587"/>
      <c r="P123" s="3587"/>
      <c r="Q123" s="1769">
        <f>SUMIF(T124:T125,"i",Q124:Q125)</f>
        <v>0</v>
      </c>
      <c r="R123" s="2228"/>
      <c r="S123" s="3009" t="s">
        <v>648</v>
      </c>
      <c r="T123" s="1928" t="s">
        <v>649</v>
      </c>
      <c r="U123" s="3585">
        <v>1</v>
      </c>
      <c r="V123" s="3585" t="str">
        <f>INDEX(B_FHD_FLAG_INDEX_1,1,MATCH($A$120,B_FHD_FLAG_DIFFERENTIATION,0))</f>
        <v>отсутствует</v>
      </c>
      <c r="W123" s="2371"/>
      <c r="X123" s="2371"/>
      <c r="Y123" s="2371"/>
      <c r="Z123" s="2371"/>
      <c r="AA123" s="2847"/>
      <c r="AB123" s="2371"/>
      <c r="AC123" s="3586"/>
      <c r="AD123" s="1840"/>
      <c r="AE123" s="2371"/>
      <c r="AF123" s="2371"/>
      <c r="AG123" s="2847"/>
      <c r="AH123" s="2847"/>
      <c r="AI123" s="2847"/>
      <c r="AJ123" s="2847"/>
      <c r="AK123" s="2847"/>
      <c r="AL123" s="2847"/>
      <c r="AM123" s="2847"/>
      <c r="AN123" s="2847"/>
      <c r="AO123" s="2847"/>
      <c r="AP123" s="2847"/>
      <c r="AQ123" s="2847"/>
      <c r="AR123" s="2847"/>
      <c r="AS123" s="2847"/>
      <c r="AT123" s="2847"/>
      <c r="AU123" s="2847"/>
      <c r="AV123" s="2847"/>
      <c r="AW123" s="2847"/>
      <c r="AX123" s="2847"/>
      <c r="AY123" s="2847"/>
      <c r="AZ123" s="2847"/>
      <c r="BA123" s="2847"/>
      <c r="BB123" s="2847"/>
      <c r="BC123" s="2847"/>
      <c r="BD123" s="2847"/>
      <c r="BE123" s="2847"/>
      <c r="BF123" s="2847"/>
      <c r="BG123" s="2847"/>
      <c r="BH123" s="2847"/>
      <c r="BI123" s="2847"/>
      <c r="BJ123" s="2847"/>
      <c r="BK123" s="2847"/>
      <c r="BL123" s="2847"/>
      <c r="BM123" s="2847"/>
      <c r="BN123" s="2847"/>
      <c r="BO123" s="2847"/>
      <c r="BP123" s="2847"/>
      <c r="BQ123" s="2847"/>
      <c r="BR123" s="2847"/>
      <c r="BS123" s="2847"/>
      <c r="BT123" s="2847"/>
      <c r="BU123" s="2847"/>
      <c r="BV123" s="2371"/>
      <c r="BW123" s="2371"/>
      <c r="BX123" s="2371"/>
      <c r="BY123" s="2371"/>
      <c r="BZ123" s="2371"/>
      <c r="CA123" s="2371"/>
      <c r="CB123" s="2371"/>
      <c r="CC123" s="2371"/>
      <c r="CD123" s="2371"/>
      <c r="CE123" s="2371"/>
      <c r="CF123" s="13561"/>
    </row>
    <row customHeight="1" ht="11.25" hidden="1">
      <c r="A124" s="3004"/>
      <c r="B124" s="2847"/>
      <c r="C124" s="2847"/>
      <c r="D124" s="3790"/>
      <c r="E124" s="1846"/>
      <c r="F124" s="1846">
        <v>0</v>
      </c>
      <c r="G124" s="1846"/>
      <c r="H124" s="1846"/>
      <c r="I124" s="1846"/>
      <c r="J124" s="1846"/>
      <c r="K124" s="1846"/>
      <c r="L124" s="1846"/>
      <c r="M124" s="1846"/>
      <c r="N124" s="1846"/>
      <c r="O124" s="1846"/>
      <c r="P124" s="1846"/>
      <c r="Q124" s="1846"/>
      <c r="R124" s="1846"/>
      <c r="S124" s="1847"/>
      <c r="T124" s="1929"/>
      <c r="U124" s="3585"/>
      <c r="V124" s="3585"/>
      <c r="W124" s="2847"/>
      <c r="X124" s="2847"/>
      <c r="Y124" s="2847"/>
      <c r="Z124" s="2847"/>
      <c r="AA124" s="2847"/>
      <c r="AB124" s="2371"/>
      <c r="AC124" s="3586"/>
      <c r="AD124" s="1840"/>
      <c r="AE124" s="2371"/>
      <c r="AF124" s="2371"/>
      <c r="AG124" s="2847"/>
      <c r="AH124" s="2847"/>
      <c r="AI124" s="2847"/>
      <c r="AJ124" s="2847"/>
      <c r="AK124" s="2847"/>
      <c r="AL124" s="2847"/>
      <c r="AM124" s="2847"/>
      <c r="AN124" s="2847"/>
      <c r="AO124" s="2847"/>
      <c r="AP124" s="2847"/>
      <c r="AQ124" s="2847"/>
      <c r="AR124" s="2847"/>
      <c r="AS124" s="2847"/>
      <c r="AT124" s="2847"/>
      <c r="AU124" s="2847"/>
      <c r="AV124" s="2847"/>
      <c r="AW124" s="2847"/>
      <c r="AX124" s="2847"/>
      <c r="AY124" s="2847"/>
      <c r="AZ124" s="2847"/>
      <c r="BA124" s="2847"/>
      <c r="BB124" s="2847"/>
      <c r="BC124" s="2847"/>
      <c r="BD124" s="2847"/>
      <c r="BE124" s="2847"/>
      <c r="BF124" s="2847"/>
      <c r="BG124" s="2847"/>
      <c r="BH124" s="2847"/>
      <c r="BI124" s="2847"/>
      <c r="BJ124" s="2847"/>
      <c r="BK124" s="2847"/>
      <c r="BL124" s="2847"/>
      <c r="BM124" s="2847"/>
      <c r="BN124" s="2847"/>
      <c r="BO124" s="2847"/>
      <c r="BP124" s="2847"/>
      <c r="BQ124" s="2847"/>
      <c r="BR124" s="2847"/>
      <c r="BS124" s="2847"/>
      <c r="BT124" s="2847"/>
      <c r="BU124" s="2847"/>
      <c r="BV124" s="2847"/>
      <c r="BW124" s="2847"/>
      <c r="BX124" s="2847"/>
      <c r="BY124" s="2847"/>
      <c r="BZ124" s="2847"/>
      <c r="CA124" s="2847"/>
      <c r="CB124" s="2847"/>
      <c r="CC124" s="2847"/>
      <c r="CD124" s="2847"/>
      <c r="CE124" s="2847"/>
      <c r="CF124" s="13561"/>
    </row>
    <row customHeight="1" ht="11.25" hidden="1">
      <c r="A125" s="3017"/>
      <c r="B125" s="2371"/>
      <c r="C125" s="1623"/>
      <c r="D125" s="3790"/>
      <c r="E125" s="1860" t="s">
        <v>22</v>
      </c>
      <c r="F125" s="2379" t="s">
        <v>22</v>
      </c>
      <c r="G125" s="2379" t="s">
        <v>22</v>
      </c>
      <c r="H125" s="1862" t="s">
        <v>22</v>
      </c>
      <c r="I125" s="1862"/>
      <c r="J125" s="1862"/>
      <c r="K125" s="1862"/>
      <c r="L125" s="1862"/>
      <c r="M125" s="1862"/>
      <c r="N125" s="1862"/>
      <c r="O125" s="1862"/>
      <c r="P125" s="1862"/>
      <c r="Q125" s="1862"/>
      <c r="R125" s="1863"/>
      <c r="S125" s="1864"/>
      <c r="T125" s="1929"/>
      <c r="U125" s="3585"/>
      <c r="V125" s="3585"/>
      <c r="W125" s="2371"/>
      <c r="X125" s="2371"/>
      <c r="Y125" s="2371"/>
      <c r="Z125" s="2371"/>
      <c r="AA125" s="2847"/>
      <c r="AB125" s="2371"/>
      <c r="AC125" s="3586"/>
      <c r="AD125" s="1840"/>
      <c r="AE125" s="2371"/>
      <c r="AF125" s="2371"/>
      <c r="AG125" s="2847"/>
      <c r="AH125" s="2847"/>
      <c r="AI125" s="2847"/>
      <c r="AJ125" s="2847"/>
      <c r="AK125" s="2847"/>
      <c r="AL125" s="2847"/>
      <c r="AM125" s="2847"/>
      <c r="AN125" s="2847"/>
      <c r="AO125" s="2847"/>
      <c r="AP125" s="2847"/>
      <c r="AQ125" s="2847"/>
      <c r="AR125" s="2847"/>
      <c r="AS125" s="2847"/>
      <c r="AT125" s="2847"/>
      <c r="AU125" s="2847"/>
      <c r="AV125" s="2847"/>
      <c r="AW125" s="2847"/>
      <c r="AX125" s="2847"/>
      <c r="AY125" s="2847"/>
      <c r="AZ125" s="2847"/>
      <c r="BA125" s="2847"/>
      <c r="BB125" s="2847"/>
      <c r="BC125" s="2847"/>
      <c r="BD125" s="2847"/>
      <c r="BE125" s="2847"/>
      <c r="BF125" s="2847"/>
      <c r="BG125" s="2847"/>
      <c r="BH125" s="2847"/>
      <c r="BI125" s="2847"/>
      <c r="BJ125" s="2847"/>
      <c r="BK125" s="2847"/>
      <c r="BL125" s="2847"/>
      <c r="BM125" s="2847"/>
      <c r="BN125" s="2847"/>
      <c r="BO125" s="2847"/>
      <c r="BP125" s="2847"/>
      <c r="BQ125" s="2847"/>
      <c r="BR125" s="2847"/>
      <c r="BS125" s="2847"/>
      <c r="BT125" s="2847"/>
      <c r="BU125" s="2847"/>
      <c r="BV125" s="2371"/>
      <c r="BW125" s="2371"/>
      <c r="BX125" s="2371"/>
      <c r="BY125" s="2371"/>
      <c r="BZ125" s="2371"/>
      <c r="CA125" s="2371"/>
      <c r="CB125" s="2371"/>
      <c r="CC125" s="2371"/>
      <c r="CD125" s="2371"/>
      <c r="CE125" s="2371"/>
      <c r="CF125" s="13561"/>
    </row>
    <row customHeight="1" ht="5.25" hidden="1">
      <c r="A126" s="3004"/>
      <c r="B126" s="2847"/>
      <c r="C126" s="2847"/>
      <c r="D126" s="3790"/>
      <c r="E126" s="2250"/>
      <c r="F126" s="2250"/>
      <c r="G126" s="2250"/>
      <c r="H126" s="2250"/>
      <c r="I126" s="2250"/>
      <c r="J126" s="2250"/>
      <c r="K126" s="2250"/>
      <c r="L126" s="2250"/>
      <c r="M126" s="2250"/>
      <c r="N126" s="2250"/>
      <c r="O126" s="2250"/>
      <c r="P126" s="2250"/>
      <c r="Q126" s="2251"/>
      <c r="R126" s="2252"/>
      <c r="S126" s="2253"/>
      <c r="T126" s="1928" t="s">
        <v>649</v>
      </c>
      <c r="U126" s="3585">
        <v>1</v>
      </c>
      <c r="V126" s="3585" t="s">
        <v>599</v>
      </c>
      <c r="W126" s="2847"/>
      <c r="X126" s="2847"/>
      <c r="Y126" s="2847"/>
      <c r="Z126" s="2847"/>
      <c r="AA126" s="2847"/>
      <c r="AB126" s="2847"/>
      <c r="AC126" s="2248"/>
      <c r="AD126" s="2249"/>
      <c r="AE126" s="2847"/>
      <c r="AF126" s="2847"/>
      <c r="AG126" s="2847"/>
      <c r="AH126" s="2847"/>
      <c r="AI126" s="2847"/>
      <c r="AJ126" s="2847"/>
      <c r="AK126" s="2847"/>
      <c r="AL126" s="2847"/>
      <c r="AM126" s="2847"/>
      <c r="AN126" s="2847"/>
      <c r="AO126" s="2847"/>
      <c r="AP126" s="2847"/>
      <c r="AQ126" s="2847"/>
      <c r="AR126" s="2847"/>
      <c r="AS126" s="2847"/>
      <c r="AT126" s="2847"/>
      <c r="AU126" s="2847"/>
      <c r="AV126" s="2847"/>
      <c r="AW126" s="2847"/>
      <c r="AX126" s="2847"/>
      <c r="AY126" s="2847"/>
      <c r="AZ126" s="2847"/>
      <c r="BA126" s="2847"/>
      <c r="BB126" s="2847"/>
      <c r="BC126" s="2847"/>
      <c r="BD126" s="2847"/>
      <c r="BE126" s="2847"/>
      <c r="BF126" s="2847"/>
      <c r="BG126" s="2847"/>
      <c r="BH126" s="2847"/>
      <c r="BI126" s="2847"/>
      <c r="BJ126" s="2847"/>
      <c r="BK126" s="2847"/>
      <c r="BL126" s="2847"/>
      <c r="BM126" s="2847"/>
      <c r="BN126" s="2847"/>
      <c r="BO126" s="2847"/>
      <c r="BP126" s="2847"/>
      <c r="BQ126" s="2847"/>
      <c r="BR126" s="2847"/>
      <c r="BS126" s="2847"/>
      <c r="BT126" s="2847"/>
      <c r="BU126" s="2847"/>
      <c r="BV126" s="2847"/>
      <c r="BW126" s="2847"/>
      <c r="BX126" s="2847"/>
      <c r="BY126" s="2847"/>
      <c r="BZ126" s="2847"/>
      <c r="CA126" s="2847"/>
      <c r="CB126" s="2847"/>
      <c r="CC126" s="2847"/>
      <c r="CD126" s="2847"/>
      <c r="CE126" s="2847"/>
      <c r="CF126" s="13572"/>
    </row>
    <row customHeight="1" ht="5.25" hidden="1">
      <c r="A127" s="3004"/>
      <c r="B127" s="2847"/>
      <c r="C127" s="2847"/>
      <c r="D127" s="3790"/>
      <c r="E127" s="1846"/>
      <c r="F127" s="1846"/>
      <c r="G127" s="1846"/>
      <c r="H127" s="1846"/>
      <c r="I127" s="1846"/>
      <c r="J127" s="1846"/>
      <c r="K127" s="1846"/>
      <c r="L127" s="1846"/>
      <c r="M127" s="1846"/>
      <c r="N127" s="1846"/>
      <c r="O127" s="1846"/>
      <c r="P127" s="1846"/>
      <c r="Q127" s="1846"/>
      <c r="R127" s="1846"/>
      <c r="S127" s="1847"/>
      <c r="T127" s="1929"/>
      <c r="U127" s="3585"/>
      <c r="V127" s="3585"/>
      <c r="W127" s="2847"/>
      <c r="X127" s="2847"/>
      <c r="Y127" s="2847"/>
      <c r="Z127" s="2847"/>
      <c r="AA127" s="2847"/>
      <c r="AB127" s="2847"/>
      <c r="AC127" s="2248"/>
      <c r="AD127" s="2249"/>
      <c r="AE127" s="2847"/>
      <c r="AF127" s="2847"/>
      <c r="AG127" s="2847"/>
      <c r="AH127" s="2847"/>
      <c r="AI127" s="2847"/>
      <c r="AJ127" s="2847"/>
      <c r="AK127" s="2847"/>
      <c r="AL127" s="2847"/>
      <c r="AM127" s="2847"/>
      <c r="AN127" s="2847"/>
      <c r="AO127" s="2847"/>
      <c r="AP127" s="2847"/>
      <c r="AQ127" s="2847"/>
      <c r="AR127" s="2847"/>
      <c r="AS127" s="2847"/>
      <c r="AT127" s="2847"/>
      <c r="AU127" s="2847"/>
      <c r="AV127" s="2847"/>
      <c r="AW127" s="2847"/>
      <c r="AX127" s="2847"/>
      <c r="AY127" s="2847"/>
      <c r="AZ127" s="2847"/>
      <c r="BA127" s="2847"/>
      <c r="BB127" s="2847"/>
      <c r="BC127" s="2847"/>
      <c r="BD127" s="2847"/>
      <c r="BE127" s="2847"/>
      <c r="BF127" s="2847"/>
      <c r="BG127" s="2847"/>
      <c r="BH127" s="2847"/>
      <c r="BI127" s="2847"/>
      <c r="BJ127" s="2847"/>
      <c r="BK127" s="2847"/>
      <c r="BL127" s="2847"/>
      <c r="BM127" s="2847"/>
      <c r="BN127" s="2847"/>
      <c r="BO127" s="2847"/>
      <c r="BP127" s="2847"/>
      <c r="BQ127" s="2847"/>
      <c r="BR127" s="2847"/>
      <c r="BS127" s="2847"/>
      <c r="BT127" s="2847"/>
      <c r="BU127" s="2847"/>
      <c r="BV127" s="2847"/>
      <c r="BW127" s="2847"/>
      <c r="BX127" s="2847"/>
      <c r="BY127" s="2847"/>
      <c r="BZ127" s="2847"/>
      <c r="CA127" s="2847"/>
      <c r="CB127" s="2847"/>
      <c r="CC127" s="2847"/>
      <c r="CD127" s="2847"/>
      <c r="CE127" s="2847"/>
      <c r="CF127" s="13572"/>
    </row>
    <row customHeight="1" ht="5.25" hidden="1">
      <c r="A128" s="3004"/>
      <c r="B128" s="2847"/>
      <c r="C128" s="2847"/>
      <c r="D128" s="3791"/>
      <c r="E128" s="2254"/>
      <c r="F128" s="2255"/>
      <c r="G128" s="2255" t="s">
        <v>22</v>
      </c>
      <c r="H128" s="2256"/>
      <c r="I128" s="2256"/>
      <c r="J128" s="2256"/>
      <c r="K128" s="2256"/>
      <c r="L128" s="2256"/>
      <c r="M128" s="2256"/>
      <c r="N128" s="2256"/>
      <c r="O128" s="2256"/>
      <c r="P128" s="2256"/>
      <c r="Q128" s="2256"/>
      <c r="R128" s="2157"/>
      <c r="S128" s="2257"/>
      <c r="T128" s="1929"/>
      <c r="U128" s="3585"/>
      <c r="V128" s="3585"/>
      <c r="W128" s="2847"/>
      <c r="X128" s="2847"/>
      <c r="Y128" s="2847"/>
      <c r="Z128" s="2847"/>
      <c r="AA128" s="2847"/>
      <c r="AB128" s="2847"/>
      <c r="AC128" s="2248"/>
      <c r="AD128" s="2249"/>
      <c r="AE128" s="2847"/>
      <c r="AF128" s="2847"/>
      <c r="AG128" s="2847"/>
      <c r="AH128" s="2847"/>
      <c r="AI128" s="2847"/>
      <c r="AJ128" s="2847"/>
      <c r="AK128" s="2847"/>
      <c r="AL128" s="2847"/>
      <c r="AM128" s="2847"/>
      <c r="AN128" s="2847"/>
      <c r="AO128" s="2847"/>
      <c r="AP128" s="2847"/>
      <c r="AQ128" s="2847"/>
      <c r="AR128" s="2847"/>
      <c r="AS128" s="2847"/>
      <c r="AT128" s="2847"/>
      <c r="AU128" s="2847"/>
      <c r="AV128" s="2847"/>
      <c r="AW128" s="2847"/>
      <c r="AX128" s="2847"/>
      <c r="AY128" s="2847"/>
      <c r="AZ128" s="2847"/>
      <c r="BA128" s="2847"/>
      <c r="BB128" s="2847"/>
      <c r="BC128" s="2847"/>
      <c r="BD128" s="2847"/>
      <c r="BE128" s="2847"/>
      <c r="BF128" s="2847"/>
      <c r="BG128" s="2847"/>
      <c r="BH128" s="2847"/>
      <c r="BI128" s="2847"/>
      <c r="BJ128" s="2847"/>
      <c r="BK128" s="2847"/>
      <c r="BL128" s="2847"/>
      <c r="BM128" s="2847"/>
      <c r="BN128" s="2847"/>
      <c r="BO128" s="2847"/>
      <c r="BP128" s="2847"/>
      <c r="BQ128" s="2847"/>
      <c r="BR128" s="2847"/>
      <c r="BS128" s="2847"/>
      <c r="BT128" s="2847"/>
      <c r="BU128" s="2847"/>
      <c r="BV128" s="2847"/>
      <c r="BW128" s="2847"/>
      <c r="BX128" s="2847"/>
      <c r="BY128" s="2847"/>
      <c r="BZ128" s="2847"/>
      <c r="CA128" s="2847"/>
      <c r="CB128" s="2847"/>
      <c r="CC128" s="2847"/>
      <c r="CD128" s="2847"/>
      <c r="CE128" s="2847"/>
      <c r="CF128" s="13572"/>
    </row>
    <row customHeight="1" ht="15">
      <c r="A129" s="1834" t="s">
        <v>136</v>
      </c>
      <c r="B129" s="1835"/>
      <c r="C129" s="1835" t="s">
        <v>22</v>
      </c>
      <c r="D129" s="3789" t="s">
        <v>733</v>
      </c>
      <c r="E129" s="3588" t="s">
        <v>118</v>
      </c>
      <c r="F129" s="3589"/>
      <c r="G129" s="3590"/>
      <c r="H129" s="3594" t="str">
        <f>IF(A129="","",INDEX(DIFFERENTIATION_UNMERGE_VD,MATCH(A129,DIFFERENTIATION_ID_DIFF,0)))</f>
        <v>Передача. Тепловая энергия; Сбыт. Тепловая энергия</v>
      </c>
      <c r="I129" s="3594"/>
      <c r="J129" s="3594"/>
      <c r="K129" s="3594"/>
      <c r="L129" s="3594"/>
      <c r="M129" s="3594"/>
      <c r="N129" s="3594"/>
      <c r="O129" s="3594"/>
      <c r="P129" s="3594"/>
      <c r="Q129" s="3594"/>
      <c r="R129" s="3594"/>
      <c r="S129" s="1930"/>
      <c r="T129" s="1927"/>
      <c r="U129" s="1836"/>
      <c r="V129" s="1836"/>
      <c r="W129" s="1837"/>
      <c r="X129" s="1837"/>
      <c r="Y129" s="1837"/>
      <c r="Z129" s="1837"/>
      <c r="AA129" s="1838"/>
      <c r="AB129" s="1839"/>
      <c r="AC129" s="3586"/>
      <c r="AD129" s="1840"/>
      <c r="AE129" s="1841" t="s">
        <v>22</v>
      </c>
      <c r="AF129" s="1841"/>
      <c r="AG129" s="1842" t="s">
        <v>646</v>
      </c>
      <c r="AH129" s="1843">
        <v>3</v>
      </c>
      <c r="AI129" s="1836"/>
      <c r="AJ129" s="1836"/>
      <c r="AK129" s="1836"/>
      <c r="AL129" s="1836"/>
      <c r="AM129" s="1836"/>
      <c r="AN129" s="1836"/>
      <c r="AO129" s="1836"/>
      <c r="AP129" s="1836"/>
      <c r="AQ129" s="1836"/>
      <c r="AR129" s="1836"/>
      <c r="AS129" s="1836"/>
      <c r="AT129" s="1836"/>
      <c r="AU129" s="1836"/>
      <c r="AV129" s="1836"/>
      <c r="AW129" s="1836"/>
      <c r="AX129" s="1836"/>
      <c r="AY129" s="1836"/>
      <c r="AZ129" s="1836"/>
      <c r="BA129" s="1836"/>
      <c r="BB129" s="1836"/>
      <c r="BC129" s="1836"/>
      <c r="BD129" s="1836"/>
      <c r="BE129" s="1836"/>
      <c r="BF129" s="1836"/>
      <c r="BG129" s="1836"/>
      <c r="BH129" s="1836"/>
      <c r="BI129" s="1836"/>
      <c r="BJ129" s="1836"/>
      <c r="BK129" s="1836"/>
      <c r="BL129" s="1836"/>
      <c r="BM129" s="1836"/>
      <c r="BN129" s="1836"/>
      <c r="BO129" s="1836"/>
      <c r="BP129" s="1836"/>
      <c r="BQ129" s="1836"/>
      <c r="BR129" s="1836"/>
      <c r="BS129" s="1836"/>
      <c r="BT129" s="1836"/>
      <c r="BU129" s="1836"/>
      <c r="BV129" s="1837"/>
      <c r="BW129" s="1837"/>
      <c r="BX129" s="1837"/>
      <c r="BY129" s="1837"/>
      <c r="BZ129" s="1837"/>
      <c r="CA129" s="1837"/>
      <c r="CB129" s="1837"/>
      <c r="CC129" s="1837"/>
      <c r="CD129" s="1837"/>
      <c r="CE129" s="1837"/>
      <c r="CF129" s="13561"/>
    </row>
    <row customHeight="1" ht="15">
      <c r="A130" s="1834"/>
      <c r="B130" s="1835"/>
      <c r="C130" s="1835"/>
      <c r="D130" s="3790"/>
      <c r="E130" s="3588" t="s">
        <v>582</v>
      </c>
      <c r="F130" s="3589"/>
      <c r="G130" s="3590"/>
      <c r="H130" s="3594" t="str">
        <f>IF(A129="","",INDEX(DIFFERENTIATION_UNMERGE_AREA,MATCH(A129,DIFFERENTIATION_ID_DIFF,0)))</f>
        <v>Территория 1</v>
      </c>
      <c r="I130" s="3594"/>
      <c r="J130" s="3594"/>
      <c r="K130" s="3594"/>
      <c r="L130" s="3594"/>
      <c r="M130" s="3594"/>
      <c r="N130" s="3594"/>
      <c r="O130" s="3594"/>
      <c r="P130" s="3594"/>
      <c r="Q130" s="3594"/>
      <c r="R130" s="3594"/>
      <c r="S130" s="1930"/>
      <c r="T130" s="1927"/>
      <c r="U130" s="1836"/>
      <c r="V130" s="1836"/>
      <c r="W130" s="1837"/>
      <c r="X130" s="1837"/>
      <c r="Y130" s="1837"/>
      <c r="Z130" s="1837"/>
      <c r="AA130" s="1838"/>
      <c r="AB130" s="1839"/>
      <c r="AC130" s="3586"/>
      <c r="AD130" s="1840"/>
      <c r="AE130" s="1841"/>
      <c r="AF130" s="1841"/>
      <c r="AG130" s="1842"/>
      <c r="AH130" s="1843"/>
      <c r="AI130" s="1836"/>
      <c r="AJ130" s="1836"/>
      <c r="AK130" s="1836"/>
      <c r="AL130" s="1836"/>
      <c r="AM130" s="1836"/>
      <c r="AN130" s="1836"/>
      <c r="AO130" s="1836"/>
      <c r="AP130" s="1836"/>
      <c r="AQ130" s="1836"/>
      <c r="AR130" s="1836"/>
      <c r="AS130" s="1836"/>
      <c r="AT130" s="1836"/>
      <c r="AU130" s="1836"/>
      <c r="AV130" s="1836"/>
      <c r="AW130" s="1836"/>
      <c r="AX130" s="1836"/>
      <c r="AY130" s="1836"/>
      <c r="AZ130" s="1836"/>
      <c r="BA130" s="1836"/>
      <c r="BB130" s="1836"/>
      <c r="BC130" s="1836"/>
      <c r="BD130" s="1836"/>
      <c r="BE130" s="1836"/>
      <c r="BF130" s="1836"/>
      <c r="BG130" s="1836"/>
      <c r="BH130" s="1836"/>
      <c r="BI130" s="1836"/>
      <c r="BJ130" s="1836"/>
      <c r="BK130" s="1836"/>
      <c r="BL130" s="1836"/>
      <c r="BM130" s="1836"/>
      <c r="BN130" s="1836"/>
      <c r="BO130" s="1836"/>
      <c r="BP130" s="1836"/>
      <c r="BQ130" s="1836"/>
      <c r="BR130" s="1836"/>
      <c r="BS130" s="1836"/>
      <c r="BT130" s="1836"/>
      <c r="BU130" s="1836"/>
      <c r="BV130" s="1837"/>
      <c r="BW130" s="1837"/>
      <c r="BX130" s="1837"/>
      <c r="BY130" s="1837"/>
      <c r="BZ130" s="1837"/>
      <c r="CA130" s="1837"/>
      <c r="CB130" s="1837"/>
      <c r="CC130" s="1837"/>
      <c r="CD130" s="1837"/>
      <c r="CE130" s="1837"/>
      <c r="CF130" s="13561"/>
    </row>
    <row customHeight="1" ht="15">
      <c r="A131" s="1834"/>
      <c r="B131" s="1835"/>
      <c r="C131" s="1835"/>
      <c r="D131" s="3790"/>
      <c r="E131" s="3588" t="s">
        <v>583</v>
      </c>
      <c r="F131" s="3589"/>
      <c r="G131" s="3590"/>
      <c r="H131" s="3594" t="str">
        <f>IF(A129="","",INDEX(DIFFERENTIATION_UNMERGE_SYSTEM,MATCH(A129,DIFFERENTIATION_ID_DIFF,0)))</f>
        <v>без дифференциации</v>
      </c>
      <c r="I131" s="3594"/>
      <c r="J131" s="3594"/>
      <c r="K131" s="3594"/>
      <c r="L131" s="3594"/>
      <c r="M131" s="3594"/>
      <c r="N131" s="3594"/>
      <c r="O131" s="3594"/>
      <c r="P131" s="3594"/>
      <c r="Q131" s="3594"/>
      <c r="R131" s="3594"/>
      <c r="S131" s="1930"/>
      <c r="T131" s="1927"/>
      <c r="U131" s="1836"/>
      <c r="V131" s="1836"/>
      <c r="W131" s="1837"/>
      <c r="X131" s="1837"/>
      <c r="Y131" s="1837"/>
      <c r="Z131" s="1837"/>
      <c r="AA131" s="1838"/>
      <c r="AB131" s="1839"/>
      <c r="AC131" s="3586"/>
      <c r="AD131" s="1840"/>
      <c r="AE131" s="1841"/>
      <c r="AF131" s="1841"/>
      <c r="AG131" s="1842"/>
      <c r="AH131" s="1843"/>
      <c r="AI131" s="1836"/>
      <c r="AJ131" s="1836"/>
      <c r="AK131" s="1836"/>
      <c r="AL131" s="1836"/>
      <c r="AM131" s="1836"/>
      <c r="AN131" s="1836"/>
      <c r="AO131" s="1836"/>
      <c r="AP131" s="1836"/>
      <c r="AQ131" s="1836"/>
      <c r="AR131" s="1836"/>
      <c r="AS131" s="1836"/>
      <c r="AT131" s="1836"/>
      <c r="AU131" s="1836"/>
      <c r="AV131" s="1836"/>
      <c r="AW131" s="1836"/>
      <c r="AX131" s="1836"/>
      <c r="AY131" s="1836"/>
      <c r="AZ131" s="1836"/>
      <c r="BA131" s="1836"/>
      <c r="BB131" s="1836"/>
      <c r="BC131" s="1836"/>
      <c r="BD131" s="1836"/>
      <c r="BE131" s="1836"/>
      <c r="BF131" s="1836"/>
      <c r="BG131" s="1836"/>
      <c r="BH131" s="1836"/>
      <c r="BI131" s="1836"/>
      <c r="BJ131" s="1836"/>
      <c r="BK131" s="1836"/>
      <c r="BL131" s="1836"/>
      <c r="BM131" s="1836"/>
      <c r="BN131" s="1836"/>
      <c r="BO131" s="1836"/>
      <c r="BP131" s="1836"/>
      <c r="BQ131" s="1836"/>
      <c r="BR131" s="1836"/>
      <c r="BS131" s="1836"/>
      <c r="BT131" s="1836"/>
      <c r="BU131" s="1836"/>
      <c r="BV131" s="1837"/>
      <c r="BW131" s="1837"/>
      <c r="BX131" s="1837"/>
      <c r="BY131" s="1837"/>
      <c r="BZ131" s="1837"/>
      <c r="CA131" s="1837"/>
      <c r="CB131" s="1837"/>
      <c r="CC131" s="1837"/>
      <c r="CD131" s="1837"/>
      <c r="CE131" s="1837"/>
      <c r="CF131" s="13561"/>
    </row>
    <row customHeight="1" ht="24.75">
      <c r="A132" s="3017"/>
      <c r="B132" s="2371"/>
      <c r="C132" s="1623"/>
      <c r="D132" s="3790"/>
      <c r="E132" s="3587" t="s">
        <v>647</v>
      </c>
      <c r="F132" s="3587"/>
      <c r="G132" s="3587"/>
      <c r="H132" s="3587"/>
      <c r="I132" s="3587"/>
      <c r="J132" s="3587"/>
      <c r="K132" s="3587"/>
      <c r="L132" s="3587"/>
      <c r="M132" s="3587"/>
      <c r="N132" s="3587"/>
      <c r="O132" s="3587"/>
      <c r="P132" s="3587"/>
      <c r="Q132" s="1769">
        <f>SUMIF(T133:T154,"i",Q133:Q154)</f>
        <v>81944.791</v>
      </c>
      <c r="R132" s="2228"/>
      <c r="S132" s="3009" t="s">
        <v>648</v>
      </c>
      <c r="T132" s="1928" t="s">
        <v>649</v>
      </c>
      <c r="U132" s="3585">
        <v>1</v>
      </c>
      <c r="V132" s="3585" t="str">
        <f>INDEX(B_FHD_FLAG_INDEX_1,1,MATCH($A$129,B_FHD_FLAG_DIFFERENTIATION,0))</f>
        <v>есть</v>
      </c>
      <c r="W132" s="2371"/>
      <c r="X132" s="2371"/>
      <c r="Y132" s="2371"/>
      <c r="Z132" s="2371"/>
      <c r="AA132" s="2847"/>
      <c r="AB132" s="2371"/>
      <c r="AC132" s="3586"/>
      <c r="AD132" s="1840"/>
      <c r="AE132" s="2371"/>
      <c r="AF132" s="2371"/>
      <c r="AG132" s="2847"/>
      <c r="AH132" s="2847"/>
      <c r="AI132" s="2847"/>
      <c r="AJ132" s="2847"/>
      <c r="AK132" s="2847"/>
      <c r="AL132" s="2847"/>
      <c r="AM132" s="2847"/>
      <c r="AN132" s="2847"/>
      <c r="AO132" s="2847"/>
      <c r="AP132" s="2847"/>
      <c r="AQ132" s="2847"/>
      <c r="AR132" s="2847"/>
      <c r="AS132" s="2847"/>
      <c r="AT132" s="2847"/>
      <c r="AU132" s="2847"/>
      <c r="AV132" s="2847"/>
      <c r="AW132" s="2847"/>
      <c r="AX132" s="2847"/>
      <c r="AY132" s="2847"/>
      <c r="AZ132" s="2847"/>
      <c r="BA132" s="2847"/>
      <c r="BB132" s="2847"/>
      <c r="BC132" s="2847"/>
      <c r="BD132" s="2847"/>
      <c r="BE132" s="2847"/>
      <c r="BF132" s="2847"/>
      <c r="BG132" s="2847"/>
      <c r="BH132" s="2847"/>
      <c r="BI132" s="2847"/>
      <c r="BJ132" s="2847"/>
      <c r="BK132" s="2847"/>
      <c r="BL132" s="2847"/>
      <c r="BM132" s="2847"/>
      <c r="BN132" s="2847"/>
      <c r="BO132" s="2847"/>
      <c r="BP132" s="2847"/>
      <c r="BQ132" s="2847"/>
      <c r="BR132" s="2847"/>
      <c r="BS132" s="2847"/>
      <c r="BT132" s="2847"/>
      <c r="BU132" s="2847"/>
      <c r="BV132" s="2371"/>
      <c r="BW132" s="2371"/>
      <c r="BX132" s="2371"/>
      <c r="BY132" s="2371"/>
      <c r="BZ132" s="2371"/>
      <c r="CA132" s="2371"/>
      <c r="CB132" s="2371"/>
      <c r="CC132" s="2371"/>
      <c r="CD132" s="2371"/>
      <c r="CE132" s="2371"/>
      <c r="CF132" s="13561"/>
    </row>
    <row customHeight="1" ht="11.25" hidden="1">
      <c r="A133" s="3004"/>
      <c r="B133" s="2847"/>
      <c r="C133" s="2847"/>
      <c r="D133" s="3790"/>
      <c r="E133" s="1846"/>
      <c r="F133" s="1846">
        <v>0</v>
      </c>
      <c r="G133" s="1846"/>
      <c r="H133" s="1846"/>
      <c r="I133" s="1846"/>
      <c r="J133" s="1846"/>
      <c r="K133" s="1846"/>
      <c r="L133" s="1846"/>
      <c r="M133" s="1846"/>
      <c r="N133" s="1846"/>
      <c r="O133" s="1846"/>
      <c r="P133" s="1846"/>
      <c r="Q133" s="1846"/>
      <c r="R133" s="1846"/>
      <c r="S133" s="1847"/>
      <c r="T133" s="1929"/>
      <c r="U133" s="3585"/>
      <c r="V133" s="3585"/>
      <c r="W133" s="2847"/>
      <c r="X133" s="2847"/>
      <c r="Y133" s="2847"/>
      <c r="Z133" s="2847"/>
      <c r="AA133" s="2847"/>
      <c r="AB133" s="2371"/>
      <c r="AC133" s="3586"/>
      <c r="AD133" s="1840"/>
      <c r="AE133" s="2371"/>
      <c r="AF133" s="2371"/>
      <c r="AG133" s="2847"/>
      <c r="AH133" s="2847"/>
      <c r="AI133" s="2847"/>
      <c r="AJ133" s="2847"/>
      <c r="AK133" s="2847"/>
      <c r="AL133" s="2847"/>
      <c r="AM133" s="2847"/>
      <c r="AN133" s="2847"/>
      <c r="AO133" s="2847"/>
      <c r="AP133" s="2847"/>
      <c r="AQ133" s="2847"/>
      <c r="AR133" s="2847"/>
      <c r="AS133" s="2847"/>
      <c r="AT133" s="2847"/>
      <c r="AU133" s="2847"/>
      <c r="AV133" s="2847"/>
      <c r="AW133" s="2847"/>
      <c r="AX133" s="2847"/>
      <c r="AY133" s="2847"/>
      <c r="AZ133" s="2847"/>
      <c r="BA133" s="2847"/>
      <c r="BB133" s="2847"/>
      <c r="BC133" s="2847"/>
      <c r="BD133" s="2847"/>
      <c r="BE133" s="2847"/>
      <c r="BF133" s="2847"/>
      <c r="BG133" s="2847"/>
      <c r="BH133" s="2847"/>
      <c r="BI133" s="2847"/>
      <c r="BJ133" s="2847"/>
      <c r="BK133" s="2847"/>
      <c r="BL133" s="2847"/>
      <c r="BM133" s="2847"/>
      <c r="BN133" s="2847"/>
      <c r="BO133" s="2847"/>
      <c r="BP133" s="2847"/>
      <c r="BQ133" s="2847"/>
      <c r="BR133" s="2847"/>
      <c r="BS133" s="2847"/>
      <c r="BT133" s="2847"/>
      <c r="BU133" s="2847"/>
      <c r="BV133" s="2847"/>
      <c r="BW133" s="2847"/>
      <c r="BX133" s="2847"/>
      <c r="BY133" s="2847"/>
      <c r="BZ133" s="2847"/>
      <c r="CA133" s="2847"/>
      <c r="CB133" s="2847"/>
      <c r="CC133" s="2847"/>
      <c r="CD133" s="2847"/>
      <c r="CE133" s="2847"/>
      <c r="CF133" s="13561"/>
    </row>
    <row customHeight="1" ht="45">
      <c r="A134" s="3017"/>
      <c r="B134" s="2371"/>
      <c r="C134" s="1623"/>
      <c r="D134" s="1300"/>
      <c r="E134" s="3783" t="s">
        <v>103</v>
      </c>
      <c r="F134" s="3319" t="s">
        <v>99</v>
      </c>
      <c r="G134" s="3786" t="s">
        <v>734</v>
      </c>
      <c r="H134" s="1500"/>
      <c r="I134" s="1848" t="s">
        <v>99</v>
      </c>
      <c r="J134" s="3018" t="s">
        <v>651</v>
      </c>
      <c r="K134" s="1849" t="s">
        <v>564</v>
      </c>
      <c r="L134" s="3435" t="s">
        <v>564</v>
      </c>
      <c r="M134" s="3788"/>
      <c r="N134" s="1849" t="s">
        <v>564</v>
      </c>
      <c r="O134" s="1849" t="s">
        <v>564</v>
      </c>
      <c r="P134" s="1849" t="s">
        <v>564</v>
      </c>
      <c r="Q134" s="1850">
        <f>SUM(Q135:Q137)</f>
        <v>29.18</v>
      </c>
      <c r="R134" s="1850">
        <f>IF('Показатели ФХД'!L89=0,0,($Q$134/'Показатели ФХД'!L89)*100)</f>
        <v>0.0243500295430948</v>
      </c>
      <c r="S134" s="3390"/>
      <c r="T134" s="1928" t="s">
        <v>649</v>
      </c>
      <c r="U134" s="1300"/>
      <c r="V134" s="1300"/>
      <c r="W134" s="35190"/>
      <c r="X134" s="35190"/>
      <c r="Y134" s="35190"/>
      <c r="Z134" s="35190"/>
      <c r="AA134" s="35190"/>
      <c r="AB134" s="35190"/>
      <c r="AC134" s="1300"/>
      <c r="AD134" s="35190"/>
      <c r="AE134" s="35190"/>
      <c r="AF134" s="35190"/>
      <c r="AG134" s="35190"/>
      <c r="AH134" s="35190"/>
      <c r="AI134" s="35190"/>
      <c r="AJ134" s="35190"/>
      <c r="AK134" s="35190"/>
      <c r="AL134" s="35190"/>
      <c r="AM134" s="35190"/>
      <c r="AN134" s="35190"/>
      <c r="AO134" s="35190"/>
      <c r="AP134" s="35190"/>
      <c r="AQ134" s="35190"/>
      <c r="AR134" s="35190"/>
      <c r="AS134" s="35190"/>
      <c r="AT134" s="35190"/>
      <c r="AU134" s="35190"/>
      <c r="AV134" s="35190"/>
      <c r="AW134" s="35190"/>
      <c r="AX134" s="35190"/>
      <c r="AY134" s="35190"/>
      <c r="AZ134" s="35190"/>
      <c r="BA134" s="35190"/>
      <c r="BB134" s="35190"/>
      <c r="BC134" s="35190"/>
      <c r="BD134" s="35190"/>
      <c r="BE134" s="35190"/>
      <c r="BF134" s="35190"/>
      <c r="BG134" s="35190"/>
      <c r="BH134" s="35190"/>
      <c r="BI134" s="35190"/>
      <c r="BJ134" s="35190"/>
      <c r="BK134" s="35190"/>
      <c r="BL134" s="35190"/>
      <c r="BM134" s="35190"/>
      <c r="BN134" s="35190"/>
      <c r="BO134" s="35190"/>
      <c r="BP134" s="35190"/>
      <c r="BQ134" s="35190"/>
      <c r="BR134" s="35190"/>
      <c r="BS134" s="35190"/>
      <c r="BT134" s="35190"/>
      <c r="BU134" s="35190"/>
      <c r="BV134" s="35190"/>
      <c r="BW134" s="35190"/>
      <c r="BX134" s="35190"/>
      <c r="BY134" s="35190"/>
      <c r="BZ134" s="35190"/>
      <c r="CA134" s="35190"/>
      <c r="CB134" s="35190"/>
      <c r="CC134" s="35190"/>
      <c r="CD134" s="35190"/>
      <c r="CE134" s="35190"/>
      <c r="CF134" s="35190"/>
    </row>
    <row customHeight="1" ht="38.25">
      <c r="A135" s="3017"/>
      <c r="B135" s="2371"/>
      <c r="C135" s="1623"/>
      <c r="D135" s="1300"/>
      <c r="E135" s="3784"/>
      <c r="F135" s="3319">
        <v>0</v>
      </c>
      <c r="G135" s="3786"/>
      <c r="H135" s="3338"/>
      <c r="I135" s="3726" t="s">
        <v>652</v>
      </c>
      <c r="J135" s="35171" t="s">
        <v>672</v>
      </c>
      <c r="K135" s="3781" t="s">
        <v>735</v>
      </c>
      <c r="L135" s="1851"/>
      <c r="M135" s="1852" t="s">
        <v>99</v>
      </c>
      <c r="N135" s="3006" t="s">
        <v>736</v>
      </c>
      <c r="O135" s="1853">
        <v>29.18</v>
      </c>
      <c r="P135" s="1854" t="s">
        <v>656</v>
      </c>
      <c r="Q135" s="1853">
        <f>O135</f>
        <v>29.18</v>
      </c>
      <c r="R135" s="1855">
        <v>0</v>
      </c>
      <c r="S135" s="3390"/>
      <c r="T135" s="1928"/>
      <c r="U135" s="1300"/>
      <c r="V135" s="1300"/>
      <c r="W135" s="35190"/>
      <c r="X135" s="35190"/>
      <c r="Y135" s="35190"/>
      <c r="Z135" s="35190"/>
      <c r="AA135" s="35190"/>
      <c r="AB135" s="35190"/>
      <c r="AC135" s="1300"/>
      <c r="AD135" s="35190"/>
      <c r="AE135" s="35190"/>
      <c r="AF135" s="35190"/>
      <c r="AG135" s="35190"/>
      <c r="AH135" s="35190"/>
      <c r="AI135" s="35190"/>
      <c r="AJ135" s="35190"/>
      <c r="AK135" s="35190"/>
      <c r="AL135" s="35190"/>
      <c r="AM135" s="35190"/>
      <c r="AN135" s="35190"/>
      <c r="AO135" s="35190"/>
      <c r="AP135" s="35190"/>
      <c r="AQ135" s="35190"/>
      <c r="AR135" s="35190"/>
      <c r="AS135" s="35190"/>
      <c r="AT135" s="35190"/>
      <c r="AU135" s="35190"/>
      <c r="AV135" s="35190"/>
      <c r="AW135" s="35190"/>
      <c r="AX135" s="35190"/>
      <c r="AY135" s="35190"/>
      <c r="AZ135" s="35190"/>
      <c r="BA135" s="35190"/>
      <c r="BB135" s="35190"/>
      <c r="BC135" s="35190"/>
      <c r="BD135" s="35190"/>
      <c r="BE135" s="35190"/>
      <c r="BF135" s="35190"/>
      <c r="BG135" s="35190"/>
      <c r="BH135" s="35190"/>
      <c r="BI135" s="35190"/>
      <c r="BJ135" s="35190"/>
      <c r="BK135" s="35190"/>
      <c r="BL135" s="35190"/>
      <c r="BM135" s="35190"/>
      <c r="BN135" s="35190"/>
      <c r="BO135" s="35190"/>
      <c r="BP135" s="35190"/>
      <c r="BQ135" s="35190"/>
      <c r="BR135" s="35190"/>
      <c r="BS135" s="35190"/>
      <c r="BT135" s="35190"/>
      <c r="BU135" s="35190"/>
      <c r="BV135" s="35190"/>
      <c r="BW135" s="35190"/>
      <c r="BX135" s="35190"/>
      <c r="BY135" s="35190"/>
      <c r="BZ135" s="35190"/>
      <c r="CA135" s="35190"/>
      <c r="CB135" s="35190"/>
      <c r="CC135" s="35190"/>
      <c r="CD135" s="35190"/>
      <c r="CE135" s="35190"/>
      <c r="CF135" s="35190"/>
    </row>
    <row customHeight="1" ht="11.25">
      <c r="A136" s="3017"/>
      <c r="B136" s="2371"/>
      <c r="C136" s="1623"/>
      <c r="D136" s="1300"/>
      <c r="E136" s="3784"/>
      <c r="F136" s="3319">
        <v>0</v>
      </c>
      <c r="G136" s="3786"/>
      <c r="H136" s="3338"/>
      <c r="I136" s="3726"/>
      <c r="J136" s="3780"/>
      <c r="K136" s="3782"/>
      <c r="L136" s="1856"/>
      <c r="M136" s="1857"/>
      <c r="N136" s="1858" t="s">
        <v>657</v>
      </c>
      <c r="O136" s="1858"/>
      <c r="P136" s="1858"/>
      <c r="Q136" s="1858"/>
      <c r="R136" s="1859"/>
      <c r="S136" s="3390"/>
      <c r="T136" s="1928"/>
      <c r="U136" s="1300"/>
      <c r="V136" s="1300"/>
      <c r="W136" s="35190"/>
      <c r="X136" s="35190"/>
      <c r="Y136" s="35190"/>
      <c r="Z136" s="35190"/>
      <c r="AA136" s="35190"/>
      <c r="AB136" s="35190"/>
      <c r="AC136" s="1300"/>
      <c r="AD136" s="35190"/>
      <c r="AE136" s="35190"/>
      <c r="AF136" s="35190"/>
      <c r="AG136" s="35190"/>
      <c r="AH136" s="35190"/>
      <c r="AI136" s="35190"/>
      <c r="AJ136" s="35190"/>
      <c r="AK136" s="35190"/>
      <c r="AL136" s="35190"/>
      <c r="AM136" s="35190"/>
      <c r="AN136" s="35190"/>
      <c r="AO136" s="35190"/>
      <c r="AP136" s="35190"/>
      <c r="AQ136" s="35190"/>
      <c r="AR136" s="35190"/>
      <c r="AS136" s="35190"/>
      <c r="AT136" s="35190"/>
      <c r="AU136" s="35190"/>
      <c r="AV136" s="35190"/>
      <c r="AW136" s="35190"/>
      <c r="AX136" s="35190"/>
      <c r="AY136" s="35190"/>
      <c r="AZ136" s="35190"/>
      <c r="BA136" s="35190"/>
      <c r="BB136" s="35190"/>
      <c r="BC136" s="35190"/>
      <c r="BD136" s="35190"/>
      <c r="BE136" s="35190"/>
      <c r="BF136" s="35190"/>
      <c r="BG136" s="35190"/>
      <c r="BH136" s="35190"/>
      <c r="BI136" s="35190"/>
      <c r="BJ136" s="35190"/>
      <c r="BK136" s="35190"/>
      <c r="BL136" s="35190"/>
      <c r="BM136" s="35190"/>
      <c r="BN136" s="35190"/>
      <c r="BO136" s="35190"/>
      <c r="BP136" s="35190"/>
      <c r="BQ136" s="35190"/>
      <c r="BR136" s="35190"/>
      <c r="BS136" s="35190"/>
      <c r="BT136" s="35190"/>
      <c r="BU136" s="35190"/>
      <c r="BV136" s="35190"/>
      <c r="BW136" s="35190"/>
      <c r="BX136" s="35190"/>
      <c r="BY136" s="35190"/>
      <c r="BZ136" s="35190"/>
      <c r="CA136" s="35190"/>
      <c r="CB136" s="35190"/>
      <c r="CC136" s="35190"/>
      <c r="CD136" s="35190"/>
      <c r="CE136" s="35190"/>
      <c r="CF136" s="35190"/>
    </row>
    <row customHeight="1" ht="11.25">
      <c r="A137" s="3017"/>
      <c r="B137" s="2371"/>
      <c r="C137" s="1623"/>
      <c r="D137" s="1300"/>
      <c r="E137" s="3785"/>
      <c r="F137" s="3319">
        <v>0</v>
      </c>
      <c r="G137" s="3787"/>
      <c r="H137" s="1856" t="s">
        <v>22</v>
      </c>
      <c r="I137" s="1857"/>
      <c r="J137" s="1858" t="s">
        <v>667</v>
      </c>
      <c r="K137" s="1858"/>
      <c r="L137" s="1858"/>
      <c r="M137" s="1858"/>
      <c r="N137" s="1858"/>
      <c r="O137" s="1858"/>
      <c r="P137" s="1858"/>
      <c r="Q137" s="1858"/>
      <c r="R137" s="1859"/>
      <c r="S137" s="3390"/>
      <c r="T137" s="1928"/>
      <c r="U137" s="1300"/>
      <c r="V137" s="1300"/>
      <c r="W137" s="35190"/>
      <c r="X137" s="35190"/>
      <c r="Y137" s="35190"/>
      <c r="Z137" s="35190"/>
      <c r="AA137" s="35190"/>
      <c r="AB137" s="35190"/>
      <c r="AC137" s="1300"/>
      <c r="AD137" s="35190"/>
      <c r="AE137" s="35190"/>
      <c r="AF137" s="35190"/>
      <c r="AG137" s="35190"/>
      <c r="AH137" s="35190"/>
      <c r="AI137" s="35190"/>
      <c r="AJ137" s="35190"/>
      <c r="AK137" s="35190"/>
      <c r="AL137" s="35190"/>
      <c r="AM137" s="35190"/>
      <c r="AN137" s="35190"/>
      <c r="AO137" s="35190"/>
      <c r="AP137" s="35190"/>
      <c r="AQ137" s="35190"/>
      <c r="AR137" s="35190"/>
      <c r="AS137" s="35190"/>
      <c r="AT137" s="35190"/>
      <c r="AU137" s="35190"/>
      <c r="AV137" s="35190"/>
      <c r="AW137" s="35190"/>
      <c r="AX137" s="35190"/>
      <c r="AY137" s="35190"/>
      <c r="AZ137" s="35190"/>
      <c r="BA137" s="35190"/>
      <c r="BB137" s="35190"/>
      <c r="BC137" s="35190"/>
      <c r="BD137" s="35190"/>
      <c r="BE137" s="35190"/>
      <c r="BF137" s="35190"/>
      <c r="BG137" s="35190"/>
      <c r="BH137" s="35190"/>
      <c r="BI137" s="35190"/>
      <c r="BJ137" s="35190"/>
      <c r="BK137" s="35190"/>
      <c r="BL137" s="35190"/>
      <c r="BM137" s="35190"/>
      <c r="BN137" s="35190"/>
      <c r="BO137" s="35190"/>
      <c r="BP137" s="35190"/>
      <c r="BQ137" s="35190"/>
      <c r="BR137" s="35190"/>
      <c r="BS137" s="35190"/>
      <c r="BT137" s="35190"/>
      <c r="BU137" s="35190"/>
      <c r="BV137" s="35190"/>
      <c r="BW137" s="35190"/>
      <c r="BX137" s="35190"/>
      <c r="BY137" s="35190"/>
      <c r="BZ137" s="35190"/>
      <c r="CA137" s="35190"/>
      <c r="CB137" s="35190"/>
      <c r="CC137" s="35190"/>
      <c r="CD137" s="35190"/>
      <c r="CE137" s="35190"/>
      <c r="CF137" s="35190"/>
    </row>
    <row customHeight="1" ht="45">
      <c r="A138" s="3017"/>
      <c r="B138" s="2371"/>
      <c r="C138" s="1623"/>
      <c r="D138" s="1300"/>
      <c r="E138" s="3783" t="s">
        <v>103</v>
      </c>
      <c r="F138" s="3319" t="s">
        <v>102</v>
      </c>
      <c r="G138" s="3786" t="s">
        <v>737</v>
      </c>
      <c r="H138" s="1500"/>
      <c r="I138" s="1848" t="s">
        <v>99</v>
      </c>
      <c r="J138" s="3018" t="s">
        <v>651</v>
      </c>
      <c r="K138" s="1849" t="s">
        <v>564</v>
      </c>
      <c r="L138" s="3435" t="s">
        <v>564</v>
      </c>
      <c r="M138" s="3788"/>
      <c r="N138" s="1849" t="s">
        <v>564</v>
      </c>
      <c r="O138" s="1849" t="s">
        <v>564</v>
      </c>
      <c r="P138" s="1849" t="s">
        <v>564</v>
      </c>
      <c r="Q138" s="1850">
        <f>SUM(Q139:Q141)</f>
        <v>14427.34</v>
      </c>
      <c r="R138" s="1850">
        <f>IF('Показатели ФХД'!L89=0,0,($Q$138/'Показатели ФХД'!L89)*100)</f>
        <v>12.0392787946632</v>
      </c>
      <c r="S138" s="3390"/>
      <c r="T138" s="1928" t="s">
        <v>649</v>
      </c>
      <c r="U138" s="1300"/>
      <c r="V138" s="1300"/>
      <c r="W138" s="35190"/>
      <c r="X138" s="35190"/>
      <c r="Y138" s="35190"/>
      <c r="Z138" s="35190"/>
      <c r="AA138" s="35190"/>
      <c r="AB138" s="35190"/>
      <c r="AC138" s="1300"/>
      <c r="AD138" s="35190"/>
      <c r="AE138" s="35190"/>
      <c r="AF138" s="35190"/>
      <c r="AG138" s="35190"/>
      <c r="AH138" s="35190"/>
      <c r="AI138" s="35190"/>
      <c r="AJ138" s="35190"/>
      <c r="AK138" s="35190"/>
      <c r="AL138" s="35190"/>
      <c r="AM138" s="35190"/>
      <c r="AN138" s="35190"/>
      <c r="AO138" s="35190"/>
      <c r="AP138" s="35190"/>
      <c r="AQ138" s="35190"/>
      <c r="AR138" s="35190"/>
      <c r="AS138" s="35190"/>
      <c r="AT138" s="35190"/>
      <c r="AU138" s="35190"/>
      <c r="AV138" s="35190"/>
      <c r="AW138" s="35190"/>
      <c r="AX138" s="35190"/>
      <c r="AY138" s="35190"/>
      <c r="AZ138" s="35190"/>
      <c r="BA138" s="35190"/>
      <c r="BB138" s="35190"/>
      <c r="BC138" s="35190"/>
      <c r="BD138" s="35190"/>
      <c r="BE138" s="35190"/>
      <c r="BF138" s="35190"/>
      <c r="BG138" s="35190"/>
      <c r="BH138" s="35190"/>
      <c r="BI138" s="35190"/>
      <c r="BJ138" s="35190"/>
      <c r="BK138" s="35190"/>
      <c r="BL138" s="35190"/>
      <c r="BM138" s="35190"/>
      <c r="BN138" s="35190"/>
      <c r="BO138" s="35190"/>
      <c r="BP138" s="35190"/>
      <c r="BQ138" s="35190"/>
      <c r="BR138" s="35190"/>
      <c r="BS138" s="35190"/>
      <c r="BT138" s="35190"/>
      <c r="BU138" s="35190"/>
      <c r="BV138" s="35190"/>
      <c r="BW138" s="35190"/>
      <c r="BX138" s="35190"/>
      <c r="BY138" s="35190"/>
      <c r="BZ138" s="35190"/>
      <c r="CA138" s="35190"/>
      <c r="CB138" s="35190"/>
      <c r="CC138" s="35190"/>
      <c r="CD138" s="35190"/>
      <c r="CE138" s="35190"/>
      <c r="CF138" s="35190"/>
    </row>
    <row customHeight="1" ht="34.5">
      <c r="A139" s="3017"/>
      <c r="B139" s="2371"/>
      <c r="C139" s="1623"/>
      <c r="D139" s="1300"/>
      <c r="E139" s="3784"/>
      <c r="F139" s="3319" t="s">
        <v>99</v>
      </c>
      <c r="G139" s="3786"/>
      <c r="H139" s="3338"/>
      <c r="I139" s="3726" t="s">
        <v>652</v>
      </c>
      <c r="J139" s="35171" t="s">
        <v>672</v>
      </c>
      <c r="K139" s="3781" t="s">
        <v>738</v>
      </c>
      <c r="L139" s="1851"/>
      <c r="M139" s="1852" t="s">
        <v>99</v>
      </c>
      <c r="N139" s="3006" t="s">
        <v>739</v>
      </c>
      <c r="O139" s="1853">
        <v>14427.34</v>
      </c>
      <c r="P139" s="1854" t="s">
        <v>656</v>
      </c>
      <c r="Q139" s="1853">
        <f>O139</f>
        <v>14427.34</v>
      </c>
      <c r="R139" s="1855">
        <v>0</v>
      </c>
      <c r="S139" s="3390"/>
      <c r="T139" s="1928"/>
      <c r="U139" s="1300"/>
      <c r="V139" s="1300"/>
      <c r="W139" s="35190"/>
      <c r="X139" s="35190"/>
      <c r="Y139" s="35190"/>
      <c r="Z139" s="35190"/>
      <c r="AA139" s="35190"/>
      <c r="AB139" s="35190"/>
      <c r="AC139" s="1300"/>
      <c r="AD139" s="35190"/>
      <c r="AE139" s="35190"/>
      <c r="AF139" s="35190"/>
      <c r="AG139" s="35190"/>
      <c r="AH139" s="35190"/>
      <c r="AI139" s="35190"/>
      <c r="AJ139" s="35190"/>
      <c r="AK139" s="35190"/>
      <c r="AL139" s="35190"/>
      <c r="AM139" s="35190"/>
      <c r="AN139" s="35190"/>
      <c r="AO139" s="35190"/>
      <c r="AP139" s="35190"/>
      <c r="AQ139" s="35190"/>
      <c r="AR139" s="35190"/>
      <c r="AS139" s="35190"/>
      <c r="AT139" s="35190"/>
      <c r="AU139" s="35190"/>
      <c r="AV139" s="35190"/>
      <c r="AW139" s="35190"/>
      <c r="AX139" s="35190"/>
      <c r="AY139" s="35190"/>
      <c r="AZ139" s="35190"/>
      <c r="BA139" s="35190"/>
      <c r="BB139" s="35190"/>
      <c r="BC139" s="35190"/>
      <c r="BD139" s="35190"/>
      <c r="BE139" s="35190"/>
      <c r="BF139" s="35190"/>
      <c r="BG139" s="35190"/>
      <c r="BH139" s="35190"/>
      <c r="BI139" s="35190"/>
      <c r="BJ139" s="35190"/>
      <c r="BK139" s="35190"/>
      <c r="BL139" s="35190"/>
      <c r="BM139" s="35190"/>
      <c r="BN139" s="35190"/>
      <c r="BO139" s="35190"/>
      <c r="BP139" s="35190"/>
      <c r="BQ139" s="35190"/>
      <c r="BR139" s="35190"/>
      <c r="BS139" s="35190"/>
      <c r="BT139" s="35190"/>
      <c r="BU139" s="35190"/>
      <c r="BV139" s="35190"/>
      <c r="BW139" s="35190"/>
      <c r="BX139" s="35190"/>
      <c r="BY139" s="35190"/>
      <c r="BZ139" s="35190"/>
      <c r="CA139" s="35190"/>
      <c r="CB139" s="35190"/>
      <c r="CC139" s="35190"/>
      <c r="CD139" s="35190"/>
      <c r="CE139" s="35190"/>
      <c r="CF139" s="35190"/>
    </row>
    <row customHeight="1" ht="11.25">
      <c r="A140" s="3017"/>
      <c r="B140" s="2371"/>
      <c r="C140" s="1623"/>
      <c r="D140" s="1300"/>
      <c r="E140" s="3784"/>
      <c r="F140" s="3319" t="s">
        <v>99</v>
      </c>
      <c r="G140" s="3786"/>
      <c r="H140" s="3338"/>
      <c r="I140" s="3726"/>
      <c r="J140" s="3780"/>
      <c r="K140" s="3782"/>
      <c r="L140" s="1856"/>
      <c r="M140" s="1857"/>
      <c r="N140" s="1858" t="s">
        <v>657</v>
      </c>
      <c r="O140" s="1858"/>
      <c r="P140" s="1858"/>
      <c r="Q140" s="1858"/>
      <c r="R140" s="1859"/>
      <c r="S140" s="3390"/>
      <c r="T140" s="1928"/>
      <c r="U140" s="1300"/>
      <c r="V140" s="1300"/>
      <c r="W140" s="35190"/>
      <c r="X140" s="35190"/>
      <c r="Y140" s="35190"/>
      <c r="Z140" s="35190"/>
      <c r="AA140" s="35190"/>
      <c r="AB140" s="35190"/>
      <c r="AC140" s="1300"/>
      <c r="AD140" s="35190"/>
      <c r="AE140" s="35190"/>
      <c r="AF140" s="35190"/>
      <c r="AG140" s="35190"/>
      <c r="AH140" s="35190"/>
      <c r="AI140" s="35190"/>
      <c r="AJ140" s="35190"/>
      <c r="AK140" s="35190"/>
      <c r="AL140" s="35190"/>
      <c r="AM140" s="35190"/>
      <c r="AN140" s="35190"/>
      <c r="AO140" s="35190"/>
      <c r="AP140" s="35190"/>
      <c r="AQ140" s="35190"/>
      <c r="AR140" s="35190"/>
      <c r="AS140" s="35190"/>
      <c r="AT140" s="35190"/>
      <c r="AU140" s="35190"/>
      <c r="AV140" s="35190"/>
      <c r="AW140" s="35190"/>
      <c r="AX140" s="35190"/>
      <c r="AY140" s="35190"/>
      <c r="AZ140" s="35190"/>
      <c r="BA140" s="35190"/>
      <c r="BB140" s="35190"/>
      <c r="BC140" s="35190"/>
      <c r="BD140" s="35190"/>
      <c r="BE140" s="35190"/>
      <c r="BF140" s="35190"/>
      <c r="BG140" s="35190"/>
      <c r="BH140" s="35190"/>
      <c r="BI140" s="35190"/>
      <c r="BJ140" s="35190"/>
      <c r="BK140" s="35190"/>
      <c r="BL140" s="35190"/>
      <c r="BM140" s="35190"/>
      <c r="BN140" s="35190"/>
      <c r="BO140" s="35190"/>
      <c r="BP140" s="35190"/>
      <c r="BQ140" s="35190"/>
      <c r="BR140" s="35190"/>
      <c r="BS140" s="35190"/>
      <c r="BT140" s="35190"/>
      <c r="BU140" s="35190"/>
      <c r="BV140" s="35190"/>
      <c r="BW140" s="35190"/>
      <c r="BX140" s="35190"/>
      <c r="BY140" s="35190"/>
      <c r="BZ140" s="35190"/>
      <c r="CA140" s="35190"/>
      <c r="CB140" s="35190"/>
      <c r="CC140" s="35190"/>
      <c r="CD140" s="35190"/>
      <c r="CE140" s="35190"/>
      <c r="CF140" s="35190"/>
    </row>
    <row customHeight="1" ht="11.25">
      <c r="A141" s="3017"/>
      <c r="B141" s="2371"/>
      <c r="C141" s="1623"/>
      <c r="D141" s="1300"/>
      <c r="E141" s="3785"/>
      <c r="F141" s="3319" t="s">
        <v>99</v>
      </c>
      <c r="G141" s="3787"/>
      <c r="H141" s="1856" t="s">
        <v>22</v>
      </c>
      <c r="I141" s="1857"/>
      <c r="J141" s="1858" t="s">
        <v>667</v>
      </c>
      <c r="K141" s="1858"/>
      <c r="L141" s="1858"/>
      <c r="M141" s="1858"/>
      <c r="N141" s="1858"/>
      <c r="O141" s="1858"/>
      <c r="P141" s="1858"/>
      <c r="Q141" s="1858"/>
      <c r="R141" s="1859"/>
      <c r="S141" s="3390"/>
      <c r="T141" s="1928"/>
      <c r="U141" s="1300"/>
      <c r="V141" s="1300"/>
      <c r="W141" s="35190"/>
      <c r="X141" s="35190"/>
      <c r="Y141" s="35190"/>
      <c r="Z141" s="35190"/>
      <c r="AA141" s="35190"/>
      <c r="AB141" s="35190"/>
      <c r="AC141" s="1300"/>
      <c r="AD141" s="35190"/>
      <c r="AE141" s="35190"/>
      <c r="AF141" s="35190"/>
      <c r="AG141" s="35190"/>
      <c r="AH141" s="35190"/>
      <c r="AI141" s="35190"/>
      <c r="AJ141" s="35190"/>
      <c r="AK141" s="35190"/>
      <c r="AL141" s="35190"/>
      <c r="AM141" s="35190"/>
      <c r="AN141" s="35190"/>
      <c r="AO141" s="35190"/>
      <c r="AP141" s="35190"/>
      <c r="AQ141" s="35190"/>
      <c r="AR141" s="35190"/>
      <c r="AS141" s="35190"/>
      <c r="AT141" s="35190"/>
      <c r="AU141" s="35190"/>
      <c r="AV141" s="35190"/>
      <c r="AW141" s="35190"/>
      <c r="AX141" s="35190"/>
      <c r="AY141" s="35190"/>
      <c r="AZ141" s="35190"/>
      <c r="BA141" s="35190"/>
      <c r="BB141" s="35190"/>
      <c r="BC141" s="35190"/>
      <c r="BD141" s="35190"/>
      <c r="BE141" s="35190"/>
      <c r="BF141" s="35190"/>
      <c r="BG141" s="35190"/>
      <c r="BH141" s="35190"/>
      <c r="BI141" s="35190"/>
      <c r="BJ141" s="35190"/>
      <c r="BK141" s="35190"/>
      <c r="BL141" s="35190"/>
      <c r="BM141" s="35190"/>
      <c r="BN141" s="35190"/>
      <c r="BO141" s="35190"/>
      <c r="BP141" s="35190"/>
      <c r="BQ141" s="35190"/>
      <c r="BR141" s="35190"/>
      <c r="BS141" s="35190"/>
      <c r="BT141" s="35190"/>
      <c r="BU141" s="35190"/>
      <c r="BV141" s="35190"/>
      <c r="BW141" s="35190"/>
      <c r="BX141" s="35190"/>
      <c r="BY141" s="35190"/>
      <c r="BZ141" s="35190"/>
      <c r="CA141" s="35190"/>
      <c r="CB141" s="35190"/>
      <c r="CC141" s="35190"/>
      <c r="CD141" s="35190"/>
      <c r="CE141" s="35190"/>
      <c r="CF141" s="35190"/>
    </row>
    <row customHeight="1" ht="45">
      <c r="A142" s="3017"/>
      <c r="B142" s="2371"/>
      <c r="C142" s="1623"/>
      <c r="D142" s="1300"/>
      <c r="E142" s="3783" t="s">
        <v>103</v>
      </c>
      <c r="F142" s="3319" t="s">
        <v>90</v>
      </c>
      <c r="G142" s="3786" t="s">
        <v>740</v>
      </c>
      <c r="H142" s="1500"/>
      <c r="I142" s="1848" t="s">
        <v>99</v>
      </c>
      <c r="J142" s="3018" t="s">
        <v>651</v>
      </c>
      <c r="K142" s="1849" t="s">
        <v>564</v>
      </c>
      <c r="L142" s="3435" t="s">
        <v>564</v>
      </c>
      <c r="M142" s="3788"/>
      <c r="N142" s="1849" t="s">
        <v>564</v>
      </c>
      <c r="O142" s="1849" t="s">
        <v>564</v>
      </c>
      <c r="P142" s="1849" t="s">
        <v>564</v>
      </c>
      <c r="Q142" s="1850">
        <f>SUM(Q143:Q145)</f>
        <v>122.053</v>
      </c>
      <c r="R142" s="1850">
        <f>IF('Показатели ФХД'!L89=0,0,($Q$142/'Показатели ФХД'!L89)*100)</f>
        <v>0.101850382310601</v>
      </c>
      <c r="S142" s="3390"/>
      <c r="T142" s="1928" t="s">
        <v>649</v>
      </c>
      <c r="U142" s="1300"/>
      <c r="V142" s="1300"/>
      <c r="W142" s="35190"/>
      <c r="X142" s="35190"/>
      <c r="Y142" s="35190"/>
      <c r="Z142" s="35190"/>
      <c r="AA142" s="35190"/>
      <c r="AB142" s="35190"/>
      <c r="AC142" s="1300"/>
      <c r="AD142" s="35190"/>
      <c r="AE142" s="35190"/>
      <c r="AF142" s="35190"/>
      <c r="AG142" s="35190"/>
      <c r="AH142" s="35190"/>
      <c r="AI142" s="35190"/>
      <c r="AJ142" s="35190"/>
      <c r="AK142" s="35190"/>
      <c r="AL142" s="35190"/>
      <c r="AM142" s="35190"/>
      <c r="AN142" s="35190"/>
      <c r="AO142" s="35190"/>
      <c r="AP142" s="35190"/>
      <c r="AQ142" s="35190"/>
      <c r="AR142" s="35190"/>
      <c r="AS142" s="35190"/>
      <c r="AT142" s="35190"/>
      <c r="AU142" s="35190"/>
      <c r="AV142" s="35190"/>
      <c r="AW142" s="35190"/>
      <c r="AX142" s="35190"/>
      <c r="AY142" s="35190"/>
      <c r="AZ142" s="35190"/>
      <c r="BA142" s="35190"/>
      <c r="BB142" s="35190"/>
      <c r="BC142" s="35190"/>
      <c r="BD142" s="35190"/>
      <c r="BE142" s="35190"/>
      <c r="BF142" s="35190"/>
      <c r="BG142" s="35190"/>
      <c r="BH142" s="35190"/>
      <c r="BI142" s="35190"/>
      <c r="BJ142" s="35190"/>
      <c r="BK142" s="35190"/>
      <c r="BL142" s="35190"/>
      <c r="BM142" s="35190"/>
      <c r="BN142" s="35190"/>
      <c r="BO142" s="35190"/>
      <c r="BP142" s="35190"/>
      <c r="BQ142" s="35190"/>
      <c r="BR142" s="35190"/>
      <c r="BS142" s="35190"/>
      <c r="BT142" s="35190"/>
      <c r="BU142" s="35190"/>
      <c r="BV142" s="35190"/>
      <c r="BW142" s="35190"/>
      <c r="BX142" s="35190"/>
      <c r="BY142" s="35190"/>
      <c r="BZ142" s="35190"/>
      <c r="CA142" s="35190"/>
      <c r="CB142" s="35190"/>
      <c r="CC142" s="35190"/>
      <c r="CD142" s="35190"/>
      <c r="CE142" s="35190"/>
      <c r="CF142" s="35190"/>
    </row>
    <row customHeight="1" ht="37.5">
      <c r="A143" s="3017"/>
      <c r="B143" s="2371"/>
      <c r="C143" s="1623"/>
      <c r="D143" s="1300"/>
      <c r="E143" s="3784"/>
      <c r="F143" s="3319" t="s">
        <v>90</v>
      </c>
      <c r="G143" s="3786"/>
      <c r="H143" s="3338"/>
      <c r="I143" s="3726" t="s">
        <v>652</v>
      </c>
      <c r="J143" s="35171" t="s">
        <v>672</v>
      </c>
      <c r="K143" s="3781" t="s">
        <v>741</v>
      </c>
      <c r="L143" s="1851"/>
      <c r="M143" s="1852" t="s">
        <v>99</v>
      </c>
      <c r="N143" s="3006" t="s">
        <v>742</v>
      </c>
      <c r="O143" s="1853">
        <v>122.053</v>
      </c>
      <c r="P143" s="1854" t="s">
        <v>656</v>
      </c>
      <c r="Q143" s="1853">
        <f>O143</f>
        <v>122.053</v>
      </c>
      <c r="R143" s="1855">
        <v>0</v>
      </c>
      <c r="S143" s="3390"/>
      <c r="T143" s="1928"/>
      <c r="U143" s="1300"/>
      <c r="V143" s="1300"/>
      <c r="W143" s="35190"/>
      <c r="X143" s="35190"/>
      <c r="Y143" s="35190"/>
      <c r="Z143" s="35190"/>
      <c r="AA143" s="35190"/>
      <c r="AB143" s="35190"/>
      <c r="AC143" s="1300"/>
      <c r="AD143" s="35190"/>
      <c r="AE143" s="35190"/>
      <c r="AF143" s="35190"/>
      <c r="AG143" s="35190"/>
      <c r="AH143" s="35190"/>
      <c r="AI143" s="35190"/>
      <c r="AJ143" s="35190"/>
      <c r="AK143" s="35190"/>
      <c r="AL143" s="35190"/>
      <c r="AM143" s="35190"/>
      <c r="AN143" s="35190"/>
      <c r="AO143" s="35190"/>
      <c r="AP143" s="35190"/>
      <c r="AQ143" s="35190"/>
      <c r="AR143" s="35190"/>
      <c r="AS143" s="35190"/>
      <c r="AT143" s="35190"/>
      <c r="AU143" s="35190"/>
      <c r="AV143" s="35190"/>
      <c r="AW143" s="35190"/>
      <c r="AX143" s="35190"/>
      <c r="AY143" s="35190"/>
      <c r="AZ143" s="35190"/>
      <c r="BA143" s="35190"/>
      <c r="BB143" s="35190"/>
      <c r="BC143" s="35190"/>
      <c r="BD143" s="35190"/>
      <c r="BE143" s="35190"/>
      <c r="BF143" s="35190"/>
      <c r="BG143" s="35190"/>
      <c r="BH143" s="35190"/>
      <c r="BI143" s="35190"/>
      <c r="BJ143" s="35190"/>
      <c r="BK143" s="35190"/>
      <c r="BL143" s="35190"/>
      <c r="BM143" s="35190"/>
      <c r="BN143" s="35190"/>
      <c r="BO143" s="35190"/>
      <c r="BP143" s="35190"/>
      <c r="BQ143" s="35190"/>
      <c r="BR143" s="35190"/>
      <c r="BS143" s="35190"/>
      <c r="BT143" s="35190"/>
      <c r="BU143" s="35190"/>
      <c r="BV143" s="35190"/>
      <c r="BW143" s="35190"/>
      <c r="BX143" s="35190"/>
      <c r="BY143" s="35190"/>
      <c r="BZ143" s="35190"/>
      <c r="CA143" s="35190"/>
      <c r="CB143" s="35190"/>
      <c r="CC143" s="35190"/>
      <c r="CD143" s="35190"/>
      <c r="CE143" s="35190"/>
      <c r="CF143" s="35190"/>
    </row>
    <row customHeight="1" ht="33.75">
      <c r="A144" s="3017"/>
      <c r="B144" s="2371"/>
      <c r="C144" s="1623"/>
      <c r="D144" s="1300"/>
      <c r="E144" s="3784"/>
      <c r="F144" s="3319" t="s">
        <v>90</v>
      </c>
      <c r="G144" s="3786"/>
      <c r="H144" s="3338"/>
      <c r="I144" s="3726"/>
      <c r="J144" s="3780"/>
      <c r="K144" s="3782"/>
      <c r="L144" s="1856"/>
      <c r="M144" s="1857"/>
      <c r="N144" s="1858" t="s">
        <v>657</v>
      </c>
      <c r="O144" s="1858"/>
      <c r="P144" s="1858"/>
      <c r="Q144" s="1858"/>
      <c r="R144" s="1859"/>
      <c r="S144" s="3390"/>
      <c r="T144" s="1928"/>
      <c r="U144" s="1300"/>
      <c r="V144" s="1300"/>
      <c r="W144" s="35190"/>
      <c r="X144" s="35190"/>
      <c r="Y144" s="35190"/>
      <c r="Z144" s="35190"/>
      <c r="AA144" s="35190"/>
      <c r="AB144" s="35190"/>
      <c r="AC144" s="1300"/>
      <c r="AD144" s="35190"/>
      <c r="AE144" s="35190"/>
      <c r="AF144" s="35190"/>
      <c r="AG144" s="35190"/>
      <c r="AH144" s="35190"/>
      <c r="AI144" s="35190"/>
      <c r="AJ144" s="35190"/>
      <c r="AK144" s="35190"/>
      <c r="AL144" s="35190"/>
      <c r="AM144" s="35190"/>
      <c r="AN144" s="35190"/>
      <c r="AO144" s="35190"/>
      <c r="AP144" s="35190"/>
      <c r="AQ144" s="35190"/>
      <c r="AR144" s="35190"/>
      <c r="AS144" s="35190"/>
      <c r="AT144" s="35190"/>
      <c r="AU144" s="35190"/>
      <c r="AV144" s="35190"/>
      <c r="AW144" s="35190"/>
      <c r="AX144" s="35190"/>
      <c r="AY144" s="35190"/>
      <c r="AZ144" s="35190"/>
      <c r="BA144" s="35190"/>
      <c r="BB144" s="35190"/>
      <c r="BC144" s="35190"/>
      <c r="BD144" s="35190"/>
      <c r="BE144" s="35190"/>
      <c r="BF144" s="35190"/>
      <c r="BG144" s="35190"/>
      <c r="BH144" s="35190"/>
      <c r="BI144" s="35190"/>
      <c r="BJ144" s="35190"/>
      <c r="BK144" s="35190"/>
      <c r="BL144" s="35190"/>
      <c r="BM144" s="35190"/>
      <c r="BN144" s="35190"/>
      <c r="BO144" s="35190"/>
      <c r="BP144" s="35190"/>
      <c r="BQ144" s="35190"/>
      <c r="BR144" s="35190"/>
      <c r="BS144" s="35190"/>
      <c r="BT144" s="35190"/>
      <c r="BU144" s="35190"/>
      <c r="BV144" s="35190"/>
      <c r="BW144" s="35190"/>
      <c r="BX144" s="35190"/>
      <c r="BY144" s="35190"/>
      <c r="BZ144" s="35190"/>
      <c r="CA144" s="35190"/>
      <c r="CB144" s="35190"/>
      <c r="CC144" s="35190"/>
      <c r="CD144" s="35190"/>
      <c r="CE144" s="35190"/>
      <c r="CF144" s="35190"/>
    </row>
    <row customHeight="1" ht="11.25">
      <c r="A145" s="3017"/>
      <c r="B145" s="2371"/>
      <c r="C145" s="1623"/>
      <c r="D145" s="1300"/>
      <c r="E145" s="3785"/>
      <c r="F145" s="3319" t="s">
        <v>90</v>
      </c>
      <c r="G145" s="3787"/>
      <c r="H145" s="1856" t="s">
        <v>22</v>
      </c>
      <c r="I145" s="1857"/>
      <c r="J145" s="1858" t="s">
        <v>667</v>
      </c>
      <c r="K145" s="1858"/>
      <c r="L145" s="1858"/>
      <c r="M145" s="1858"/>
      <c r="N145" s="1858"/>
      <c r="O145" s="1858"/>
      <c r="P145" s="1858"/>
      <c r="Q145" s="1858"/>
      <c r="R145" s="1859"/>
      <c r="S145" s="3390"/>
      <c r="T145" s="1928"/>
      <c r="U145" s="1300"/>
      <c r="V145" s="1300"/>
      <c r="W145" s="35190"/>
      <c r="X145" s="35190"/>
      <c r="Y145" s="35190"/>
      <c r="Z145" s="35190"/>
      <c r="AA145" s="35190"/>
      <c r="AB145" s="35190"/>
      <c r="AC145" s="1300"/>
      <c r="AD145" s="35190"/>
      <c r="AE145" s="35190"/>
      <c r="AF145" s="35190"/>
      <c r="AG145" s="35190"/>
      <c r="AH145" s="35190"/>
      <c r="AI145" s="35190"/>
      <c r="AJ145" s="35190"/>
      <c r="AK145" s="35190"/>
      <c r="AL145" s="35190"/>
      <c r="AM145" s="35190"/>
      <c r="AN145" s="35190"/>
      <c r="AO145" s="35190"/>
      <c r="AP145" s="35190"/>
      <c r="AQ145" s="35190"/>
      <c r="AR145" s="35190"/>
      <c r="AS145" s="35190"/>
      <c r="AT145" s="35190"/>
      <c r="AU145" s="35190"/>
      <c r="AV145" s="35190"/>
      <c r="AW145" s="35190"/>
      <c r="AX145" s="35190"/>
      <c r="AY145" s="35190"/>
      <c r="AZ145" s="35190"/>
      <c r="BA145" s="35190"/>
      <c r="BB145" s="35190"/>
      <c r="BC145" s="35190"/>
      <c r="BD145" s="35190"/>
      <c r="BE145" s="35190"/>
      <c r="BF145" s="35190"/>
      <c r="BG145" s="35190"/>
      <c r="BH145" s="35190"/>
      <c r="BI145" s="35190"/>
      <c r="BJ145" s="35190"/>
      <c r="BK145" s="35190"/>
      <c r="BL145" s="35190"/>
      <c r="BM145" s="35190"/>
      <c r="BN145" s="35190"/>
      <c r="BO145" s="35190"/>
      <c r="BP145" s="35190"/>
      <c r="BQ145" s="35190"/>
      <c r="BR145" s="35190"/>
      <c r="BS145" s="35190"/>
      <c r="BT145" s="35190"/>
      <c r="BU145" s="35190"/>
      <c r="BV145" s="35190"/>
      <c r="BW145" s="35190"/>
      <c r="BX145" s="35190"/>
      <c r="BY145" s="35190"/>
      <c r="BZ145" s="35190"/>
      <c r="CA145" s="35190"/>
      <c r="CB145" s="35190"/>
      <c r="CC145" s="35190"/>
      <c r="CD145" s="35190"/>
      <c r="CE145" s="35190"/>
      <c r="CF145" s="35190"/>
    </row>
    <row customHeight="1" ht="45">
      <c r="A146" s="3017"/>
      <c r="B146" s="2371"/>
      <c r="C146" s="1623"/>
      <c r="D146" s="1300"/>
      <c r="E146" s="3783" t="s">
        <v>103</v>
      </c>
      <c r="F146" s="3319" t="s">
        <v>91</v>
      </c>
      <c r="G146" s="3786" t="s">
        <v>743</v>
      </c>
      <c r="H146" s="1500"/>
      <c r="I146" s="1848" t="s">
        <v>99</v>
      </c>
      <c r="J146" s="3018" t="s">
        <v>651</v>
      </c>
      <c r="K146" s="1849" t="s">
        <v>564</v>
      </c>
      <c r="L146" s="3435" t="s">
        <v>564</v>
      </c>
      <c r="M146" s="3788"/>
      <c r="N146" s="1849" t="s">
        <v>564</v>
      </c>
      <c r="O146" s="1849" t="s">
        <v>564</v>
      </c>
      <c r="P146" s="1849" t="s">
        <v>564</v>
      </c>
      <c r="Q146" s="1850">
        <f>SUM(Q147:Q153)</f>
        <v>67366.218</v>
      </c>
      <c r="R146" s="1850">
        <f>IF('Показатели ФХД'!L89=0,0,($Q$146/'Показатели ФХД'!L89)*100)</f>
        <v>56.215537988573</v>
      </c>
      <c r="S146" s="3390"/>
      <c r="T146" s="1928" t="s">
        <v>649</v>
      </c>
      <c r="U146" s="1300"/>
      <c r="V146" s="1300"/>
      <c r="W146" s="35190"/>
      <c r="X146" s="35190"/>
      <c r="Y146" s="35190"/>
      <c r="Z146" s="35190"/>
      <c r="AA146" s="35190"/>
      <c r="AB146" s="35190"/>
      <c r="AC146" s="1300"/>
      <c r="AD146" s="35190"/>
      <c r="AE146" s="35190"/>
      <c r="AF146" s="35190"/>
      <c r="AG146" s="35190"/>
      <c r="AH146" s="35190"/>
      <c r="AI146" s="35190"/>
      <c r="AJ146" s="35190"/>
      <c r="AK146" s="35190"/>
      <c r="AL146" s="35190"/>
      <c r="AM146" s="35190"/>
      <c r="AN146" s="35190"/>
      <c r="AO146" s="35190"/>
      <c r="AP146" s="35190"/>
      <c r="AQ146" s="35190"/>
      <c r="AR146" s="35190"/>
      <c r="AS146" s="35190"/>
      <c r="AT146" s="35190"/>
      <c r="AU146" s="35190"/>
      <c r="AV146" s="35190"/>
      <c r="AW146" s="35190"/>
      <c r="AX146" s="35190"/>
      <c r="AY146" s="35190"/>
      <c r="AZ146" s="35190"/>
      <c r="BA146" s="35190"/>
      <c r="BB146" s="35190"/>
      <c r="BC146" s="35190"/>
      <c r="BD146" s="35190"/>
      <c r="BE146" s="35190"/>
      <c r="BF146" s="35190"/>
      <c r="BG146" s="35190"/>
      <c r="BH146" s="35190"/>
      <c r="BI146" s="35190"/>
      <c r="BJ146" s="35190"/>
      <c r="BK146" s="35190"/>
      <c r="BL146" s="35190"/>
      <c r="BM146" s="35190"/>
      <c r="BN146" s="35190"/>
      <c r="BO146" s="35190"/>
      <c r="BP146" s="35190"/>
      <c r="BQ146" s="35190"/>
      <c r="BR146" s="35190"/>
      <c r="BS146" s="35190"/>
      <c r="BT146" s="35190"/>
      <c r="BU146" s="35190"/>
      <c r="BV146" s="35190"/>
      <c r="BW146" s="35190"/>
      <c r="BX146" s="35190"/>
      <c r="BY146" s="35190"/>
      <c r="BZ146" s="35190"/>
      <c r="CA146" s="35190"/>
      <c r="CB146" s="35190"/>
      <c r="CC146" s="35190"/>
      <c r="CD146" s="35190"/>
      <c r="CE146" s="35190"/>
      <c r="CF146" s="35190"/>
    </row>
    <row customHeight="1" ht="44.25">
      <c r="A147" s="3017"/>
      <c r="B147" s="2371"/>
      <c r="C147" s="1623"/>
      <c r="D147" s="1300"/>
      <c r="E147" s="3784"/>
      <c r="F147" s="3319" t="s">
        <v>91</v>
      </c>
      <c r="G147" s="3786"/>
      <c r="H147" s="3338"/>
      <c r="I147" s="3726" t="s">
        <v>652</v>
      </c>
      <c r="J147" s="35171" t="s">
        <v>653</v>
      </c>
      <c r="K147" s="3781" t="s">
        <v>744</v>
      </c>
      <c r="L147" s="1851"/>
      <c r="M147" s="1852" t="s">
        <v>99</v>
      </c>
      <c r="N147" s="3006" t="s">
        <v>745</v>
      </c>
      <c r="O147" s="1853">
        <v>41385.509</v>
      </c>
      <c r="P147" s="1854" t="s">
        <v>656</v>
      </c>
      <c r="Q147" s="1853">
        <f>O147</f>
        <v>41385.509</v>
      </c>
      <c r="R147" s="1855">
        <v>0</v>
      </c>
      <c r="S147" s="3390"/>
      <c r="T147" s="1928"/>
      <c r="U147" s="1300"/>
      <c r="V147" s="1300"/>
      <c r="W147" s="35190"/>
      <c r="X147" s="35190"/>
      <c r="Y147" s="35190"/>
      <c r="Z147" s="35190"/>
      <c r="AA147" s="35190"/>
      <c r="AB147" s="35190"/>
      <c r="AC147" s="1300"/>
      <c r="AD147" s="35190"/>
      <c r="AE147" s="35190"/>
      <c r="AF147" s="35190"/>
      <c r="AG147" s="35190"/>
      <c r="AH147" s="35190"/>
      <c r="AI147" s="35190"/>
      <c r="AJ147" s="35190"/>
      <c r="AK147" s="35190"/>
      <c r="AL147" s="35190"/>
      <c r="AM147" s="35190"/>
      <c r="AN147" s="35190"/>
      <c r="AO147" s="35190"/>
      <c r="AP147" s="35190"/>
      <c r="AQ147" s="35190"/>
      <c r="AR147" s="35190"/>
      <c r="AS147" s="35190"/>
      <c r="AT147" s="35190"/>
      <c r="AU147" s="35190"/>
      <c r="AV147" s="35190"/>
      <c r="AW147" s="35190"/>
      <c r="AX147" s="35190"/>
      <c r="AY147" s="35190"/>
      <c r="AZ147" s="35190"/>
      <c r="BA147" s="35190"/>
      <c r="BB147" s="35190"/>
      <c r="BC147" s="35190"/>
      <c r="BD147" s="35190"/>
      <c r="BE147" s="35190"/>
      <c r="BF147" s="35190"/>
      <c r="BG147" s="35190"/>
      <c r="BH147" s="35190"/>
      <c r="BI147" s="35190"/>
      <c r="BJ147" s="35190"/>
      <c r="BK147" s="35190"/>
      <c r="BL147" s="35190"/>
      <c r="BM147" s="35190"/>
      <c r="BN147" s="35190"/>
      <c r="BO147" s="35190"/>
      <c r="BP147" s="35190"/>
      <c r="BQ147" s="35190"/>
      <c r="BR147" s="35190"/>
      <c r="BS147" s="35190"/>
      <c r="BT147" s="35190"/>
      <c r="BU147" s="35190"/>
      <c r="BV147" s="35190"/>
      <c r="BW147" s="35190"/>
      <c r="BX147" s="35190"/>
      <c r="BY147" s="35190"/>
      <c r="BZ147" s="35190"/>
      <c r="CA147" s="35190"/>
      <c r="CB147" s="35190"/>
      <c r="CC147" s="35190"/>
      <c r="CD147" s="35190"/>
      <c r="CE147" s="35190"/>
      <c r="CF147" s="35190"/>
    </row>
    <row customHeight="1" ht="11.25">
      <c r="A148" s="3017"/>
      <c r="B148" s="2371"/>
      <c r="C148" s="1623"/>
      <c r="D148" s="1300"/>
      <c r="E148" s="3784"/>
      <c r="F148" s="3319" t="s">
        <v>91</v>
      </c>
      <c r="G148" s="3786"/>
      <c r="H148" s="3338"/>
      <c r="I148" s="3726"/>
      <c r="J148" s="3780"/>
      <c r="K148" s="3782"/>
      <c r="L148" s="1856"/>
      <c r="M148" s="1857"/>
      <c r="N148" s="1858" t="s">
        <v>657</v>
      </c>
      <c r="O148" s="1858"/>
      <c r="P148" s="1858"/>
      <c r="Q148" s="1858"/>
      <c r="R148" s="1859"/>
      <c r="S148" s="3390"/>
      <c r="T148" s="1928"/>
      <c r="U148" s="1300"/>
      <c r="V148" s="1300"/>
      <c r="W148" s="35190"/>
      <c r="X148" s="35190"/>
      <c r="Y148" s="35190"/>
      <c r="Z148" s="35190"/>
      <c r="AA148" s="35190"/>
      <c r="AB148" s="35190"/>
      <c r="AC148" s="1300"/>
      <c r="AD148" s="35190"/>
      <c r="AE148" s="35190"/>
      <c r="AF148" s="35190"/>
      <c r="AG148" s="35190"/>
      <c r="AH148" s="35190"/>
      <c r="AI148" s="35190"/>
      <c r="AJ148" s="35190"/>
      <c r="AK148" s="35190"/>
      <c r="AL148" s="35190"/>
      <c r="AM148" s="35190"/>
      <c r="AN148" s="35190"/>
      <c r="AO148" s="35190"/>
      <c r="AP148" s="35190"/>
      <c r="AQ148" s="35190"/>
      <c r="AR148" s="35190"/>
      <c r="AS148" s="35190"/>
      <c r="AT148" s="35190"/>
      <c r="AU148" s="35190"/>
      <c r="AV148" s="35190"/>
      <c r="AW148" s="35190"/>
      <c r="AX148" s="35190"/>
      <c r="AY148" s="35190"/>
      <c r="AZ148" s="35190"/>
      <c r="BA148" s="35190"/>
      <c r="BB148" s="35190"/>
      <c r="BC148" s="35190"/>
      <c r="BD148" s="35190"/>
      <c r="BE148" s="35190"/>
      <c r="BF148" s="35190"/>
      <c r="BG148" s="35190"/>
      <c r="BH148" s="35190"/>
      <c r="BI148" s="35190"/>
      <c r="BJ148" s="35190"/>
      <c r="BK148" s="35190"/>
      <c r="BL148" s="35190"/>
      <c r="BM148" s="35190"/>
      <c r="BN148" s="35190"/>
      <c r="BO148" s="35190"/>
      <c r="BP148" s="35190"/>
      <c r="BQ148" s="35190"/>
      <c r="BR148" s="35190"/>
      <c r="BS148" s="35190"/>
      <c r="BT148" s="35190"/>
      <c r="BU148" s="35190"/>
      <c r="BV148" s="35190"/>
      <c r="BW148" s="35190"/>
      <c r="BX148" s="35190"/>
      <c r="BY148" s="35190"/>
      <c r="BZ148" s="35190"/>
      <c r="CA148" s="35190"/>
      <c r="CB148" s="35190"/>
      <c r="CC148" s="35190"/>
      <c r="CD148" s="35190"/>
      <c r="CE148" s="35190"/>
      <c r="CF148" s="35190"/>
    </row>
    <row customHeight="1" ht="33.75">
      <c r="A149" s="3017"/>
      <c r="B149" s="2371"/>
      <c r="C149" s="1623"/>
      <c r="D149" s="1300"/>
      <c r="E149" s="3041"/>
      <c r="F149" s="3041"/>
      <c r="G149" s="3041"/>
      <c r="H149" s="3338" t="s">
        <v>103</v>
      </c>
      <c r="I149" s="3726" t="s">
        <v>658</v>
      </c>
      <c r="J149" s="35171" t="s">
        <v>653</v>
      </c>
      <c r="K149" s="3781" t="s">
        <v>746</v>
      </c>
      <c r="L149" s="1851"/>
      <c r="M149" s="1852" t="s">
        <v>99</v>
      </c>
      <c r="N149" s="3006" t="s">
        <v>747</v>
      </c>
      <c r="O149" s="1853">
        <v>9523.889</v>
      </c>
      <c r="P149" s="1854" t="s">
        <v>656</v>
      </c>
      <c r="Q149" s="1853">
        <f>O149</f>
        <v>9523.889</v>
      </c>
      <c r="R149" s="1855">
        <v>0</v>
      </c>
      <c r="S149" s="1300"/>
      <c r="T149" s="1928"/>
      <c r="U149" s="1300"/>
      <c r="V149" s="1300"/>
      <c r="W149" s="35190"/>
      <c r="X149" s="35190"/>
      <c r="Y149" s="35190"/>
      <c r="Z149" s="35190"/>
      <c r="AA149" s="35190"/>
      <c r="AB149" s="35190"/>
      <c r="AC149" s="1300"/>
      <c r="AD149" s="35190"/>
      <c r="AE149" s="35190"/>
      <c r="AF149" s="35190"/>
      <c r="AG149" s="35190"/>
      <c r="AH149" s="35190"/>
      <c r="AI149" s="35190"/>
      <c r="AJ149" s="35190"/>
      <c r="AK149" s="35190"/>
      <c r="AL149" s="35190"/>
      <c r="AM149" s="35190"/>
      <c r="AN149" s="35190"/>
      <c r="AO149" s="35190"/>
      <c r="AP149" s="35190"/>
      <c r="AQ149" s="35190"/>
      <c r="AR149" s="35190"/>
      <c r="AS149" s="35190"/>
      <c r="AT149" s="35190"/>
      <c r="AU149" s="35190"/>
      <c r="AV149" s="35190"/>
      <c r="AW149" s="35190"/>
      <c r="AX149" s="35190"/>
      <c r="AY149" s="35190"/>
      <c r="AZ149" s="35190"/>
      <c r="BA149" s="35190"/>
      <c r="BB149" s="35190"/>
      <c r="BC149" s="35190"/>
      <c r="BD149" s="35190"/>
      <c r="BE149" s="35190"/>
      <c r="BF149" s="35190"/>
      <c r="BG149" s="35190"/>
      <c r="BH149" s="35190"/>
      <c r="BI149" s="35190"/>
      <c r="BJ149" s="35190"/>
      <c r="BK149" s="35190"/>
      <c r="BL149" s="35190"/>
      <c r="BM149" s="35190"/>
      <c r="BN149" s="35190"/>
      <c r="BO149" s="35190"/>
      <c r="BP149" s="35190"/>
      <c r="BQ149" s="35190"/>
      <c r="BR149" s="35190"/>
      <c r="BS149" s="35190"/>
      <c r="BT149" s="35190"/>
      <c r="BU149" s="35190"/>
      <c r="BV149" s="35190"/>
      <c r="BW149" s="35190"/>
      <c r="BX149" s="35190"/>
      <c r="BY149" s="35190"/>
      <c r="BZ149" s="35190"/>
      <c r="CA149" s="35190"/>
      <c r="CB149" s="35190"/>
      <c r="CC149" s="35190"/>
      <c r="CD149" s="35190"/>
      <c r="CE149" s="35190"/>
      <c r="CF149" s="35190"/>
    </row>
    <row customHeight="1" ht="11.25">
      <c r="A150" s="3017"/>
      <c r="B150" s="2371"/>
      <c r="C150" s="1623"/>
      <c r="D150" s="1300"/>
      <c r="E150" s="3041"/>
      <c r="F150" s="3041"/>
      <c r="G150" s="3041"/>
      <c r="H150" s="3338"/>
      <c r="I150" s="3726" t="s">
        <v>652</v>
      </c>
      <c r="J150" s="3780"/>
      <c r="K150" s="3782"/>
      <c r="L150" s="1856"/>
      <c r="M150" s="1857"/>
      <c r="N150" s="1858" t="s">
        <v>657</v>
      </c>
      <c r="O150" s="1858"/>
      <c r="P150" s="1858"/>
      <c r="Q150" s="1858"/>
      <c r="R150" s="1859"/>
      <c r="S150" s="1300"/>
      <c r="T150" s="1928"/>
      <c r="U150" s="1300"/>
      <c r="V150" s="1300"/>
      <c r="W150" s="35190"/>
      <c r="X150" s="35190"/>
      <c r="Y150" s="35190"/>
      <c r="Z150" s="35190"/>
      <c r="AA150" s="35190"/>
      <c r="AB150" s="35190"/>
      <c r="AC150" s="1300"/>
      <c r="AD150" s="35190"/>
      <c r="AE150" s="35190"/>
      <c r="AF150" s="35190"/>
      <c r="AG150" s="35190"/>
      <c r="AH150" s="35190"/>
      <c r="AI150" s="35190"/>
      <c r="AJ150" s="35190"/>
      <c r="AK150" s="35190"/>
      <c r="AL150" s="35190"/>
      <c r="AM150" s="35190"/>
      <c r="AN150" s="35190"/>
      <c r="AO150" s="35190"/>
      <c r="AP150" s="35190"/>
      <c r="AQ150" s="35190"/>
      <c r="AR150" s="35190"/>
      <c r="AS150" s="35190"/>
      <c r="AT150" s="35190"/>
      <c r="AU150" s="35190"/>
      <c r="AV150" s="35190"/>
      <c r="AW150" s="35190"/>
      <c r="AX150" s="35190"/>
      <c r="AY150" s="35190"/>
      <c r="AZ150" s="35190"/>
      <c r="BA150" s="35190"/>
      <c r="BB150" s="35190"/>
      <c r="BC150" s="35190"/>
      <c r="BD150" s="35190"/>
      <c r="BE150" s="35190"/>
      <c r="BF150" s="35190"/>
      <c r="BG150" s="35190"/>
      <c r="BH150" s="35190"/>
      <c r="BI150" s="35190"/>
      <c r="BJ150" s="35190"/>
      <c r="BK150" s="35190"/>
      <c r="BL150" s="35190"/>
      <c r="BM150" s="35190"/>
      <c r="BN150" s="35190"/>
      <c r="BO150" s="35190"/>
      <c r="BP150" s="35190"/>
      <c r="BQ150" s="35190"/>
      <c r="BR150" s="35190"/>
      <c r="BS150" s="35190"/>
      <c r="BT150" s="35190"/>
      <c r="BU150" s="35190"/>
      <c r="BV150" s="35190"/>
      <c r="BW150" s="35190"/>
      <c r="BX150" s="35190"/>
      <c r="BY150" s="35190"/>
      <c r="BZ150" s="35190"/>
      <c r="CA150" s="35190"/>
      <c r="CB150" s="35190"/>
      <c r="CC150" s="35190"/>
      <c r="CD150" s="35190"/>
      <c r="CE150" s="35190"/>
      <c r="CF150" s="35190"/>
    </row>
    <row customHeight="1" ht="30">
      <c r="A151" s="3017"/>
      <c r="B151" s="2371"/>
      <c r="C151" s="1623"/>
      <c r="D151" s="1300"/>
      <c r="E151" s="3041"/>
      <c r="F151" s="3041"/>
      <c r="G151" s="3041"/>
      <c r="H151" s="3338" t="s">
        <v>103</v>
      </c>
      <c r="I151" s="3726" t="s">
        <v>661</v>
      </c>
      <c r="J151" s="35171" t="s">
        <v>653</v>
      </c>
      <c r="K151" s="3781" t="s">
        <v>748</v>
      </c>
      <c r="L151" s="1851"/>
      <c r="M151" s="1852" t="s">
        <v>99</v>
      </c>
      <c r="N151" s="3006" t="s">
        <v>749</v>
      </c>
      <c r="O151" s="1853">
        <v>16456.82</v>
      </c>
      <c r="P151" s="1854" t="s">
        <v>656</v>
      </c>
      <c r="Q151" s="1853">
        <f>O151</f>
        <v>16456.82</v>
      </c>
      <c r="R151" s="1855">
        <v>0</v>
      </c>
      <c r="S151" s="1300"/>
      <c r="T151" s="1928"/>
      <c r="U151" s="1300"/>
      <c r="V151" s="1300"/>
      <c r="W151" s="35190"/>
      <c r="X151" s="35190"/>
      <c r="Y151" s="35190"/>
      <c r="Z151" s="35190"/>
      <c r="AA151" s="35190"/>
      <c r="AB151" s="35190"/>
      <c r="AC151" s="1300"/>
      <c r="AD151" s="35190"/>
      <c r="AE151" s="35190"/>
      <c r="AF151" s="35190"/>
      <c r="AG151" s="35190"/>
      <c r="AH151" s="35190"/>
      <c r="AI151" s="35190"/>
      <c r="AJ151" s="35190"/>
      <c r="AK151" s="35190"/>
      <c r="AL151" s="35190"/>
      <c r="AM151" s="35190"/>
      <c r="AN151" s="35190"/>
      <c r="AO151" s="35190"/>
      <c r="AP151" s="35190"/>
      <c r="AQ151" s="35190"/>
      <c r="AR151" s="35190"/>
      <c r="AS151" s="35190"/>
      <c r="AT151" s="35190"/>
      <c r="AU151" s="35190"/>
      <c r="AV151" s="35190"/>
      <c r="AW151" s="35190"/>
      <c r="AX151" s="35190"/>
      <c r="AY151" s="35190"/>
      <c r="AZ151" s="35190"/>
      <c r="BA151" s="35190"/>
      <c r="BB151" s="35190"/>
      <c r="BC151" s="35190"/>
      <c r="BD151" s="35190"/>
      <c r="BE151" s="35190"/>
      <c r="BF151" s="35190"/>
      <c r="BG151" s="35190"/>
      <c r="BH151" s="35190"/>
      <c r="BI151" s="35190"/>
      <c r="BJ151" s="35190"/>
      <c r="BK151" s="35190"/>
      <c r="BL151" s="35190"/>
      <c r="BM151" s="35190"/>
      <c r="BN151" s="35190"/>
      <c r="BO151" s="35190"/>
      <c r="BP151" s="35190"/>
      <c r="BQ151" s="35190"/>
      <c r="BR151" s="35190"/>
      <c r="BS151" s="35190"/>
      <c r="BT151" s="35190"/>
      <c r="BU151" s="35190"/>
      <c r="BV151" s="35190"/>
      <c r="BW151" s="35190"/>
      <c r="BX151" s="35190"/>
      <c r="BY151" s="35190"/>
      <c r="BZ151" s="35190"/>
      <c r="CA151" s="35190"/>
      <c r="CB151" s="35190"/>
      <c r="CC151" s="35190"/>
      <c r="CD151" s="35190"/>
      <c r="CE151" s="35190"/>
      <c r="CF151" s="35190"/>
    </row>
    <row customHeight="1" ht="11.25">
      <c r="A152" s="3017"/>
      <c r="B152" s="2371"/>
      <c r="C152" s="1623"/>
      <c r="D152" s="1300"/>
      <c r="E152" s="3041"/>
      <c r="F152" s="3041"/>
      <c r="G152" s="3041"/>
      <c r="H152" s="3338"/>
      <c r="I152" s="3726" t="s">
        <v>658</v>
      </c>
      <c r="J152" s="3780"/>
      <c r="K152" s="3782"/>
      <c r="L152" s="1856"/>
      <c r="M152" s="1857"/>
      <c r="N152" s="1858" t="s">
        <v>657</v>
      </c>
      <c r="O152" s="1858"/>
      <c r="P152" s="1858"/>
      <c r="Q152" s="1858"/>
      <c r="R152" s="1859"/>
      <c r="S152" s="1300"/>
      <c r="T152" s="1928"/>
      <c r="U152" s="1300"/>
      <c r="V152" s="1300"/>
      <c r="W152" s="35190"/>
      <c r="X152" s="35190"/>
      <c r="Y152" s="35190"/>
      <c r="Z152" s="35190"/>
      <c r="AA152" s="35190"/>
      <c r="AB152" s="35190"/>
      <c r="AC152" s="1300"/>
      <c r="AD152" s="35190"/>
      <c r="AE152" s="35190"/>
      <c r="AF152" s="35190"/>
      <c r="AG152" s="35190"/>
      <c r="AH152" s="35190"/>
      <c r="AI152" s="35190"/>
      <c r="AJ152" s="35190"/>
      <c r="AK152" s="35190"/>
      <c r="AL152" s="35190"/>
      <c r="AM152" s="35190"/>
      <c r="AN152" s="35190"/>
      <c r="AO152" s="35190"/>
      <c r="AP152" s="35190"/>
      <c r="AQ152" s="35190"/>
      <c r="AR152" s="35190"/>
      <c r="AS152" s="35190"/>
      <c r="AT152" s="35190"/>
      <c r="AU152" s="35190"/>
      <c r="AV152" s="35190"/>
      <c r="AW152" s="35190"/>
      <c r="AX152" s="35190"/>
      <c r="AY152" s="35190"/>
      <c r="AZ152" s="35190"/>
      <c r="BA152" s="35190"/>
      <c r="BB152" s="35190"/>
      <c r="BC152" s="35190"/>
      <c r="BD152" s="35190"/>
      <c r="BE152" s="35190"/>
      <c r="BF152" s="35190"/>
      <c r="BG152" s="35190"/>
      <c r="BH152" s="35190"/>
      <c r="BI152" s="35190"/>
      <c r="BJ152" s="35190"/>
      <c r="BK152" s="35190"/>
      <c r="BL152" s="35190"/>
      <c r="BM152" s="35190"/>
      <c r="BN152" s="35190"/>
      <c r="BO152" s="35190"/>
      <c r="BP152" s="35190"/>
      <c r="BQ152" s="35190"/>
      <c r="BR152" s="35190"/>
      <c r="BS152" s="35190"/>
      <c r="BT152" s="35190"/>
      <c r="BU152" s="35190"/>
      <c r="BV152" s="35190"/>
      <c r="BW152" s="35190"/>
      <c r="BX152" s="35190"/>
      <c r="BY152" s="35190"/>
      <c r="BZ152" s="35190"/>
      <c r="CA152" s="35190"/>
      <c r="CB152" s="35190"/>
      <c r="CC152" s="35190"/>
      <c r="CD152" s="35190"/>
      <c r="CE152" s="35190"/>
      <c r="CF152" s="35190"/>
    </row>
    <row customHeight="1" ht="11.25">
      <c r="A153" s="3017"/>
      <c r="B153" s="2371"/>
      <c r="C153" s="1623"/>
      <c r="D153" s="1300"/>
      <c r="E153" s="3785"/>
      <c r="F153" s="3319" t="s">
        <v>91</v>
      </c>
      <c r="G153" s="3787"/>
      <c r="H153" s="1856" t="s">
        <v>22</v>
      </c>
      <c r="I153" s="1857"/>
      <c r="J153" s="1858" t="s">
        <v>667</v>
      </c>
      <c r="K153" s="1858"/>
      <c r="L153" s="1858"/>
      <c r="M153" s="1858"/>
      <c r="N153" s="1858"/>
      <c r="O153" s="1858"/>
      <c r="P153" s="1858"/>
      <c r="Q153" s="1858"/>
      <c r="R153" s="1859"/>
      <c r="S153" s="3390"/>
      <c r="T153" s="1928"/>
      <c r="U153" s="1300"/>
      <c r="V153" s="1300"/>
      <c r="W153" s="35190"/>
      <c r="X153" s="35190"/>
      <c r="Y153" s="35190"/>
      <c r="Z153" s="35190"/>
      <c r="AA153" s="35190"/>
      <c r="AB153" s="35190"/>
      <c r="AC153" s="1300"/>
      <c r="AD153" s="35190"/>
      <c r="AE153" s="35190"/>
      <c r="AF153" s="35190"/>
      <c r="AG153" s="35190"/>
      <c r="AH153" s="35190"/>
      <c r="AI153" s="35190"/>
      <c r="AJ153" s="35190"/>
      <c r="AK153" s="35190"/>
      <c r="AL153" s="35190"/>
      <c r="AM153" s="35190"/>
      <c r="AN153" s="35190"/>
      <c r="AO153" s="35190"/>
      <c r="AP153" s="35190"/>
      <c r="AQ153" s="35190"/>
      <c r="AR153" s="35190"/>
      <c r="AS153" s="35190"/>
      <c r="AT153" s="35190"/>
      <c r="AU153" s="35190"/>
      <c r="AV153" s="35190"/>
      <c r="AW153" s="35190"/>
      <c r="AX153" s="35190"/>
      <c r="AY153" s="35190"/>
      <c r="AZ153" s="35190"/>
      <c r="BA153" s="35190"/>
      <c r="BB153" s="35190"/>
      <c r="BC153" s="35190"/>
      <c r="BD153" s="35190"/>
      <c r="BE153" s="35190"/>
      <c r="BF153" s="35190"/>
      <c r="BG153" s="35190"/>
      <c r="BH153" s="35190"/>
      <c r="BI153" s="35190"/>
      <c r="BJ153" s="35190"/>
      <c r="BK153" s="35190"/>
      <c r="BL153" s="35190"/>
      <c r="BM153" s="35190"/>
      <c r="BN153" s="35190"/>
      <c r="BO153" s="35190"/>
      <c r="BP153" s="35190"/>
      <c r="BQ153" s="35190"/>
      <c r="BR153" s="35190"/>
      <c r="BS153" s="35190"/>
      <c r="BT153" s="35190"/>
      <c r="BU153" s="35190"/>
      <c r="BV153" s="35190"/>
      <c r="BW153" s="35190"/>
      <c r="BX153" s="35190"/>
      <c r="BY153" s="35190"/>
      <c r="BZ153" s="35190"/>
      <c r="CA153" s="35190"/>
      <c r="CB153" s="35190"/>
      <c r="CC153" s="35190"/>
      <c r="CD153" s="35190"/>
      <c r="CE153" s="35190"/>
      <c r="CF153" s="35190"/>
    </row>
    <row customHeight="1" ht="11.25">
      <c r="A154" s="3017"/>
      <c r="B154" s="2371"/>
      <c r="C154" s="1623"/>
      <c r="D154" s="3790"/>
      <c r="E154" s="1860" t="s">
        <v>22</v>
      </c>
      <c r="F154" s="2379" t="s">
        <v>22</v>
      </c>
      <c r="G154" s="2379" t="s">
        <v>689</v>
      </c>
      <c r="H154" s="1862" t="s">
        <v>22</v>
      </c>
      <c r="I154" s="1862"/>
      <c r="J154" s="1862"/>
      <c r="K154" s="1862"/>
      <c r="L154" s="1862"/>
      <c r="M154" s="1862"/>
      <c r="N154" s="1862"/>
      <c r="O154" s="1862"/>
      <c r="P154" s="1862"/>
      <c r="Q154" s="1862"/>
      <c r="R154" s="1863"/>
      <c r="S154" s="1864"/>
      <c r="T154" s="1929"/>
      <c r="U154" s="3585"/>
      <c r="V154" s="3585"/>
      <c r="W154" s="2371"/>
      <c r="X154" s="2371"/>
      <c r="Y154" s="2371"/>
      <c r="Z154" s="2371"/>
      <c r="AA154" s="2847"/>
      <c r="AB154" s="2371"/>
      <c r="AC154" s="3586"/>
      <c r="AD154" s="1840"/>
      <c r="AE154" s="2371"/>
      <c r="AF154" s="2371"/>
      <c r="AG154" s="2847"/>
      <c r="AH154" s="2847"/>
      <c r="AI154" s="2847"/>
      <c r="AJ154" s="2847"/>
      <c r="AK154" s="2847"/>
      <c r="AL154" s="2847"/>
      <c r="AM154" s="2847"/>
      <c r="AN154" s="2847"/>
      <c r="AO154" s="2847"/>
      <c r="AP154" s="2847"/>
      <c r="AQ154" s="2847"/>
      <c r="AR154" s="2847"/>
      <c r="AS154" s="2847"/>
      <c r="AT154" s="2847"/>
      <c r="AU154" s="2847"/>
      <c r="AV154" s="2847"/>
      <c r="AW154" s="2847"/>
      <c r="AX154" s="2847"/>
      <c r="AY154" s="2847"/>
      <c r="AZ154" s="2847"/>
      <c r="BA154" s="2847"/>
      <c r="BB154" s="2847"/>
      <c r="BC154" s="2847"/>
      <c r="BD154" s="2847"/>
      <c r="BE154" s="2847"/>
      <c r="BF154" s="2847"/>
      <c r="BG154" s="2847"/>
      <c r="BH154" s="2847"/>
      <c r="BI154" s="2847"/>
      <c r="BJ154" s="2847"/>
      <c r="BK154" s="2847"/>
      <c r="BL154" s="2847"/>
      <c r="BM154" s="2847"/>
      <c r="BN154" s="2847"/>
      <c r="BO154" s="2847"/>
      <c r="BP154" s="2847"/>
      <c r="BQ154" s="2847"/>
      <c r="BR154" s="2847"/>
      <c r="BS154" s="2847"/>
      <c r="BT154" s="2847"/>
      <c r="BU154" s="2847"/>
      <c r="BV154" s="2371"/>
      <c r="BW154" s="2371"/>
      <c r="BX154" s="2371"/>
      <c r="BY154" s="2371"/>
      <c r="BZ154" s="2371"/>
      <c r="CA154" s="2371"/>
      <c r="CB154" s="2371"/>
      <c r="CC154" s="2371"/>
      <c r="CD154" s="2371"/>
      <c r="CE154" s="2371"/>
      <c r="CF154" s="13561"/>
    </row>
    <row customHeight="1" ht="5.25" hidden="1">
      <c r="A155" s="3004"/>
      <c r="B155" s="2847"/>
      <c r="C155" s="2847"/>
      <c r="D155" s="3790"/>
      <c r="E155" s="2250"/>
      <c r="F155" s="2250"/>
      <c r="G155" s="2250"/>
      <c r="H155" s="2250"/>
      <c r="I155" s="2250"/>
      <c r="J155" s="2250"/>
      <c r="K155" s="2250"/>
      <c r="L155" s="2250"/>
      <c r="M155" s="2250"/>
      <c r="N155" s="2250"/>
      <c r="O155" s="2250"/>
      <c r="P155" s="2250"/>
      <c r="Q155" s="2251"/>
      <c r="R155" s="2252"/>
      <c r="S155" s="2253"/>
      <c r="T155" s="1928" t="s">
        <v>649</v>
      </c>
      <c r="U155" s="3585">
        <v>1</v>
      </c>
      <c r="V155" s="3585" t="s">
        <v>599</v>
      </c>
      <c r="W155" s="2847"/>
      <c r="X155" s="2847"/>
      <c r="Y155" s="2847"/>
      <c r="Z155" s="2847"/>
      <c r="AA155" s="2847"/>
      <c r="AB155" s="2847"/>
      <c r="AC155" s="2248"/>
      <c r="AD155" s="2249"/>
      <c r="AE155" s="2847"/>
      <c r="AF155" s="2847"/>
      <c r="AG155" s="2847"/>
      <c r="AH155" s="2847"/>
      <c r="AI155" s="2847"/>
      <c r="AJ155" s="2847"/>
      <c r="AK155" s="2847"/>
      <c r="AL155" s="2847"/>
      <c r="AM155" s="2847"/>
      <c r="AN155" s="2847"/>
      <c r="AO155" s="2847"/>
      <c r="AP155" s="2847"/>
      <c r="AQ155" s="2847"/>
      <c r="AR155" s="2847"/>
      <c r="AS155" s="2847"/>
      <c r="AT155" s="2847"/>
      <c r="AU155" s="2847"/>
      <c r="AV155" s="2847"/>
      <c r="AW155" s="2847"/>
      <c r="AX155" s="2847"/>
      <c r="AY155" s="2847"/>
      <c r="AZ155" s="2847"/>
      <c r="BA155" s="2847"/>
      <c r="BB155" s="2847"/>
      <c r="BC155" s="2847"/>
      <c r="BD155" s="2847"/>
      <c r="BE155" s="2847"/>
      <c r="BF155" s="2847"/>
      <c r="BG155" s="2847"/>
      <c r="BH155" s="2847"/>
      <c r="BI155" s="2847"/>
      <c r="BJ155" s="2847"/>
      <c r="BK155" s="2847"/>
      <c r="BL155" s="2847"/>
      <c r="BM155" s="2847"/>
      <c r="BN155" s="2847"/>
      <c r="BO155" s="2847"/>
      <c r="BP155" s="2847"/>
      <c r="BQ155" s="2847"/>
      <c r="BR155" s="2847"/>
      <c r="BS155" s="2847"/>
      <c r="BT155" s="2847"/>
      <c r="BU155" s="2847"/>
      <c r="BV155" s="2847"/>
      <c r="BW155" s="2847"/>
      <c r="BX155" s="2847"/>
      <c r="BY155" s="2847"/>
      <c r="BZ155" s="2847"/>
      <c r="CA155" s="2847"/>
      <c r="CB155" s="2847"/>
      <c r="CC155" s="2847"/>
      <c r="CD155" s="2847"/>
      <c r="CE155" s="2847"/>
      <c r="CF155" s="13572"/>
    </row>
    <row customHeight="1" ht="5.25" hidden="1">
      <c r="A156" s="3004"/>
      <c r="B156" s="2847"/>
      <c r="C156" s="2847"/>
      <c r="D156" s="3790"/>
      <c r="E156" s="1846"/>
      <c r="F156" s="1846"/>
      <c r="G156" s="1846"/>
      <c r="H156" s="1846"/>
      <c r="I156" s="1846"/>
      <c r="J156" s="1846"/>
      <c r="K156" s="1846"/>
      <c r="L156" s="1846"/>
      <c r="M156" s="1846"/>
      <c r="N156" s="1846"/>
      <c r="O156" s="1846"/>
      <c r="P156" s="1846"/>
      <c r="Q156" s="1846"/>
      <c r="R156" s="1846"/>
      <c r="S156" s="1847"/>
      <c r="T156" s="1929"/>
      <c r="U156" s="3585"/>
      <c r="V156" s="3585"/>
      <c r="W156" s="2847"/>
      <c r="X156" s="2847"/>
      <c r="Y156" s="2847"/>
      <c r="Z156" s="2847"/>
      <c r="AA156" s="2847"/>
      <c r="AB156" s="2847"/>
      <c r="AC156" s="2248"/>
      <c r="AD156" s="2249"/>
      <c r="AE156" s="2847"/>
      <c r="AF156" s="2847"/>
      <c r="AG156" s="2847"/>
      <c r="AH156" s="2847"/>
      <c r="AI156" s="2847"/>
      <c r="AJ156" s="2847"/>
      <c r="AK156" s="2847"/>
      <c r="AL156" s="2847"/>
      <c r="AM156" s="2847"/>
      <c r="AN156" s="2847"/>
      <c r="AO156" s="2847"/>
      <c r="AP156" s="2847"/>
      <c r="AQ156" s="2847"/>
      <c r="AR156" s="2847"/>
      <c r="AS156" s="2847"/>
      <c r="AT156" s="2847"/>
      <c r="AU156" s="2847"/>
      <c r="AV156" s="2847"/>
      <c r="AW156" s="2847"/>
      <c r="AX156" s="2847"/>
      <c r="AY156" s="2847"/>
      <c r="AZ156" s="2847"/>
      <c r="BA156" s="2847"/>
      <c r="BB156" s="2847"/>
      <c r="BC156" s="2847"/>
      <c r="BD156" s="2847"/>
      <c r="BE156" s="2847"/>
      <c r="BF156" s="2847"/>
      <c r="BG156" s="2847"/>
      <c r="BH156" s="2847"/>
      <c r="BI156" s="2847"/>
      <c r="BJ156" s="2847"/>
      <c r="BK156" s="2847"/>
      <c r="BL156" s="2847"/>
      <c r="BM156" s="2847"/>
      <c r="BN156" s="2847"/>
      <c r="BO156" s="2847"/>
      <c r="BP156" s="2847"/>
      <c r="BQ156" s="2847"/>
      <c r="BR156" s="2847"/>
      <c r="BS156" s="2847"/>
      <c r="BT156" s="2847"/>
      <c r="BU156" s="2847"/>
      <c r="BV156" s="2847"/>
      <c r="BW156" s="2847"/>
      <c r="BX156" s="2847"/>
      <c r="BY156" s="2847"/>
      <c r="BZ156" s="2847"/>
      <c r="CA156" s="2847"/>
      <c r="CB156" s="2847"/>
      <c r="CC156" s="2847"/>
      <c r="CD156" s="2847"/>
      <c r="CE156" s="2847"/>
      <c r="CF156" s="13572"/>
    </row>
    <row customHeight="1" ht="5.25" hidden="1">
      <c r="A157" s="3004"/>
      <c r="B157" s="2847"/>
      <c r="C157" s="2847"/>
      <c r="D157" s="3791"/>
      <c r="E157" s="2254"/>
      <c r="F157" s="2255"/>
      <c r="G157" s="2255" t="s">
        <v>22</v>
      </c>
      <c r="H157" s="2256"/>
      <c r="I157" s="2256"/>
      <c r="J157" s="2256"/>
      <c r="K157" s="2256"/>
      <c r="L157" s="2256"/>
      <c r="M157" s="2256"/>
      <c r="N157" s="2256"/>
      <c r="O157" s="2256"/>
      <c r="P157" s="2256"/>
      <c r="Q157" s="2256"/>
      <c r="R157" s="2157"/>
      <c r="S157" s="2257"/>
      <c r="T157" s="1929"/>
      <c r="U157" s="3585"/>
      <c r="V157" s="3585"/>
      <c r="W157" s="2847"/>
      <c r="X157" s="2847"/>
      <c r="Y157" s="2847"/>
      <c r="Z157" s="2847"/>
      <c r="AA157" s="2847"/>
      <c r="AB157" s="2847"/>
      <c r="AC157" s="2248"/>
      <c r="AD157" s="2249"/>
      <c r="AE157" s="2847"/>
      <c r="AF157" s="2847"/>
      <c r="AG157" s="2847"/>
      <c r="AH157" s="2847"/>
      <c r="AI157" s="2847"/>
      <c r="AJ157" s="2847"/>
      <c r="AK157" s="2847"/>
      <c r="AL157" s="2847"/>
      <c r="AM157" s="2847"/>
      <c r="AN157" s="2847"/>
      <c r="AO157" s="2847"/>
      <c r="AP157" s="2847"/>
      <c r="AQ157" s="2847"/>
      <c r="AR157" s="2847"/>
      <c r="AS157" s="2847"/>
      <c r="AT157" s="2847"/>
      <c r="AU157" s="2847"/>
      <c r="AV157" s="2847"/>
      <c r="AW157" s="2847"/>
      <c r="AX157" s="2847"/>
      <c r="AY157" s="2847"/>
      <c r="AZ157" s="2847"/>
      <c r="BA157" s="2847"/>
      <c r="BB157" s="2847"/>
      <c r="BC157" s="2847"/>
      <c r="BD157" s="2847"/>
      <c r="BE157" s="2847"/>
      <c r="BF157" s="2847"/>
      <c r="BG157" s="2847"/>
      <c r="BH157" s="2847"/>
      <c r="BI157" s="2847"/>
      <c r="BJ157" s="2847"/>
      <c r="BK157" s="2847"/>
      <c r="BL157" s="2847"/>
      <c r="BM157" s="2847"/>
      <c r="BN157" s="2847"/>
      <c r="BO157" s="2847"/>
      <c r="BP157" s="2847"/>
      <c r="BQ157" s="2847"/>
      <c r="BR157" s="2847"/>
      <c r="BS157" s="2847"/>
      <c r="BT157" s="2847"/>
      <c r="BU157" s="2847"/>
      <c r="BV157" s="2847"/>
      <c r="BW157" s="2847"/>
      <c r="BX157" s="2847"/>
      <c r="BY157" s="2847"/>
      <c r="BZ157" s="2847"/>
      <c r="CA157" s="2847"/>
      <c r="CB157" s="2847"/>
      <c r="CC157" s="2847"/>
      <c r="CD157" s="2847"/>
      <c r="CE157" s="2847"/>
      <c r="CF157" s="13572"/>
    </row>
    <row customHeight="1" ht="15">
      <c r="A158" s="1834" t="s">
        <v>138</v>
      </c>
      <c r="B158" s="1835"/>
      <c r="C158" s="1835" t="s">
        <v>22</v>
      </c>
      <c r="D158" s="3789" t="s">
        <v>750</v>
      </c>
      <c r="E158" s="3588" t="s">
        <v>118</v>
      </c>
      <c r="F158" s="3589"/>
      <c r="G158" s="3590"/>
      <c r="H158" s="3594" t="str">
        <f>IF(A158="","",INDEX(DIFFERENTIATION_UNMERGE_VD,MATCH(A158,DIFFERENTIATION_ID_DIFF,0)))</f>
        <v>Передача. Тепловая энергия; Сбыт. Тепловая энергия</v>
      </c>
      <c r="I158" s="3594"/>
      <c r="J158" s="3594"/>
      <c r="K158" s="3594"/>
      <c r="L158" s="3594"/>
      <c r="M158" s="3594"/>
      <c r="N158" s="3594"/>
      <c r="O158" s="3594"/>
      <c r="P158" s="3594"/>
      <c r="Q158" s="3594"/>
      <c r="R158" s="3594"/>
      <c r="S158" s="1930"/>
      <c r="T158" s="1927"/>
      <c r="U158" s="1836"/>
      <c r="V158" s="1836"/>
      <c r="W158" s="1837"/>
      <c r="X158" s="1837"/>
      <c r="Y158" s="1837"/>
      <c r="Z158" s="1837"/>
      <c r="AA158" s="1838"/>
      <c r="AB158" s="1839"/>
      <c r="AC158" s="3586"/>
      <c r="AD158" s="1840"/>
      <c r="AE158" s="1841" t="s">
        <v>22</v>
      </c>
      <c r="AF158" s="1841"/>
      <c r="AG158" s="1842" t="s">
        <v>646</v>
      </c>
      <c r="AH158" s="1843">
        <v>3</v>
      </c>
      <c r="AI158" s="1836"/>
      <c r="AJ158" s="1836"/>
      <c r="AK158" s="1836"/>
      <c r="AL158" s="1836"/>
      <c r="AM158" s="1836"/>
      <c r="AN158" s="1836"/>
      <c r="AO158" s="1836"/>
      <c r="AP158" s="1836"/>
      <c r="AQ158" s="1836"/>
      <c r="AR158" s="1836"/>
      <c r="AS158" s="1836"/>
      <c r="AT158" s="1836"/>
      <c r="AU158" s="1836"/>
      <c r="AV158" s="1836"/>
      <c r="AW158" s="1836"/>
      <c r="AX158" s="1836"/>
      <c r="AY158" s="1836"/>
      <c r="AZ158" s="1836"/>
      <c r="BA158" s="1836"/>
      <c r="BB158" s="1836"/>
      <c r="BC158" s="1836"/>
      <c r="BD158" s="1836"/>
      <c r="BE158" s="1836"/>
      <c r="BF158" s="1836"/>
      <c r="BG158" s="1836"/>
      <c r="BH158" s="1836"/>
      <c r="BI158" s="1836"/>
      <c r="BJ158" s="1836"/>
      <c r="BK158" s="1836"/>
      <c r="BL158" s="1836"/>
      <c r="BM158" s="1836"/>
      <c r="BN158" s="1836"/>
      <c r="BO158" s="1836"/>
      <c r="BP158" s="1836"/>
      <c r="BQ158" s="1836"/>
      <c r="BR158" s="1836"/>
      <c r="BS158" s="1836"/>
      <c r="BT158" s="1836"/>
      <c r="BU158" s="1836"/>
      <c r="BV158" s="1837"/>
      <c r="BW158" s="1837"/>
      <c r="BX158" s="1837"/>
      <c r="BY158" s="1837"/>
      <c r="BZ158" s="1837"/>
      <c r="CA158" s="1837"/>
      <c r="CB158" s="1837"/>
      <c r="CC158" s="1837"/>
      <c r="CD158" s="1837"/>
      <c r="CE158" s="1837"/>
      <c r="CF158" s="13561"/>
    </row>
    <row customHeight="1" ht="15">
      <c r="A159" s="1834"/>
      <c r="B159" s="1835"/>
      <c r="C159" s="1835"/>
      <c r="D159" s="3790"/>
      <c r="E159" s="3588" t="s">
        <v>582</v>
      </c>
      <c r="F159" s="3589"/>
      <c r="G159" s="3590"/>
      <c r="H159" s="3594" t="str">
        <f>IF(A158="","",INDEX(DIFFERENTIATION_UNMERGE_AREA,MATCH(A158,DIFFERENTIATION_ID_DIFF,0)))</f>
        <v>Территория 2</v>
      </c>
      <c r="I159" s="3594"/>
      <c r="J159" s="3594"/>
      <c r="K159" s="3594"/>
      <c r="L159" s="3594"/>
      <c r="M159" s="3594"/>
      <c r="N159" s="3594"/>
      <c r="O159" s="3594"/>
      <c r="P159" s="3594"/>
      <c r="Q159" s="3594"/>
      <c r="R159" s="3594"/>
      <c r="S159" s="1930"/>
      <c r="T159" s="1927"/>
      <c r="U159" s="1836"/>
      <c r="V159" s="1836"/>
      <c r="W159" s="1837"/>
      <c r="X159" s="1837"/>
      <c r="Y159" s="1837"/>
      <c r="Z159" s="1837"/>
      <c r="AA159" s="1838"/>
      <c r="AB159" s="1839"/>
      <c r="AC159" s="3586"/>
      <c r="AD159" s="1840"/>
      <c r="AE159" s="1841"/>
      <c r="AF159" s="1841"/>
      <c r="AG159" s="1842"/>
      <c r="AH159" s="1843"/>
      <c r="AI159" s="1836"/>
      <c r="AJ159" s="1836"/>
      <c r="AK159" s="1836"/>
      <c r="AL159" s="1836"/>
      <c r="AM159" s="1836"/>
      <c r="AN159" s="1836"/>
      <c r="AO159" s="1836"/>
      <c r="AP159" s="1836"/>
      <c r="AQ159" s="1836"/>
      <c r="AR159" s="1836"/>
      <c r="AS159" s="1836"/>
      <c r="AT159" s="1836"/>
      <c r="AU159" s="1836"/>
      <c r="AV159" s="1836"/>
      <c r="AW159" s="1836"/>
      <c r="AX159" s="1836"/>
      <c r="AY159" s="1836"/>
      <c r="AZ159" s="1836"/>
      <c r="BA159" s="1836"/>
      <c r="BB159" s="1836"/>
      <c r="BC159" s="1836"/>
      <c r="BD159" s="1836"/>
      <c r="BE159" s="1836"/>
      <c r="BF159" s="1836"/>
      <c r="BG159" s="1836"/>
      <c r="BH159" s="1836"/>
      <c r="BI159" s="1836"/>
      <c r="BJ159" s="1836"/>
      <c r="BK159" s="1836"/>
      <c r="BL159" s="1836"/>
      <c r="BM159" s="1836"/>
      <c r="BN159" s="1836"/>
      <c r="BO159" s="1836"/>
      <c r="BP159" s="1836"/>
      <c r="BQ159" s="1836"/>
      <c r="BR159" s="1836"/>
      <c r="BS159" s="1836"/>
      <c r="BT159" s="1836"/>
      <c r="BU159" s="1836"/>
      <c r="BV159" s="1837"/>
      <c r="BW159" s="1837"/>
      <c r="BX159" s="1837"/>
      <c r="BY159" s="1837"/>
      <c r="BZ159" s="1837"/>
      <c r="CA159" s="1837"/>
      <c r="CB159" s="1837"/>
      <c r="CC159" s="1837"/>
      <c r="CD159" s="1837"/>
      <c r="CE159" s="1837"/>
      <c r="CF159" s="13561"/>
    </row>
    <row customHeight="1" ht="15">
      <c r="A160" s="1834"/>
      <c r="B160" s="1835"/>
      <c r="C160" s="1835"/>
      <c r="D160" s="3790"/>
      <c r="E160" s="3588" t="s">
        <v>583</v>
      </c>
      <c r="F160" s="3589"/>
      <c r="G160" s="3590"/>
      <c r="H160" s="3594" t="str">
        <f>IF(A158="","",INDEX(DIFFERENTIATION_UNMERGE_SYSTEM,MATCH(A158,DIFFERENTIATION_ID_DIFF,0)))</f>
        <v>без дифференциации</v>
      </c>
      <c r="I160" s="3594"/>
      <c r="J160" s="3594"/>
      <c r="K160" s="3594"/>
      <c r="L160" s="3594"/>
      <c r="M160" s="3594"/>
      <c r="N160" s="3594"/>
      <c r="O160" s="3594"/>
      <c r="P160" s="3594"/>
      <c r="Q160" s="3594"/>
      <c r="R160" s="3594"/>
      <c r="S160" s="1930"/>
      <c r="T160" s="1927"/>
      <c r="U160" s="1836"/>
      <c r="V160" s="1836"/>
      <c r="W160" s="1837"/>
      <c r="X160" s="1837"/>
      <c r="Y160" s="1837"/>
      <c r="Z160" s="1837"/>
      <c r="AA160" s="1838"/>
      <c r="AB160" s="1839"/>
      <c r="AC160" s="3586"/>
      <c r="AD160" s="1840"/>
      <c r="AE160" s="1841"/>
      <c r="AF160" s="1841"/>
      <c r="AG160" s="1842"/>
      <c r="AH160" s="1843"/>
      <c r="AI160" s="1836"/>
      <c r="AJ160" s="1836"/>
      <c r="AK160" s="1836"/>
      <c r="AL160" s="1836"/>
      <c r="AM160" s="1836"/>
      <c r="AN160" s="1836"/>
      <c r="AO160" s="1836"/>
      <c r="AP160" s="1836"/>
      <c r="AQ160" s="1836"/>
      <c r="AR160" s="1836"/>
      <c r="AS160" s="1836"/>
      <c r="AT160" s="1836"/>
      <c r="AU160" s="1836"/>
      <c r="AV160" s="1836"/>
      <c r="AW160" s="1836"/>
      <c r="AX160" s="1836"/>
      <c r="AY160" s="1836"/>
      <c r="AZ160" s="1836"/>
      <c r="BA160" s="1836"/>
      <c r="BB160" s="1836"/>
      <c r="BC160" s="1836"/>
      <c r="BD160" s="1836"/>
      <c r="BE160" s="1836"/>
      <c r="BF160" s="1836"/>
      <c r="BG160" s="1836"/>
      <c r="BH160" s="1836"/>
      <c r="BI160" s="1836"/>
      <c r="BJ160" s="1836"/>
      <c r="BK160" s="1836"/>
      <c r="BL160" s="1836"/>
      <c r="BM160" s="1836"/>
      <c r="BN160" s="1836"/>
      <c r="BO160" s="1836"/>
      <c r="BP160" s="1836"/>
      <c r="BQ160" s="1836"/>
      <c r="BR160" s="1836"/>
      <c r="BS160" s="1836"/>
      <c r="BT160" s="1836"/>
      <c r="BU160" s="1836"/>
      <c r="BV160" s="1837"/>
      <c r="BW160" s="1837"/>
      <c r="BX160" s="1837"/>
      <c r="BY160" s="1837"/>
      <c r="BZ160" s="1837"/>
      <c r="CA160" s="1837"/>
      <c r="CB160" s="1837"/>
      <c r="CC160" s="1837"/>
      <c r="CD160" s="1837"/>
      <c r="CE160" s="1837"/>
      <c r="CF160" s="13561"/>
    </row>
    <row customHeight="1" ht="24.75">
      <c r="A161" s="3017"/>
      <c r="B161" s="2371"/>
      <c r="C161" s="1623"/>
      <c r="D161" s="3790"/>
      <c r="E161" s="3587" t="s">
        <v>647</v>
      </c>
      <c r="F161" s="3587"/>
      <c r="G161" s="3587"/>
      <c r="H161" s="3587"/>
      <c r="I161" s="3587"/>
      <c r="J161" s="3587"/>
      <c r="K161" s="3587"/>
      <c r="L161" s="3587"/>
      <c r="M161" s="3587"/>
      <c r="N161" s="3587"/>
      <c r="O161" s="3587"/>
      <c r="P161" s="3587"/>
      <c r="Q161" s="1769">
        <f>SUMIF(T162:T183,"i",Q162:Q183)</f>
        <v>61148.84</v>
      </c>
      <c r="R161" s="2228"/>
      <c r="S161" s="3009" t="s">
        <v>648</v>
      </c>
      <c r="T161" s="1928" t="s">
        <v>649</v>
      </c>
      <c r="U161" s="3585">
        <v>1</v>
      </c>
      <c r="V161" s="3585" t="str">
        <f>INDEX(B_FHD_FLAG_INDEX_1,1,MATCH($A$158,B_FHD_FLAG_DIFFERENTIATION,0))</f>
        <v>есть</v>
      </c>
      <c r="W161" s="2371"/>
      <c r="X161" s="2371"/>
      <c r="Y161" s="2371"/>
      <c r="Z161" s="2371"/>
      <c r="AA161" s="2847"/>
      <c r="AB161" s="2371"/>
      <c r="AC161" s="3586"/>
      <c r="AD161" s="1840"/>
      <c r="AE161" s="2371"/>
      <c r="AF161" s="2371"/>
      <c r="AG161" s="2847"/>
      <c r="AH161" s="2847"/>
      <c r="AI161" s="2847"/>
      <c r="AJ161" s="2847"/>
      <c r="AK161" s="2847"/>
      <c r="AL161" s="2847"/>
      <c r="AM161" s="2847"/>
      <c r="AN161" s="2847"/>
      <c r="AO161" s="2847"/>
      <c r="AP161" s="2847"/>
      <c r="AQ161" s="2847"/>
      <c r="AR161" s="2847"/>
      <c r="AS161" s="2847"/>
      <c r="AT161" s="2847"/>
      <c r="AU161" s="2847"/>
      <c r="AV161" s="2847"/>
      <c r="AW161" s="2847"/>
      <c r="AX161" s="2847"/>
      <c r="AY161" s="2847"/>
      <c r="AZ161" s="2847"/>
      <c r="BA161" s="2847"/>
      <c r="BB161" s="2847"/>
      <c r="BC161" s="2847"/>
      <c r="BD161" s="2847"/>
      <c r="BE161" s="2847"/>
      <c r="BF161" s="2847"/>
      <c r="BG161" s="2847"/>
      <c r="BH161" s="2847"/>
      <c r="BI161" s="2847"/>
      <c r="BJ161" s="2847"/>
      <c r="BK161" s="2847"/>
      <c r="BL161" s="2847"/>
      <c r="BM161" s="2847"/>
      <c r="BN161" s="2847"/>
      <c r="BO161" s="2847"/>
      <c r="BP161" s="2847"/>
      <c r="BQ161" s="2847"/>
      <c r="BR161" s="2847"/>
      <c r="BS161" s="2847"/>
      <c r="BT161" s="2847"/>
      <c r="BU161" s="2847"/>
      <c r="BV161" s="2371"/>
      <c r="BW161" s="2371"/>
      <c r="BX161" s="2371"/>
      <c r="BY161" s="2371"/>
      <c r="BZ161" s="2371"/>
      <c r="CA161" s="2371"/>
      <c r="CB161" s="2371"/>
      <c r="CC161" s="2371"/>
      <c r="CD161" s="2371"/>
      <c r="CE161" s="2371"/>
      <c r="CF161" s="13561"/>
    </row>
    <row customHeight="1" ht="11.25" hidden="1">
      <c r="A162" s="3004"/>
      <c r="B162" s="2847"/>
      <c r="C162" s="2847"/>
      <c r="D162" s="3790"/>
      <c r="E162" s="1846"/>
      <c r="F162" s="1846">
        <v>0</v>
      </c>
      <c r="G162" s="1846"/>
      <c r="H162" s="1846"/>
      <c r="I162" s="1846"/>
      <c r="J162" s="1846"/>
      <c r="K162" s="1846"/>
      <c r="L162" s="1846"/>
      <c r="M162" s="1846"/>
      <c r="N162" s="1846"/>
      <c r="O162" s="1846"/>
      <c r="P162" s="1846"/>
      <c r="Q162" s="1846"/>
      <c r="R162" s="1846"/>
      <c r="S162" s="1847"/>
      <c r="T162" s="1929"/>
      <c r="U162" s="3585"/>
      <c r="V162" s="3585"/>
      <c r="W162" s="2847"/>
      <c r="X162" s="2847"/>
      <c r="Y162" s="2847"/>
      <c r="Z162" s="2847"/>
      <c r="AA162" s="2847"/>
      <c r="AB162" s="2371"/>
      <c r="AC162" s="3586"/>
      <c r="AD162" s="1840"/>
      <c r="AE162" s="2371"/>
      <c r="AF162" s="2371"/>
      <c r="AG162" s="2847"/>
      <c r="AH162" s="2847"/>
      <c r="AI162" s="2847"/>
      <c r="AJ162" s="2847"/>
      <c r="AK162" s="2847"/>
      <c r="AL162" s="2847"/>
      <c r="AM162" s="2847"/>
      <c r="AN162" s="2847"/>
      <c r="AO162" s="2847"/>
      <c r="AP162" s="2847"/>
      <c r="AQ162" s="2847"/>
      <c r="AR162" s="2847"/>
      <c r="AS162" s="2847"/>
      <c r="AT162" s="2847"/>
      <c r="AU162" s="2847"/>
      <c r="AV162" s="2847"/>
      <c r="AW162" s="2847"/>
      <c r="AX162" s="2847"/>
      <c r="AY162" s="2847"/>
      <c r="AZ162" s="2847"/>
      <c r="BA162" s="2847"/>
      <c r="BB162" s="2847"/>
      <c r="BC162" s="2847"/>
      <c r="BD162" s="2847"/>
      <c r="BE162" s="2847"/>
      <c r="BF162" s="2847"/>
      <c r="BG162" s="2847"/>
      <c r="BH162" s="2847"/>
      <c r="BI162" s="2847"/>
      <c r="BJ162" s="2847"/>
      <c r="BK162" s="2847"/>
      <c r="BL162" s="2847"/>
      <c r="BM162" s="2847"/>
      <c r="BN162" s="2847"/>
      <c r="BO162" s="2847"/>
      <c r="BP162" s="2847"/>
      <c r="BQ162" s="2847"/>
      <c r="BR162" s="2847"/>
      <c r="BS162" s="2847"/>
      <c r="BT162" s="2847"/>
      <c r="BU162" s="2847"/>
      <c r="BV162" s="2847"/>
      <c r="BW162" s="2847"/>
      <c r="BX162" s="2847"/>
      <c r="BY162" s="2847"/>
      <c r="BZ162" s="2847"/>
      <c r="CA162" s="2847"/>
      <c r="CB162" s="2847"/>
      <c r="CC162" s="2847"/>
      <c r="CD162" s="2847"/>
      <c r="CE162" s="2847"/>
      <c r="CF162" s="13561"/>
    </row>
    <row customHeight="1" ht="45">
      <c r="A163" s="3017"/>
      <c r="B163" s="2371"/>
      <c r="C163" s="1623"/>
      <c r="D163" s="1300"/>
      <c r="E163" s="3783" t="s">
        <v>103</v>
      </c>
      <c r="F163" s="3319" t="s">
        <v>99</v>
      </c>
      <c r="G163" s="3786" t="s">
        <v>751</v>
      </c>
      <c r="H163" s="1500"/>
      <c r="I163" s="1848" t="s">
        <v>99</v>
      </c>
      <c r="J163" s="3018" t="s">
        <v>651</v>
      </c>
      <c r="K163" s="1849" t="s">
        <v>564</v>
      </c>
      <c r="L163" s="3435" t="s">
        <v>564</v>
      </c>
      <c r="M163" s="3788"/>
      <c r="N163" s="1849" t="s">
        <v>564</v>
      </c>
      <c r="O163" s="1849" t="s">
        <v>564</v>
      </c>
      <c r="P163" s="1849" t="s">
        <v>564</v>
      </c>
      <c r="Q163" s="1850">
        <f>SUM(Q164:Q166)</f>
        <v>38980.56</v>
      </c>
      <c r="R163" s="1850">
        <f>IF('Показатели ФХД'!M89=0,0,($Q$163/'Показатели ФХД'!M89)*100)</f>
        <v>47.1461609897078</v>
      </c>
      <c r="S163" s="3390"/>
      <c r="T163" s="1928" t="s">
        <v>649</v>
      </c>
      <c r="U163" s="1300"/>
      <c r="V163" s="1300"/>
      <c r="W163" s="62930"/>
      <c r="X163" s="62930"/>
      <c r="Y163" s="62930"/>
      <c r="Z163" s="62930"/>
      <c r="AA163" s="62930"/>
      <c r="AB163" s="62930"/>
      <c r="AC163" s="1300"/>
      <c r="AD163" s="62930"/>
      <c r="AE163" s="62930"/>
      <c r="AF163" s="62930"/>
      <c r="AG163" s="62930"/>
      <c r="AH163" s="62930"/>
      <c r="AI163" s="62930"/>
      <c r="AJ163" s="62930"/>
      <c r="AK163" s="62930"/>
      <c r="AL163" s="62930"/>
      <c r="AM163" s="62930"/>
      <c r="AN163" s="62930"/>
      <c r="AO163" s="62930"/>
      <c r="AP163" s="62930"/>
      <c r="AQ163" s="62930"/>
      <c r="AR163" s="62930"/>
      <c r="AS163" s="62930"/>
      <c r="AT163" s="62930"/>
      <c r="AU163" s="62930"/>
      <c r="AV163" s="62930"/>
      <c r="AW163" s="62930"/>
      <c r="AX163" s="62930"/>
      <c r="AY163" s="62930"/>
      <c r="AZ163" s="62930"/>
      <c r="BA163" s="62930"/>
      <c r="BB163" s="62930"/>
      <c r="BC163" s="62930"/>
      <c r="BD163" s="62930"/>
      <c r="BE163" s="62930"/>
      <c r="BF163" s="62930"/>
      <c r="BG163" s="62930"/>
      <c r="BH163" s="62930"/>
      <c r="BI163" s="62930"/>
      <c r="BJ163" s="62930"/>
      <c r="BK163" s="62930"/>
      <c r="BL163" s="62930"/>
      <c r="BM163" s="62930"/>
      <c r="BN163" s="62930"/>
      <c r="BO163" s="62930"/>
      <c r="BP163" s="62930"/>
      <c r="BQ163" s="62930"/>
      <c r="BR163" s="62930"/>
      <c r="BS163" s="62930"/>
      <c r="BT163" s="62930"/>
      <c r="BU163" s="62930"/>
      <c r="BV163" s="62930"/>
      <c r="BW163" s="62930"/>
      <c r="BX163" s="62930"/>
      <c r="BY163" s="62930"/>
      <c r="BZ163" s="62930"/>
      <c r="CA163" s="62930"/>
      <c r="CB163" s="62930"/>
      <c r="CC163" s="62930"/>
      <c r="CD163" s="62930"/>
      <c r="CE163" s="62930"/>
      <c r="CF163" s="62930"/>
    </row>
    <row customHeight="1" ht="11.25">
      <c r="A164" s="3017"/>
      <c r="B164" s="2371"/>
      <c r="C164" s="1623"/>
      <c r="D164" s="1300"/>
      <c r="E164" s="3784"/>
      <c r="F164" s="3319">
        <v>0</v>
      </c>
      <c r="G164" s="3786"/>
      <c r="H164" s="3338"/>
      <c r="I164" s="3726" t="s">
        <v>652</v>
      </c>
      <c r="J164" s="62931" t="s">
        <v>653</v>
      </c>
      <c r="K164" s="3781" t="s">
        <v>752</v>
      </c>
      <c r="L164" s="1851"/>
      <c r="M164" s="1852" t="s">
        <v>99</v>
      </c>
      <c r="N164" s="3006" t="s">
        <v>753</v>
      </c>
      <c r="O164" s="1853">
        <v>38980.56</v>
      </c>
      <c r="P164" s="1854" t="s">
        <v>656</v>
      </c>
      <c r="Q164" s="1853">
        <f>O164</f>
        <v>38980.56</v>
      </c>
      <c r="R164" s="1855">
        <v>0</v>
      </c>
      <c r="S164" s="3390"/>
      <c r="T164" s="1928"/>
      <c r="U164" s="1300"/>
      <c r="V164" s="1300"/>
      <c r="W164" s="62930"/>
      <c r="X164" s="62930"/>
      <c r="Y164" s="62930"/>
      <c r="Z164" s="62930"/>
      <c r="AA164" s="62930"/>
      <c r="AB164" s="62930"/>
      <c r="AC164" s="1300"/>
      <c r="AD164" s="62930"/>
      <c r="AE164" s="62930"/>
      <c r="AF164" s="62930"/>
      <c r="AG164" s="62930"/>
      <c r="AH164" s="62930"/>
      <c r="AI164" s="62930"/>
      <c r="AJ164" s="62930"/>
      <c r="AK164" s="62930"/>
      <c r="AL164" s="62930"/>
      <c r="AM164" s="62930"/>
      <c r="AN164" s="62930"/>
      <c r="AO164" s="62930"/>
      <c r="AP164" s="62930"/>
      <c r="AQ164" s="62930"/>
      <c r="AR164" s="62930"/>
      <c r="AS164" s="62930"/>
      <c r="AT164" s="62930"/>
      <c r="AU164" s="62930"/>
      <c r="AV164" s="62930"/>
      <c r="AW164" s="62930"/>
      <c r="AX164" s="62930"/>
      <c r="AY164" s="62930"/>
      <c r="AZ164" s="62930"/>
      <c r="BA164" s="62930"/>
      <c r="BB164" s="62930"/>
      <c r="BC164" s="62930"/>
      <c r="BD164" s="62930"/>
      <c r="BE164" s="62930"/>
      <c r="BF164" s="62930"/>
      <c r="BG164" s="62930"/>
      <c r="BH164" s="62930"/>
      <c r="BI164" s="62930"/>
      <c r="BJ164" s="62930"/>
      <c r="BK164" s="62930"/>
      <c r="BL164" s="62930"/>
      <c r="BM164" s="62930"/>
      <c r="BN164" s="62930"/>
      <c r="BO164" s="62930"/>
      <c r="BP164" s="62930"/>
      <c r="BQ164" s="62930"/>
      <c r="BR164" s="62930"/>
      <c r="BS164" s="62930"/>
      <c r="BT164" s="62930"/>
      <c r="BU164" s="62930"/>
      <c r="BV164" s="62930"/>
      <c r="BW164" s="62930"/>
      <c r="BX164" s="62930"/>
      <c r="BY164" s="62930"/>
      <c r="BZ164" s="62930"/>
      <c r="CA164" s="62930"/>
      <c r="CB164" s="62930"/>
      <c r="CC164" s="62930"/>
      <c r="CD164" s="62930"/>
      <c r="CE164" s="62930"/>
      <c r="CF164" s="62930"/>
    </row>
    <row customHeight="1" ht="11.25">
      <c r="A165" s="3017"/>
      <c r="B165" s="2371"/>
      <c r="C165" s="1623"/>
      <c r="D165" s="1300"/>
      <c r="E165" s="3784"/>
      <c r="F165" s="3319">
        <v>0</v>
      </c>
      <c r="G165" s="3786"/>
      <c r="H165" s="3338"/>
      <c r="I165" s="3726"/>
      <c r="J165" s="3780"/>
      <c r="K165" s="3782"/>
      <c r="L165" s="1856"/>
      <c r="M165" s="1857"/>
      <c r="N165" s="1858" t="s">
        <v>657</v>
      </c>
      <c r="O165" s="1858"/>
      <c r="P165" s="1858"/>
      <c r="Q165" s="1858"/>
      <c r="R165" s="1859"/>
      <c r="S165" s="3390"/>
      <c r="T165" s="1928"/>
      <c r="U165" s="1300"/>
      <c r="V165" s="1300"/>
      <c r="W165" s="62930"/>
      <c r="X165" s="62930"/>
      <c r="Y165" s="62930"/>
      <c r="Z165" s="62930"/>
      <c r="AA165" s="62930"/>
      <c r="AB165" s="62930"/>
      <c r="AC165" s="1300"/>
      <c r="AD165" s="62930"/>
      <c r="AE165" s="62930"/>
      <c r="AF165" s="62930"/>
      <c r="AG165" s="62930"/>
      <c r="AH165" s="62930"/>
      <c r="AI165" s="62930"/>
      <c r="AJ165" s="62930"/>
      <c r="AK165" s="62930"/>
      <c r="AL165" s="62930"/>
      <c r="AM165" s="62930"/>
      <c r="AN165" s="62930"/>
      <c r="AO165" s="62930"/>
      <c r="AP165" s="62930"/>
      <c r="AQ165" s="62930"/>
      <c r="AR165" s="62930"/>
      <c r="AS165" s="62930"/>
      <c r="AT165" s="62930"/>
      <c r="AU165" s="62930"/>
      <c r="AV165" s="62930"/>
      <c r="AW165" s="62930"/>
      <c r="AX165" s="62930"/>
      <c r="AY165" s="62930"/>
      <c r="AZ165" s="62930"/>
      <c r="BA165" s="62930"/>
      <c r="BB165" s="62930"/>
      <c r="BC165" s="62930"/>
      <c r="BD165" s="62930"/>
      <c r="BE165" s="62930"/>
      <c r="BF165" s="62930"/>
      <c r="BG165" s="62930"/>
      <c r="BH165" s="62930"/>
      <c r="BI165" s="62930"/>
      <c r="BJ165" s="62930"/>
      <c r="BK165" s="62930"/>
      <c r="BL165" s="62930"/>
      <c r="BM165" s="62930"/>
      <c r="BN165" s="62930"/>
      <c r="BO165" s="62930"/>
      <c r="BP165" s="62930"/>
      <c r="BQ165" s="62930"/>
      <c r="BR165" s="62930"/>
      <c r="BS165" s="62930"/>
      <c r="BT165" s="62930"/>
      <c r="BU165" s="62930"/>
      <c r="BV165" s="62930"/>
      <c r="BW165" s="62930"/>
      <c r="BX165" s="62930"/>
      <c r="BY165" s="62930"/>
      <c r="BZ165" s="62930"/>
      <c r="CA165" s="62930"/>
      <c r="CB165" s="62930"/>
      <c r="CC165" s="62930"/>
      <c r="CD165" s="62930"/>
      <c r="CE165" s="62930"/>
      <c r="CF165" s="62930"/>
    </row>
    <row customHeight="1" ht="11.25">
      <c r="A166" s="3017"/>
      <c r="B166" s="2371"/>
      <c r="C166" s="1623"/>
      <c r="D166" s="1300"/>
      <c r="E166" s="3785"/>
      <c r="F166" s="3319">
        <v>0</v>
      </c>
      <c r="G166" s="3787"/>
      <c r="H166" s="1856" t="s">
        <v>22</v>
      </c>
      <c r="I166" s="1857"/>
      <c r="J166" s="1858" t="s">
        <v>667</v>
      </c>
      <c r="K166" s="1858"/>
      <c r="L166" s="1858"/>
      <c r="M166" s="1858"/>
      <c r="N166" s="1858"/>
      <c r="O166" s="1858"/>
      <c r="P166" s="1858"/>
      <c r="Q166" s="1858"/>
      <c r="R166" s="1859"/>
      <c r="S166" s="3390"/>
      <c r="T166" s="1928"/>
      <c r="U166" s="1300"/>
      <c r="V166" s="1300"/>
      <c r="W166" s="62930"/>
      <c r="X166" s="62930"/>
      <c r="Y166" s="62930"/>
      <c r="Z166" s="62930"/>
      <c r="AA166" s="62930"/>
      <c r="AB166" s="62930"/>
      <c r="AC166" s="1300"/>
      <c r="AD166" s="62930"/>
      <c r="AE166" s="62930"/>
      <c r="AF166" s="62930"/>
      <c r="AG166" s="62930"/>
      <c r="AH166" s="62930"/>
      <c r="AI166" s="62930"/>
      <c r="AJ166" s="62930"/>
      <c r="AK166" s="62930"/>
      <c r="AL166" s="62930"/>
      <c r="AM166" s="62930"/>
      <c r="AN166" s="62930"/>
      <c r="AO166" s="62930"/>
      <c r="AP166" s="62930"/>
      <c r="AQ166" s="62930"/>
      <c r="AR166" s="62930"/>
      <c r="AS166" s="62930"/>
      <c r="AT166" s="62930"/>
      <c r="AU166" s="62930"/>
      <c r="AV166" s="62930"/>
      <c r="AW166" s="62930"/>
      <c r="AX166" s="62930"/>
      <c r="AY166" s="62930"/>
      <c r="AZ166" s="62930"/>
      <c r="BA166" s="62930"/>
      <c r="BB166" s="62930"/>
      <c r="BC166" s="62930"/>
      <c r="BD166" s="62930"/>
      <c r="BE166" s="62930"/>
      <c r="BF166" s="62930"/>
      <c r="BG166" s="62930"/>
      <c r="BH166" s="62930"/>
      <c r="BI166" s="62930"/>
      <c r="BJ166" s="62930"/>
      <c r="BK166" s="62930"/>
      <c r="BL166" s="62930"/>
      <c r="BM166" s="62930"/>
      <c r="BN166" s="62930"/>
      <c r="BO166" s="62930"/>
      <c r="BP166" s="62930"/>
      <c r="BQ166" s="62930"/>
      <c r="BR166" s="62930"/>
      <c r="BS166" s="62930"/>
      <c r="BT166" s="62930"/>
      <c r="BU166" s="62930"/>
      <c r="BV166" s="62930"/>
      <c r="BW166" s="62930"/>
      <c r="BX166" s="62930"/>
      <c r="BY166" s="62930"/>
      <c r="BZ166" s="62930"/>
      <c r="CA166" s="62930"/>
      <c r="CB166" s="62930"/>
      <c r="CC166" s="62930"/>
      <c r="CD166" s="62930"/>
      <c r="CE166" s="62930"/>
      <c r="CF166" s="62930"/>
    </row>
    <row customHeight="1" ht="45">
      <c r="A167" s="3017"/>
      <c r="B167" s="2371"/>
      <c r="C167" s="1623"/>
      <c r="D167" s="1300"/>
      <c r="E167" s="3783" t="s">
        <v>103</v>
      </c>
      <c r="F167" s="3319" t="s">
        <v>102</v>
      </c>
      <c r="G167" s="3786" t="s">
        <v>754</v>
      </c>
      <c r="H167" s="1500"/>
      <c r="I167" s="1848" t="s">
        <v>99</v>
      </c>
      <c r="J167" s="3018" t="s">
        <v>651</v>
      </c>
      <c r="K167" s="1849" t="s">
        <v>564</v>
      </c>
      <c r="L167" s="3435" t="s">
        <v>564</v>
      </c>
      <c r="M167" s="3788"/>
      <c r="N167" s="1849" t="s">
        <v>564</v>
      </c>
      <c r="O167" s="1849" t="s">
        <v>564</v>
      </c>
      <c r="P167" s="1849" t="s">
        <v>564</v>
      </c>
      <c r="Q167" s="1850">
        <f>SUM(Q168:Q170)</f>
        <v>279</v>
      </c>
      <c r="R167" s="1850">
        <f>IF('Показатели ФХД'!M89=0,0,($Q$167/'Показатели ФХД'!M89)*100)</f>
        <v>0.337444585612122</v>
      </c>
      <c r="S167" s="3390"/>
      <c r="T167" s="1928" t="s">
        <v>649</v>
      </c>
      <c r="U167" s="1300"/>
      <c r="V167" s="1300"/>
      <c r="W167" s="62930"/>
      <c r="X167" s="62930"/>
      <c r="Y167" s="62930"/>
      <c r="Z167" s="62930"/>
      <c r="AA167" s="62930"/>
      <c r="AB167" s="62930"/>
      <c r="AC167" s="1300"/>
      <c r="AD167" s="62930"/>
      <c r="AE167" s="62930"/>
      <c r="AF167" s="62930"/>
      <c r="AG167" s="62930"/>
      <c r="AH167" s="62930"/>
      <c r="AI167" s="62930"/>
      <c r="AJ167" s="62930"/>
      <c r="AK167" s="62930"/>
      <c r="AL167" s="62930"/>
      <c r="AM167" s="62930"/>
      <c r="AN167" s="62930"/>
      <c r="AO167" s="62930"/>
      <c r="AP167" s="62930"/>
      <c r="AQ167" s="62930"/>
      <c r="AR167" s="62930"/>
      <c r="AS167" s="62930"/>
      <c r="AT167" s="62930"/>
      <c r="AU167" s="62930"/>
      <c r="AV167" s="62930"/>
      <c r="AW167" s="62930"/>
      <c r="AX167" s="62930"/>
      <c r="AY167" s="62930"/>
      <c r="AZ167" s="62930"/>
      <c r="BA167" s="62930"/>
      <c r="BB167" s="62930"/>
      <c r="BC167" s="62930"/>
      <c r="BD167" s="62930"/>
      <c r="BE167" s="62930"/>
      <c r="BF167" s="62930"/>
      <c r="BG167" s="62930"/>
      <c r="BH167" s="62930"/>
      <c r="BI167" s="62930"/>
      <c r="BJ167" s="62930"/>
      <c r="BK167" s="62930"/>
      <c r="BL167" s="62930"/>
      <c r="BM167" s="62930"/>
      <c r="BN167" s="62930"/>
      <c r="BO167" s="62930"/>
      <c r="BP167" s="62930"/>
      <c r="BQ167" s="62930"/>
      <c r="BR167" s="62930"/>
      <c r="BS167" s="62930"/>
      <c r="BT167" s="62930"/>
      <c r="BU167" s="62930"/>
      <c r="BV167" s="62930"/>
      <c r="BW167" s="62930"/>
      <c r="BX167" s="62930"/>
      <c r="BY167" s="62930"/>
      <c r="BZ167" s="62930"/>
      <c r="CA167" s="62930"/>
      <c r="CB167" s="62930"/>
      <c r="CC167" s="62930"/>
      <c r="CD167" s="62930"/>
      <c r="CE167" s="62930"/>
      <c r="CF167" s="62930"/>
    </row>
    <row customHeight="1" ht="11.25">
      <c r="A168" s="3017"/>
      <c r="B168" s="2371"/>
      <c r="C168" s="1623"/>
      <c r="D168" s="1300"/>
      <c r="E168" s="3784"/>
      <c r="F168" s="3319" t="s">
        <v>99</v>
      </c>
      <c r="G168" s="3786"/>
      <c r="H168" s="3338"/>
      <c r="I168" s="3726" t="s">
        <v>652</v>
      </c>
      <c r="J168" s="62931" t="s">
        <v>653</v>
      </c>
      <c r="K168" s="3781" t="s">
        <v>755</v>
      </c>
      <c r="L168" s="1851"/>
      <c r="M168" s="1852" t="s">
        <v>99</v>
      </c>
      <c r="N168" s="3006" t="s">
        <v>756</v>
      </c>
      <c r="O168" s="1853">
        <v>279</v>
      </c>
      <c r="P168" s="1854" t="s">
        <v>656</v>
      </c>
      <c r="Q168" s="1853">
        <f>O168</f>
        <v>279</v>
      </c>
      <c r="R168" s="1855">
        <v>0</v>
      </c>
      <c r="S168" s="3390"/>
      <c r="T168" s="1928"/>
      <c r="U168" s="1300"/>
      <c r="V168" s="1300"/>
      <c r="W168" s="62930"/>
      <c r="X168" s="62930"/>
      <c r="Y168" s="62930"/>
      <c r="Z168" s="62930"/>
      <c r="AA168" s="62930"/>
      <c r="AB168" s="62930"/>
      <c r="AC168" s="1300"/>
      <c r="AD168" s="62930"/>
      <c r="AE168" s="62930"/>
      <c r="AF168" s="62930"/>
      <c r="AG168" s="62930"/>
      <c r="AH168" s="62930"/>
      <c r="AI168" s="62930"/>
      <c r="AJ168" s="62930"/>
      <c r="AK168" s="62930"/>
      <c r="AL168" s="62930"/>
      <c r="AM168" s="62930"/>
      <c r="AN168" s="62930"/>
      <c r="AO168" s="62930"/>
      <c r="AP168" s="62930"/>
      <c r="AQ168" s="62930"/>
      <c r="AR168" s="62930"/>
      <c r="AS168" s="62930"/>
      <c r="AT168" s="62930"/>
      <c r="AU168" s="62930"/>
      <c r="AV168" s="62930"/>
      <c r="AW168" s="62930"/>
      <c r="AX168" s="62930"/>
      <c r="AY168" s="62930"/>
      <c r="AZ168" s="62930"/>
      <c r="BA168" s="62930"/>
      <c r="BB168" s="62930"/>
      <c r="BC168" s="62930"/>
      <c r="BD168" s="62930"/>
      <c r="BE168" s="62930"/>
      <c r="BF168" s="62930"/>
      <c r="BG168" s="62930"/>
      <c r="BH168" s="62930"/>
      <c r="BI168" s="62930"/>
      <c r="BJ168" s="62930"/>
      <c r="BK168" s="62930"/>
      <c r="BL168" s="62930"/>
      <c r="BM168" s="62930"/>
      <c r="BN168" s="62930"/>
      <c r="BO168" s="62930"/>
      <c r="BP168" s="62930"/>
      <c r="BQ168" s="62930"/>
      <c r="BR168" s="62930"/>
      <c r="BS168" s="62930"/>
      <c r="BT168" s="62930"/>
      <c r="BU168" s="62930"/>
      <c r="BV168" s="62930"/>
      <c r="BW168" s="62930"/>
      <c r="BX168" s="62930"/>
      <c r="BY168" s="62930"/>
      <c r="BZ168" s="62930"/>
      <c r="CA168" s="62930"/>
      <c r="CB168" s="62930"/>
      <c r="CC168" s="62930"/>
      <c r="CD168" s="62930"/>
      <c r="CE168" s="62930"/>
      <c r="CF168" s="62930"/>
    </row>
    <row customHeight="1" ht="11.25">
      <c r="A169" s="3017"/>
      <c r="B169" s="2371"/>
      <c r="C169" s="1623"/>
      <c r="D169" s="1300"/>
      <c r="E169" s="3784"/>
      <c r="F169" s="3319" t="s">
        <v>99</v>
      </c>
      <c r="G169" s="3786"/>
      <c r="H169" s="3338"/>
      <c r="I169" s="3726"/>
      <c r="J169" s="3780"/>
      <c r="K169" s="3782"/>
      <c r="L169" s="1856"/>
      <c r="M169" s="1857"/>
      <c r="N169" s="1858" t="s">
        <v>657</v>
      </c>
      <c r="O169" s="1858"/>
      <c r="P169" s="1858"/>
      <c r="Q169" s="1858"/>
      <c r="R169" s="1859"/>
      <c r="S169" s="3390"/>
      <c r="T169" s="1928"/>
      <c r="U169" s="1300"/>
      <c r="V169" s="1300"/>
      <c r="W169" s="62930"/>
      <c r="X169" s="62930"/>
      <c r="Y169" s="62930"/>
      <c r="Z169" s="62930"/>
      <c r="AA169" s="62930"/>
      <c r="AB169" s="62930"/>
      <c r="AC169" s="1300"/>
      <c r="AD169" s="62930"/>
      <c r="AE169" s="62930"/>
      <c r="AF169" s="62930"/>
      <c r="AG169" s="62930"/>
      <c r="AH169" s="62930"/>
      <c r="AI169" s="62930"/>
      <c r="AJ169" s="62930"/>
      <c r="AK169" s="62930"/>
      <c r="AL169" s="62930"/>
      <c r="AM169" s="62930"/>
      <c r="AN169" s="62930"/>
      <c r="AO169" s="62930"/>
      <c r="AP169" s="62930"/>
      <c r="AQ169" s="62930"/>
      <c r="AR169" s="62930"/>
      <c r="AS169" s="62930"/>
      <c r="AT169" s="62930"/>
      <c r="AU169" s="62930"/>
      <c r="AV169" s="62930"/>
      <c r="AW169" s="62930"/>
      <c r="AX169" s="62930"/>
      <c r="AY169" s="62930"/>
      <c r="AZ169" s="62930"/>
      <c r="BA169" s="62930"/>
      <c r="BB169" s="62930"/>
      <c r="BC169" s="62930"/>
      <c r="BD169" s="62930"/>
      <c r="BE169" s="62930"/>
      <c r="BF169" s="62930"/>
      <c r="BG169" s="62930"/>
      <c r="BH169" s="62930"/>
      <c r="BI169" s="62930"/>
      <c r="BJ169" s="62930"/>
      <c r="BK169" s="62930"/>
      <c r="BL169" s="62930"/>
      <c r="BM169" s="62930"/>
      <c r="BN169" s="62930"/>
      <c r="BO169" s="62930"/>
      <c r="BP169" s="62930"/>
      <c r="BQ169" s="62930"/>
      <c r="BR169" s="62930"/>
      <c r="BS169" s="62930"/>
      <c r="BT169" s="62930"/>
      <c r="BU169" s="62930"/>
      <c r="BV169" s="62930"/>
      <c r="BW169" s="62930"/>
      <c r="BX169" s="62930"/>
      <c r="BY169" s="62930"/>
      <c r="BZ169" s="62930"/>
      <c r="CA169" s="62930"/>
      <c r="CB169" s="62930"/>
      <c r="CC169" s="62930"/>
      <c r="CD169" s="62930"/>
      <c r="CE169" s="62930"/>
      <c r="CF169" s="62930"/>
    </row>
    <row customHeight="1" ht="11.25">
      <c r="A170" s="3017"/>
      <c r="B170" s="2371"/>
      <c r="C170" s="1623"/>
      <c r="D170" s="1300"/>
      <c r="E170" s="3785"/>
      <c r="F170" s="3319" t="s">
        <v>99</v>
      </c>
      <c r="G170" s="3787"/>
      <c r="H170" s="1856" t="s">
        <v>22</v>
      </c>
      <c r="I170" s="1857"/>
      <c r="J170" s="1858" t="s">
        <v>667</v>
      </c>
      <c r="K170" s="1858"/>
      <c r="L170" s="1858"/>
      <c r="M170" s="1858"/>
      <c r="N170" s="1858"/>
      <c r="O170" s="1858"/>
      <c r="P170" s="1858"/>
      <c r="Q170" s="1858"/>
      <c r="R170" s="1859"/>
      <c r="S170" s="3390"/>
      <c r="T170" s="1928"/>
      <c r="U170" s="1300"/>
      <c r="V170" s="1300"/>
      <c r="W170" s="62930"/>
      <c r="X170" s="62930"/>
      <c r="Y170" s="62930"/>
      <c r="Z170" s="62930"/>
      <c r="AA170" s="62930"/>
      <c r="AB170" s="62930"/>
      <c r="AC170" s="1300"/>
      <c r="AD170" s="62930"/>
      <c r="AE170" s="62930"/>
      <c r="AF170" s="62930"/>
      <c r="AG170" s="62930"/>
      <c r="AH170" s="62930"/>
      <c r="AI170" s="62930"/>
      <c r="AJ170" s="62930"/>
      <c r="AK170" s="62930"/>
      <c r="AL170" s="62930"/>
      <c r="AM170" s="62930"/>
      <c r="AN170" s="62930"/>
      <c r="AO170" s="62930"/>
      <c r="AP170" s="62930"/>
      <c r="AQ170" s="62930"/>
      <c r="AR170" s="62930"/>
      <c r="AS170" s="62930"/>
      <c r="AT170" s="62930"/>
      <c r="AU170" s="62930"/>
      <c r="AV170" s="62930"/>
      <c r="AW170" s="62930"/>
      <c r="AX170" s="62930"/>
      <c r="AY170" s="62930"/>
      <c r="AZ170" s="62930"/>
      <c r="BA170" s="62930"/>
      <c r="BB170" s="62930"/>
      <c r="BC170" s="62930"/>
      <c r="BD170" s="62930"/>
      <c r="BE170" s="62930"/>
      <c r="BF170" s="62930"/>
      <c r="BG170" s="62930"/>
      <c r="BH170" s="62930"/>
      <c r="BI170" s="62930"/>
      <c r="BJ170" s="62930"/>
      <c r="BK170" s="62930"/>
      <c r="BL170" s="62930"/>
      <c r="BM170" s="62930"/>
      <c r="BN170" s="62930"/>
      <c r="BO170" s="62930"/>
      <c r="BP170" s="62930"/>
      <c r="BQ170" s="62930"/>
      <c r="BR170" s="62930"/>
      <c r="BS170" s="62930"/>
      <c r="BT170" s="62930"/>
      <c r="BU170" s="62930"/>
      <c r="BV170" s="62930"/>
      <c r="BW170" s="62930"/>
      <c r="BX170" s="62930"/>
      <c r="BY170" s="62930"/>
      <c r="BZ170" s="62930"/>
      <c r="CA170" s="62930"/>
      <c r="CB170" s="62930"/>
      <c r="CC170" s="62930"/>
      <c r="CD170" s="62930"/>
      <c r="CE170" s="62930"/>
      <c r="CF170" s="62930"/>
    </row>
    <row customHeight="1" ht="45">
      <c r="A171" s="3017"/>
      <c r="B171" s="2371"/>
      <c r="C171" s="1623"/>
      <c r="D171" s="1300"/>
      <c r="E171" s="3783" t="s">
        <v>103</v>
      </c>
      <c r="F171" s="3319" t="s">
        <v>90</v>
      </c>
      <c r="G171" s="3786" t="s">
        <v>757</v>
      </c>
      <c r="H171" s="1500"/>
      <c r="I171" s="1848" t="s">
        <v>99</v>
      </c>
      <c r="J171" s="3018" t="s">
        <v>651</v>
      </c>
      <c r="K171" s="1849" t="s">
        <v>564</v>
      </c>
      <c r="L171" s="3435" t="s">
        <v>564</v>
      </c>
      <c r="M171" s="3788"/>
      <c r="N171" s="1849" t="s">
        <v>564</v>
      </c>
      <c r="O171" s="1849" t="s">
        <v>564</v>
      </c>
      <c r="P171" s="1849" t="s">
        <v>564</v>
      </c>
      <c r="Q171" s="1850">
        <f>SUM(Q172:Q174)</f>
        <v>8471.47</v>
      </c>
      <c r="R171" s="1850">
        <f>IF('Показатели ФХД'!M89=0,0,($Q$171/'Показатели ФХД'!M89)*100)</f>
        <v>10.2460633823496</v>
      </c>
      <c r="S171" s="3390"/>
      <c r="T171" s="1928" t="s">
        <v>649</v>
      </c>
      <c r="U171" s="1300"/>
      <c r="V171" s="1300"/>
      <c r="W171" s="62930"/>
      <c r="X171" s="62930"/>
      <c r="Y171" s="62930"/>
      <c r="Z171" s="62930"/>
      <c r="AA171" s="62930"/>
      <c r="AB171" s="62930"/>
      <c r="AC171" s="1300"/>
      <c r="AD171" s="62930"/>
      <c r="AE171" s="62930"/>
      <c r="AF171" s="62930"/>
      <c r="AG171" s="62930"/>
      <c r="AH171" s="62930"/>
      <c r="AI171" s="62930"/>
      <c r="AJ171" s="62930"/>
      <c r="AK171" s="62930"/>
      <c r="AL171" s="62930"/>
      <c r="AM171" s="62930"/>
      <c r="AN171" s="62930"/>
      <c r="AO171" s="62930"/>
      <c r="AP171" s="62930"/>
      <c r="AQ171" s="62930"/>
      <c r="AR171" s="62930"/>
      <c r="AS171" s="62930"/>
      <c r="AT171" s="62930"/>
      <c r="AU171" s="62930"/>
      <c r="AV171" s="62930"/>
      <c r="AW171" s="62930"/>
      <c r="AX171" s="62930"/>
      <c r="AY171" s="62930"/>
      <c r="AZ171" s="62930"/>
      <c r="BA171" s="62930"/>
      <c r="BB171" s="62930"/>
      <c r="BC171" s="62930"/>
      <c r="BD171" s="62930"/>
      <c r="BE171" s="62930"/>
      <c r="BF171" s="62930"/>
      <c r="BG171" s="62930"/>
      <c r="BH171" s="62930"/>
      <c r="BI171" s="62930"/>
      <c r="BJ171" s="62930"/>
      <c r="BK171" s="62930"/>
      <c r="BL171" s="62930"/>
      <c r="BM171" s="62930"/>
      <c r="BN171" s="62930"/>
      <c r="BO171" s="62930"/>
      <c r="BP171" s="62930"/>
      <c r="BQ171" s="62930"/>
      <c r="BR171" s="62930"/>
      <c r="BS171" s="62930"/>
      <c r="BT171" s="62930"/>
      <c r="BU171" s="62930"/>
      <c r="BV171" s="62930"/>
      <c r="BW171" s="62930"/>
      <c r="BX171" s="62930"/>
      <c r="BY171" s="62930"/>
      <c r="BZ171" s="62930"/>
      <c r="CA171" s="62930"/>
      <c r="CB171" s="62930"/>
      <c r="CC171" s="62930"/>
      <c r="CD171" s="62930"/>
      <c r="CE171" s="62930"/>
      <c r="CF171" s="62930"/>
    </row>
    <row customHeight="1" ht="11.25">
      <c r="A172" s="3017"/>
      <c r="B172" s="2371"/>
      <c r="C172" s="1623"/>
      <c r="D172" s="1300"/>
      <c r="E172" s="3784"/>
      <c r="F172" s="3319" t="s">
        <v>102</v>
      </c>
      <c r="G172" s="3786"/>
      <c r="H172" s="3338"/>
      <c r="I172" s="3726" t="s">
        <v>652</v>
      </c>
      <c r="J172" s="62931" t="s">
        <v>672</v>
      </c>
      <c r="K172" s="3781" t="s">
        <v>758</v>
      </c>
      <c r="L172" s="1851"/>
      <c r="M172" s="1852" t="s">
        <v>99</v>
      </c>
      <c r="N172" s="3006" t="s">
        <v>759</v>
      </c>
      <c r="O172" s="1853">
        <v>8471.47</v>
      </c>
      <c r="P172" s="1854" t="s">
        <v>656</v>
      </c>
      <c r="Q172" s="1853">
        <f>O172</f>
        <v>8471.47</v>
      </c>
      <c r="R172" s="1855">
        <v>0</v>
      </c>
      <c r="S172" s="3390"/>
      <c r="T172" s="1928"/>
      <c r="U172" s="1300"/>
      <c r="V172" s="1300"/>
      <c r="W172" s="62930"/>
      <c r="X172" s="62930"/>
      <c r="Y172" s="62930"/>
      <c r="Z172" s="62930"/>
      <c r="AA172" s="62930"/>
      <c r="AB172" s="62930"/>
      <c r="AC172" s="1300"/>
      <c r="AD172" s="62930"/>
      <c r="AE172" s="62930"/>
      <c r="AF172" s="62930"/>
      <c r="AG172" s="62930"/>
      <c r="AH172" s="62930"/>
      <c r="AI172" s="62930"/>
      <c r="AJ172" s="62930"/>
      <c r="AK172" s="62930"/>
      <c r="AL172" s="62930"/>
      <c r="AM172" s="62930"/>
      <c r="AN172" s="62930"/>
      <c r="AO172" s="62930"/>
      <c r="AP172" s="62930"/>
      <c r="AQ172" s="62930"/>
      <c r="AR172" s="62930"/>
      <c r="AS172" s="62930"/>
      <c r="AT172" s="62930"/>
      <c r="AU172" s="62930"/>
      <c r="AV172" s="62930"/>
      <c r="AW172" s="62930"/>
      <c r="AX172" s="62930"/>
      <c r="AY172" s="62930"/>
      <c r="AZ172" s="62930"/>
      <c r="BA172" s="62930"/>
      <c r="BB172" s="62930"/>
      <c r="BC172" s="62930"/>
      <c r="BD172" s="62930"/>
      <c r="BE172" s="62930"/>
      <c r="BF172" s="62930"/>
      <c r="BG172" s="62930"/>
      <c r="BH172" s="62930"/>
      <c r="BI172" s="62930"/>
      <c r="BJ172" s="62930"/>
      <c r="BK172" s="62930"/>
      <c r="BL172" s="62930"/>
      <c r="BM172" s="62930"/>
      <c r="BN172" s="62930"/>
      <c r="BO172" s="62930"/>
      <c r="BP172" s="62930"/>
      <c r="BQ172" s="62930"/>
      <c r="BR172" s="62930"/>
      <c r="BS172" s="62930"/>
      <c r="BT172" s="62930"/>
      <c r="BU172" s="62930"/>
      <c r="BV172" s="62930"/>
      <c r="BW172" s="62930"/>
      <c r="BX172" s="62930"/>
      <c r="BY172" s="62930"/>
      <c r="BZ172" s="62930"/>
      <c r="CA172" s="62930"/>
      <c r="CB172" s="62930"/>
      <c r="CC172" s="62930"/>
      <c r="CD172" s="62930"/>
      <c r="CE172" s="62930"/>
      <c r="CF172" s="62930"/>
    </row>
    <row customHeight="1" ht="11.25">
      <c r="A173" s="3017"/>
      <c r="B173" s="2371"/>
      <c r="C173" s="1623"/>
      <c r="D173" s="1300"/>
      <c r="E173" s="3784"/>
      <c r="F173" s="3319" t="s">
        <v>102</v>
      </c>
      <c r="G173" s="3786"/>
      <c r="H173" s="3338"/>
      <c r="I173" s="3726"/>
      <c r="J173" s="3780"/>
      <c r="K173" s="3782"/>
      <c r="L173" s="1856"/>
      <c r="M173" s="1857"/>
      <c r="N173" s="1858" t="s">
        <v>657</v>
      </c>
      <c r="O173" s="1858"/>
      <c r="P173" s="1858"/>
      <c r="Q173" s="1858"/>
      <c r="R173" s="1859"/>
      <c r="S173" s="3390"/>
      <c r="T173" s="1928"/>
      <c r="U173" s="1300"/>
      <c r="V173" s="1300"/>
      <c r="W173" s="62930"/>
      <c r="X173" s="62930"/>
      <c r="Y173" s="62930"/>
      <c r="Z173" s="62930"/>
      <c r="AA173" s="62930"/>
      <c r="AB173" s="62930"/>
      <c r="AC173" s="1300"/>
      <c r="AD173" s="62930"/>
      <c r="AE173" s="62930"/>
      <c r="AF173" s="62930"/>
      <c r="AG173" s="62930"/>
      <c r="AH173" s="62930"/>
      <c r="AI173" s="62930"/>
      <c r="AJ173" s="62930"/>
      <c r="AK173" s="62930"/>
      <c r="AL173" s="62930"/>
      <c r="AM173" s="62930"/>
      <c r="AN173" s="62930"/>
      <c r="AO173" s="62930"/>
      <c r="AP173" s="62930"/>
      <c r="AQ173" s="62930"/>
      <c r="AR173" s="62930"/>
      <c r="AS173" s="62930"/>
      <c r="AT173" s="62930"/>
      <c r="AU173" s="62930"/>
      <c r="AV173" s="62930"/>
      <c r="AW173" s="62930"/>
      <c r="AX173" s="62930"/>
      <c r="AY173" s="62930"/>
      <c r="AZ173" s="62930"/>
      <c r="BA173" s="62930"/>
      <c r="BB173" s="62930"/>
      <c r="BC173" s="62930"/>
      <c r="BD173" s="62930"/>
      <c r="BE173" s="62930"/>
      <c r="BF173" s="62930"/>
      <c r="BG173" s="62930"/>
      <c r="BH173" s="62930"/>
      <c r="BI173" s="62930"/>
      <c r="BJ173" s="62930"/>
      <c r="BK173" s="62930"/>
      <c r="BL173" s="62930"/>
      <c r="BM173" s="62930"/>
      <c r="BN173" s="62930"/>
      <c r="BO173" s="62930"/>
      <c r="BP173" s="62930"/>
      <c r="BQ173" s="62930"/>
      <c r="BR173" s="62930"/>
      <c r="BS173" s="62930"/>
      <c r="BT173" s="62930"/>
      <c r="BU173" s="62930"/>
      <c r="BV173" s="62930"/>
      <c r="BW173" s="62930"/>
      <c r="BX173" s="62930"/>
      <c r="BY173" s="62930"/>
      <c r="BZ173" s="62930"/>
      <c r="CA173" s="62930"/>
      <c r="CB173" s="62930"/>
      <c r="CC173" s="62930"/>
      <c r="CD173" s="62930"/>
      <c r="CE173" s="62930"/>
      <c r="CF173" s="62930"/>
    </row>
    <row customHeight="1" ht="11.25">
      <c r="A174" s="3017"/>
      <c r="B174" s="2371"/>
      <c r="C174" s="1623"/>
      <c r="D174" s="1300"/>
      <c r="E174" s="3785"/>
      <c r="F174" s="3319" t="s">
        <v>102</v>
      </c>
      <c r="G174" s="3787"/>
      <c r="H174" s="1856" t="s">
        <v>22</v>
      </c>
      <c r="I174" s="1857"/>
      <c r="J174" s="1858" t="s">
        <v>667</v>
      </c>
      <c r="K174" s="1858"/>
      <c r="L174" s="1858"/>
      <c r="M174" s="1858"/>
      <c r="N174" s="1858"/>
      <c r="O174" s="1858"/>
      <c r="P174" s="1858"/>
      <c r="Q174" s="1858"/>
      <c r="R174" s="1859"/>
      <c r="S174" s="3390"/>
      <c r="T174" s="1928"/>
      <c r="U174" s="1300"/>
      <c r="V174" s="1300"/>
      <c r="W174" s="62930"/>
      <c r="X174" s="62930"/>
      <c r="Y174" s="62930"/>
      <c r="Z174" s="62930"/>
      <c r="AA174" s="62930"/>
      <c r="AB174" s="62930"/>
      <c r="AC174" s="1300"/>
      <c r="AD174" s="62930"/>
      <c r="AE174" s="62930"/>
      <c r="AF174" s="62930"/>
      <c r="AG174" s="62930"/>
      <c r="AH174" s="62930"/>
      <c r="AI174" s="62930"/>
      <c r="AJ174" s="62930"/>
      <c r="AK174" s="62930"/>
      <c r="AL174" s="62930"/>
      <c r="AM174" s="62930"/>
      <c r="AN174" s="62930"/>
      <c r="AO174" s="62930"/>
      <c r="AP174" s="62930"/>
      <c r="AQ174" s="62930"/>
      <c r="AR174" s="62930"/>
      <c r="AS174" s="62930"/>
      <c r="AT174" s="62930"/>
      <c r="AU174" s="62930"/>
      <c r="AV174" s="62930"/>
      <c r="AW174" s="62930"/>
      <c r="AX174" s="62930"/>
      <c r="AY174" s="62930"/>
      <c r="AZ174" s="62930"/>
      <c r="BA174" s="62930"/>
      <c r="BB174" s="62930"/>
      <c r="BC174" s="62930"/>
      <c r="BD174" s="62930"/>
      <c r="BE174" s="62930"/>
      <c r="BF174" s="62930"/>
      <c r="BG174" s="62930"/>
      <c r="BH174" s="62930"/>
      <c r="BI174" s="62930"/>
      <c r="BJ174" s="62930"/>
      <c r="BK174" s="62930"/>
      <c r="BL174" s="62930"/>
      <c r="BM174" s="62930"/>
      <c r="BN174" s="62930"/>
      <c r="BO174" s="62930"/>
      <c r="BP174" s="62930"/>
      <c r="BQ174" s="62930"/>
      <c r="BR174" s="62930"/>
      <c r="BS174" s="62930"/>
      <c r="BT174" s="62930"/>
      <c r="BU174" s="62930"/>
      <c r="BV174" s="62930"/>
      <c r="BW174" s="62930"/>
      <c r="BX174" s="62930"/>
      <c r="BY174" s="62930"/>
      <c r="BZ174" s="62930"/>
      <c r="CA174" s="62930"/>
      <c r="CB174" s="62930"/>
      <c r="CC174" s="62930"/>
      <c r="CD174" s="62930"/>
      <c r="CE174" s="62930"/>
      <c r="CF174" s="62930"/>
    </row>
    <row customHeight="1" ht="45">
      <c r="A175" s="3017"/>
      <c r="B175" s="2371"/>
      <c r="C175" s="1623"/>
      <c r="D175" s="1300"/>
      <c r="E175" s="3783" t="s">
        <v>103</v>
      </c>
      <c r="F175" s="3319" t="s">
        <v>91</v>
      </c>
      <c r="G175" s="3786" t="s">
        <v>760</v>
      </c>
      <c r="H175" s="1500"/>
      <c r="I175" s="1848" t="s">
        <v>99</v>
      </c>
      <c r="J175" s="3018" t="s">
        <v>651</v>
      </c>
      <c r="K175" s="1849" t="s">
        <v>564</v>
      </c>
      <c r="L175" s="3435" t="s">
        <v>564</v>
      </c>
      <c r="M175" s="3788"/>
      <c r="N175" s="1849" t="s">
        <v>564</v>
      </c>
      <c r="O175" s="1849" t="s">
        <v>564</v>
      </c>
      <c r="P175" s="1849" t="s">
        <v>564</v>
      </c>
      <c r="Q175" s="1850">
        <f>SUM(Q176:Q178)</f>
        <v>75.08</v>
      </c>
      <c r="R175" s="1850">
        <f>IF('Показатели ФХД'!M89=0,0,($Q$175/'Показатели ФХД'!M89)*100)</f>
        <v>0.0908076684149038</v>
      </c>
      <c r="S175" s="3390"/>
      <c r="T175" s="1928" t="s">
        <v>649</v>
      </c>
      <c r="U175" s="1300"/>
      <c r="V175" s="1300"/>
      <c r="W175" s="62930"/>
      <c r="X175" s="62930"/>
      <c r="Y175" s="62930"/>
      <c r="Z175" s="62930"/>
      <c r="AA175" s="62930"/>
      <c r="AB175" s="62930"/>
      <c r="AC175" s="1300"/>
      <c r="AD175" s="62930"/>
      <c r="AE175" s="62930"/>
      <c r="AF175" s="62930"/>
      <c r="AG175" s="62930"/>
      <c r="AH175" s="62930"/>
      <c r="AI175" s="62930"/>
      <c r="AJ175" s="62930"/>
      <c r="AK175" s="62930"/>
      <c r="AL175" s="62930"/>
      <c r="AM175" s="62930"/>
      <c r="AN175" s="62930"/>
      <c r="AO175" s="62930"/>
      <c r="AP175" s="62930"/>
      <c r="AQ175" s="62930"/>
      <c r="AR175" s="62930"/>
      <c r="AS175" s="62930"/>
      <c r="AT175" s="62930"/>
      <c r="AU175" s="62930"/>
      <c r="AV175" s="62930"/>
      <c r="AW175" s="62930"/>
      <c r="AX175" s="62930"/>
      <c r="AY175" s="62930"/>
      <c r="AZ175" s="62930"/>
      <c r="BA175" s="62930"/>
      <c r="BB175" s="62930"/>
      <c r="BC175" s="62930"/>
      <c r="BD175" s="62930"/>
      <c r="BE175" s="62930"/>
      <c r="BF175" s="62930"/>
      <c r="BG175" s="62930"/>
      <c r="BH175" s="62930"/>
      <c r="BI175" s="62930"/>
      <c r="BJ175" s="62930"/>
      <c r="BK175" s="62930"/>
      <c r="BL175" s="62930"/>
      <c r="BM175" s="62930"/>
      <c r="BN175" s="62930"/>
      <c r="BO175" s="62930"/>
      <c r="BP175" s="62930"/>
      <c r="BQ175" s="62930"/>
      <c r="BR175" s="62930"/>
      <c r="BS175" s="62930"/>
      <c r="BT175" s="62930"/>
      <c r="BU175" s="62930"/>
      <c r="BV175" s="62930"/>
      <c r="BW175" s="62930"/>
      <c r="BX175" s="62930"/>
      <c r="BY175" s="62930"/>
      <c r="BZ175" s="62930"/>
      <c r="CA175" s="62930"/>
      <c r="CB175" s="62930"/>
      <c r="CC175" s="62930"/>
      <c r="CD175" s="62930"/>
      <c r="CE175" s="62930"/>
      <c r="CF175" s="62930"/>
    </row>
    <row customHeight="1" ht="37.5">
      <c r="A176" s="3017"/>
      <c r="B176" s="2371"/>
      <c r="C176" s="1623"/>
      <c r="D176" s="1300"/>
      <c r="E176" s="3784"/>
      <c r="F176" s="3319" t="s">
        <v>90</v>
      </c>
      <c r="G176" s="3786"/>
      <c r="H176" s="3338"/>
      <c r="I176" s="3726" t="s">
        <v>652</v>
      </c>
      <c r="J176" s="62931" t="s">
        <v>672</v>
      </c>
      <c r="K176" s="3781" t="s">
        <v>761</v>
      </c>
      <c r="L176" s="1851"/>
      <c r="M176" s="1852" t="s">
        <v>99</v>
      </c>
      <c r="N176" s="3006" t="s">
        <v>762</v>
      </c>
      <c r="O176" s="1853">
        <v>75.08</v>
      </c>
      <c r="P176" s="1854" t="s">
        <v>656</v>
      </c>
      <c r="Q176" s="1853">
        <f>O176</f>
        <v>75.08</v>
      </c>
      <c r="R176" s="1855">
        <v>0</v>
      </c>
      <c r="S176" s="3390"/>
      <c r="T176" s="1928"/>
      <c r="U176" s="1300"/>
      <c r="V176" s="1300"/>
      <c r="W176" s="62930"/>
      <c r="X176" s="62930"/>
      <c r="Y176" s="62930"/>
      <c r="Z176" s="62930"/>
      <c r="AA176" s="62930"/>
      <c r="AB176" s="62930"/>
      <c r="AC176" s="1300"/>
      <c r="AD176" s="62930"/>
      <c r="AE176" s="62930"/>
      <c r="AF176" s="62930"/>
      <c r="AG176" s="62930"/>
      <c r="AH176" s="62930"/>
      <c r="AI176" s="62930"/>
      <c r="AJ176" s="62930"/>
      <c r="AK176" s="62930"/>
      <c r="AL176" s="62930"/>
      <c r="AM176" s="62930"/>
      <c r="AN176" s="62930"/>
      <c r="AO176" s="62930"/>
      <c r="AP176" s="62930"/>
      <c r="AQ176" s="62930"/>
      <c r="AR176" s="62930"/>
      <c r="AS176" s="62930"/>
      <c r="AT176" s="62930"/>
      <c r="AU176" s="62930"/>
      <c r="AV176" s="62930"/>
      <c r="AW176" s="62930"/>
      <c r="AX176" s="62930"/>
      <c r="AY176" s="62930"/>
      <c r="AZ176" s="62930"/>
      <c r="BA176" s="62930"/>
      <c r="BB176" s="62930"/>
      <c r="BC176" s="62930"/>
      <c r="BD176" s="62930"/>
      <c r="BE176" s="62930"/>
      <c r="BF176" s="62930"/>
      <c r="BG176" s="62930"/>
      <c r="BH176" s="62930"/>
      <c r="BI176" s="62930"/>
      <c r="BJ176" s="62930"/>
      <c r="BK176" s="62930"/>
      <c r="BL176" s="62930"/>
      <c r="BM176" s="62930"/>
      <c r="BN176" s="62930"/>
      <c r="BO176" s="62930"/>
      <c r="BP176" s="62930"/>
      <c r="BQ176" s="62930"/>
      <c r="BR176" s="62930"/>
      <c r="BS176" s="62930"/>
      <c r="BT176" s="62930"/>
      <c r="BU176" s="62930"/>
      <c r="BV176" s="62930"/>
      <c r="BW176" s="62930"/>
      <c r="BX176" s="62930"/>
      <c r="BY176" s="62930"/>
      <c r="BZ176" s="62930"/>
      <c r="CA176" s="62930"/>
      <c r="CB176" s="62930"/>
      <c r="CC176" s="62930"/>
      <c r="CD176" s="62930"/>
      <c r="CE176" s="62930"/>
      <c r="CF176" s="62930"/>
    </row>
    <row customHeight="1" ht="39.75">
      <c r="A177" s="3017"/>
      <c r="B177" s="2371"/>
      <c r="C177" s="1623"/>
      <c r="D177" s="1300"/>
      <c r="E177" s="3784"/>
      <c r="F177" s="3319" t="s">
        <v>90</v>
      </c>
      <c r="G177" s="3786"/>
      <c r="H177" s="3338"/>
      <c r="I177" s="3726"/>
      <c r="J177" s="3780"/>
      <c r="K177" s="3782"/>
      <c r="L177" s="1856"/>
      <c r="M177" s="1857"/>
      <c r="N177" s="1858" t="s">
        <v>657</v>
      </c>
      <c r="O177" s="1858"/>
      <c r="P177" s="1858"/>
      <c r="Q177" s="1858"/>
      <c r="R177" s="1859"/>
      <c r="S177" s="3390"/>
      <c r="T177" s="1928"/>
      <c r="U177" s="1300"/>
      <c r="V177" s="1300"/>
      <c r="W177" s="62930"/>
      <c r="X177" s="62930"/>
      <c r="Y177" s="62930"/>
      <c r="Z177" s="62930"/>
      <c r="AA177" s="62930"/>
      <c r="AB177" s="62930"/>
      <c r="AC177" s="1300"/>
      <c r="AD177" s="62930"/>
      <c r="AE177" s="62930"/>
      <c r="AF177" s="62930"/>
      <c r="AG177" s="62930"/>
      <c r="AH177" s="62930"/>
      <c r="AI177" s="62930"/>
      <c r="AJ177" s="62930"/>
      <c r="AK177" s="62930"/>
      <c r="AL177" s="62930"/>
      <c r="AM177" s="62930"/>
      <c r="AN177" s="62930"/>
      <c r="AO177" s="62930"/>
      <c r="AP177" s="62930"/>
      <c r="AQ177" s="62930"/>
      <c r="AR177" s="62930"/>
      <c r="AS177" s="62930"/>
      <c r="AT177" s="62930"/>
      <c r="AU177" s="62930"/>
      <c r="AV177" s="62930"/>
      <c r="AW177" s="62930"/>
      <c r="AX177" s="62930"/>
      <c r="AY177" s="62930"/>
      <c r="AZ177" s="62930"/>
      <c r="BA177" s="62930"/>
      <c r="BB177" s="62930"/>
      <c r="BC177" s="62930"/>
      <c r="BD177" s="62930"/>
      <c r="BE177" s="62930"/>
      <c r="BF177" s="62930"/>
      <c r="BG177" s="62930"/>
      <c r="BH177" s="62930"/>
      <c r="BI177" s="62930"/>
      <c r="BJ177" s="62930"/>
      <c r="BK177" s="62930"/>
      <c r="BL177" s="62930"/>
      <c r="BM177" s="62930"/>
      <c r="BN177" s="62930"/>
      <c r="BO177" s="62930"/>
      <c r="BP177" s="62930"/>
      <c r="BQ177" s="62930"/>
      <c r="BR177" s="62930"/>
      <c r="BS177" s="62930"/>
      <c r="BT177" s="62930"/>
      <c r="BU177" s="62930"/>
      <c r="BV177" s="62930"/>
      <c r="BW177" s="62930"/>
      <c r="BX177" s="62930"/>
      <c r="BY177" s="62930"/>
      <c r="BZ177" s="62930"/>
      <c r="CA177" s="62930"/>
      <c r="CB177" s="62930"/>
      <c r="CC177" s="62930"/>
      <c r="CD177" s="62930"/>
      <c r="CE177" s="62930"/>
      <c r="CF177" s="62930"/>
    </row>
    <row customHeight="1" ht="11.25">
      <c r="A178" s="3017"/>
      <c r="B178" s="2371"/>
      <c r="C178" s="1623"/>
      <c r="D178" s="1300"/>
      <c r="E178" s="3785"/>
      <c r="F178" s="3319" t="s">
        <v>90</v>
      </c>
      <c r="G178" s="3787"/>
      <c r="H178" s="1856" t="s">
        <v>22</v>
      </c>
      <c r="I178" s="1857"/>
      <c r="J178" s="1858" t="s">
        <v>667</v>
      </c>
      <c r="K178" s="1858"/>
      <c r="L178" s="1858"/>
      <c r="M178" s="1858"/>
      <c r="N178" s="1858"/>
      <c r="O178" s="1858"/>
      <c r="P178" s="1858"/>
      <c r="Q178" s="1858"/>
      <c r="R178" s="1859"/>
      <c r="S178" s="3390"/>
      <c r="T178" s="1928"/>
      <c r="U178" s="1300"/>
      <c r="V178" s="1300"/>
      <c r="W178" s="62930"/>
      <c r="X178" s="62930"/>
      <c r="Y178" s="62930"/>
      <c r="Z178" s="62930"/>
      <c r="AA178" s="62930"/>
      <c r="AB178" s="62930"/>
      <c r="AC178" s="1300"/>
      <c r="AD178" s="62930"/>
      <c r="AE178" s="62930"/>
      <c r="AF178" s="62930"/>
      <c r="AG178" s="62930"/>
      <c r="AH178" s="62930"/>
      <c r="AI178" s="62930"/>
      <c r="AJ178" s="62930"/>
      <c r="AK178" s="62930"/>
      <c r="AL178" s="62930"/>
      <c r="AM178" s="62930"/>
      <c r="AN178" s="62930"/>
      <c r="AO178" s="62930"/>
      <c r="AP178" s="62930"/>
      <c r="AQ178" s="62930"/>
      <c r="AR178" s="62930"/>
      <c r="AS178" s="62930"/>
      <c r="AT178" s="62930"/>
      <c r="AU178" s="62930"/>
      <c r="AV178" s="62930"/>
      <c r="AW178" s="62930"/>
      <c r="AX178" s="62930"/>
      <c r="AY178" s="62930"/>
      <c r="AZ178" s="62930"/>
      <c r="BA178" s="62930"/>
      <c r="BB178" s="62930"/>
      <c r="BC178" s="62930"/>
      <c r="BD178" s="62930"/>
      <c r="BE178" s="62930"/>
      <c r="BF178" s="62930"/>
      <c r="BG178" s="62930"/>
      <c r="BH178" s="62930"/>
      <c r="BI178" s="62930"/>
      <c r="BJ178" s="62930"/>
      <c r="BK178" s="62930"/>
      <c r="BL178" s="62930"/>
      <c r="BM178" s="62930"/>
      <c r="BN178" s="62930"/>
      <c r="BO178" s="62930"/>
      <c r="BP178" s="62930"/>
      <c r="BQ178" s="62930"/>
      <c r="BR178" s="62930"/>
      <c r="BS178" s="62930"/>
      <c r="BT178" s="62930"/>
      <c r="BU178" s="62930"/>
      <c r="BV178" s="62930"/>
      <c r="BW178" s="62930"/>
      <c r="BX178" s="62930"/>
      <c r="BY178" s="62930"/>
      <c r="BZ178" s="62930"/>
      <c r="CA178" s="62930"/>
      <c r="CB178" s="62930"/>
      <c r="CC178" s="62930"/>
      <c r="CD178" s="62930"/>
      <c r="CE178" s="62930"/>
      <c r="CF178" s="62930"/>
    </row>
    <row customHeight="1" ht="45">
      <c r="A179" s="3017"/>
      <c r="B179" s="2371"/>
      <c r="C179" s="1623"/>
      <c r="D179" s="1300"/>
      <c r="E179" s="3783" t="s">
        <v>103</v>
      </c>
      <c r="F179" s="3319" t="s">
        <v>122</v>
      </c>
      <c r="G179" s="3786" t="s">
        <v>763</v>
      </c>
      <c r="H179" s="1500"/>
      <c r="I179" s="1848" t="s">
        <v>99</v>
      </c>
      <c r="J179" s="3018" t="s">
        <v>651</v>
      </c>
      <c r="K179" s="1849" t="s">
        <v>564</v>
      </c>
      <c r="L179" s="3435" t="s">
        <v>564</v>
      </c>
      <c r="M179" s="3788"/>
      <c r="N179" s="1849" t="s">
        <v>564</v>
      </c>
      <c r="O179" s="1849" t="s">
        <v>564</v>
      </c>
      <c r="P179" s="1849" t="s">
        <v>564</v>
      </c>
      <c r="Q179" s="1850">
        <f>SUM(Q180:Q182)</f>
        <v>13342.73</v>
      </c>
      <c r="R179" s="1850">
        <f>IF('Показатели ФХД'!M89=0,0,($Q$179/'Показатели ФХД'!M89)*100)</f>
        <v>16.1377490888331</v>
      </c>
      <c r="S179" s="3390"/>
      <c r="T179" s="1928" t="s">
        <v>649</v>
      </c>
      <c r="U179" s="1300"/>
      <c r="V179" s="1300"/>
      <c r="W179" s="62930"/>
      <c r="X179" s="62930"/>
      <c r="Y179" s="62930"/>
      <c r="Z179" s="62930"/>
      <c r="AA179" s="62930"/>
      <c r="AB179" s="62930"/>
      <c r="AC179" s="1300"/>
      <c r="AD179" s="62930"/>
      <c r="AE179" s="62930"/>
      <c r="AF179" s="62930"/>
      <c r="AG179" s="62930"/>
      <c r="AH179" s="62930"/>
      <c r="AI179" s="62930"/>
      <c r="AJ179" s="62930"/>
      <c r="AK179" s="62930"/>
      <c r="AL179" s="62930"/>
      <c r="AM179" s="62930"/>
      <c r="AN179" s="62930"/>
      <c r="AO179" s="62930"/>
      <c r="AP179" s="62930"/>
      <c r="AQ179" s="62930"/>
      <c r="AR179" s="62930"/>
      <c r="AS179" s="62930"/>
      <c r="AT179" s="62930"/>
      <c r="AU179" s="62930"/>
      <c r="AV179" s="62930"/>
      <c r="AW179" s="62930"/>
      <c r="AX179" s="62930"/>
      <c r="AY179" s="62930"/>
      <c r="AZ179" s="62930"/>
      <c r="BA179" s="62930"/>
      <c r="BB179" s="62930"/>
      <c r="BC179" s="62930"/>
      <c r="BD179" s="62930"/>
      <c r="BE179" s="62930"/>
      <c r="BF179" s="62930"/>
      <c r="BG179" s="62930"/>
      <c r="BH179" s="62930"/>
      <c r="BI179" s="62930"/>
      <c r="BJ179" s="62930"/>
      <c r="BK179" s="62930"/>
      <c r="BL179" s="62930"/>
      <c r="BM179" s="62930"/>
      <c r="BN179" s="62930"/>
      <c r="BO179" s="62930"/>
      <c r="BP179" s="62930"/>
      <c r="BQ179" s="62930"/>
      <c r="BR179" s="62930"/>
      <c r="BS179" s="62930"/>
      <c r="BT179" s="62930"/>
      <c r="BU179" s="62930"/>
      <c r="BV179" s="62930"/>
      <c r="BW179" s="62930"/>
      <c r="BX179" s="62930"/>
      <c r="BY179" s="62930"/>
      <c r="BZ179" s="62930"/>
      <c r="CA179" s="62930"/>
      <c r="CB179" s="62930"/>
      <c r="CC179" s="62930"/>
      <c r="CD179" s="62930"/>
      <c r="CE179" s="62930"/>
      <c r="CF179" s="62930"/>
    </row>
    <row customHeight="1" ht="11.25">
      <c r="A180" s="3017"/>
      <c r="B180" s="2371"/>
      <c r="C180" s="1623"/>
      <c r="D180" s="1300"/>
      <c r="E180" s="3784"/>
      <c r="F180" s="3319" t="s">
        <v>91</v>
      </c>
      <c r="G180" s="3786"/>
      <c r="H180" s="3338"/>
      <c r="I180" s="3726" t="s">
        <v>652</v>
      </c>
      <c r="J180" s="62931" t="s">
        <v>672</v>
      </c>
      <c r="K180" s="3781" t="s">
        <v>764</v>
      </c>
      <c r="L180" s="1851"/>
      <c r="M180" s="1852" t="s">
        <v>99</v>
      </c>
      <c r="N180" s="3006" t="s">
        <v>765</v>
      </c>
      <c r="O180" s="1853">
        <v>13342.73</v>
      </c>
      <c r="P180" s="1854" t="s">
        <v>656</v>
      </c>
      <c r="Q180" s="1853">
        <f>O180</f>
        <v>13342.73</v>
      </c>
      <c r="R180" s="1855">
        <v>0</v>
      </c>
      <c r="S180" s="3390"/>
      <c r="T180" s="1928"/>
      <c r="U180" s="1300"/>
      <c r="V180" s="1300"/>
      <c r="W180" s="62930"/>
      <c r="X180" s="62930"/>
      <c r="Y180" s="62930"/>
      <c r="Z180" s="62930"/>
      <c r="AA180" s="62930"/>
      <c r="AB180" s="62930"/>
      <c r="AC180" s="1300"/>
      <c r="AD180" s="62930"/>
      <c r="AE180" s="62930"/>
      <c r="AF180" s="62930"/>
      <c r="AG180" s="62930"/>
      <c r="AH180" s="62930"/>
      <c r="AI180" s="62930"/>
      <c r="AJ180" s="62930"/>
      <c r="AK180" s="62930"/>
      <c r="AL180" s="62930"/>
      <c r="AM180" s="62930"/>
      <c r="AN180" s="62930"/>
      <c r="AO180" s="62930"/>
      <c r="AP180" s="62930"/>
      <c r="AQ180" s="62930"/>
      <c r="AR180" s="62930"/>
      <c r="AS180" s="62930"/>
      <c r="AT180" s="62930"/>
      <c r="AU180" s="62930"/>
      <c r="AV180" s="62930"/>
      <c r="AW180" s="62930"/>
      <c r="AX180" s="62930"/>
      <c r="AY180" s="62930"/>
      <c r="AZ180" s="62930"/>
      <c r="BA180" s="62930"/>
      <c r="BB180" s="62930"/>
      <c r="BC180" s="62930"/>
      <c r="BD180" s="62930"/>
      <c r="BE180" s="62930"/>
      <c r="BF180" s="62930"/>
      <c r="BG180" s="62930"/>
      <c r="BH180" s="62930"/>
      <c r="BI180" s="62930"/>
      <c r="BJ180" s="62930"/>
      <c r="BK180" s="62930"/>
      <c r="BL180" s="62930"/>
      <c r="BM180" s="62930"/>
      <c r="BN180" s="62930"/>
      <c r="BO180" s="62930"/>
      <c r="BP180" s="62930"/>
      <c r="BQ180" s="62930"/>
      <c r="BR180" s="62930"/>
      <c r="BS180" s="62930"/>
      <c r="BT180" s="62930"/>
      <c r="BU180" s="62930"/>
      <c r="BV180" s="62930"/>
      <c r="BW180" s="62930"/>
      <c r="BX180" s="62930"/>
      <c r="BY180" s="62930"/>
      <c r="BZ180" s="62930"/>
      <c r="CA180" s="62930"/>
      <c r="CB180" s="62930"/>
      <c r="CC180" s="62930"/>
      <c r="CD180" s="62930"/>
      <c r="CE180" s="62930"/>
      <c r="CF180" s="62930"/>
    </row>
    <row customHeight="1" ht="11.25">
      <c r="A181" s="3017"/>
      <c r="B181" s="2371"/>
      <c r="C181" s="1623"/>
      <c r="D181" s="1300"/>
      <c r="E181" s="3784"/>
      <c r="F181" s="3319" t="s">
        <v>91</v>
      </c>
      <c r="G181" s="3786"/>
      <c r="H181" s="3338"/>
      <c r="I181" s="3726"/>
      <c r="J181" s="3780"/>
      <c r="K181" s="3782"/>
      <c r="L181" s="1856"/>
      <c r="M181" s="1857"/>
      <c r="N181" s="1858" t="s">
        <v>657</v>
      </c>
      <c r="O181" s="1858"/>
      <c r="P181" s="1858"/>
      <c r="Q181" s="1858"/>
      <c r="R181" s="1859"/>
      <c r="S181" s="3390"/>
      <c r="T181" s="1928"/>
      <c r="U181" s="1300"/>
      <c r="V181" s="1300"/>
      <c r="W181" s="62930"/>
      <c r="X181" s="62930"/>
      <c r="Y181" s="62930"/>
      <c r="Z181" s="62930"/>
      <c r="AA181" s="62930"/>
      <c r="AB181" s="62930"/>
      <c r="AC181" s="1300"/>
      <c r="AD181" s="62930"/>
      <c r="AE181" s="62930"/>
      <c r="AF181" s="62930"/>
      <c r="AG181" s="62930"/>
      <c r="AH181" s="62930"/>
      <c r="AI181" s="62930"/>
      <c r="AJ181" s="62930"/>
      <c r="AK181" s="62930"/>
      <c r="AL181" s="62930"/>
      <c r="AM181" s="62930"/>
      <c r="AN181" s="62930"/>
      <c r="AO181" s="62930"/>
      <c r="AP181" s="62930"/>
      <c r="AQ181" s="62930"/>
      <c r="AR181" s="62930"/>
      <c r="AS181" s="62930"/>
      <c r="AT181" s="62930"/>
      <c r="AU181" s="62930"/>
      <c r="AV181" s="62930"/>
      <c r="AW181" s="62930"/>
      <c r="AX181" s="62930"/>
      <c r="AY181" s="62930"/>
      <c r="AZ181" s="62930"/>
      <c r="BA181" s="62930"/>
      <c r="BB181" s="62930"/>
      <c r="BC181" s="62930"/>
      <c r="BD181" s="62930"/>
      <c r="BE181" s="62930"/>
      <c r="BF181" s="62930"/>
      <c r="BG181" s="62930"/>
      <c r="BH181" s="62930"/>
      <c r="BI181" s="62930"/>
      <c r="BJ181" s="62930"/>
      <c r="BK181" s="62930"/>
      <c r="BL181" s="62930"/>
      <c r="BM181" s="62930"/>
      <c r="BN181" s="62930"/>
      <c r="BO181" s="62930"/>
      <c r="BP181" s="62930"/>
      <c r="BQ181" s="62930"/>
      <c r="BR181" s="62930"/>
      <c r="BS181" s="62930"/>
      <c r="BT181" s="62930"/>
      <c r="BU181" s="62930"/>
      <c r="BV181" s="62930"/>
      <c r="BW181" s="62930"/>
      <c r="BX181" s="62930"/>
      <c r="BY181" s="62930"/>
      <c r="BZ181" s="62930"/>
      <c r="CA181" s="62930"/>
      <c r="CB181" s="62930"/>
      <c r="CC181" s="62930"/>
      <c r="CD181" s="62930"/>
      <c r="CE181" s="62930"/>
      <c r="CF181" s="62930"/>
    </row>
    <row customHeight="1" ht="11.25">
      <c r="A182" s="3017"/>
      <c r="B182" s="2371"/>
      <c r="C182" s="1623"/>
      <c r="D182" s="1300"/>
      <c r="E182" s="3785"/>
      <c r="F182" s="3319" t="s">
        <v>91</v>
      </c>
      <c r="G182" s="3787"/>
      <c r="H182" s="1856" t="s">
        <v>22</v>
      </c>
      <c r="I182" s="1857"/>
      <c r="J182" s="1858" t="s">
        <v>667</v>
      </c>
      <c r="K182" s="1858"/>
      <c r="L182" s="1858"/>
      <c r="M182" s="1858"/>
      <c r="N182" s="1858"/>
      <c r="O182" s="1858"/>
      <c r="P182" s="1858"/>
      <c r="Q182" s="1858"/>
      <c r="R182" s="1859"/>
      <c r="S182" s="3390"/>
      <c r="T182" s="1928"/>
      <c r="U182" s="1300"/>
      <c r="V182" s="1300"/>
      <c r="W182" s="62930"/>
      <c r="X182" s="62930"/>
      <c r="Y182" s="62930"/>
      <c r="Z182" s="62930"/>
      <c r="AA182" s="62930"/>
      <c r="AB182" s="62930"/>
      <c r="AC182" s="1300"/>
      <c r="AD182" s="62930"/>
      <c r="AE182" s="62930"/>
      <c r="AF182" s="62930"/>
      <c r="AG182" s="62930"/>
      <c r="AH182" s="62930"/>
      <c r="AI182" s="62930"/>
      <c r="AJ182" s="62930"/>
      <c r="AK182" s="62930"/>
      <c r="AL182" s="62930"/>
      <c r="AM182" s="62930"/>
      <c r="AN182" s="62930"/>
      <c r="AO182" s="62930"/>
      <c r="AP182" s="62930"/>
      <c r="AQ182" s="62930"/>
      <c r="AR182" s="62930"/>
      <c r="AS182" s="62930"/>
      <c r="AT182" s="62930"/>
      <c r="AU182" s="62930"/>
      <c r="AV182" s="62930"/>
      <c r="AW182" s="62930"/>
      <c r="AX182" s="62930"/>
      <c r="AY182" s="62930"/>
      <c r="AZ182" s="62930"/>
      <c r="BA182" s="62930"/>
      <c r="BB182" s="62930"/>
      <c r="BC182" s="62930"/>
      <c r="BD182" s="62930"/>
      <c r="BE182" s="62930"/>
      <c r="BF182" s="62930"/>
      <c r="BG182" s="62930"/>
      <c r="BH182" s="62930"/>
      <c r="BI182" s="62930"/>
      <c r="BJ182" s="62930"/>
      <c r="BK182" s="62930"/>
      <c r="BL182" s="62930"/>
      <c r="BM182" s="62930"/>
      <c r="BN182" s="62930"/>
      <c r="BO182" s="62930"/>
      <c r="BP182" s="62930"/>
      <c r="BQ182" s="62930"/>
      <c r="BR182" s="62930"/>
      <c r="BS182" s="62930"/>
      <c r="BT182" s="62930"/>
      <c r="BU182" s="62930"/>
      <c r="BV182" s="62930"/>
      <c r="BW182" s="62930"/>
      <c r="BX182" s="62930"/>
      <c r="BY182" s="62930"/>
      <c r="BZ182" s="62930"/>
      <c r="CA182" s="62930"/>
      <c r="CB182" s="62930"/>
      <c r="CC182" s="62930"/>
      <c r="CD182" s="62930"/>
      <c r="CE182" s="62930"/>
      <c r="CF182" s="62930"/>
    </row>
    <row customHeight="1" ht="11.25">
      <c r="A183" s="3017"/>
      <c r="B183" s="2371"/>
      <c r="C183" s="1623"/>
      <c r="D183" s="3790"/>
      <c r="E183" s="1860" t="s">
        <v>22</v>
      </c>
      <c r="F183" s="2379" t="s">
        <v>22</v>
      </c>
      <c r="G183" s="2379" t="s">
        <v>689</v>
      </c>
      <c r="H183" s="1862" t="s">
        <v>22</v>
      </c>
      <c r="I183" s="1862"/>
      <c r="J183" s="1862"/>
      <c r="K183" s="1862"/>
      <c r="L183" s="1862"/>
      <c r="M183" s="1862"/>
      <c r="N183" s="1862"/>
      <c r="O183" s="1862"/>
      <c r="P183" s="1862"/>
      <c r="Q183" s="1862"/>
      <c r="R183" s="1863"/>
      <c r="S183" s="1864"/>
      <c r="T183" s="1929"/>
      <c r="U183" s="3585"/>
      <c r="V183" s="3585"/>
      <c r="W183" s="2371"/>
      <c r="X183" s="2371"/>
      <c r="Y183" s="2371"/>
      <c r="Z183" s="2371"/>
      <c r="AA183" s="2847"/>
      <c r="AB183" s="2371"/>
      <c r="AC183" s="3586"/>
      <c r="AD183" s="1840"/>
      <c r="AE183" s="2371"/>
      <c r="AF183" s="2371"/>
      <c r="AG183" s="2847"/>
      <c r="AH183" s="2847"/>
      <c r="AI183" s="2847"/>
      <c r="AJ183" s="2847"/>
      <c r="AK183" s="2847"/>
      <c r="AL183" s="2847"/>
      <c r="AM183" s="2847"/>
      <c r="AN183" s="2847"/>
      <c r="AO183" s="2847"/>
      <c r="AP183" s="2847"/>
      <c r="AQ183" s="2847"/>
      <c r="AR183" s="2847"/>
      <c r="AS183" s="2847"/>
      <c r="AT183" s="2847"/>
      <c r="AU183" s="2847"/>
      <c r="AV183" s="2847"/>
      <c r="AW183" s="2847"/>
      <c r="AX183" s="2847"/>
      <c r="AY183" s="2847"/>
      <c r="AZ183" s="2847"/>
      <c r="BA183" s="2847"/>
      <c r="BB183" s="2847"/>
      <c r="BC183" s="2847"/>
      <c r="BD183" s="2847"/>
      <c r="BE183" s="2847"/>
      <c r="BF183" s="2847"/>
      <c r="BG183" s="2847"/>
      <c r="BH183" s="2847"/>
      <c r="BI183" s="2847"/>
      <c r="BJ183" s="2847"/>
      <c r="BK183" s="2847"/>
      <c r="BL183" s="2847"/>
      <c r="BM183" s="2847"/>
      <c r="BN183" s="2847"/>
      <c r="BO183" s="2847"/>
      <c r="BP183" s="2847"/>
      <c r="BQ183" s="2847"/>
      <c r="BR183" s="2847"/>
      <c r="BS183" s="2847"/>
      <c r="BT183" s="2847"/>
      <c r="BU183" s="2847"/>
      <c r="BV183" s="2371"/>
      <c r="BW183" s="2371"/>
      <c r="BX183" s="2371"/>
      <c r="BY183" s="2371"/>
      <c r="BZ183" s="2371"/>
      <c r="CA183" s="2371"/>
      <c r="CB183" s="2371"/>
      <c r="CC183" s="2371"/>
      <c r="CD183" s="2371"/>
      <c r="CE183" s="2371"/>
      <c r="CF183" s="13561"/>
    </row>
    <row customHeight="1" ht="5.25" hidden="1">
      <c r="A184" s="3004"/>
      <c r="B184" s="2847"/>
      <c r="C184" s="2847"/>
      <c r="D184" s="3790"/>
      <c r="E184" s="2250"/>
      <c r="F184" s="2250"/>
      <c r="G184" s="2250"/>
      <c r="H184" s="2250"/>
      <c r="I184" s="2250"/>
      <c r="J184" s="2250"/>
      <c r="K184" s="2250"/>
      <c r="L184" s="2250"/>
      <c r="M184" s="2250"/>
      <c r="N184" s="2250"/>
      <c r="O184" s="2250"/>
      <c r="P184" s="2250"/>
      <c r="Q184" s="2251"/>
      <c r="R184" s="2252"/>
      <c r="S184" s="2253"/>
      <c r="T184" s="1928" t="s">
        <v>649</v>
      </c>
      <c r="U184" s="3585">
        <v>1</v>
      </c>
      <c r="V184" s="3585" t="s">
        <v>599</v>
      </c>
      <c r="W184" s="2847"/>
      <c r="X184" s="2847"/>
      <c r="Y184" s="2847"/>
      <c r="Z184" s="2847"/>
      <c r="AA184" s="2847"/>
      <c r="AB184" s="2847"/>
      <c r="AC184" s="2248"/>
      <c r="AD184" s="2249"/>
      <c r="AE184" s="2847"/>
      <c r="AF184" s="2847"/>
      <c r="AG184" s="2847"/>
      <c r="AH184" s="2847"/>
      <c r="AI184" s="2847"/>
      <c r="AJ184" s="2847"/>
      <c r="AK184" s="2847"/>
      <c r="AL184" s="2847"/>
      <c r="AM184" s="2847"/>
      <c r="AN184" s="2847"/>
      <c r="AO184" s="2847"/>
      <c r="AP184" s="2847"/>
      <c r="AQ184" s="2847"/>
      <c r="AR184" s="2847"/>
      <c r="AS184" s="2847"/>
      <c r="AT184" s="2847"/>
      <c r="AU184" s="2847"/>
      <c r="AV184" s="2847"/>
      <c r="AW184" s="2847"/>
      <c r="AX184" s="2847"/>
      <c r="AY184" s="2847"/>
      <c r="AZ184" s="2847"/>
      <c r="BA184" s="2847"/>
      <c r="BB184" s="2847"/>
      <c r="BC184" s="2847"/>
      <c r="BD184" s="2847"/>
      <c r="BE184" s="2847"/>
      <c r="BF184" s="2847"/>
      <c r="BG184" s="2847"/>
      <c r="BH184" s="2847"/>
      <c r="BI184" s="2847"/>
      <c r="BJ184" s="2847"/>
      <c r="BK184" s="2847"/>
      <c r="BL184" s="2847"/>
      <c r="BM184" s="2847"/>
      <c r="BN184" s="2847"/>
      <c r="BO184" s="2847"/>
      <c r="BP184" s="2847"/>
      <c r="BQ184" s="2847"/>
      <c r="BR184" s="2847"/>
      <c r="BS184" s="2847"/>
      <c r="BT184" s="2847"/>
      <c r="BU184" s="2847"/>
      <c r="BV184" s="2847"/>
      <c r="BW184" s="2847"/>
      <c r="BX184" s="2847"/>
      <c r="BY184" s="2847"/>
      <c r="BZ184" s="2847"/>
      <c r="CA184" s="2847"/>
      <c r="CB184" s="2847"/>
      <c r="CC184" s="2847"/>
      <c r="CD184" s="2847"/>
      <c r="CE184" s="2847"/>
      <c r="CF184" s="13572"/>
    </row>
    <row customHeight="1" ht="5.25" hidden="1">
      <c r="A185" s="3004"/>
      <c r="B185" s="2847"/>
      <c r="C185" s="2847"/>
      <c r="D185" s="3790"/>
      <c r="E185" s="1846"/>
      <c r="F185" s="1846"/>
      <c r="G185" s="1846"/>
      <c r="H185" s="1846"/>
      <c r="I185" s="1846"/>
      <c r="J185" s="1846"/>
      <c r="K185" s="1846"/>
      <c r="L185" s="1846"/>
      <c r="M185" s="1846"/>
      <c r="N185" s="1846"/>
      <c r="O185" s="1846"/>
      <c r="P185" s="1846"/>
      <c r="Q185" s="1846"/>
      <c r="R185" s="1846"/>
      <c r="S185" s="1847"/>
      <c r="T185" s="1929"/>
      <c r="U185" s="3585"/>
      <c r="V185" s="3585"/>
      <c r="W185" s="2847"/>
      <c r="X185" s="2847"/>
      <c r="Y185" s="2847"/>
      <c r="Z185" s="2847"/>
      <c r="AA185" s="2847"/>
      <c r="AB185" s="2847"/>
      <c r="AC185" s="2248"/>
      <c r="AD185" s="2249"/>
      <c r="AE185" s="2847"/>
      <c r="AF185" s="2847"/>
      <c r="AG185" s="2847"/>
      <c r="AH185" s="2847"/>
      <c r="AI185" s="2847"/>
      <c r="AJ185" s="2847"/>
      <c r="AK185" s="2847"/>
      <c r="AL185" s="2847"/>
      <c r="AM185" s="2847"/>
      <c r="AN185" s="2847"/>
      <c r="AO185" s="2847"/>
      <c r="AP185" s="2847"/>
      <c r="AQ185" s="2847"/>
      <c r="AR185" s="2847"/>
      <c r="AS185" s="2847"/>
      <c r="AT185" s="2847"/>
      <c r="AU185" s="2847"/>
      <c r="AV185" s="2847"/>
      <c r="AW185" s="2847"/>
      <c r="AX185" s="2847"/>
      <c r="AY185" s="2847"/>
      <c r="AZ185" s="2847"/>
      <c r="BA185" s="2847"/>
      <c r="BB185" s="2847"/>
      <c r="BC185" s="2847"/>
      <c r="BD185" s="2847"/>
      <c r="BE185" s="2847"/>
      <c r="BF185" s="2847"/>
      <c r="BG185" s="2847"/>
      <c r="BH185" s="2847"/>
      <c r="BI185" s="2847"/>
      <c r="BJ185" s="2847"/>
      <c r="BK185" s="2847"/>
      <c r="BL185" s="2847"/>
      <c r="BM185" s="2847"/>
      <c r="BN185" s="2847"/>
      <c r="BO185" s="2847"/>
      <c r="BP185" s="2847"/>
      <c r="BQ185" s="2847"/>
      <c r="BR185" s="2847"/>
      <c r="BS185" s="2847"/>
      <c r="BT185" s="2847"/>
      <c r="BU185" s="2847"/>
      <c r="BV185" s="2847"/>
      <c r="BW185" s="2847"/>
      <c r="BX185" s="2847"/>
      <c r="BY185" s="2847"/>
      <c r="BZ185" s="2847"/>
      <c r="CA185" s="2847"/>
      <c r="CB185" s="2847"/>
      <c r="CC185" s="2847"/>
      <c r="CD185" s="2847"/>
      <c r="CE185" s="2847"/>
      <c r="CF185" s="13572"/>
    </row>
    <row customHeight="1" ht="5.25" hidden="1">
      <c r="A186" s="3004"/>
      <c r="B186" s="2847"/>
      <c r="C186" s="2847"/>
      <c r="D186" s="3791"/>
      <c r="E186" s="2254"/>
      <c r="F186" s="2255"/>
      <c r="G186" s="2255" t="s">
        <v>22</v>
      </c>
      <c r="H186" s="2256"/>
      <c r="I186" s="2256"/>
      <c r="J186" s="2256"/>
      <c r="K186" s="2256"/>
      <c r="L186" s="2256"/>
      <c r="M186" s="2256"/>
      <c r="N186" s="2256"/>
      <c r="O186" s="2256"/>
      <c r="P186" s="2256"/>
      <c r="Q186" s="2256"/>
      <c r="R186" s="2157"/>
      <c r="S186" s="2257"/>
      <c r="T186" s="1929"/>
      <c r="U186" s="3585"/>
      <c r="V186" s="3585"/>
      <c r="W186" s="2847"/>
      <c r="X186" s="2847"/>
      <c r="Y186" s="2847"/>
      <c r="Z186" s="2847"/>
      <c r="AA186" s="2847"/>
      <c r="AB186" s="2847"/>
      <c r="AC186" s="2248"/>
      <c r="AD186" s="2249"/>
      <c r="AE186" s="2847"/>
      <c r="AF186" s="2847"/>
      <c r="AG186" s="2847"/>
      <c r="AH186" s="2847"/>
      <c r="AI186" s="2847"/>
      <c r="AJ186" s="2847"/>
      <c r="AK186" s="2847"/>
      <c r="AL186" s="2847"/>
      <c r="AM186" s="2847"/>
      <c r="AN186" s="2847"/>
      <c r="AO186" s="2847"/>
      <c r="AP186" s="2847"/>
      <c r="AQ186" s="2847"/>
      <c r="AR186" s="2847"/>
      <c r="AS186" s="2847"/>
      <c r="AT186" s="2847"/>
      <c r="AU186" s="2847"/>
      <c r="AV186" s="2847"/>
      <c r="AW186" s="2847"/>
      <c r="AX186" s="2847"/>
      <c r="AY186" s="2847"/>
      <c r="AZ186" s="2847"/>
      <c r="BA186" s="2847"/>
      <c r="BB186" s="2847"/>
      <c r="BC186" s="2847"/>
      <c r="BD186" s="2847"/>
      <c r="BE186" s="2847"/>
      <c r="BF186" s="2847"/>
      <c r="BG186" s="2847"/>
      <c r="BH186" s="2847"/>
      <c r="BI186" s="2847"/>
      <c r="BJ186" s="2847"/>
      <c r="BK186" s="2847"/>
      <c r="BL186" s="2847"/>
      <c r="BM186" s="2847"/>
      <c r="BN186" s="2847"/>
      <c r="BO186" s="2847"/>
      <c r="BP186" s="2847"/>
      <c r="BQ186" s="2847"/>
      <c r="BR186" s="2847"/>
      <c r="BS186" s="2847"/>
      <c r="BT186" s="2847"/>
      <c r="BU186" s="2847"/>
      <c r="BV186" s="2847"/>
      <c r="BW186" s="2847"/>
      <c r="BX186" s="2847"/>
      <c r="BY186" s="2847"/>
      <c r="BZ186" s="2847"/>
      <c r="CA186" s="2847"/>
      <c r="CB186" s="2847"/>
      <c r="CC186" s="2847"/>
      <c r="CD186" s="2847"/>
      <c r="CE186" s="2847"/>
      <c r="CF186" s="13572"/>
    </row>
    <row customHeight="1" ht="15" hidden="1">
      <c r="A187" s="1834" t="s">
        <v>139</v>
      </c>
      <c r="B187" s="1835"/>
      <c r="C187" s="1835" t="s">
        <v>22</v>
      </c>
      <c r="D187" s="3789" t="s">
        <v>766</v>
      </c>
      <c r="E187" s="3588" t="s">
        <v>118</v>
      </c>
      <c r="F187" s="3589"/>
      <c r="G187" s="3590"/>
      <c r="H187" s="3594" t="str">
        <f>IF(A187="","",INDEX(DIFFERENTIATION_UNMERGE_VD,MATCH(A187,DIFFERENTIATION_ID_DIFF,0)))</f>
        <v>Производство. Теплоноситель; Сбыт. Теплоноситель</v>
      </c>
      <c r="I187" s="3594"/>
      <c r="J187" s="3594"/>
      <c r="K187" s="3594"/>
      <c r="L187" s="3594"/>
      <c r="M187" s="3594"/>
      <c r="N187" s="3594"/>
      <c r="O187" s="3594"/>
      <c r="P187" s="3594"/>
      <c r="Q187" s="3594"/>
      <c r="R187" s="3594"/>
      <c r="S187" s="1930"/>
      <c r="T187" s="1927"/>
      <c r="U187" s="1836"/>
      <c r="V187" s="1836"/>
      <c r="W187" s="1837"/>
      <c r="X187" s="1837"/>
      <c r="Y187" s="1837"/>
      <c r="Z187" s="1837"/>
      <c r="AA187" s="1838"/>
      <c r="AB187" s="1839"/>
      <c r="AC187" s="3586"/>
      <c r="AD187" s="1840"/>
      <c r="AE187" s="1841" t="s">
        <v>22</v>
      </c>
      <c r="AF187" s="1841"/>
      <c r="AG187" s="1842" t="s">
        <v>646</v>
      </c>
      <c r="AH187" s="1843">
        <v>3</v>
      </c>
      <c r="AI187" s="1836"/>
      <c r="AJ187" s="1836"/>
      <c r="AK187" s="1836"/>
      <c r="AL187" s="1836"/>
      <c r="AM187" s="1836"/>
      <c r="AN187" s="1836"/>
      <c r="AO187" s="1836"/>
      <c r="AP187" s="1836"/>
      <c r="AQ187" s="1836"/>
      <c r="AR187" s="1836"/>
      <c r="AS187" s="1836"/>
      <c r="AT187" s="1836"/>
      <c r="AU187" s="1836"/>
      <c r="AV187" s="1836"/>
      <c r="AW187" s="1836"/>
      <c r="AX187" s="1836"/>
      <c r="AY187" s="1836"/>
      <c r="AZ187" s="1836"/>
      <c r="BA187" s="1836"/>
      <c r="BB187" s="1836"/>
      <c r="BC187" s="1836"/>
      <c r="BD187" s="1836"/>
      <c r="BE187" s="1836"/>
      <c r="BF187" s="1836"/>
      <c r="BG187" s="1836"/>
      <c r="BH187" s="1836"/>
      <c r="BI187" s="1836"/>
      <c r="BJ187" s="1836"/>
      <c r="BK187" s="1836"/>
      <c r="BL187" s="1836"/>
      <c r="BM187" s="1836"/>
      <c r="BN187" s="1836"/>
      <c r="BO187" s="1836"/>
      <c r="BP187" s="1836"/>
      <c r="BQ187" s="1836"/>
      <c r="BR187" s="1836"/>
      <c r="BS187" s="1836"/>
      <c r="BT187" s="1836"/>
      <c r="BU187" s="1836"/>
      <c r="BV187" s="1837"/>
      <c r="BW187" s="1837"/>
      <c r="BX187" s="1837"/>
      <c r="BY187" s="1837"/>
      <c r="BZ187" s="1837"/>
      <c r="CA187" s="1837"/>
      <c r="CB187" s="1837"/>
      <c r="CC187" s="1837"/>
      <c r="CD187" s="1837"/>
      <c r="CE187" s="1837"/>
      <c r="CF187" s="13561"/>
    </row>
    <row customHeight="1" ht="15" hidden="1">
      <c r="A188" s="1834"/>
      <c r="B188" s="1835"/>
      <c r="C188" s="1835"/>
      <c r="D188" s="3790"/>
      <c r="E188" s="3588" t="s">
        <v>582</v>
      </c>
      <c r="F188" s="3589"/>
      <c r="G188" s="3590"/>
      <c r="H188" s="3594" t="str">
        <f>IF(A187="","",INDEX(DIFFERENTIATION_UNMERGE_AREA,MATCH(A187,DIFFERENTIATION_ID_DIFF,0)))</f>
        <v>Территория 2</v>
      </c>
      <c r="I188" s="3594"/>
      <c r="J188" s="3594"/>
      <c r="K188" s="3594"/>
      <c r="L188" s="3594"/>
      <c r="M188" s="3594"/>
      <c r="N188" s="3594"/>
      <c r="O188" s="3594"/>
      <c r="P188" s="3594"/>
      <c r="Q188" s="3594"/>
      <c r="R188" s="3594"/>
      <c r="S188" s="1930"/>
      <c r="T188" s="1927"/>
      <c r="U188" s="1836"/>
      <c r="V188" s="1836"/>
      <c r="W188" s="1837"/>
      <c r="X188" s="1837"/>
      <c r="Y188" s="1837"/>
      <c r="Z188" s="1837"/>
      <c r="AA188" s="1838"/>
      <c r="AB188" s="1839"/>
      <c r="AC188" s="3586"/>
      <c r="AD188" s="1840"/>
      <c r="AE188" s="1841"/>
      <c r="AF188" s="1841"/>
      <c r="AG188" s="1842"/>
      <c r="AH188" s="1843"/>
      <c r="AI188" s="1836"/>
      <c r="AJ188" s="1836"/>
      <c r="AK188" s="1836"/>
      <c r="AL188" s="1836"/>
      <c r="AM188" s="1836"/>
      <c r="AN188" s="1836"/>
      <c r="AO188" s="1836"/>
      <c r="AP188" s="1836"/>
      <c r="AQ188" s="1836"/>
      <c r="AR188" s="1836"/>
      <c r="AS188" s="1836"/>
      <c r="AT188" s="1836"/>
      <c r="AU188" s="1836"/>
      <c r="AV188" s="1836"/>
      <c r="AW188" s="1836"/>
      <c r="AX188" s="1836"/>
      <c r="AY188" s="1836"/>
      <c r="AZ188" s="1836"/>
      <c r="BA188" s="1836"/>
      <c r="BB188" s="1836"/>
      <c r="BC188" s="1836"/>
      <c r="BD188" s="1836"/>
      <c r="BE188" s="1836"/>
      <c r="BF188" s="1836"/>
      <c r="BG188" s="1836"/>
      <c r="BH188" s="1836"/>
      <c r="BI188" s="1836"/>
      <c r="BJ188" s="1836"/>
      <c r="BK188" s="1836"/>
      <c r="BL188" s="1836"/>
      <c r="BM188" s="1836"/>
      <c r="BN188" s="1836"/>
      <c r="BO188" s="1836"/>
      <c r="BP188" s="1836"/>
      <c r="BQ188" s="1836"/>
      <c r="BR188" s="1836"/>
      <c r="BS188" s="1836"/>
      <c r="BT188" s="1836"/>
      <c r="BU188" s="1836"/>
      <c r="BV188" s="1837"/>
      <c r="BW188" s="1837"/>
      <c r="BX188" s="1837"/>
      <c r="BY188" s="1837"/>
      <c r="BZ188" s="1837"/>
      <c r="CA188" s="1837"/>
      <c r="CB188" s="1837"/>
      <c r="CC188" s="1837"/>
      <c r="CD188" s="1837"/>
      <c r="CE188" s="1837"/>
      <c r="CF188" s="13561"/>
    </row>
    <row customHeight="1" ht="15" hidden="1">
      <c r="A189" s="1834"/>
      <c r="B189" s="1835"/>
      <c r="C189" s="1835"/>
      <c r="D189" s="3790"/>
      <c r="E189" s="3588" t="s">
        <v>583</v>
      </c>
      <c r="F189" s="3589"/>
      <c r="G189" s="3590"/>
      <c r="H189" s="3594" t="str">
        <f>IF(A187="","",INDEX(DIFFERENTIATION_UNMERGE_SYSTEM,MATCH(A187,DIFFERENTIATION_ID_DIFF,0)))</f>
        <v>без дифференциации</v>
      </c>
      <c r="I189" s="3594"/>
      <c r="J189" s="3594"/>
      <c r="K189" s="3594"/>
      <c r="L189" s="3594"/>
      <c r="M189" s="3594"/>
      <c r="N189" s="3594"/>
      <c r="O189" s="3594"/>
      <c r="P189" s="3594"/>
      <c r="Q189" s="3594"/>
      <c r="R189" s="3594"/>
      <c r="S189" s="1930"/>
      <c r="T189" s="1927"/>
      <c r="U189" s="1836"/>
      <c r="V189" s="1836"/>
      <c r="W189" s="1837"/>
      <c r="X189" s="1837"/>
      <c r="Y189" s="1837"/>
      <c r="Z189" s="1837"/>
      <c r="AA189" s="1838"/>
      <c r="AB189" s="1839"/>
      <c r="AC189" s="3586"/>
      <c r="AD189" s="1840"/>
      <c r="AE189" s="1841"/>
      <c r="AF189" s="1841"/>
      <c r="AG189" s="1842"/>
      <c r="AH189" s="1843"/>
      <c r="AI189" s="1836"/>
      <c r="AJ189" s="1836"/>
      <c r="AK189" s="1836"/>
      <c r="AL189" s="1836"/>
      <c r="AM189" s="1836"/>
      <c r="AN189" s="1836"/>
      <c r="AO189" s="1836"/>
      <c r="AP189" s="1836"/>
      <c r="AQ189" s="1836"/>
      <c r="AR189" s="1836"/>
      <c r="AS189" s="1836"/>
      <c r="AT189" s="1836"/>
      <c r="AU189" s="1836"/>
      <c r="AV189" s="1836"/>
      <c r="AW189" s="1836"/>
      <c r="AX189" s="1836"/>
      <c r="AY189" s="1836"/>
      <c r="AZ189" s="1836"/>
      <c r="BA189" s="1836"/>
      <c r="BB189" s="1836"/>
      <c r="BC189" s="1836"/>
      <c r="BD189" s="1836"/>
      <c r="BE189" s="1836"/>
      <c r="BF189" s="1836"/>
      <c r="BG189" s="1836"/>
      <c r="BH189" s="1836"/>
      <c r="BI189" s="1836"/>
      <c r="BJ189" s="1836"/>
      <c r="BK189" s="1836"/>
      <c r="BL189" s="1836"/>
      <c r="BM189" s="1836"/>
      <c r="BN189" s="1836"/>
      <c r="BO189" s="1836"/>
      <c r="BP189" s="1836"/>
      <c r="BQ189" s="1836"/>
      <c r="BR189" s="1836"/>
      <c r="BS189" s="1836"/>
      <c r="BT189" s="1836"/>
      <c r="BU189" s="1836"/>
      <c r="BV189" s="1837"/>
      <c r="BW189" s="1837"/>
      <c r="BX189" s="1837"/>
      <c r="BY189" s="1837"/>
      <c r="BZ189" s="1837"/>
      <c r="CA189" s="1837"/>
      <c r="CB189" s="1837"/>
      <c r="CC189" s="1837"/>
      <c r="CD189" s="1837"/>
      <c r="CE189" s="1837"/>
      <c r="CF189" s="13561"/>
    </row>
    <row customHeight="1" ht="24.75" hidden="1">
      <c r="A190" s="3017"/>
      <c r="B190" s="2371"/>
      <c r="C190" s="1623"/>
      <c r="D190" s="3790"/>
      <c r="E190" s="3587" t="s">
        <v>647</v>
      </c>
      <c r="F190" s="3587"/>
      <c r="G190" s="3587"/>
      <c r="H190" s="3587"/>
      <c r="I190" s="3587"/>
      <c r="J190" s="3587"/>
      <c r="K190" s="3587"/>
      <c r="L190" s="3587"/>
      <c r="M190" s="3587"/>
      <c r="N190" s="3587"/>
      <c r="O190" s="3587"/>
      <c r="P190" s="3587"/>
      <c r="Q190" s="1769">
        <f>SUMIF(T191:T192,"i",Q191:Q192)</f>
        <v>0</v>
      </c>
      <c r="R190" s="2228"/>
      <c r="S190" s="3009" t="s">
        <v>648</v>
      </c>
      <c r="T190" s="1928" t="s">
        <v>649</v>
      </c>
      <c r="U190" s="3585">
        <v>1</v>
      </c>
      <c r="V190" s="3585" t="str">
        <f>INDEX(B_FHD_FLAG_INDEX_1,1,MATCH($A$187,B_FHD_FLAG_DIFFERENTIATION,0))</f>
        <v>отсутствует</v>
      </c>
      <c r="W190" s="2371"/>
      <c r="X190" s="2371"/>
      <c r="Y190" s="2371"/>
      <c r="Z190" s="2371"/>
      <c r="AA190" s="2847"/>
      <c r="AB190" s="2371"/>
      <c r="AC190" s="3586"/>
      <c r="AD190" s="1840"/>
      <c r="AE190" s="2371"/>
      <c r="AF190" s="2371"/>
      <c r="AG190" s="2847"/>
      <c r="AH190" s="2847"/>
      <c r="AI190" s="2847"/>
      <c r="AJ190" s="2847"/>
      <c r="AK190" s="2847"/>
      <c r="AL190" s="2847"/>
      <c r="AM190" s="2847"/>
      <c r="AN190" s="2847"/>
      <c r="AO190" s="2847"/>
      <c r="AP190" s="2847"/>
      <c r="AQ190" s="2847"/>
      <c r="AR190" s="2847"/>
      <c r="AS190" s="2847"/>
      <c r="AT190" s="2847"/>
      <c r="AU190" s="2847"/>
      <c r="AV190" s="2847"/>
      <c r="AW190" s="2847"/>
      <c r="AX190" s="2847"/>
      <c r="AY190" s="2847"/>
      <c r="AZ190" s="2847"/>
      <c r="BA190" s="2847"/>
      <c r="BB190" s="2847"/>
      <c r="BC190" s="2847"/>
      <c r="BD190" s="2847"/>
      <c r="BE190" s="2847"/>
      <c r="BF190" s="2847"/>
      <c r="BG190" s="2847"/>
      <c r="BH190" s="2847"/>
      <c r="BI190" s="2847"/>
      <c r="BJ190" s="2847"/>
      <c r="BK190" s="2847"/>
      <c r="BL190" s="2847"/>
      <c r="BM190" s="2847"/>
      <c r="BN190" s="2847"/>
      <c r="BO190" s="2847"/>
      <c r="BP190" s="2847"/>
      <c r="BQ190" s="2847"/>
      <c r="BR190" s="2847"/>
      <c r="BS190" s="2847"/>
      <c r="BT190" s="2847"/>
      <c r="BU190" s="2847"/>
      <c r="BV190" s="2371"/>
      <c r="BW190" s="2371"/>
      <c r="BX190" s="2371"/>
      <c r="BY190" s="2371"/>
      <c r="BZ190" s="2371"/>
      <c r="CA190" s="2371"/>
      <c r="CB190" s="2371"/>
      <c r="CC190" s="2371"/>
      <c r="CD190" s="2371"/>
      <c r="CE190" s="2371"/>
      <c r="CF190" s="13561"/>
    </row>
    <row customHeight="1" ht="11.25" hidden="1">
      <c r="A191" s="3004"/>
      <c r="B191" s="2847"/>
      <c r="C191" s="2847"/>
      <c r="D191" s="3790"/>
      <c r="E191" s="1846"/>
      <c r="F191" s="1846">
        <v>0</v>
      </c>
      <c r="G191" s="1846"/>
      <c r="H191" s="1846"/>
      <c r="I191" s="1846"/>
      <c r="J191" s="1846"/>
      <c r="K191" s="1846"/>
      <c r="L191" s="1846"/>
      <c r="M191" s="1846"/>
      <c r="N191" s="1846"/>
      <c r="O191" s="1846"/>
      <c r="P191" s="1846"/>
      <c r="Q191" s="1846"/>
      <c r="R191" s="1846"/>
      <c r="S191" s="1847"/>
      <c r="T191" s="1929"/>
      <c r="U191" s="3585"/>
      <c r="V191" s="3585"/>
      <c r="W191" s="2847"/>
      <c r="X191" s="2847"/>
      <c r="Y191" s="2847"/>
      <c r="Z191" s="2847"/>
      <c r="AA191" s="2847"/>
      <c r="AB191" s="2371"/>
      <c r="AC191" s="3586"/>
      <c r="AD191" s="1840"/>
      <c r="AE191" s="2371"/>
      <c r="AF191" s="2371"/>
      <c r="AG191" s="2847"/>
      <c r="AH191" s="2847"/>
      <c r="AI191" s="2847"/>
      <c r="AJ191" s="2847"/>
      <c r="AK191" s="2847"/>
      <c r="AL191" s="2847"/>
      <c r="AM191" s="2847"/>
      <c r="AN191" s="2847"/>
      <c r="AO191" s="2847"/>
      <c r="AP191" s="2847"/>
      <c r="AQ191" s="2847"/>
      <c r="AR191" s="2847"/>
      <c r="AS191" s="2847"/>
      <c r="AT191" s="2847"/>
      <c r="AU191" s="2847"/>
      <c r="AV191" s="2847"/>
      <c r="AW191" s="2847"/>
      <c r="AX191" s="2847"/>
      <c r="AY191" s="2847"/>
      <c r="AZ191" s="2847"/>
      <c r="BA191" s="2847"/>
      <c r="BB191" s="2847"/>
      <c r="BC191" s="2847"/>
      <c r="BD191" s="2847"/>
      <c r="BE191" s="2847"/>
      <c r="BF191" s="2847"/>
      <c r="BG191" s="2847"/>
      <c r="BH191" s="2847"/>
      <c r="BI191" s="2847"/>
      <c r="BJ191" s="2847"/>
      <c r="BK191" s="2847"/>
      <c r="BL191" s="2847"/>
      <c r="BM191" s="2847"/>
      <c r="BN191" s="2847"/>
      <c r="BO191" s="2847"/>
      <c r="BP191" s="2847"/>
      <c r="BQ191" s="2847"/>
      <c r="BR191" s="2847"/>
      <c r="BS191" s="2847"/>
      <c r="BT191" s="2847"/>
      <c r="BU191" s="2847"/>
      <c r="BV191" s="2847"/>
      <c r="BW191" s="2847"/>
      <c r="BX191" s="2847"/>
      <c r="BY191" s="2847"/>
      <c r="BZ191" s="2847"/>
      <c r="CA191" s="2847"/>
      <c r="CB191" s="2847"/>
      <c r="CC191" s="2847"/>
      <c r="CD191" s="2847"/>
      <c r="CE191" s="2847"/>
      <c r="CF191" s="13561"/>
    </row>
    <row customHeight="1" ht="11.25" hidden="1">
      <c r="A192" s="3017"/>
      <c r="B192" s="2371"/>
      <c r="C192" s="1623"/>
      <c r="D192" s="3790"/>
      <c r="E192" s="1860" t="s">
        <v>22</v>
      </c>
      <c r="F192" s="2379" t="s">
        <v>22</v>
      </c>
      <c r="G192" s="2379" t="s">
        <v>22</v>
      </c>
      <c r="H192" s="1862" t="s">
        <v>22</v>
      </c>
      <c r="I192" s="1862"/>
      <c r="J192" s="1862"/>
      <c r="K192" s="1862"/>
      <c r="L192" s="1862"/>
      <c r="M192" s="1862"/>
      <c r="N192" s="1862"/>
      <c r="O192" s="1862"/>
      <c r="P192" s="1862"/>
      <c r="Q192" s="1862"/>
      <c r="R192" s="1863"/>
      <c r="S192" s="1864"/>
      <c r="T192" s="1929"/>
      <c r="U192" s="3585"/>
      <c r="V192" s="3585"/>
      <c r="W192" s="2371"/>
      <c r="X192" s="2371"/>
      <c r="Y192" s="2371"/>
      <c r="Z192" s="2371"/>
      <c r="AA192" s="2847"/>
      <c r="AB192" s="2371"/>
      <c r="AC192" s="3586"/>
      <c r="AD192" s="1840"/>
      <c r="AE192" s="2371"/>
      <c r="AF192" s="2371"/>
      <c r="AG192" s="2847"/>
      <c r="AH192" s="2847"/>
      <c r="AI192" s="2847"/>
      <c r="AJ192" s="2847"/>
      <c r="AK192" s="2847"/>
      <c r="AL192" s="2847"/>
      <c r="AM192" s="2847"/>
      <c r="AN192" s="2847"/>
      <c r="AO192" s="2847"/>
      <c r="AP192" s="2847"/>
      <c r="AQ192" s="2847"/>
      <c r="AR192" s="2847"/>
      <c r="AS192" s="2847"/>
      <c r="AT192" s="2847"/>
      <c r="AU192" s="2847"/>
      <c r="AV192" s="2847"/>
      <c r="AW192" s="2847"/>
      <c r="AX192" s="2847"/>
      <c r="AY192" s="2847"/>
      <c r="AZ192" s="2847"/>
      <c r="BA192" s="2847"/>
      <c r="BB192" s="2847"/>
      <c r="BC192" s="2847"/>
      <c r="BD192" s="2847"/>
      <c r="BE192" s="2847"/>
      <c r="BF192" s="2847"/>
      <c r="BG192" s="2847"/>
      <c r="BH192" s="2847"/>
      <c r="BI192" s="2847"/>
      <c r="BJ192" s="2847"/>
      <c r="BK192" s="2847"/>
      <c r="BL192" s="2847"/>
      <c r="BM192" s="2847"/>
      <c r="BN192" s="2847"/>
      <c r="BO192" s="2847"/>
      <c r="BP192" s="2847"/>
      <c r="BQ192" s="2847"/>
      <c r="BR192" s="2847"/>
      <c r="BS192" s="2847"/>
      <c r="BT192" s="2847"/>
      <c r="BU192" s="2847"/>
      <c r="BV192" s="2371"/>
      <c r="BW192" s="2371"/>
      <c r="BX192" s="2371"/>
      <c r="BY192" s="2371"/>
      <c r="BZ192" s="2371"/>
      <c r="CA192" s="2371"/>
      <c r="CB192" s="2371"/>
      <c r="CC192" s="2371"/>
      <c r="CD192" s="2371"/>
      <c r="CE192" s="2371"/>
      <c r="CF192" s="13561"/>
    </row>
    <row customHeight="1" ht="5.25" hidden="1">
      <c r="A193" s="3004"/>
      <c r="B193" s="2847"/>
      <c r="C193" s="2847"/>
      <c r="D193" s="3790"/>
      <c r="E193" s="2250"/>
      <c r="F193" s="2250"/>
      <c r="G193" s="2250"/>
      <c r="H193" s="2250"/>
      <c r="I193" s="2250"/>
      <c r="J193" s="2250"/>
      <c r="K193" s="2250"/>
      <c r="L193" s="2250"/>
      <c r="M193" s="2250"/>
      <c r="N193" s="2250"/>
      <c r="O193" s="2250"/>
      <c r="P193" s="2250"/>
      <c r="Q193" s="2251"/>
      <c r="R193" s="2252"/>
      <c r="S193" s="2253"/>
      <c r="T193" s="1928" t="s">
        <v>649</v>
      </c>
      <c r="U193" s="3585">
        <v>1</v>
      </c>
      <c r="V193" s="3585" t="s">
        <v>599</v>
      </c>
      <c r="W193" s="2847"/>
      <c r="X193" s="2847"/>
      <c r="Y193" s="2847"/>
      <c r="Z193" s="2847"/>
      <c r="AA193" s="2847"/>
      <c r="AB193" s="2847"/>
      <c r="AC193" s="2248"/>
      <c r="AD193" s="2249"/>
      <c r="AE193" s="2847"/>
      <c r="AF193" s="2847"/>
      <c r="AG193" s="2847"/>
      <c r="AH193" s="2847"/>
      <c r="AI193" s="2847"/>
      <c r="AJ193" s="2847"/>
      <c r="AK193" s="2847"/>
      <c r="AL193" s="2847"/>
      <c r="AM193" s="2847"/>
      <c r="AN193" s="2847"/>
      <c r="AO193" s="2847"/>
      <c r="AP193" s="2847"/>
      <c r="AQ193" s="2847"/>
      <c r="AR193" s="2847"/>
      <c r="AS193" s="2847"/>
      <c r="AT193" s="2847"/>
      <c r="AU193" s="2847"/>
      <c r="AV193" s="2847"/>
      <c r="AW193" s="2847"/>
      <c r="AX193" s="2847"/>
      <c r="AY193" s="2847"/>
      <c r="AZ193" s="2847"/>
      <c r="BA193" s="2847"/>
      <c r="BB193" s="2847"/>
      <c r="BC193" s="2847"/>
      <c r="BD193" s="2847"/>
      <c r="BE193" s="2847"/>
      <c r="BF193" s="2847"/>
      <c r="BG193" s="2847"/>
      <c r="BH193" s="2847"/>
      <c r="BI193" s="2847"/>
      <c r="BJ193" s="2847"/>
      <c r="BK193" s="2847"/>
      <c r="BL193" s="2847"/>
      <c r="BM193" s="2847"/>
      <c r="BN193" s="2847"/>
      <c r="BO193" s="2847"/>
      <c r="BP193" s="2847"/>
      <c r="BQ193" s="2847"/>
      <c r="BR193" s="2847"/>
      <c r="BS193" s="2847"/>
      <c r="BT193" s="2847"/>
      <c r="BU193" s="2847"/>
      <c r="BV193" s="2847"/>
      <c r="BW193" s="2847"/>
      <c r="BX193" s="2847"/>
      <c r="BY193" s="2847"/>
      <c r="BZ193" s="2847"/>
      <c r="CA193" s="2847"/>
      <c r="CB193" s="2847"/>
      <c r="CC193" s="2847"/>
      <c r="CD193" s="2847"/>
      <c r="CE193" s="2847"/>
      <c r="CF193" s="13572"/>
    </row>
    <row customHeight="1" ht="5.25" hidden="1">
      <c r="A194" s="3004"/>
      <c r="B194" s="2847"/>
      <c r="C194" s="2847"/>
      <c r="D194" s="3790"/>
      <c r="E194" s="1846"/>
      <c r="F194" s="1846"/>
      <c r="G194" s="1846"/>
      <c r="H194" s="1846"/>
      <c r="I194" s="1846"/>
      <c r="J194" s="1846"/>
      <c r="K194" s="1846"/>
      <c r="L194" s="1846"/>
      <c r="M194" s="1846"/>
      <c r="N194" s="1846"/>
      <c r="O194" s="1846"/>
      <c r="P194" s="1846"/>
      <c r="Q194" s="1846"/>
      <c r="R194" s="1846"/>
      <c r="S194" s="1847"/>
      <c r="T194" s="1929"/>
      <c r="U194" s="3585"/>
      <c r="V194" s="3585"/>
      <c r="W194" s="2847"/>
      <c r="X194" s="2847"/>
      <c r="Y194" s="2847"/>
      <c r="Z194" s="2847"/>
      <c r="AA194" s="2847"/>
      <c r="AB194" s="2847"/>
      <c r="AC194" s="2248"/>
      <c r="AD194" s="2249"/>
      <c r="AE194" s="2847"/>
      <c r="AF194" s="2847"/>
      <c r="AG194" s="2847"/>
      <c r="AH194" s="2847"/>
      <c r="AI194" s="2847"/>
      <c r="AJ194" s="2847"/>
      <c r="AK194" s="2847"/>
      <c r="AL194" s="2847"/>
      <c r="AM194" s="2847"/>
      <c r="AN194" s="2847"/>
      <c r="AO194" s="2847"/>
      <c r="AP194" s="2847"/>
      <c r="AQ194" s="2847"/>
      <c r="AR194" s="2847"/>
      <c r="AS194" s="2847"/>
      <c r="AT194" s="2847"/>
      <c r="AU194" s="2847"/>
      <c r="AV194" s="2847"/>
      <c r="AW194" s="2847"/>
      <c r="AX194" s="2847"/>
      <c r="AY194" s="2847"/>
      <c r="AZ194" s="2847"/>
      <c r="BA194" s="2847"/>
      <c r="BB194" s="2847"/>
      <c r="BC194" s="2847"/>
      <c r="BD194" s="2847"/>
      <c r="BE194" s="2847"/>
      <c r="BF194" s="2847"/>
      <c r="BG194" s="2847"/>
      <c r="BH194" s="2847"/>
      <c r="BI194" s="2847"/>
      <c r="BJ194" s="2847"/>
      <c r="BK194" s="2847"/>
      <c r="BL194" s="2847"/>
      <c r="BM194" s="2847"/>
      <c r="BN194" s="2847"/>
      <c r="BO194" s="2847"/>
      <c r="BP194" s="2847"/>
      <c r="BQ194" s="2847"/>
      <c r="BR194" s="2847"/>
      <c r="BS194" s="2847"/>
      <c r="BT194" s="2847"/>
      <c r="BU194" s="2847"/>
      <c r="BV194" s="2847"/>
      <c r="BW194" s="2847"/>
      <c r="BX194" s="2847"/>
      <c r="BY194" s="2847"/>
      <c r="BZ194" s="2847"/>
      <c r="CA194" s="2847"/>
      <c r="CB194" s="2847"/>
      <c r="CC194" s="2847"/>
      <c r="CD194" s="2847"/>
      <c r="CE194" s="2847"/>
      <c r="CF194" s="13572"/>
    </row>
    <row customHeight="1" ht="5.25" hidden="1">
      <c r="A195" s="3004"/>
      <c r="B195" s="2847"/>
      <c r="C195" s="2847"/>
      <c r="D195" s="3791"/>
      <c r="E195" s="2254"/>
      <c r="F195" s="2255"/>
      <c r="G195" s="2255" t="s">
        <v>22</v>
      </c>
      <c r="H195" s="2256"/>
      <c r="I195" s="2256"/>
      <c r="J195" s="2256"/>
      <c r="K195" s="2256"/>
      <c r="L195" s="2256"/>
      <c r="M195" s="2256"/>
      <c r="N195" s="2256"/>
      <c r="O195" s="2256"/>
      <c r="P195" s="2256"/>
      <c r="Q195" s="2256"/>
      <c r="R195" s="2157"/>
      <c r="S195" s="2257"/>
      <c r="T195" s="1929"/>
      <c r="U195" s="3585"/>
      <c r="V195" s="3585"/>
      <c r="W195" s="2847"/>
      <c r="X195" s="2847"/>
      <c r="Y195" s="2847"/>
      <c r="Z195" s="2847"/>
      <c r="AA195" s="2847"/>
      <c r="AB195" s="2847"/>
      <c r="AC195" s="2248"/>
      <c r="AD195" s="2249"/>
      <c r="AE195" s="2847"/>
      <c r="AF195" s="2847"/>
      <c r="AG195" s="2847"/>
      <c r="AH195" s="2847"/>
      <c r="AI195" s="2847"/>
      <c r="AJ195" s="2847"/>
      <c r="AK195" s="2847"/>
      <c r="AL195" s="2847"/>
      <c r="AM195" s="2847"/>
      <c r="AN195" s="2847"/>
      <c r="AO195" s="2847"/>
      <c r="AP195" s="2847"/>
      <c r="AQ195" s="2847"/>
      <c r="AR195" s="2847"/>
      <c r="AS195" s="2847"/>
      <c r="AT195" s="2847"/>
      <c r="AU195" s="2847"/>
      <c r="AV195" s="2847"/>
      <c r="AW195" s="2847"/>
      <c r="AX195" s="2847"/>
      <c r="AY195" s="2847"/>
      <c r="AZ195" s="2847"/>
      <c r="BA195" s="2847"/>
      <c r="BB195" s="2847"/>
      <c r="BC195" s="2847"/>
      <c r="BD195" s="2847"/>
      <c r="BE195" s="2847"/>
      <c r="BF195" s="2847"/>
      <c r="BG195" s="2847"/>
      <c r="BH195" s="2847"/>
      <c r="BI195" s="2847"/>
      <c r="BJ195" s="2847"/>
      <c r="BK195" s="2847"/>
      <c r="BL195" s="2847"/>
      <c r="BM195" s="2847"/>
      <c r="BN195" s="2847"/>
      <c r="BO195" s="2847"/>
      <c r="BP195" s="2847"/>
      <c r="BQ195" s="2847"/>
      <c r="BR195" s="2847"/>
      <c r="BS195" s="2847"/>
      <c r="BT195" s="2847"/>
      <c r="BU195" s="2847"/>
      <c r="BV195" s="2847"/>
      <c r="BW195" s="2847"/>
      <c r="BX195" s="2847"/>
      <c r="BY195" s="2847"/>
      <c r="BZ195" s="2847"/>
      <c r="CA195" s="2847"/>
      <c r="CB195" s="2847"/>
      <c r="CC195" s="2847"/>
      <c r="CD195" s="2847"/>
      <c r="CE195" s="2847"/>
      <c r="CF195" s="13572"/>
    </row>
    <row customHeight="1" ht="19.95">
      <c r="D196" s="2258"/>
      <c r="E196" s="2258"/>
      <c r="F196" s="2258"/>
      <c r="G196" s="2258"/>
      <c r="H196" s="2258"/>
      <c r="I196" s="2258"/>
      <c r="J196" s="2258"/>
      <c r="K196" s="2258"/>
      <c r="L196" s="2258"/>
      <c r="M196" s="2258"/>
      <c r="N196" s="2258"/>
      <c r="O196" s="2258"/>
      <c r="P196" s="2258"/>
      <c r="Q196" s="2258"/>
      <c r="R196" s="2258"/>
      <c r="S196" s="2258"/>
      <c r="T196" s="1545"/>
      <c r="CF196" s="1716">
        <v>19</v>
      </c>
    </row>
    <row customHeight="1" ht="11.549999999999999">
      <c r="D197" s="1720"/>
      <c r="CF197" s="1716">
        <v>11</v>
      </c>
    </row>
    <row customHeight="1" ht="11.549999999999999">
      <c r="D198" s="1865"/>
      <c r="E198" s="1865"/>
      <c r="F198" s="1865"/>
      <c r="G198" s="1866"/>
      <c r="CF198" s="1716">
        <v>11</v>
      </c>
    </row>
    <row customHeight="1" ht="11.549999999999999">
      <c r="CF199" s="1716">
        <v>11</v>
      </c>
    </row>
    <row customHeight="1" ht="11.549999999999999">
      <c r="D200" s="1867"/>
      <c r="E200" s="3595"/>
      <c r="F200" s="3595"/>
      <c r="G200" s="3595"/>
      <c r="H200" s="3595"/>
      <c r="I200" s="3595"/>
      <c r="J200" s="3595"/>
      <c r="K200" s="3595"/>
      <c r="L200" s="3595"/>
      <c r="M200" s="3595"/>
      <c r="N200" s="3595"/>
      <c r="O200" s="3595"/>
      <c r="P200" s="3595"/>
      <c r="Q200" s="3595"/>
      <c r="R200" s="3595"/>
      <c r="CF200" s="1716">
        <v>11</v>
      </c>
    </row>
    <row customHeight="1" ht="11.549999999999999">
      <c r="F201" s="1969"/>
      <c r="G201" s="1969"/>
      <c r="CF201" s="1716">
        <v>11</v>
      </c>
    </row>
    <row customHeight="1" ht="11.25" hidden="1">
      <c r="A202" s="1821" t="s">
        <v>82</v>
      </c>
      <c r="B202" s="1660">
        <v>0</v>
      </c>
      <c r="C202" s="1716">
        <v>3</v>
      </c>
      <c r="D202" s="1716">
        <v>0</v>
      </c>
      <c r="E202" s="1716">
        <v>7</v>
      </c>
      <c r="F202" s="1716">
        <v>7</v>
      </c>
      <c r="G202" s="1716">
        <v>29</v>
      </c>
      <c r="H202" s="1716">
        <v>3</v>
      </c>
      <c r="I202" s="1716">
        <v>5</v>
      </c>
      <c r="J202" s="1716">
        <v>24</v>
      </c>
      <c r="K202" s="1716">
        <v>24</v>
      </c>
      <c r="L202" s="1716">
        <v>3</v>
      </c>
      <c r="M202" s="1716">
        <v>6</v>
      </c>
      <c r="N202" s="1716">
        <v>25</v>
      </c>
      <c r="O202" s="1716">
        <v>18</v>
      </c>
      <c r="P202" s="1716">
        <v>18</v>
      </c>
      <c r="Q202" s="1716">
        <v>18</v>
      </c>
      <c r="R202" s="1716">
        <v>18</v>
      </c>
      <c r="S202" s="1716">
        <v>93</v>
      </c>
      <c r="T202" s="1716">
        <v>10</v>
      </c>
      <c r="U202" s="1822">
        <v>10</v>
      </c>
      <c r="V202" s="1822">
        <v>11</v>
      </c>
      <c r="W202" s="1823">
        <v>10</v>
      </c>
      <c r="X202" s="1660">
        <v>10</v>
      </c>
      <c r="Y202" s="1660">
        <v>10</v>
      </c>
      <c r="Z202" s="1660">
        <v>10</v>
      </c>
      <c r="AA202" s="1660">
        <v>10</v>
      </c>
      <c r="AB202" s="1716">
        <v>8</v>
      </c>
      <c r="AC202" s="1716">
        <v>8</v>
      </c>
      <c r="AD202" s="1716">
        <v>8</v>
      </c>
      <c r="AE202" s="1716">
        <v>8</v>
      </c>
      <c r="AF202" s="1716">
        <v>8</v>
      </c>
      <c r="AG202" s="1716">
        <v>8</v>
      </c>
      <c r="AH202" s="1716">
        <v>8</v>
      </c>
      <c r="AI202" s="1716">
        <v>8</v>
      </c>
      <c r="AJ202" s="1716">
        <v>8</v>
      </c>
      <c r="AK202" s="1716">
        <v>8</v>
      </c>
      <c r="AL202" s="1716">
        <v>8</v>
      </c>
      <c r="AM202" s="1716">
        <v>8</v>
      </c>
      <c r="AN202" s="1716">
        <v>8</v>
      </c>
      <c r="AO202" s="1716">
        <v>8</v>
      </c>
      <c r="AP202" s="1716">
        <v>8</v>
      </c>
      <c r="AQ202" s="1716">
        <v>8</v>
      </c>
      <c r="AR202" s="1716">
        <v>8</v>
      </c>
      <c r="AS202" s="1716">
        <v>8</v>
      </c>
      <c r="AT202" s="1716">
        <v>8</v>
      </c>
      <c r="AU202" s="1716">
        <v>8</v>
      </c>
      <c r="AV202" s="1716">
        <v>8</v>
      </c>
      <c r="AW202" s="1716">
        <v>8</v>
      </c>
      <c r="AX202" s="1716">
        <v>8</v>
      </c>
      <c r="AY202" s="1716">
        <v>8</v>
      </c>
      <c r="AZ202" s="1716">
        <v>8</v>
      </c>
      <c r="BA202" s="1716">
        <v>8</v>
      </c>
      <c r="BB202" s="1716">
        <v>8</v>
      </c>
      <c r="BC202" s="1716">
        <v>8</v>
      </c>
      <c r="BD202" s="1716">
        <v>8</v>
      </c>
      <c r="BE202" s="1716">
        <v>8</v>
      </c>
      <c r="BF202" s="1716">
        <v>8</v>
      </c>
      <c r="BG202" s="1716">
        <v>8</v>
      </c>
      <c r="BH202" s="1716">
        <v>8</v>
      </c>
      <c r="BI202" s="1716">
        <v>8</v>
      </c>
      <c r="BJ202" s="1716">
        <v>8</v>
      </c>
      <c r="BK202" s="1716">
        <v>8</v>
      </c>
      <c r="BL202" s="1716">
        <v>8</v>
      </c>
      <c r="BM202" s="1716">
        <v>8</v>
      </c>
      <c r="BN202" s="1716">
        <v>8</v>
      </c>
      <c r="BO202" s="1716">
        <v>8</v>
      </c>
      <c r="BP202" s="1716">
        <v>8</v>
      </c>
      <c r="BQ202" s="1716">
        <v>8</v>
      </c>
      <c r="BR202" s="1716">
        <v>8</v>
      </c>
      <c r="BS202" s="1716">
        <v>8</v>
      </c>
      <c r="BT202" s="1716">
        <v>8</v>
      </c>
      <c r="BU202" s="1716">
        <v>8</v>
      </c>
      <c r="BV202" s="1716">
        <v>8</v>
      </c>
      <c r="BW202" s="1716">
        <v>8</v>
      </c>
      <c r="BX202" s="1716">
        <v>8</v>
      </c>
      <c r="BY202" s="1716">
        <v>8</v>
      </c>
      <c r="BZ202" s="1716">
        <v>8</v>
      </c>
      <c r="CA202" s="1716">
        <v>8</v>
      </c>
      <c r="CB202" s="1716">
        <v>8</v>
      </c>
      <c r="CC202" s="1716">
        <v>8</v>
      </c>
      <c r="CD202" s="1716">
        <v>8</v>
      </c>
      <c r="CE202" s="1716">
        <v>8</v>
      </c>
      <c r="CF202" s="1716">
        <v>11</v>
      </c>
    </row>
  </sheetData>
  <sheetProtection formatColumns="0" formatRows="0" autoFilter="0" sort="0" insertRows="0" insertColumns="1" deleteRows="0" deleteColumns="0"/>
  <mergeCells count="370">
    <mergeCell ref="E5:K5"/>
    <mergeCell ref="E6:K6"/>
    <mergeCell ref="E9:R9"/>
    <mergeCell ref="S9:S10"/>
    <mergeCell ref="E10:F10"/>
    <mergeCell ref="H10:I10"/>
    <mergeCell ref="L10:M10"/>
    <mergeCell ref="D14:D58"/>
    <mergeCell ref="H14:R14"/>
    <mergeCell ref="H15:R15"/>
    <mergeCell ref="H16:R16"/>
    <mergeCell ref="E200:R200"/>
    <mergeCell ref="E56:P56"/>
    <mergeCell ref="U56:U58"/>
    <mergeCell ref="V56:V58"/>
    <mergeCell ref="AC14:AC55"/>
    <mergeCell ref="E17:P17"/>
    <mergeCell ref="U17:U55"/>
    <mergeCell ref="V17:V55"/>
    <mergeCell ref="E14:G14"/>
    <mergeCell ref="E15:G15"/>
    <mergeCell ref="E16:G16"/>
    <mergeCell ref="U117:U119"/>
    <mergeCell ref="V117:V119"/>
    <mergeCell ref="U62:U116"/>
    <mergeCell ref="V62:V116"/>
    <mergeCell ref="D59:D119"/>
    <mergeCell ref="E59:G59"/>
    <mergeCell ref="H59:R59"/>
    <mergeCell ref="AC59:AC116"/>
    <mergeCell ref="E60:G60"/>
    <mergeCell ref="H60:R60"/>
    <mergeCell ref="E61:G61"/>
    <mergeCell ref="H61:R61"/>
    <mergeCell ref="E62:P62"/>
    <mergeCell ref="U126:U128"/>
    <mergeCell ref="V126:V128"/>
    <mergeCell ref="U123:U125"/>
    <mergeCell ref="V123:V125"/>
    <mergeCell ref="D120:D128"/>
    <mergeCell ref="E120:G120"/>
    <mergeCell ref="H120:R120"/>
    <mergeCell ref="AC120:AC125"/>
    <mergeCell ref="E121:G121"/>
    <mergeCell ref="H121:R121"/>
    <mergeCell ref="E122:G122"/>
    <mergeCell ref="H122:R122"/>
    <mergeCell ref="E123:P123"/>
    <mergeCell ref="U155:U157"/>
    <mergeCell ref="V155:V157"/>
    <mergeCell ref="U132:U154"/>
    <mergeCell ref="V132:V154"/>
    <mergeCell ref="D129:D157"/>
    <mergeCell ref="E129:G129"/>
    <mergeCell ref="H129:R129"/>
    <mergeCell ref="AC129:AC154"/>
    <mergeCell ref="E130:G130"/>
    <mergeCell ref="H130:R130"/>
    <mergeCell ref="E131:G131"/>
    <mergeCell ref="H131:R131"/>
    <mergeCell ref="E132:P132"/>
    <mergeCell ref="U184:U186"/>
    <mergeCell ref="V184:V186"/>
    <mergeCell ref="U161:U183"/>
    <mergeCell ref="V161:V183"/>
    <mergeCell ref="D158:D186"/>
    <mergeCell ref="E158:G158"/>
    <mergeCell ref="H158:R158"/>
    <mergeCell ref="AC158:AC183"/>
    <mergeCell ref="E159:G159"/>
    <mergeCell ref="H159:R159"/>
    <mergeCell ref="E160:G160"/>
    <mergeCell ref="H160:R160"/>
    <mergeCell ref="E161:P161"/>
    <mergeCell ref="U193:U195"/>
    <mergeCell ref="V193:V195"/>
    <mergeCell ref="U190:U192"/>
    <mergeCell ref="V190:V192"/>
    <mergeCell ref="D187:D195"/>
    <mergeCell ref="E187:G187"/>
    <mergeCell ref="H187:R187"/>
    <mergeCell ref="AC187:AC192"/>
    <mergeCell ref="E188:G188"/>
    <mergeCell ref="H188:R188"/>
    <mergeCell ref="E189:G189"/>
    <mergeCell ref="H189:R189"/>
    <mergeCell ref="E190:P190"/>
    <mergeCell ref="E19:E28"/>
    <mergeCell ref="F19:F28"/>
    <mergeCell ref="G19:G28"/>
    <mergeCell ref="L19:M19"/>
    <mergeCell ref="S19:S28"/>
    <mergeCell ref="H20:H21"/>
    <mergeCell ref="I20:I21"/>
    <mergeCell ref="J20:J21"/>
    <mergeCell ref="K20:K21"/>
    <mergeCell ref="H22:H23"/>
    <mergeCell ref="I22:I23"/>
    <mergeCell ref="J22:J23"/>
    <mergeCell ref="K22:K23"/>
    <mergeCell ref="H24:H25"/>
    <mergeCell ref="I24:I25"/>
    <mergeCell ref="J24:J25"/>
    <mergeCell ref="K24:K25"/>
    <mergeCell ref="H26:H27"/>
    <mergeCell ref="I26:I27"/>
    <mergeCell ref="J26:J27"/>
    <mergeCell ref="K26:K27"/>
    <mergeCell ref="E29:E32"/>
    <mergeCell ref="F29:F32"/>
    <mergeCell ref="G29:G32"/>
    <mergeCell ref="L29:M29"/>
    <mergeCell ref="S29:S32"/>
    <mergeCell ref="H30:H31"/>
    <mergeCell ref="I30:I31"/>
    <mergeCell ref="J30:J31"/>
    <mergeCell ref="K30:K31"/>
    <mergeCell ref="E33:E36"/>
    <mergeCell ref="F33:F36"/>
    <mergeCell ref="G33:G36"/>
    <mergeCell ref="L33:M33"/>
    <mergeCell ref="S33:S36"/>
    <mergeCell ref="H34:H35"/>
    <mergeCell ref="I34:I35"/>
    <mergeCell ref="J34:J35"/>
    <mergeCell ref="K34:K35"/>
    <mergeCell ref="E37:E40"/>
    <mergeCell ref="F37:F40"/>
    <mergeCell ref="G37:G40"/>
    <mergeCell ref="L37:M37"/>
    <mergeCell ref="S37:S40"/>
    <mergeCell ref="H38:H39"/>
    <mergeCell ref="I38:I39"/>
    <mergeCell ref="J38:J39"/>
    <mergeCell ref="K38:K39"/>
    <mergeCell ref="E41:E46"/>
    <mergeCell ref="F41:F46"/>
    <mergeCell ref="G41:G46"/>
    <mergeCell ref="L41:M41"/>
    <mergeCell ref="S41:S46"/>
    <mergeCell ref="H42:H43"/>
    <mergeCell ref="I42:I43"/>
    <mergeCell ref="J42:J43"/>
    <mergeCell ref="K42:K43"/>
    <mergeCell ref="H44:H45"/>
    <mergeCell ref="I44:I45"/>
    <mergeCell ref="J44:J45"/>
    <mergeCell ref="K44:K45"/>
    <mergeCell ref="E47:E50"/>
    <mergeCell ref="F47:F50"/>
    <mergeCell ref="G47:G50"/>
    <mergeCell ref="L47:M47"/>
    <mergeCell ref="S47:S50"/>
    <mergeCell ref="H48:H49"/>
    <mergeCell ref="I48:I49"/>
    <mergeCell ref="J48:J49"/>
    <mergeCell ref="K48:K49"/>
    <mergeCell ref="E64:E71"/>
    <mergeCell ref="F64:F71"/>
    <mergeCell ref="G64:G71"/>
    <mergeCell ref="L64:M64"/>
    <mergeCell ref="S64:S71"/>
    <mergeCell ref="H65:H66"/>
    <mergeCell ref="I65:I66"/>
    <mergeCell ref="J65:J66"/>
    <mergeCell ref="K65:K66"/>
    <mergeCell ref="E72:E75"/>
    <mergeCell ref="F72:F75"/>
    <mergeCell ref="G72:G75"/>
    <mergeCell ref="L72:M72"/>
    <mergeCell ref="S72:S75"/>
    <mergeCell ref="H73:H74"/>
    <mergeCell ref="I73:I74"/>
    <mergeCell ref="J73:J74"/>
    <mergeCell ref="K73:K74"/>
    <mergeCell ref="E76:E79"/>
    <mergeCell ref="F76:F79"/>
    <mergeCell ref="G76:G79"/>
    <mergeCell ref="L76:M76"/>
    <mergeCell ref="S76:S79"/>
    <mergeCell ref="H77:H78"/>
    <mergeCell ref="I77:I78"/>
    <mergeCell ref="J77:J78"/>
    <mergeCell ref="K77:K78"/>
    <mergeCell ref="E80:E83"/>
    <mergeCell ref="F80:F83"/>
    <mergeCell ref="G80:G83"/>
    <mergeCell ref="L80:M80"/>
    <mergeCell ref="S80:S83"/>
    <mergeCell ref="H81:H82"/>
    <mergeCell ref="I81:I82"/>
    <mergeCell ref="J81:J82"/>
    <mergeCell ref="K81:K82"/>
    <mergeCell ref="E84:E87"/>
    <mergeCell ref="F84:F87"/>
    <mergeCell ref="G84:G87"/>
    <mergeCell ref="L84:M84"/>
    <mergeCell ref="S84:S87"/>
    <mergeCell ref="H85:H86"/>
    <mergeCell ref="I85:I86"/>
    <mergeCell ref="J85:J86"/>
    <mergeCell ref="K85:K86"/>
    <mergeCell ref="H67:H68"/>
    <mergeCell ref="I67:I68"/>
    <mergeCell ref="J67:J68"/>
    <mergeCell ref="K67:K68"/>
    <mergeCell ref="H69:H70"/>
    <mergeCell ref="I69:I70"/>
    <mergeCell ref="J69:J70"/>
    <mergeCell ref="K69:K70"/>
    <mergeCell ref="E134:E137"/>
    <mergeCell ref="F134:F137"/>
    <mergeCell ref="G134:G137"/>
    <mergeCell ref="L134:M134"/>
    <mergeCell ref="S134:S137"/>
    <mergeCell ref="H135:H136"/>
    <mergeCell ref="I135:I136"/>
    <mergeCell ref="J135:J136"/>
    <mergeCell ref="K135:K136"/>
    <mergeCell ref="E138:E141"/>
    <mergeCell ref="F138:F141"/>
    <mergeCell ref="G138:G141"/>
    <mergeCell ref="L138:M138"/>
    <mergeCell ref="S138:S141"/>
    <mergeCell ref="H139:H140"/>
    <mergeCell ref="I139:I140"/>
    <mergeCell ref="J139:J140"/>
    <mergeCell ref="K139:K140"/>
    <mergeCell ref="E142:E145"/>
    <mergeCell ref="F142:F145"/>
    <mergeCell ref="G142:G145"/>
    <mergeCell ref="L142:M142"/>
    <mergeCell ref="S142:S145"/>
    <mergeCell ref="H143:H144"/>
    <mergeCell ref="I143:I144"/>
    <mergeCell ref="J143:J144"/>
    <mergeCell ref="K143:K144"/>
    <mergeCell ref="E146:E153"/>
    <mergeCell ref="F146:F153"/>
    <mergeCell ref="G146:G153"/>
    <mergeCell ref="L146:M146"/>
    <mergeCell ref="S146:S153"/>
    <mergeCell ref="H147:H148"/>
    <mergeCell ref="I147:I148"/>
    <mergeCell ref="J147:J148"/>
    <mergeCell ref="K147:K148"/>
    <mergeCell ref="H149:H150"/>
    <mergeCell ref="I149:I150"/>
    <mergeCell ref="J149:J150"/>
    <mergeCell ref="K149:K150"/>
    <mergeCell ref="H151:H152"/>
    <mergeCell ref="I151:I152"/>
    <mergeCell ref="J151:J152"/>
    <mergeCell ref="K151:K152"/>
    <mergeCell ref="E51:E54"/>
    <mergeCell ref="F51:F54"/>
    <mergeCell ref="G51:G54"/>
    <mergeCell ref="L51:M51"/>
    <mergeCell ref="S51:S54"/>
    <mergeCell ref="H52:H53"/>
    <mergeCell ref="I52:I53"/>
    <mergeCell ref="J52:J53"/>
    <mergeCell ref="K52:K53"/>
    <mergeCell ref="E88:E95"/>
    <mergeCell ref="F88:F95"/>
    <mergeCell ref="G88:G95"/>
    <mergeCell ref="L88:M88"/>
    <mergeCell ref="S88:S95"/>
    <mergeCell ref="H89:H90"/>
    <mergeCell ref="I89:I90"/>
    <mergeCell ref="J89:J90"/>
    <mergeCell ref="K89:K90"/>
    <mergeCell ref="E96:E99"/>
    <mergeCell ref="F96:F99"/>
    <mergeCell ref="G96:G99"/>
    <mergeCell ref="L96:M96"/>
    <mergeCell ref="S96:S99"/>
    <mergeCell ref="H97:H98"/>
    <mergeCell ref="I97:I98"/>
    <mergeCell ref="J97:J98"/>
    <mergeCell ref="K97:K98"/>
    <mergeCell ref="E100:E103"/>
    <mergeCell ref="F100:F103"/>
    <mergeCell ref="G100:G103"/>
    <mergeCell ref="L100:M100"/>
    <mergeCell ref="S100:S103"/>
    <mergeCell ref="H101:H102"/>
    <mergeCell ref="I101:I102"/>
    <mergeCell ref="J101:J102"/>
    <mergeCell ref="K101:K102"/>
    <mergeCell ref="E104:E107"/>
    <mergeCell ref="F104:F107"/>
    <mergeCell ref="G104:G107"/>
    <mergeCell ref="L104:M104"/>
    <mergeCell ref="S104:S107"/>
    <mergeCell ref="H105:H106"/>
    <mergeCell ref="I105:I106"/>
    <mergeCell ref="J105:J106"/>
    <mergeCell ref="K105:K106"/>
    <mergeCell ref="E108:E111"/>
    <mergeCell ref="F108:F111"/>
    <mergeCell ref="G108:G111"/>
    <mergeCell ref="L108:M108"/>
    <mergeCell ref="S108:S111"/>
    <mergeCell ref="H109:H110"/>
    <mergeCell ref="I109:I110"/>
    <mergeCell ref="J109:J110"/>
    <mergeCell ref="K109:K110"/>
    <mergeCell ref="E112:E115"/>
    <mergeCell ref="F112:F115"/>
    <mergeCell ref="G112:G115"/>
    <mergeCell ref="L112:M112"/>
    <mergeCell ref="S112:S115"/>
    <mergeCell ref="H113:H114"/>
    <mergeCell ref="I113:I114"/>
    <mergeCell ref="J113:J114"/>
    <mergeCell ref="K113:K114"/>
    <mergeCell ref="H91:H92"/>
    <mergeCell ref="I91:I92"/>
    <mergeCell ref="J91:J92"/>
    <mergeCell ref="K91:K92"/>
    <mergeCell ref="H93:H94"/>
    <mergeCell ref="I93:I94"/>
    <mergeCell ref="J93:J94"/>
    <mergeCell ref="K93:K94"/>
    <mergeCell ref="E163:E166"/>
    <mergeCell ref="F163:F166"/>
    <mergeCell ref="G163:G166"/>
    <mergeCell ref="L163:M163"/>
    <mergeCell ref="S163:S166"/>
    <mergeCell ref="H164:H165"/>
    <mergeCell ref="I164:I165"/>
    <mergeCell ref="J164:J165"/>
    <mergeCell ref="K164:K165"/>
    <mergeCell ref="E167:E170"/>
    <mergeCell ref="F167:F170"/>
    <mergeCell ref="G167:G170"/>
    <mergeCell ref="L167:M167"/>
    <mergeCell ref="S167:S170"/>
    <mergeCell ref="H168:H169"/>
    <mergeCell ref="I168:I169"/>
    <mergeCell ref="J168:J169"/>
    <mergeCell ref="K168:K169"/>
    <mergeCell ref="E171:E174"/>
    <mergeCell ref="F171:F174"/>
    <mergeCell ref="G171:G174"/>
    <mergeCell ref="L171:M171"/>
    <mergeCell ref="S171:S174"/>
    <mergeCell ref="H172:H173"/>
    <mergeCell ref="I172:I173"/>
    <mergeCell ref="J172:J173"/>
    <mergeCell ref="K172:K173"/>
    <mergeCell ref="E175:E178"/>
    <mergeCell ref="F175:F178"/>
    <mergeCell ref="G175:G178"/>
    <mergeCell ref="L175:M175"/>
    <mergeCell ref="S175:S178"/>
    <mergeCell ref="H176:H177"/>
    <mergeCell ref="I176:I177"/>
    <mergeCell ref="J176:J177"/>
    <mergeCell ref="K176:K177"/>
    <mergeCell ref="E179:E182"/>
    <mergeCell ref="F179:F182"/>
    <mergeCell ref="G179:G182"/>
    <mergeCell ref="L179:M179"/>
    <mergeCell ref="S179:S182"/>
    <mergeCell ref="H180:H181"/>
    <mergeCell ref="I180:I181"/>
    <mergeCell ref="J180:J181"/>
    <mergeCell ref="K180:K181"/>
  </mergeCells>
  <dataValidations count="148">
    <dataValidation type="list" allowBlank="1" showInputMessage="1" showErrorMessage="1" errorTitle="Ошибка" error="Выберите значение из списка" prompt="Выберите значение из списка" sqref="J181">
      <formula1>kind_of_purchase_method</formula1>
    </dataValidation>
    <dataValidation type="decimal" allowBlank="1" showErrorMessage="1" errorTitle="Ошибка" error="Допускается ввод только неотрицательных чисел!" sqref="Q180">
      <formula1>0</formula1>
      <formula2>9.99999999999999E+23</formula2>
    </dataValidation>
    <dataValidation type="decimal" allowBlank="1" showErrorMessage="1" errorTitle="Ошибка" error="Допускается ввод только неотрицательных чисел!" sqref="O18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80">
      <formula1>kind_of_purchase_method</formula1>
    </dataValidation>
    <dataValidation type="list" allowBlank="1" showInputMessage="1" showErrorMessage="1" errorTitle="Ошибка" error="Выберите значение из списка" prompt="Выберите значение из списка" sqref="J177">
      <formula1>kind_of_purchase_method</formula1>
    </dataValidation>
    <dataValidation type="decimal" allowBlank="1" showErrorMessage="1" errorTitle="Ошибка" error="Допускается ввод только неотрицательных чисел!" sqref="Q176">
      <formula1>0</formula1>
      <formula2>9.99999999999999E+23</formula2>
    </dataValidation>
    <dataValidation type="decimal" allowBlank="1" showErrorMessage="1" errorTitle="Ошибка" error="Допускается ввод только неотрицательных чисел!" sqref="O17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76">
      <formula1>kind_of_purchase_method</formula1>
    </dataValidation>
    <dataValidation type="list" allowBlank="1" showInputMessage="1" showErrorMessage="1" errorTitle="Ошибка" error="Выберите значение из списка" prompt="Выберите значение из списка" sqref="J173">
      <formula1>kind_of_purchase_method</formula1>
    </dataValidation>
    <dataValidation type="decimal" allowBlank="1" showErrorMessage="1" errorTitle="Ошибка" error="Допускается ввод только неотрицательных чисел!" sqref="Q172">
      <formula1>0</formula1>
      <formula2>9.99999999999999E+23</formula2>
    </dataValidation>
    <dataValidation type="decimal" allowBlank="1" showErrorMessage="1" errorTitle="Ошибка" error="Допускается ввод только неотрицательных чисел!" sqref="O17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72">
      <formula1>kind_of_purchase_method</formula1>
    </dataValidation>
    <dataValidation type="list" allowBlank="1" showInputMessage="1" showErrorMessage="1" errorTitle="Ошибка" error="Выберите значение из списка" prompt="Выберите значение из списка" sqref="J169">
      <formula1>kind_of_purchase_method</formula1>
    </dataValidation>
    <dataValidation type="decimal" allowBlank="1" showErrorMessage="1" errorTitle="Ошибка" error="Допускается ввод только неотрицательных чисел!" sqref="Q168">
      <formula1>0</formula1>
      <formula2>9.99999999999999E+23</formula2>
    </dataValidation>
    <dataValidation type="decimal" allowBlank="1" showErrorMessage="1" errorTitle="Ошибка" error="Допускается ввод только неотрицательных чисел!" sqref="O16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8">
      <formula1>kind_of_purchase_method</formula1>
    </dataValidation>
    <dataValidation type="list" allowBlank="1" showInputMessage="1" showErrorMessage="1" errorTitle="Ошибка" error="Выберите значение из списка" prompt="Выберите значение из списка" sqref="J165">
      <formula1>kind_of_purchase_method</formula1>
    </dataValidation>
    <dataValidation type="decimal" allowBlank="1" showErrorMessage="1" errorTitle="Ошибка" error="Допускается ввод только неотрицательных чисел!" sqref="Q164">
      <formula1>0</formula1>
      <formula2>9.99999999999999E+23</formula2>
    </dataValidation>
    <dataValidation type="decimal" allowBlank="1" showErrorMessage="1" errorTitle="Ошибка" error="Допускается ввод только неотрицательных чисел!" sqref="O16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64">
      <formula1>kind_of_purchase_method</formula1>
    </dataValidation>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list" allowBlank="1" showInputMessage="1" showErrorMessage="1" errorTitle="Ошибка" error="Выберите значение из списка" prompt="Выберите значение из списка" sqref="J34">
      <formula1>kind_of_purchase_method</formula1>
    </dataValidation>
    <dataValidation type="decimal" allowBlank="1" showErrorMessage="1" errorTitle="Ошибка" error="Допускается ввод только неотрицательных чисел!" sqref="O34">
      <formula1>0</formula1>
      <formula2>9.99999999999999E+23</formula2>
    </dataValidation>
    <dataValidation type="decimal" allowBlank="1" showErrorMessage="1" errorTitle="Ошибка" error="Допускается ввод только неотрицательных чисел!" sqref="Q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list" allowBlank="1" showInputMessage="1" showErrorMessage="1" errorTitle="Ошибка" error="Выберите значение из списка" prompt="Выберите значение из списка" sqref="J38">
      <formula1>kind_of_purchase_method</formula1>
    </dataValidation>
    <dataValidation type="decimal" allowBlank="1" showErrorMessage="1" errorTitle="Ошибка" error="Допускается ввод только неотрицательных чисел!" sqref="O38">
      <formula1>0</formula1>
      <formula2>9.99999999999999E+23</formula2>
    </dataValidation>
    <dataValidation type="decimal" allowBlank="1" showErrorMessage="1" errorTitle="Ошибка" error="Допускается ввод только неотрицательных чисел!" sqref="Q3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9">
      <formula1>kind_of_purchase_method</formula1>
    </dataValidation>
    <dataValidation type="list" allowBlank="1" showInputMessage="1" showErrorMessage="1" errorTitle="Ошибка" error="Выберите значение из списка" prompt="Выберите значение из списка" sqref="J42">
      <formula1>kind_of_purchase_method</formula1>
    </dataValidation>
    <dataValidation type="decimal" allowBlank="1" showErrorMessage="1" errorTitle="Ошибка" error="Допускается ввод только неотрицательных чисел!" sqref="O42">
      <formula1>0</formula1>
      <formula2>9.99999999999999E+23</formula2>
    </dataValidation>
    <dataValidation type="decimal" allowBlank="1" showErrorMessage="1" errorTitle="Ошибка" error="Допускается ввод только неотрицательных чисел!" sqref="Q4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3">
      <formula1>kind_of_purchase_method</formula1>
    </dataValidation>
    <dataValidation type="list" allowBlank="1" showInputMessage="1" showErrorMessage="1" errorTitle="Ошибка" error="Выберите значение из списка" prompt="Выберите значение из списка" sqref="J44">
      <formula1>kind_of_purchase_method</formula1>
    </dataValidation>
    <dataValidation type="decimal" allowBlank="1" showErrorMessage="1" errorTitle="Ошибка" error="Допускается ввод только неотрицательных чисел!" sqref="O44">
      <formula1>0</formula1>
      <formula2>9.99999999999999E+23</formula2>
    </dataValidation>
    <dataValidation type="decimal" allowBlank="1" showErrorMessage="1" errorTitle="Ошибка" error="Допускается ввод только неотрицательных чисел!" sqref="Q4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5">
      <formula1>kind_of_purchase_method</formula1>
    </dataValidation>
    <dataValidation type="list" allowBlank="1" showInputMessage="1" showErrorMessage="1" errorTitle="Ошибка" error="Выберите значение из списка" prompt="Выберите значение из списка" sqref="J48">
      <formula1>kind_of_purchase_method</formula1>
    </dataValidation>
    <dataValidation type="decimal" allowBlank="1" showErrorMessage="1" errorTitle="Ошибка" error="Допускается ввод только неотрицательных чисел!" sqref="O48">
      <formula1>0</formula1>
      <formula2>9.99999999999999E+23</formula2>
    </dataValidation>
    <dataValidation type="decimal" allowBlank="1" showErrorMessage="1" errorTitle="Ошибка" error="Допускается ввод только неотрицательных чисел!" sqref="Q4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9">
      <formula1>kind_of_purchase_method</formula1>
    </dataValidation>
    <dataValidation type="list" allowBlank="1" showInputMessage="1" showErrorMessage="1" errorTitle="Ошибка" error="Выберите значение из списка" prompt="Выберите значение из списка" sqref="J65">
      <formula1>kind_of_purchase_method</formula1>
    </dataValidation>
    <dataValidation type="decimal" allowBlank="1" showErrorMessage="1" errorTitle="Ошибка" error="Допускается ввод только неотрицательных чисел!" sqref="O65">
      <formula1>0</formula1>
      <formula2>9.99999999999999E+23</formula2>
    </dataValidation>
    <dataValidation type="decimal" allowBlank="1" showErrorMessage="1" errorTitle="Ошибка" error="Допускается ввод только неотрицательных чисел!" sqref="Q6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6">
      <formula1>kind_of_purchase_method</formula1>
    </dataValidation>
    <dataValidation type="list" allowBlank="1" showInputMessage="1" showErrorMessage="1" errorTitle="Ошибка" error="Выберите значение из списка" prompt="Выберите значение из списка" sqref="J73">
      <formula1>kind_of_purchase_method</formula1>
    </dataValidation>
    <dataValidation type="decimal" allowBlank="1" showErrorMessage="1" errorTitle="Ошибка" error="Допускается ввод только неотрицательных чисел!" sqref="O73">
      <formula1>0</formula1>
      <formula2>9.99999999999999E+23</formula2>
    </dataValidation>
    <dataValidation type="decimal" allowBlank="1" showErrorMessage="1" errorTitle="Ошибка" error="Допускается ввод только неотрицательных чисел!" sqref="Q7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4">
      <formula1>kind_of_purchase_method</formula1>
    </dataValidation>
    <dataValidation type="list" allowBlank="1" showInputMessage="1" showErrorMessage="1" errorTitle="Ошибка" error="Выберите значение из списка" prompt="Выберите значение из списка" sqref="J77">
      <formula1>kind_of_purchase_method</formula1>
    </dataValidation>
    <dataValidation type="decimal" allowBlank="1" showErrorMessage="1" errorTitle="Ошибка" error="Допускается ввод только неотрицательных чисел!" sqref="O77">
      <formula1>0</formula1>
      <formula2>9.99999999999999E+23</formula2>
    </dataValidation>
    <dataValidation type="decimal" allowBlank="1" showErrorMessage="1" errorTitle="Ошибка" error="Допускается ввод только неотрицательных чисел!" sqref="Q7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8">
      <formula1>kind_of_purchase_method</formula1>
    </dataValidation>
    <dataValidation type="list" allowBlank="1" showInputMessage="1" showErrorMessage="1" errorTitle="Ошибка" error="Выберите значение из списка" prompt="Выберите значение из списка" sqref="J81">
      <formula1>kind_of_purchase_method</formula1>
    </dataValidation>
    <dataValidation type="decimal" allowBlank="1" showErrorMessage="1" errorTitle="Ошибка" error="Допускается ввод только неотрицательных чисел!" sqref="O81">
      <formula1>0</formula1>
      <formula2>9.99999999999999E+23</formula2>
    </dataValidation>
    <dataValidation type="decimal" allowBlank="1" showErrorMessage="1" errorTitle="Ошибка" error="Допускается ввод только неотрицательных чисел!" sqref="Q8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2">
      <formula1>kind_of_purchase_method</formula1>
    </dataValidation>
    <dataValidation type="list" allowBlank="1" showInputMessage="1" showErrorMessage="1" errorTitle="Ошибка" error="Выберите значение из списка" prompt="Выберите значение из списка" sqref="J85">
      <formula1>kind_of_purchase_method</formula1>
    </dataValidation>
    <dataValidation type="decimal" allowBlank="1" showErrorMessage="1" errorTitle="Ошибка" error="Допускается ввод только неотрицательных чисел!" sqref="O85">
      <formula1>0</formula1>
      <formula2>9.99999999999999E+23</formula2>
    </dataValidation>
    <dataValidation type="decimal" allowBlank="1" showErrorMessage="1" errorTitle="Ошибка" error="Допускается ввод только неотрицательных чисел!" sqref="Q8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6">
      <formula1>kind_of_purchase_method</formula1>
    </dataValidation>
    <dataValidation type="list" allowBlank="1" showInputMessage="1" showErrorMessage="1" errorTitle="Ошибка" error="Выберите значение из списка" prompt="Выберите значение из списка" sqref="J67">
      <formula1>kind_of_purchase_method</formula1>
    </dataValidation>
    <dataValidation type="decimal" allowBlank="1" showErrorMessage="1" errorTitle="Ошибка" error="Допускается ввод только неотрицательных чисел!" sqref="O67">
      <formula1>0</formula1>
      <formula2>9.99999999999999E+23</formula2>
    </dataValidation>
    <dataValidation type="decimal" allowBlank="1" showErrorMessage="1" errorTitle="Ошибка" error="Допускается ввод только неотрицательных чисел!" sqref="Q6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8">
      <formula1>kind_of_purchase_method</formula1>
    </dataValidation>
    <dataValidation type="list" allowBlank="1" showInputMessage="1" showErrorMessage="1" errorTitle="Ошибка" error="Выберите значение из списка" prompt="Выберите значение из списка" sqref="J69">
      <formula1>kind_of_purchase_method</formula1>
    </dataValidation>
    <dataValidation type="decimal" allowBlank="1" showErrorMessage="1" errorTitle="Ошибка" error="Допускается ввод только неотрицательных чисел!" sqref="O69">
      <formula1>0</formula1>
      <formula2>9.99999999999999E+23</formula2>
    </dataValidation>
    <dataValidation type="decimal" allowBlank="1" showErrorMessage="1" errorTitle="Ошибка" error="Допускается ввод только неотрицательных чисел!" sqref="Q6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0">
      <formula1>kind_of_purchase_method</formula1>
    </dataValidation>
    <dataValidation type="list" allowBlank="1" showInputMessage="1" showErrorMessage="1" errorTitle="Ошибка" error="Выберите значение из списка" prompt="Выберите значение из списка" sqref="J135">
      <formula1>kind_of_purchase_method</formula1>
    </dataValidation>
    <dataValidation type="decimal" allowBlank="1" showErrorMessage="1" errorTitle="Ошибка" error="Допускается ввод только неотрицательных чисел!" sqref="O135">
      <formula1>0</formula1>
      <formula2>9.99999999999999E+23</formula2>
    </dataValidation>
    <dataValidation type="decimal" allowBlank="1" showErrorMessage="1" errorTitle="Ошибка" error="Допускается ввод только неотрицательных чисел!" sqref="Q13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36">
      <formula1>kind_of_purchase_method</formula1>
    </dataValidation>
    <dataValidation type="list" allowBlank="1" showInputMessage="1" showErrorMessage="1" errorTitle="Ошибка" error="Выберите значение из списка" prompt="Выберите значение из списка" sqref="J139">
      <formula1>kind_of_purchase_method</formula1>
    </dataValidation>
    <dataValidation type="decimal" allowBlank="1" showErrorMessage="1" errorTitle="Ошибка" error="Допускается ввод только неотрицательных чисел!" sqref="O139">
      <formula1>0</formula1>
      <formula2>9.99999999999999E+23</formula2>
    </dataValidation>
    <dataValidation type="decimal" allowBlank="1" showErrorMessage="1" errorTitle="Ошибка" error="Допускается ввод только неотрицательных чисел!" sqref="Q13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40">
      <formula1>kind_of_purchase_method</formula1>
    </dataValidation>
    <dataValidation type="list" allowBlank="1" showInputMessage="1" showErrorMessage="1" errorTitle="Ошибка" error="Выберите значение из списка" prompt="Выберите значение из списка" sqref="J143">
      <formula1>kind_of_purchase_method</formula1>
    </dataValidation>
    <dataValidation type="decimal" allowBlank="1" showErrorMessage="1" errorTitle="Ошибка" error="Допускается ввод только неотрицательных чисел!" sqref="O143">
      <formula1>0</formula1>
      <formula2>9.99999999999999E+23</formula2>
    </dataValidation>
    <dataValidation type="decimal" allowBlank="1" showErrorMessage="1" errorTitle="Ошибка" error="Допускается ввод только неотрицательных чисел!" sqref="Q14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44">
      <formula1>kind_of_purchase_method</formula1>
    </dataValidation>
    <dataValidation type="list" allowBlank="1" showInputMessage="1" showErrorMessage="1" errorTitle="Ошибка" error="Выберите значение из списка" prompt="Выберите значение из списка" sqref="J147">
      <formula1>kind_of_purchase_method</formula1>
    </dataValidation>
    <dataValidation type="decimal" allowBlank="1" showErrorMessage="1" errorTitle="Ошибка" error="Допускается ввод только неотрицательных чисел!" sqref="O147">
      <formula1>0</formula1>
      <formula2>9.99999999999999E+23</formula2>
    </dataValidation>
    <dataValidation type="decimal" allowBlank="1" showErrorMessage="1" errorTitle="Ошибка" error="Допускается ввод только неотрицательных чисел!" sqref="Q14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48">
      <formula1>kind_of_purchase_method</formula1>
    </dataValidation>
    <dataValidation type="list" allowBlank="1" showInputMessage="1" showErrorMessage="1" errorTitle="Ошибка" error="Выберите значение из списка" prompt="Выберите значение из списка" sqref="J149">
      <formula1>kind_of_purchase_method</formula1>
    </dataValidation>
    <dataValidation type="decimal" allowBlank="1" showErrorMessage="1" errorTitle="Ошибка" error="Допускается ввод только неотрицательных чисел!" sqref="O149">
      <formula1>0</formula1>
      <formula2>9.99999999999999E+23</formula2>
    </dataValidation>
    <dataValidation type="decimal" allowBlank="1" showErrorMessage="1" errorTitle="Ошибка" error="Допускается ввод только неотрицательных чисел!" sqref="Q14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0">
      <formula1>kind_of_purchase_method</formula1>
    </dataValidation>
    <dataValidation type="list" allowBlank="1" showInputMessage="1" showErrorMessage="1" errorTitle="Ошибка" error="Выберите значение из списка" prompt="Выберите значение из списка" sqref="J151">
      <formula1>kind_of_purchase_method</formula1>
    </dataValidation>
    <dataValidation type="decimal" allowBlank="1" showErrorMessage="1" errorTitle="Ошибка" error="Допускается ввод только неотрицательных чисел!" sqref="O151">
      <formula1>0</formula1>
      <formula2>9.99999999999999E+23</formula2>
    </dataValidation>
    <dataValidation type="decimal" allowBlank="1" showErrorMessage="1" errorTitle="Ошибка" error="Допускается ввод только неотрицательных чисел!" sqref="Q15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52">
      <formula1>kind_of_purchase_method</formula1>
    </dataValidation>
    <dataValidation type="list" allowBlank="1" showInputMessage="1" showErrorMessage="1" errorTitle="Ошибка" error="Выберите значение из списка" prompt="Выберите значение из списка" sqref="J52">
      <formula1>kind_of_purchase_method</formula1>
    </dataValidation>
    <dataValidation type="decimal" allowBlank="1" showErrorMessage="1" errorTitle="Ошибка" error="Допускается ввод только неотрицательных чисел!" sqref="O52">
      <formula1>0</formula1>
      <formula2>9.99999999999999E+23</formula2>
    </dataValidation>
    <dataValidation type="decimal" allowBlank="1" showErrorMessage="1" errorTitle="Ошибка" error="Допускается ввод только неотрицательных чисел!" sqref="Q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3">
      <formula1>kind_of_purchase_method</formula1>
    </dataValidation>
    <dataValidation type="list" allowBlank="1" showInputMessage="1" showErrorMessage="1" errorTitle="Ошибка" error="Выберите значение из списка" prompt="Выберите значение из списка" sqref="J89">
      <formula1>kind_of_purchase_method</formula1>
    </dataValidation>
    <dataValidation type="decimal" allowBlank="1" showErrorMessage="1" errorTitle="Ошибка" error="Допускается ввод только неотрицательных чисел!" sqref="O89">
      <formula1>0</formula1>
      <formula2>9.99999999999999E+23</formula2>
    </dataValidation>
    <dataValidation type="decimal" allowBlank="1" showErrorMessage="1" errorTitle="Ошибка" error="Допускается ввод только неотрицательных чисел!" sqref="Q8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0">
      <formula1>kind_of_purchase_method</formula1>
    </dataValidation>
    <dataValidation type="list" allowBlank="1" showInputMessage="1" showErrorMessage="1" errorTitle="Ошибка" error="Выберите значение из списка" prompt="Выберите значение из списка" sqref="J97">
      <formula1>kind_of_purchase_method</formula1>
    </dataValidation>
    <dataValidation type="decimal" allowBlank="1" showErrorMessage="1" errorTitle="Ошибка" error="Допускается ввод только неотрицательных чисел!" sqref="O97">
      <formula1>0</formula1>
      <formula2>9.99999999999999E+23</formula2>
    </dataValidation>
    <dataValidation type="decimal" allowBlank="1" showErrorMessage="1" errorTitle="Ошибка" error="Допускается ввод только неотрицательных чисел!" sqref="Q9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8">
      <formula1>kind_of_purchase_method</formula1>
    </dataValidation>
    <dataValidation type="list" allowBlank="1" showInputMessage="1" showErrorMessage="1" errorTitle="Ошибка" error="Выберите значение из списка" prompt="Выберите значение из списка" sqref="J101">
      <formula1>kind_of_purchase_method</formula1>
    </dataValidation>
    <dataValidation type="decimal" allowBlank="1" showErrorMessage="1" errorTitle="Ошибка" error="Допускается ввод только неотрицательных чисел!" sqref="O101">
      <formula1>0</formula1>
      <formula2>9.99999999999999E+23</formula2>
    </dataValidation>
    <dataValidation type="decimal" allowBlank="1" showErrorMessage="1" errorTitle="Ошибка" error="Допускается ввод только неотрицательных чисел!" sqref="Q10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2">
      <formula1>kind_of_purchase_method</formula1>
    </dataValidation>
    <dataValidation type="list" allowBlank="1" showInputMessage="1" showErrorMessage="1" errorTitle="Ошибка" error="Выберите значение из списка" prompt="Выберите значение из списка" sqref="J105">
      <formula1>kind_of_purchase_method</formula1>
    </dataValidation>
    <dataValidation type="decimal" allowBlank="1" showErrorMessage="1" errorTitle="Ошибка" error="Допускается ввод только неотрицательных чисел!" sqref="O105">
      <formula1>0</formula1>
      <formula2>9.99999999999999E+23</formula2>
    </dataValidation>
    <dataValidation type="decimal" allowBlank="1" showErrorMessage="1" errorTitle="Ошибка" error="Допускается ввод только неотрицательных чисел!" sqref="Q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6">
      <formula1>kind_of_purchase_method</formula1>
    </dataValidation>
    <dataValidation type="list" allowBlank="1" showInputMessage="1" showErrorMessage="1" errorTitle="Ошибка" error="Выберите значение из списка" prompt="Выберите значение из списка" sqref="J109">
      <formula1>kind_of_purchase_method</formula1>
    </dataValidation>
    <dataValidation type="decimal" allowBlank="1" showErrorMessage="1" errorTitle="Ошибка" error="Допускается ввод только неотрицательных чисел!" sqref="O109">
      <formula1>0</formula1>
      <formula2>9.99999999999999E+23</formula2>
    </dataValidation>
    <dataValidation type="decimal" allowBlank="1" showErrorMessage="1" errorTitle="Ошибка" error="Допускается ввод только неотрицательных чисел!" sqref="Q10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0">
      <formula1>kind_of_purchase_method</formula1>
    </dataValidation>
    <dataValidation type="list" allowBlank="1" showInputMessage="1" showErrorMessage="1" errorTitle="Ошибка" error="Выберите значение из списка" prompt="Выберите значение из списка" sqref="J113">
      <formula1>kind_of_purchase_method</formula1>
    </dataValidation>
    <dataValidation type="decimal" allowBlank="1" showErrorMessage="1" errorTitle="Ошибка" error="Допускается ввод только неотрицательных чисел!" sqref="O113">
      <formula1>0</formula1>
      <formula2>9.99999999999999E+23</formula2>
    </dataValidation>
    <dataValidation type="decimal" allowBlank="1" showErrorMessage="1" errorTitle="Ошибка" error="Допускается ввод только неотрицательных чисел!" sqref="Q1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4">
      <formula1>kind_of_purchase_method</formula1>
    </dataValidation>
    <dataValidation type="list" allowBlank="1" showInputMessage="1" showErrorMessage="1" errorTitle="Ошибка" error="Выберите значение из списка" prompt="Выберите значение из списка" sqref="J91">
      <formula1>kind_of_purchase_method</formula1>
    </dataValidation>
    <dataValidation type="decimal" allowBlank="1" showErrorMessage="1" errorTitle="Ошибка" error="Допускается ввод только неотрицательных чисел!" sqref="O91">
      <formula1>0</formula1>
      <formula2>9.99999999999999E+23</formula2>
    </dataValidation>
    <dataValidation type="decimal" allowBlank="1" showErrorMessage="1" errorTitle="Ошибка" error="Допускается ввод только неотрицательных чисел!" sqref="Q9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2">
      <formula1>kind_of_purchase_method</formula1>
    </dataValidation>
    <dataValidation type="list" allowBlank="1" showInputMessage="1" showErrorMessage="1" errorTitle="Ошибка" error="Выберите значение из списка" prompt="Выберите значение из списка" sqref="J93">
      <formula1>kind_of_purchase_method</formula1>
    </dataValidation>
    <dataValidation type="decimal" allowBlank="1" showErrorMessage="1" errorTitle="Ошибка" error="Допускается ввод только неотрицательных чисел!" sqref="O93">
      <formula1>0</formula1>
      <formula2>9.99999999999999E+23</formula2>
    </dataValidation>
    <dataValidation type="decimal" allowBlank="1" showErrorMessage="1" errorTitle="Ошибка" error="Допускается ввод только неотрицательных чисел!" sqref="Q9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4">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9643C-27EA-35D9-31CA-9AF0C9BEF123}" mc:Ignorable="x14ac xr xr2 xr3">
  <sheetPr>
    <tabColor theme="9" tint="-0.25"/>
  </sheetPr>
  <dimension ref="A1:AP204"/>
  <sheetViews>
    <sheetView showGridLines="0" zoomScale="90" workbookViewId="0">
      <pane xSplit="12" ySplit="14" topLeftCell="M15" activePane="bottomRight" state="frozen"/>
      <selection pane="bottomLeft" activeCell="A15" sqref="A15"/>
      <selection pane="topRight" activeCell="M1" sqref="M1"/>
      <selection pane="bottomRight" activeCell="R9" sqref="R9"/>
    </sheetView>
  </sheetViews>
  <sheetFormatPr defaultColWidth="9.140625" customHeight="1" defaultRowHeight="11.25"/>
  <cols>
    <col min="1" max="5" style="65900" width="10.7109375" hidden="1" customWidth="1"/>
    <col min="6" max="6" style="66852" width="16.8515625" hidden="1" customWidth="1"/>
    <col min="7" max="7" style="65923" width="5.57421875" hidden="1" customWidth="1"/>
    <col min="8" max="8" style="66903" width="3.00390625" customWidth="1"/>
    <col min="9" max="9" style="66903" width="7.00390625" customWidth="1"/>
    <col min="10" max="10" style="66903" width="56.00390625" customWidth="1"/>
    <col min="11" max="11" style="66903" width="10.00390625" customWidth="1"/>
    <col min="12" max="12" style="66903" width="40.57421875" hidden="1" customWidth="1"/>
    <col min="13" max="13" style="66903" width="40.7109375" customWidth="1"/>
    <col min="14" max="18" style="66903" width="40.57421875" customWidth="1"/>
    <col min="19" max="19" style="66852" width="9.7109375" hidden="1" customWidth="1"/>
    <col min="20" max="20" style="66903" width="102.00390625" customWidth="1"/>
    <col min="21" max="21" style="66852" width="9.00390625" customWidth="1"/>
    <col min="22" max="22" style="65923" width="5.00390625" customWidth="1"/>
    <col min="23" max="23" style="65923" width="3.00390625" customWidth="1"/>
    <col min="24" max="27" style="66852" width="3.00390625" customWidth="1"/>
    <col min="28" max="28" style="65923" width="10.00390625" customWidth="1"/>
    <col min="29" max="29" style="66852" width="34.00390625" customWidth="1"/>
    <col min="30" max="30" style="66852" width="9.00390625" customWidth="1"/>
    <col min="31" max="31" style="65901" width="8.00390625" customWidth="1"/>
    <col min="32" max="36" style="66852" width="8.00390625" customWidth="1"/>
    <col min="37" max="41" style="67156" width="8.00390625" customWidth="1"/>
    <col min="42" max="42" style="66903" width="5.421875" hidden="1" customWidth="1"/>
  </cols>
  <sheetData>
    <row s="66852" customFormat="1" customHeight="1" ht="33.75" hidden="1">
      <c r="A1" s="2198"/>
      <c r="B1" s="2198"/>
      <c r="C1" s="2198"/>
      <c r="D1" s="2198"/>
      <c r="E1" s="2198"/>
      <c r="G1" s="2847"/>
      <c r="H1" s="2089"/>
      <c r="L1" s="2577">
        <v>4</v>
      </c>
      <c r="M1" s="2577">
        <v>4</v>
      </c>
      <c r="N1" s="13336">
        <v>4</v>
      </c>
      <c r="O1" s="13336">
        <v>4</v>
      </c>
      <c r="P1" s="13336">
        <v>4</v>
      </c>
      <c r="Q1" s="13336">
        <v>4</v>
      </c>
      <c r="R1" s="13336">
        <v>4</v>
      </c>
      <c r="V1" s="2847"/>
      <c r="W1" s="2847"/>
      <c r="AB1" s="2847"/>
      <c r="AP1" s="2577" t="s">
        <v>14</v>
      </c>
    </row>
    <row s="66852" customFormat="1" customHeight="1" ht="78.75" hidden="1">
      <c r="A2" s="2198"/>
      <c r="B2" s="3264" t="s">
        <v>767</v>
      </c>
      <c r="C2" s="3264" t="s">
        <v>768</v>
      </c>
      <c r="D2" s="3263" t="s">
        <v>769</v>
      </c>
      <c r="E2" s="3267">
        <f>RIGHT(I2,LEN(I2)-SEARCH("#",SUBSTITUTE(I2,".","#",LEN(I2)-LEN(SUBSTITUTE(I2,".","")))))</f>
      </c>
      <c r="F2" s="3269">
        <f>J2</f>
        <v>0</v>
      </c>
      <c r="G2" s="2847"/>
      <c r="H2" s="3270"/>
      <c r="I2" s="3260"/>
      <c r="J2" s="1751"/>
      <c r="K2" s="3230" t="s">
        <v>574</v>
      </c>
      <c r="L2" s="1962"/>
      <c r="M2" s="1962"/>
      <c r="N2" s="13332"/>
      <c r="O2" s="13332"/>
      <c r="P2" s="13332"/>
      <c r="Q2" s="13332"/>
      <c r="R2" s="13332"/>
      <c r="S2" s="1754"/>
      <c r="T2" s="2736" t="s">
        <v>575</v>
      </c>
      <c r="U2" s="1754"/>
      <c r="V2" s="2847"/>
      <c r="W2" s="2847"/>
      <c r="AB2" s="2847"/>
      <c r="AE2" s="1755"/>
      <c r="AK2" s="2843"/>
      <c r="AL2" s="2843"/>
      <c r="AM2" s="2843"/>
      <c r="AN2" s="2843"/>
      <c r="AO2" s="2843"/>
      <c r="AP2" s="2577">
        <v>0</v>
      </c>
    </row>
    <row customHeight="1" ht="11.25" hidden="1">
      <c r="E3" s="3262" t="s">
        <v>770</v>
      </c>
      <c r="L3" s="2842">
        <f>0</f>
        <v>0</v>
      </c>
      <c r="M3" s="2842">
        <v>1</v>
      </c>
      <c r="N3" s="13315">
        <f>0</f>
        <v>0</v>
      </c>
      <c r="O3" s="13315">
        <f>0</f>
        <v>0</v>
      </c>
      <c r="P3" s="13315">
        <f>0</f>
        <v>0</v>
      </c>
      <c r="Q3" s="13315">
        <f>0</f>
        <v>0</v>
      </c>
      <c r="R3" s="13315">
        <f>0</f>
        <v>0</v>
      </c>
      <c r="AP3" s="2842">
        <v>0</v>
      </c>
    </row>
    <row s="67156" customFormat="1" customHeight="1" ht="11.25" hidden="1">
      <c r="A4" s="2198"/>
      <c r="B4" s="2198"/>
      <c r="C4" s="2198"/>
      <c r="E4" s="2198"/>
      <c r="F4" s="2577"/>
      <c r="G4" s="2847"/>
      <c r="H4" s="1831"/>
      <c r="N4" s="13346"/>
      <c r="O4" s="13346"/>
      <c r="P4" s="13346"/>
      <c r="Q4" s="13346"/>
      <c r="R4" s="13346"/>
      <c r="S4" s="2577"/>
      <c r="T4" s="2843">
        <v>4</v>
      </c>
      <c r="U4" s="2577"/>
      <c r="V4" s="2847"/>
      <c r="W4" s="2847"/>
      <c r="X4" s="2577"/>
      <c r="Y4" s="2577"/>
      <c r="Z4" s="2577"/>
      <c r="AA4" s="2577"/>
      <c r="AB4" s="2847"/>
      <c r="AC4" s="2577"/>
      <c r="AD4" s="2577"/>
      <c r="AE4" s="1755"/>
      <c r="AF4" s="2577"/>
      <c r="AG4" s="2577"/>
      <c r="AH4" s="2577"/>
      <c r="AI4" s="2577"/>
      <c r="AJ4" s="2577"/>
      <c r="AP4" s="2843">
        <v>0</v>
      </c>
    </row>
    <row customHeight="1" ht="11.549999999999999">
      <c r="N5" s="13315"/>
      <c r="O5" s="13315"/>
      <c r="P5" s="13315"/>
      <c r="Q5" s="13315"/>
      <c r="R5" s="13315"/>
      <c r="AP5" s="2842">
        <v>11</v>
      </c>
    </row>
    <row customHeight="1" ht="57.75">
      <c r="I6" s="3518" t="s">
        <v>771</v>
      </c>
      <c r="J6" s="3518"/>
      <c r="K6" s="3518"/>
      <c r="L6" s="3518"/>
      <c r="M6" s="3518"/>
      <c r="N6" s="13593"/>
      <c r="O6" s="13593"/>
      <c r="P6" s="13593"/>
      <c r="Q6" s="13593"/>
      <c r="R6" s="13593"/>
      <c r="T6" s="1767"/>
      <c r="AP6" s="2842">
        <v>55</v>
      </c>
    </row>
    <row customHeight="1" ht="25.2">
      <c r="I7" s="3460" t="str">
        <f>IF(org=0,"Не определено",org)</f>
        <v>ПАО "ТГК-2"</v>
      </c>
      <c r="J7" s="3460"/>
      <c r="K7" s="3460"/>
      <c r="L7" s="3460"/>
      <c r="M7" s="3460"/>
      <c r="N7" s="13349"/>
      <c r="O7" s="13349"/>
      <c r="P7" s="13349"/>
      <c r="Q7" s="13349"/>
      <c r="R7" s="13349"/>
      <c r="AP7" s="2842">
        <v>24</v>
      </c>
    </row>
    <row customHeight="1" ht="11.549999999999999">
      <c r="I8" s="2346"/>
      <c r="J8" s="2346"/>
      <c r="K8" s="2346"/>
      <c r="L8" s="2346"/>
      <c r="M8" s="2346"/>
      <c r="N8" s="13351" t="s">
        <v>22</v>
      </c>
      <c r="O8" s="13351" t="s">
        <v>22</v>
      </c>
      <c r="P8" s="13351" t="s">
        <v>22</v>
      </c>
      <c r="Q8" s="13351" t="s">
        <v>22</v>
      </c>
      <c r="R8" s="13351" t="s">
        <v>22</v>
      </c>
      <c r="AP8" s="2842">
        <v>11</v>
      </c>
    </row>
    <row s="65923" customFormat="1" customHeight="1" ht="30" hidden="1">
      <c r="A9" s="2378"/>
      <c r="B9" s="2378"/>
      <c r="C9" s="2378"/>
      <c r="E9" s="2378"/>
      <c r="H9" s="2853"/>
      <c r="L9" s="2100"/>
      <c r="M9" s="2100" t="s">
        <v>128</v>
      </c>
      <c r="N9" s="13353" t="s">
        <v>132</v>
      </c>
      <c r="O9" s="13353" t="s">
        <v>134</v>
      </c>
      <c r="P9" s="13353" t="s">
        <v>136</v>
      </c>
      <c r="Q9" s="13353" t="s">
        <v>138</v>
      </c>
      <c r="R9" s="13353" t="s">
        <v>139</v>
      </c>
      <c r="AP9" s="2847">
        <v>1</v>
      </c>
    </row>
    <row customHeight="1" ht="11.549999999999999">
      <c r="E10" s="3261" t="s">
        <v>772</v>
      </c>
      <c r="I10" s="1922"/>
      <c r="J10" s="3578" t="s">
        <v>118</v>
      </c>
      <c r="K10" s="3579"/>
      <c r="L10" s="3240" t="str">
        <f>IF(L9="","",INDEX(DIFFERENTIATION_UNMERGE_VD,MATCH(L9,DIFFERENTIATION_ID_DIFF,0)))</f>
        <v/>
      </c>
      <c r="M10" s="3240"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13358" t="str">
        <f>IF(N9="","",INDEX(DIFFERENTIATION_UNMERGE_VD,MATCH(N9,DIFFERENTIATION_ID_DIFF,0)))</f>
        <v>Производство тепловой энергии. Комбинированная выработка с уст. мощностью производства электрической энергии 25 МВт и более</v>
      </c>
      <c r="O10" s="13358" t="str">
        <f>IF(O9="","",INDEX(DIFFERENTIATION_UNMERGE_VD,MATCH(O9,DIFFERENTIATION_ID_DIFF,0)))</f>
        <v>Производство тепловой энергии. Некомбинированная выработка</v>
      </c>
      <c r="P10" s="13358" t="str">
        <f>IF(P9="","",INDEX(DIFFERENTIATION_UNMERGE_VD,MATCH(P9,DIFFERENTIATION_ID_DIFF,0)))</f>
        <v>Передача. Тепловая энергия; Сбыт. Тепловая энергия</v>
      </c>
      <c r="Q10" s="13358" t="str">
        <f>IF(Q9="","",INDEX(DIFFERENTIATION_UNMERGE_VD,MATCH(Q9,DIFFERENTIATION_ID_DIFF,0)))</f>
        <v>Передача. Тепловая энергия; Сбыт. Тепловая энергия</v>
      </c>
      <c r="R10" s="13358" t="str">
        <f>IF(R9="","",INDEX(DIFFERENTIATION_UNMERGE_VD,MATCH(R9,DIFFERENTIATION_ID_DIFF,0)))</f>
        <v>Производство. Теплоноситель; Сбыт. Теплоноситель</v>
      </c>
      <c r="T10" s="3338" t="s">
        <v>319</v>
      </c>
      <c r="AP10" s="2842">
        <v>11</v>
      </c>
    </row>
    <row customHeight="1" ht="11.549999999999999">
      <c r="E11" s="3261" t="s">
        <v>773</v>
      </c>
      <c r="I11" s="1922"/>
      <c r="J11" s="3578" t="s">
        <v>582</v>
      </c>
      <c r="K11" s="3579"/>
      <c r="L11" s="3240" t="str">
        <f>IF(L9="","",INDEX(DIFFERENTIATION_UNMERGE_AREA,MATCH(L9,DIFFERENTIATION_ID_DIFF,0)))</f>
        <v/>
      </c>
      <c r="M11" s="3240" t="str">
        <f>IF(M9="","",INDEX(DIFFERENTIATION_UNMERGE_AREA,MATCH(M9,DIFFERENTIATION_ID_DIFF,0)))</f>
        <v>Территория 1</v>
      </c>
      <c r="N11" s="13358" t="str">
        <f>IF(N9="","",INDEX(DIFFERENTIATION_UNMERGE_AREA,MATCH(N9,DIFFERENTIATION_ID_DIFF,0)))</f>
        <v>Территория 2</v>
      </c>
      <c r="O11" s="13358" t="str">
        <f>IF(O9="","",INDEX(DIFFERENTIATION_UNMERGE_AREA,MATCH(O9,DIFFERENTIATION_ID_DIFF,0)))</f>
        <v>Территория 1</v>
      </c>
      <c r="P11" s="13358" t="str">
        <f>IF(P9="","",INDEX(DIFFERENTIATION_UNMERGE_AREA,MATCH(P9,DIFFERENTIATION_ID_DIFF,0)))</f>
        <v>Территория 1</v>
      </c>
      <c r="Q11" s="13358" t="str">
        <f>IF(Q9="","",INDEX(DIFFERENTIATION_UNMERGE_AREA,MATCH(Q9,DIFFERENTIATION_ID_DIFF,0)))</f>
        <v>Территория 2</v>
      </c>
      <c r="R11" s="13358" t="str">
        <f>IF(R9="","",INDEX(DIFFERENTIATION_UNMERGE_AREA,MATCH(R9,DIFFERENTIATION_ID_DIFF,0)))</f>
        <v>Территория 2</v>
      </c>
      <c r="T11" s="3338"/>
      <c r="AP11" s="2842">
        <v>11</v>
      </c>
    </row>
    <row customHeight="1" ht="11.549999999999999">
      <c r="E12" s="3261" t="s">
        <v>774</v>
      </c>
      <c r="I12" s="2873"/>
      <c r="J12" s="3578" t="s">
        <v>583</v>
      </c>
      <c r="K12" s="3579"/>
      <c r="L12" s="3240" t="str">
        <f>IF(L9="","",INDEX(DIFFERENTIATION_UNMERGE_SYSTEM,MATCH(L9,DIFFERENTIATION_ID_DIFF,0)))</f>
        <v/>
      </c>
      <c r="M12" s="3240" t="str">
        <f>IF(M9="","",INDEX(DIFFERENTIATION_UNMERGE_SYSTEM,MATCH(M9,DIFFERENTIATION_ID_DIFF,0)))</f>
        <v>без дифференциации</v>
      </c>
      <c r="N12" s="13358" t="str">
        <f>IF(N9="","",INDEX(DIFFERENTIATION_UNMERGE_SYSTEM,MATCH(N9,DIFFERENTIATION_ID_DIFF,0)))</f>
        <v>без дифференциации</v>
      </c>
      <c r="O12" s="13358" t="str">
        <f>IF(O9="","",INDEX(DIFFERENTIATION_UNMERGE_SYSTEM,MATCH(O9,DIFFERENTIATION_ID_DIFF,0)))</f>
        <v>без дифференциации</v>
      </c>
      <c r="P12" s="13358" t="str">
        <f>IF(P9="","",INDEX(DIFFERENTIATION_UNMERGE_SYSTEM,MATCH(P9,DIFFERENTIATION_ID_DIFF,0)))</f>
        <v>без дифференциации</v>
      </c>
      <c r="Q12" s="13358" t="str">
        <f>IF(Q9="","",INDEX(DIFFERENTIATION_UNMERGE_SYSTEM,MATCH(Q9,DIFFERENTIATION_ID_DIFF,0)))</f>
        <v>без дифференциации</v>
      </c>
      <c r="R12" s="13358" t="str">
        <f>IF(R9="","",INDEX(DIFFERENTIATION_UNMERGE_SYSTEM,MATCH(R9,DIFFERENTIATION_ID_DIFF,0)))</f>
        <v>без дифференциации</v>
      </c>
      <c r="T12" s="3338"/>
      <c r="AP12" s="2842">
        <v>11</v>
      </c>
    </row>
    <row customHeight="1" ht="11.549999999999999">
      <c r="E13" s="3261" t="s">
        <v>775</v>
      </c>
      <c r="F13" s="3261" t="s">
        <v>776</v>
      </c>
      <c r="I13" s="3580" t="s">
        <v>318</v>
      </c>
      <c r="J13" s="3581"/>
      <c r="K13" s="3581"/>
      <c r="L13" s="3238"/>
      <c r="M13" s="3278"/>
      <c r="N13" s="13362"/>
      <c r="O13" s="13362"/>
      <c r="P13" s="13362"/>
      <c r="Q13" s="13362"/>
      <c r="R13" s="13362"/>
      <c r="T13" s="3338"/>
      <c r="AP13" s="2842">
        <v>11</v>
      </c>
    </row>
    <row customHeight="1" ht="24">
      <c r="I14" s="3231" t="s">
        <v>88</v>
      </c>
      <c r="J14" s="3231" t="s">
        <v>320</v>
      </c>
      <c r="K14" s="3231" t="s">
        <v>584</v>
      </c>
      <c r="L14" s="3271" t="s">
        <v>321</v>
      </c>
      <c r="M14" s="3272" t="s">
        <v>321</v>
      </c>
      <c r="N14" s="13602" t="s">
        <v>321</v>
      </c>
      <c r="O14" s="13602" t="s">
        <v>321</v>
      </c>
      <c r="P14" s="13602" t="s">
        <v>321</v>
      </c>
      <c r="Q14" s="13602" t="s">
        <v>321</v>
      </c>
      <c r="R14" s="13602" t="s">
        <v>321</v>
      </c>
      <c r="T14" s="3338"/>
      <c r="AP14" s="2842">
        <v>23</v>
      </c>
    </row>
    <row customHeight="1" ht="24">
      <c r="A15" s="3265"/>
      <c r="B15" s="3264" t="s">
        <v>777</v>
      </c>
      <c r="C15" s="3264" t="s">
        <v>778</v>
      </c>
      <c r="D15" s="3263" t="s">
        <v>779</v>
      </c>
      <c r="E15" s="3267" t="s">
        <v>780</v>
      </c>
      <c r="F15" s="3267" t="s">
        <v>780</v>
      </c>
      <c r="G15" s="2847" t="s">
        <v>606</v>
      </c>
      <c r="H15" s="3232"/>
      <c r="I15" s="2841">
        <v>1</v>
      </c>
      <c r="J15" s="3233" t="s">
        <v>781</v>
      </c>
      <c r="K15" s="3231" t="s">
        <v>324</v>
      </c>
      <c r="L15" s="19782"/>
      <c r="M15" s="19576"/>
      <c r="N15" s="19783"/>
      <c r="O15" s="19783"/>
      <c r="P15" s="19783"/>
      <c r="Q15" s="19783"/>
      <c r="R15" s="19783"/>
      <c r="S15" s="1754" t="s">
        <v>782</v>
      </c>
      <c r="T15" s="2736" t="s">
        <v>783</v>
      </c>
      <c r="U15" s="1754" t="s">
        <v>782</v>
      </c>
      <c r="AP15" s="2842">
        <v>23</v>
      </c>
    </row>
    <row customHeight="1" ht="35.699999999999996">
      <c r="A16" s="3265"/>
      <c r="B16" s="3264" t="s">
        <v>784</v>
      </c>
      <c r="C16" s="3264" t="s">
        <v>785</v>
      </c>
      <c r="D16" s="3263" t="s">
        <v>769</v>
      </c>
      <c r="E16" s="3267" t="s">
        <v>780</v>
      </c>
      <c r="F16" s="3267" t="s">
        <v>780</v>
      </c>
      <c r="H16" s="3232"/>
      <c r="I16" s="2840">
        <v>2</v>
      </c>
      <c r="J16" s="3274" t="s">
        <v>786</v>
      </c>
      <c r="K16" s="3273" t="s">
        <v>574</v>
      </c>
      <c r="L16" s="3279"/>
      <c r="M16" s="2887"/>
      <c r="N16" s="13614"/>
      <c r="O16" s="13614"/>
      <c r="P16" s="13614"/>
      <c r="Q16" s="13614"/>
      <c r="R16" s="13614"/>
      <c r="S16" s="1754" t="s">
        <v>782</v>
      </c>
      <c r="T16" s="2736" t="s">
        <v>787</v>
      </c>
      <c r="U16" s="1754" t="s">
        <v>782</v>
      </c>
      <c r="AP16" s="2842">
        <v>34</v>
      </c>
    </row>
    <row s="65923" customFormat="1" customHeight="1" ht="17.25" hidden="1">
      <c r="A17" s="2378"/>
      <c r="B17" s="2378"/>
      <c r="C17" s="2378"/>
      <c r="D17" s="2378"/>
      <c r="E17" s="2378"/>
      <c r="H17" s="2535"/>
      <c r="I17" s="2224" t="s">
        <v>788</v>
      </c>
      <c r="J17" s="2202"/>
      <c r="K17" s="2224"/>
      <c r="L17" s="2203"/>
      <c r="M17" s="2203"/>
      <c r="N17" s="13412"/>
      <c r="O17" s="13412"/>
      <c r="P17" s="13412"/>
      <c r="Q17" s="13412"/>
      <c r="R17" s="13412"/>
      <c r="T17" s="2596"/>
      <c r="AP17" s="2847">
        <v>1</v>
      </c>
    </row>
    <row s="66852" customFormat="1" customHeight="1" ht="24">
      <c r="A18" s="2198"/>
      <c r="B18" s="2198"/>
      <c r="C18" s="2198"/>
      <c r="D18" s="2198"/>
      <c r="E18" s="2198"/>
      <c r="G18" s="2847"/>
      <c r="H18" s="2844"/>
      <c r="I18" s="1781"/>
      <c r="J18" s="1782" t="s">
        <v>614</v>
      </c>
      <c r="K18" s="1783"/>
      <c r="L18" s="3281"/>
      <c r="M18" s="1784"/>
      <c r="N18" s="13616"/>
      <c r="O18" s="13617"/>
      <c r="P18" s="13618"/>
      <c r="Q18" s="13619"/>
      <c r="R18" s="13620"/>
      <c r="S18" s="1754"/>
      <c r="T18" s="2736" t="s">
        <v>615</v>
      </c>
      <c r="U18" s="1754"/>
      <c r="V18" s="2847"/>
      <c r="W18" s="2847"/>
      <c r="AB18" s="2847"/>
      <c r="AE18" s="1755"/>
      <c r="AK18" s="2843"/>
      <c r="AL18" s="2843"/>
      <c r="AM18" s="2843"/>
      <c r="AN18" s="2843"/>
      <c r="AO18" s="2843"/>
      <c r="AP18" s="2577">
        <v>23</v>
      </c>
    </row>
    <row customHeight="1" ht="19.95">
      <c r="A19" s="3265"/>
      <c r="B19" s="3264" t="s">
        <v>789</v>
      </c>
      <c r="C19" s="3264" t="s">
        <v>790</v>
      </c>
      <c r="D19" s="3263" t="s">
        <v>769</v>
      </c>
      <c r="E19" s="3267" t="s">
        <v>780</v>
      </c>
      <c r="F19" s="3267" t="s">
        <v>780</v>
      </c>
      <c r="H19" s="3232"/>
      <c r="I19" s="2875">
        <v>3</v>
      </c>
      <c r="J19" s="3233" t="s">
        <v>790</v>
      </c>
      <c r="K19" s="3229" t="s">
        <v>574</v>
      </c>
      <c r="L19" s="1938"/>
      <c r="M19" s="1768"/>
      <c r="N19" s="13624"/>
      <c r="O19" s="13624"/>
      <c r="P19" s="13624"/>
      <c r="Q19" s="13624"/>
      <c r="R19" s="13624"/>
      <c r="S19" s="1754"/>
      <c r="T19" s="2736" t="s">
        <v>791</v>
      </c>
      <c r="U19" s="1754"/>
      <c r="AP19" s="2842">
        <v>19</v>
      </c>
    </row>
    <row customHeight="1" ht="77.7">
      <c r="A20" s="3265"/>
      <c r="B20" s="3264" t="s">
        <v>792</v>
      </c>
      <c r="C20" s="3264" t="s">
        <v>793</v>
      </c>
      <c r="D20" s="3263" t="s">
        <v>769</v>
      </c>
      <c r="E20" s="3267" t="s">
        <v>780</v>
      </c>
      <c r="F20" s="3267" t="s">
        <v>780</v>
      </c>
      <c r="H20" s="3232"/>
      <c r="I20" s="2875">
        <v>4</v>
      </c>
      <c r="J20" s="3233" t="s">
        <v>794</v>
      </c>
      <c r="K20" s="3229" t="s">
        <v>611</v>
      </c>
      <c r="L20" s="1938"/>
      <c r="M20" s="1768"/>
      <c r="N20" s="13624"/>
      <c r="O20" s="13624"/>
      <c r="P20" s="13624"/>
      <c r="Q20" s="13624"/>
      <c r="R20" s="13624"/>
      <c r="S20" s="1754"/>
      <c r="T20" s="2736"/>
      <c r="U20" s="1754"/>
      <c r="AP20" s="2842">
        <v>74</v>
      </c>
    </row>
    <row customHeight="1" ht="35.699999999999996">
      <c r="A21" s="3265"/>
      <c r="B21" s="3264" t="s">
        <v>795</v>
      </c>
      <c r="C21" s="3264" t="s">
        <v>796</v>
      </c>
      <c r="D21" s="3263" t="s">
        <v>769</v>
      </c>
      <c r="E21" s="3267" t="s">
        <v>780</v>
      </c>
      <c r="F21" s="3267" t="s">
        <v>780</v>
      </c>
      <c r="H21" s="3232"/>
      <c r="I21" s="2875">
        <v>5</v>
      </c>
      <c r="J21" s="3233" t="s">
        <v>797</v>
      </c>
      <c r="K21" s="3229" t="s">
        <v>611</v>
      </c>
      <c r="L21" s="1938"/>
      <c r="M21" s="1768"/>
      <c r="N21" s="13624"/>
      <c r="O21" s="13624"/>
      <c r="P21" s="13624"/>
      <c r="Q21" s="13624"/>
      <c r="R21" s="13624"/>
      <c r="S21" s="1754"/>
      <c r="T21" s="2736" t="s">
        <v>791</v>
      </c>
      <c r="U21" s="1754"/>
      <c r="AP21" s="2842">
        <v>34</v>
      </c>
    </row>
    <row customHeight="1" ht="48.29999999999999">
      <c r="A22" s="3265"/>
      <c r="B22" s="3264" t="s">
        <v>798</v>
      </c>
      <c r="C22" s="3264" t="s">
        <v>799</v>
      </c>
      <c r="D22" s="3263" t="s">
        <v>769</v>
      </c>
      <c r="E22" s="3267" t="s">
        <v>780</v>
      </c>
      <c r="F22" s="3267" t="s">
        <v>780</v>
      </c>
      <c r="H22" s="3232"/>
      <c r="I22" s="2875">
        <v>6</v>
      </c>
      <c r="J22" s="3233" t="s">
        <v>800</v>
      </c>
      <c r="K22" s="3229" t="s">
        <v>611</v>
      </c>
      <c r="L22" s="1938"/>
      <c r="M22" s="1768"/>
      <c r="N22" s="13624"/>
      <c r="O22" s="13624"/>
      <c r="P22" s="13624"/>
      <c r="Q22" s="13624"/>
      <c r="R22" s="13624"/>
      <c r="S22" s="1754"/>
      <c r="T22" s="2736" t="s">
        <v>801</v>
      </c>
      <c r="U22" s="1754"/>
      <c r="AP22" s="2842">
        <v>46</v>
      </c>
    </row>
    <row customHeight="1" ht="19.95">
      <c r="A23" s="3265"/>
      <c r="B23" s="3264" t="s">
        <v>802</v>
      </c>
      <c r="C23" s="3264" t="s">
        <v>803</v>
      </c>
      <c r="D23" s="3263" t="s">
        <v>769</v>
      </c>
      <c r="E23" s="3267" t="s">
        <v>780</v>
      </c>
      <c r="F23" s="3267" t="s">
        <v>780</v>
      </c>
      <c r="H23" s="3232"/>
      <c r="I23" s="2875" t="s">
        <v>804</v>
      </c>
      <c r="J23" s="2735" t="s">
        <v>805</v>
      </c>
      <c r="K23" s="3229" t="s">
        <v>611</v>
      </c>
      <c r="L23" s="1938"/>
      <c r="M23" s="1768"/>
      <c r="N23" s="13624"/>
      <c r="O23" s="13624"/>
      <c r="P23" s="13624"/>
      <c r="Q23" s="13624"/>
      <c r="R23" s="13624"/>
      <c r="S23" s="1754"/>
      <c r="T23" s="2736" t="s">
        <v>791</v>
      </c>
      <c r="U23" s="1754"/>
      <c r="AP23" s="2842">
        <v>19</v>
      </c>
    </row>
    <row customHeight="1" ht="19.95">
      <c r="A24" s="3265"/>
      <c r="B24" s="3264" t="s">
        <v>806</v>
      </c>
      <c r="C24" s="3264" t="s">
        <v>807</v>
      </c>
      <c r="D24" s="3263" t="s">
        <v>769</v>
      </c>
      <c r="E24" s="3267" t="s">
        <v>780</v>
      </c>
      <c r="F24" s="3267" t="s">
        <v>780</v>
      </c>
      <c r="H24" s="3232"/>
      <c r="I24" s="2875" t="s">
        <v>808</v>
      </c>
      <c r="J24" s="2735" t="s">
        <v>809</v>
      </c>
      <c r="K24" s="3229" t="s">
        <v>611</v>
      </c>
      <c r="L24" s="1938"/>
      <c r="M24" s="1768"/>
      <c r="N24" s="13624"/>
      <c r="O24" s="13624"/>
      <c r="P24" s="13624"/>
      <c r="Q24" s="13624"/>
      <c r="R24" s="13624"/>
      <c r="S24" s="1754"/>
      <c r="T24" s="2736"/>
      <c r="U24" s="1754"/>
      <c r="AP24" s="2842">
        <v>19</v>
      </c>
    </row>
    <row customHeight="1" ht="24">
      <c r="A25" s="3265"/>
      <c r="B25" s="3264" t="s">
        <v>810</v>
      </c>
      <c r="C25" s="3264" t="s">
        <v>811</v>
      </c>
      <c r="D25" s="3263" t="s">
        <v>769</v>
      </c>
      <c r="E25" s="3267" t="s">
        <v>780</v>
      </c>
      <c r="F25" s="3267" t="s">
        <v>780</v>
      </c>
      <c r="H25" s="3232"/>
      <c r="I25" s="2875" t="s">
        <v>812</v>
      </c>
      <c r="J25" s="2735" t="s">
        <v>813</v>
      </c>
      <c r="K25" s="3229" t="s">
        <v>611</v>
      </c>
      <c r="L25" s="1938"/>
      <c r="M25" s="1768"/>
      <c r="N25" s="13624"/>
      <c r="O25" s="13624"/>
      <c r="P25" s="13624"/>
      <c r="Q25" s="13624"/>
      <c r="R25" s="13624"/>
      <c r="S25" s="1754"/>
      <c r="T25" s="2736"/>
      <c r="U25" s="1754"/>
      <c r="AP25" s="2842">
        <v>23</v>
      </c>
    </row>
    <row customHeight="1" ht="24">
      <c r="A26" s="3265"/>
      <c r="B26" s="3264" t="s">
        <v>814</v>
      </c>
      <c r="C26" s="3264" t="s">
        <v>815</v>
      </c>
      <c r="D26" s="3263" t="s">
        <v>769</v>
      </c>
      <c r="E26" s="3267" t="s">
        <v>780</v>
      </c>
      <c r="F26" s="3267" t="s">
        <v>780</v>
      </c>
      <c r="H26" s="3232"/>
      <c r="I26" s="2875">
        <v>7</v>
      </c>
      <c r="J26" s="3233" t="s">
        <v>815</v>
      </c>
      <c r="K26" s="3229" t="s">
        <v>816</v>
      </c>
      <c r="L26" s="1938"/>
      <c r="M26" s="1768"/>
      <c r="N26" s="13624"/>
      <c r="O26" s="13624"/>
      <c r="P26" s="13624"/>
      <c r="Q26" s="13624"/>
      <c r="R26" s="13624"/>
      <c r="S26" s="1754"/>
      <c r="T26" s="2736"/>
      <c r="U26" s="1754"/>
      <c r="AP26" s="2842">
        <v>23</v>
      </c>
    </row>
    <row customHeight="1" ht="24">
      <c r="A27" s="3265"/>
      <c r="B27" s="3264" t="s">
        <v>817</v>
      </c>
      <c r="C27" s="3264" t="s">
        <v>818</v>
      </c>
      <c r="D27" s="3263" t="s">
        <v>769</v>
      </c>
      <c r="E27" s="3267" t="s">
        <v>780</v>
      </c>
      <c r="F27" s="3267" t="s">
        <v>780</v>
      </c>
      <c r="H27" s="3232"/>
      <c r="I27" s="2875">
        <v>8</v>
      </c>
      <c r="J27" s="3233" t="s">
        <v>818</v>
      </c>
      <c r="K27" s="3229" t="s">
        <v>616</v>
      </c>
      <c r="L27" s="1938"/>
      <c r="M27" s="1768"/>
      <c r="N27" s="13624"/>
      <c r="O27" s="13624"/>
      <c r="P27" s="13624"/>
      <c r="Q27" s="13624"/>
      <c r="R27" s="13624"/>
      <c r="S27" s="1754"/>
      <c r="T27" s="2736"/>
      <c r="U27" s="1754"/>
      <c r="AP27" s="2842">
        <v>23</v>
      </c>
    </row>
    <row customHeight="1" ht="35.699999999999996">
      <c r="A28" s="3265"/>
      <c r="B28" s="3264" t="s">
        <v>819</v>
      </c>
      <c r="C28" s="3264" t="s">
        <v>820</v>
      </c>
      <c r="D28" s="3263" t="s">
        <v>769</v>
      </c>
      <c r="E28" s="3267" t="s">
        <v>780</v>
      </c>
      <c r="F28" s="3267" t="s">
        <v>780</v>
      </c>
      <c r="H28" s="3232"/>
      <c r="I28" s="2886">
        <v>9</v>
      </c>
      <c r="J28" s="3233" t="s">
        <v>821</v>
      </c>
      <c r="K28" s="3229" t="s">
        <v>578</v>
      </c>
      <c r="L28" s="1938"/>
      <c r="M28" s="1768"/>
      <c r="N28" s="13624"/>
      <c r="O28" s="13624"/>
      <c r="P28" s="13624"/>
      <c r="Q28" s="13624"/>
      <c r="R28" s="13624"/>
      <c r="S28" s="1754"/>
      <c r="T28" s="2736"/>
      <c r="U28" s="1754"/>
      <c r="AP28" s="2842">
        <v>34</v>
      </c>
    </row>
    <row customHeight="1" ht="35.699999999999996">
      <c r="A29" s="3265"/>
      <c r="B29" s="3264" t="s">
        <v>822</v>
      </c>
      <c r="C29" s="3264" t="s">
        <v>823</v>
      </c>
      <c r="D29" s="3263" t="s">
        <v>769</v>
      </c>
      <c r="E29" s="3267" t="s">
        <v>780</v>
      </c>
      <c r="F29" s="3267" t="s">
        <v>780</v>
      </c>
      <c r="H29" s="3232"/>
      <c r="I29" s="2886">
        <v>10</v>
      </c>
      <c r="J29" s="3233" t="s">
        <v>824</v>
      </c>
      <c r="K29" s="3229" t="s">
        <v>578</v>
      </c>
      <c r="L29" s="1938"/>
      <c r="M29" s="1768"/>
      <c r="N29" s="13624"/>
      <c r="O29" s="13624"/>
      <c r="P29" s="13624"/>
      <c r="Q29" s="13624"/>
      <c r="R29" s="13624"/>
      <c r="S29" s="1754"/>
      <c r="T29" s="2736"/>
      <c r="U29" s="1754"/>
      <c r="AP29" s="2842">
        <v>34</v>
      </c>
    </row>
    <row customHeight="1" ht="24">
      <c r="A30" s="3265"/>
      <c r="B30" s="3264" t="s">
        <v>825</v>
      </c>
      <c r="C30" s="3264" t="s">
        <v>826</v>
      </c>
      <c r="D30" s="3263" t="s">
        <v>769</v>
      </c>
      <c r="E30" s="3267" t="s">
        <v>780</v>
      </c>
      <c r="F30" s="3267" t="s">
        <v>780</v>
      </c>
      <c r="H30" s="3232"/>
      <c r="I30" s="2886">
        <v>11</v>
      </c>
      <c r="J30" s="3233" t="s">
        <v>826</v>
      </c>
      <c r="K30" s="3229" t="s">
        <v>617</v>
      </c>
      <c r="L30" s="3280"/>
      <c r="M30" s="2832"/>
      <c r="N30" s="13627"/>
      <c r="O30" s="13627"/>
      <c r="P30" s="13627"/>
      <c r="Q30" s="13627"/>
      <c r="R30" s="13627"/>
      <c r="S30" s="1754"/>
      <c r="T30" s="2736"/>
      <c r="U30" s="1754"/>
      <c r="AP30" s="2842">
        <v>23</v>
      </c>
    </row>
    <row customHeight="1" ht="24">
      <c r="A31" s="3265"/>
      <c r="B31" s="3264" t="s">
        <v>827</v>
      </c>
      <c r="C31" s="3264" t="s">
        <v>828</v>
      </c>
      <c r="D31" s="3263" t="s">
        <v>769</v>
      </c>
      <c r="E31" s="3267" t="s">
        <v>780</v>
      </c>
      <c r="F31" s="3267" t="s">
        <v>780</v>
      </c>
      <c r="H31" s="3232"/>
      <c r="I31" s="2886">
        <v>12</v>
      </c>
      <c r="J31" s="3233" t="s">
        <v>828</v>
      </c>
      <c r="K31" s="3229" t="s">
        <v>617</v>
      </c>
      <c r="L31" s="3280"/>
      <c r="M31" s="2832"/>
      <c r="N31" s="13627"/>
      <c r="O31" s="13627"/>
      <c r="P31" s="13627"/>
      <c r="Q31" s="13627"/>
      <c r="R31" s="13627"/>
      <c r="S31" s="1754"/>
      <c r="T31" s="2736"/>
      <c r="U31" s="1754"/>
      <c r="AP31" s="2842">
        <v>23</v>
      </c>
    </row>
    <row customHeight="1" ht="48.29999999999999">
      <c r="A32" s="3265"/>
      <c r="B32" s="3264" t="s">
        <v>829</v>
      </c>
      <c r="C32" s="3264" t="s">
        <v>830</v>
      </c>
      <c r="D32" s="3263" t="s">
        <v>769</v>
      </c>
      <c r="E32" s="3267" t="s">
        <v>780</v>
      </c>
      <c r="F32" s="3267" t="s">
        <v>780</v>
      </c>
      <c r="H32" s="3232"/>
      <c r="I32" s="2886">
        <v>13</v>
      </c>
      <c r="J32" s="3233" t="s">
        <v>831</v>
      </c>
      <c r="K32" s="3229" t="s">
        <v>637</v>
      </c>
      <c r="L32" s="1938"/>
      <c r="M32" s="1768"/>
      <c r="N32" s="13624"/>
      <c r="O32" s="13624"/>
      <c r="P32" s="13624"/>
      <c r="Q32" s="13624"/>
      <c r="R32" s="13624"/>
      <c r="S32" s="1754"/>
      <c r="T32" s="2736" t="s">
        <v>791</v>
      </c>
      <c r="U32" s="1754"/>
      <c r="AP32" s="2842">
        <v>46</v>
      </c>
    </row>
    <row s="66852" customFormat="1" customHeight="1" ht="48.29999999999999">
      <c r="A33" s="3265"/>
      <c r="B33" s="3264" t="s">
        <v>832</v>
      </c>
      <c r="C33" s="3264" t="s">
        <v>833</v>
      </c>
      <c r="D33" s="3263" t="s">
        <v>769</v>
      </c>
      <c r="E33" s="3267" t="s">
        <v>780</v>
      </c>
      <c r="F33" s="3267" t="s">
        <v>780</v>
      </c>
      <c r="G33" s="2847"/>
      <c r="H33" s="3232"/>
      <c r="I33" s="2886">
        <v>14</v>
      </c>
      <c r="J33" s="3245" t="s">
        <v>834</v>
      </c>
      <c r="K33" s="3234" t="s">
        <v>835</v>
      </c>
      <c r="L33" s="1938"/>
      <c r="M33" s="1768"/>
      <c r="N33" s="13624"/>
      <c r="O33" s="13624"/>
      <c r="P33" s="13624"/>
      <c r="Q33" s="13624"/>
      <c r="R33" s="13624"/>
      <c r="S33" s="1754"/>
      <c r="T33" s="2736" t="s">
        <v>791</v>
      </c>
      <c r="U33" s="1754"/>
      <c r="V33" s="2847"/>
      <c r="W33" s="2847"/>
      <c r="AB33" s="2847"/>
      <c r="AE33" s="1755"/>
      <c r="AK33" s="2843"/>
      <c r="AL33" s="2843"/>
      <c r="AM33" s="2843"/>
      <c r="AN33" s="2843"/>
      <c r="AO33" s="2843"/>
      <c r="AP33" s="2577">
        <v>46</v>
      </c>
    </row>
    <row customHeight="1" ht="108">
      <c r="A34" s="3265"/>
      <c r="B34" s="3264" t="s">
        <v>836</v>
      </c>
      <c r="C34" s="3264" t="s">
        <v>837</v>
      </c>
      <c r="D34" s="3263" t="s">
        <v>779</v>
      </c>
      <c r="E34" s="3267" t="s">
        <v>780</v>
      </c>
      <c r="F34" s="3267" t="s">
        <v>780</v>
      </c>
      <c r="G34" s="2847" t="s">
        <v>606</v>
      </c>
      <c r="H34" s="3232"/>
      <c r="I34" s="3243">
        <v>15</v>
      </c>
      <c r="J34" s="3244" t="s">
        <v>838</v>
      </c>
      <c r="K34" s="3229" t="s">
        <v>324</v>
      </c>
      <c r="L34" s="1596"/>
      <c r="M34" s="2375"/>
      <c r="N34" s="13633"/>
      <c r="O34" s="13633"/>
      <c r="P34" s="13633"/>
      <c r="Q34" s="13633"/>
      <c r="R34" s="13633"/>
      <c r="S34" s="1754"/>
      <c r="T34" s="2736" t="s">
        <v>783</v>
      </c>
      <c r="U34" s="1754"/>
      <c r="AP34" s="2842">
        <v>103</v>
      </c>
    </row>
    <row s="65897" customFormat="1" customHeight="1" ht="11.549999999999999">
      <c r="A35" s="2198"/>
      <c r="B35" s="2198"/>
      <c r="C35" s="2198"/>
      <c r="D35" s="2198"/>
      <c r="E35" s="2198"/>
      <c r="F35" s="2847"/>
      <c r="G35" s="2847"/>
      <c r="H35" s="1562"/>
      <c r="N35" s="13495"/>
      <c r="O35" s="13495"/>
      <c r="P35" s="13495"/>
      <c r="Q35" s="13495"/>
      <c r="R35" s="13495"/>
      <c r="S35" s="2577"/>
      <c r="U35" s="2577"/>
      <c r="V35" s="2847"/>
      <c r="W35" s="2847"/>
      <c r="X35" s="2577"/>
      <c r="Y35" s="2577"/>
      <c r="Z35" s="2577"/>
      <c r="AA35" s="2577"/>
      <c r="AB35" s="2847"/>
      <c r="AC35" s="2577"/>
      <c r="AD35" s="2577"/>
      <c r="AE35" s="1755"/>
      <c r="AF35" s="2577"/>
      <c r="AG35" s="2577"/>
      <c r="AH35" s="2577"/>
      <c r="AI35" s="2577"/>
      <c r="AJ35" s="2577"/>
      <c r="AK35" s="2843"/>
      <c r="AL35" s="1833"/>
      <c r="AM35" s="1833"/>
      <c r="AN35" s="1833"/>
      <c r="AO35" s="1833"/>
      <c r="AP35" s="2852">
        <v>11</v>
      </c>
    </row>
    <row s="65897" customFormat="1" customHeight="1" ht="11.549999999999999">
      <c r="A36" s="2198"/>
      <c r="B36" s="2198"/>
      <c r="C36" s="2198"/>
      <c r="D36" s="2198"/>
      <c r="E36" s="2198"/>
      <c r="F36" s="2847"/>
      <c r="G36" s="2847"/>
      <c r="H36" s="1562"/>
      <c r="N36" s="13495"/>
      <c r="O36" s="13495"/>
      <c r="P36" s="13495"/>
      <c r="Q36" s="13495"/>
      <c r="R36" s="13495"/>
      <c r="S36" s="2577"/>
      <c r="U36" s="2577"/>
      <c r="V36" s="2847"/>
      <c r="W36" s="2847"/>
      <c r="X36" s="2577"/>
      <c r="Y36" s="2577"/>
      <c r="Z36" s="2577"/>
      <c r="AA36" s="2577"/>
      <c r="AB36" s="2847"/>
      <c r="AC36" s="2577"/>
      <c r="AD36" s="2577"/>
      <c r="AE36" s="1755"/>
      <c r="AF36" s="2577"/>
      <c r="AG36" s="2577"/>
      <c r="AH36" s="2577"/>
      <c r="AI36" s="2577"/>
      <c r="AJ36" s="2577"/>
      <c r="AK36" s="2843"/>
      <c r="AL36" s="1833"/>
      <c r="AM36" s="1833"/>
      <c r="AN36" s="1833"/>
      <c r="AO36" s="1833"/>
      <c r="AP36" s="2852">
        <v>11</v>
      </c>
    </row>
    <row s="65897" customFormat="1" customHeight="1" ht="11.549999999999999">
      <c r="A37" s="2198"/>
      <c r="B37" s="2198"/>
      <c r="C37" s="2198"/>
      <c r="D37" s="2198"/>
      <c r="E37" s="2198"/>
      <c r="F37" s="2847"/>
      <c r="G37" s="2847"/>
      <c r="H37" s="1562"/>
      <c r="L37" s="1833"/>
      <c r="M37" s="1833"/>
      <c r="N37" s="13496"/>
      <c r="O37" s="13496"/>
      <c r="P37" s="13496"/>
      <c r="Q37" s="13496"/>
      <c r="R37" s="13496"/>
      <c r="S37" s="2577"/>
      <c r="U37" s="2577"/>
      <c r="V37" s="2847"/>
      <c r="W37" s="2847"/>
      <c r="X37" s="2577"/>
      <c r="Y37" s="2577"/>
      <c r="Z37" s="2577"/>
      <c r="AA37" s="2577"/>
      <c r="AB37" s="2847"/>
      <c r="AC37" s="2577"/>
      <c r="AD37" s="2577"/>
      <c r="AE37" s="1755"/>
      <c r="AF37" s="2577"/>
      <c r="AG37" s="2577"/>
      <c r="AH37" s="2577"/>
      <c r="AI37" s="2577"/>
      <c r="AJ37" s="2577"/>
      <c r="AK37" s="2843"/>
      <c r="AL37" s="1833"/>
      <c r="AM37" s="1833"/>
      <c r="AN37" s="1833"/>
      <c r="AO37" s="1833"/>
      <c r="AP37" s="2852">
        <v>11</v>
      </c>
    </row>
    <row s="65897" customFormat="1" customHeight="1" ht="11.549999999999999">
      <c r="A38" s="2198"/>
      <c r="B38" s="2198"/>
      <c r="C38" s="2198"/>
      <c r="D38" s="2198"/>
      <c r="E38" s="2198"/>
      <c r="F38" s="2847"/>
      <c r="G38" s="2847"/>
      <c r="H38" s="1562"/>
      <c r="N38" s="13495"/>
      <c r="O38" s="13495"/>
      <c r="P38" s="13495"/>
      <c r="Q38" s="13495"/>
      <c r="R38" s="13495"/>
      <c r="S38" s="2577"/>
      <c r="U38" s="2577"/>
      <c r="V38" s="2847"/>
      <c r="W38" s="2847"/>
      <c r="X38" s="2577"/>
      <c r="Y38" s="2577"/>
      <c r="Z38" s="2577"/>
      <c r="AA38" s="2577"/>
      <c r="AB38" s="2847"/>
      <c r="AC38" s="2577"/>
      <c r="AD38" s="2577"/>
      <c r="AE38" s="1755"/>
      <c r="AF38" s="2577"/>
      <c r="AG38" s="2577"/>
      <c r="AH38" s="2577"/>
      <c r="AI38" s="2577"/>
      <c r="AJ38" s="2577"/>
      <c r="AK38" s="2843"/>
      <c r="AL38" s="1833"/>
      <c r="AM38" s="1833"/>
      <c r="AN38" s="1833"/>
      <c r="AO38" s="1833"/>
      <c r="AP38" s="2852">
        <v>11</v>
      </c>
    </row>
    <row s="65897" customFormat="1" customHeight="1" ht="11.549999999999999">
      <c r="A39" s="2198"/>
      <c r="B39" s="2198"/>
      <c r="C39" s="2198"/>
      <c r="D39" s="2198"/>
      <c r="E39" s="2198"/>
      <c r="F39" s="2847"/>
      <c r="G39" s="2847"/>
      <c r="H39" s="1562"/>
      <c r="N39" s="13495"/>
      <c r="O39" s="13495"/>
      <c r="P39" s="13495"/>
      <c r="Q39" s="13495"/>
      <c r="R39" s="13495"/>
      <c r="S39" s="2577"/>
      <c r="U39" s="2577"/>
      <c r="V39" s="2847"/>
      <c r="W39" s="2847"/>
      <c r="X39" s="2577"/>
      <c r="Y39" s="2577"/>
      <c r="Z39" s="2577"/>
      <c r="AA39" s="2577"/>
      <c r="AB39" s="2847"/>
      <c r="AC39" s="2577"/>
      <c r="AD39" s="2577"/>
      <c r="AE39" s="1755"/>
      <c r="AF39" s="2577"/>
      <c r="AG39" s="2577"/>
      <c r="AH39" s="2577"/>
      <c r="AI39" s="2577"/>
      <c r="AJ39" s="2577"/>
      <c r="AK39" s="2843"/>
      <c r="AL39" s="1833"/>
      <c r="AM39" s="1833"/>
      <c r="AN39" s="1833"/>
      <c r="AO39" s="1833"/>
      <c r="AP39" s="2852">
        <v>11</v>
      </c>
    </row>
    <row s="65897" customFormat="1" customHeight="1" ht="11.549999999999999">
      <c r="A40" s="2198"/>
      <c r="B40" s="2198"/>
      <c r="C40" s="2198"/>
      <c r="D40" s="2198"/>
      <c r="E40" s="2198"/>
      <c r="F40" s="2847"/>
      <c r="G40" s="2847"/>
      <c r="H40" s="1562"/>
      <c r="N40" s="13495"/>
      <c r="O40" s="13495"/>
      <c r="P40" s="13495"/>
      <c r="Q40" s="13495"/>
      <c r="R40" s="13495"/>
      <c r="S40" s="2577"/>
      <c r="U40" s="2577"/>
      <c r="V40" s="2847"/>
      <c r="W40" s="2847"/>
      <c r="X40" s="2577"/>
      <c r="Y40" s="2577"/>
      <c r="Z40" s="2577"/>
      <c r="AA40" s="2577"/>
      <c r="AB40" s="2847"/>
      <c r="AC40" s="2577"/>
      <c r="AD40" s="2577"/>
      <c r="AE40" s="1755"/>
      <c r="AF40" s="2577"/>
      <c r="AG40" s="2577"/>
      <c r="AH40" s="2577"/>
      <c r="AI40" s="2577"/>
      <c r="AJ40" s="2577"/>
      <c r="AK40" s="2843"/>
      <c r="AL40" s="1833"/>
      <c r="AM40" s="1833"/>
      <c r="AN40" s="1833"/>
      <c r="AO40" s="1833"/>
      <c r="AP40" s="2852">
        <v>11</v>
      </c>
    </row>
    <row s="65897" customFormat="1" customHeight="1" ht="11.549999999999999">
      <c r="A41" s="2198"/>
      <c r="B41" s="2198"/>
      <c r="C41" s="2198"/>
      <c r="D41" s="2198"/>
      <c r="E41" s="2198"/>
      <c r="F41" s="2847"/>
      <c r="G41" s="2847"/>
      <c r="H41" s="1562"/>
      <c r="N41" s="13495"/>
      <c r="O41" s="13495"/>
      <c r="P41" s="13495"/>
      <c r="Q41" s="13495"/>
      <c r="R41" s="13495"/>
      <c r="S41" s="2577"/>
      <c r="U41" s="2577"/>
      <c r="V41" s="2847"/>
      <c r="W41" s="2847"/>
      <c r="X41" s="2577"/>
      <c r="Y41" s="2577"/>
      <c r="Z41" s="2577"/>
      <c r="AA41" s="2577"/>
      <c r="AB41" s="2847"/>
      <c r="AC41" s="2577"/>
      <c r="AD41" s="2577"/>
      <c r="AE41" s="1755"/>
      <c r="AF41" s="2577"/>
      <c r="AG41" s="2577"/>
      <c r="AH41" s="2577"/>
      <c r="AI41" s="2577"/>
      <c r="AJ41" s="2577"/>
      <c r="AK41" s="2843"/>
      <c r="AL41" s="1833"/>
      <c r="AM41" s="1833"/>
      <c r="AN41" s="1833"/>
      <c r="AO41" s="1833"/>
      <c r="AP41" s="2852">
        <v>11</v>
      </c>
    </row>
    <row s="65897" customFormat="1" customHeight="1" ht="11.549999999999999">
      <c r="A42" s="2198"/>
      <c r="B42" s="2198"/>
      <c r="C42" s="2198"/>
      <c r="D42" s="2198"/>
      <c r="E42" s="2198"/>
      <c r="F42" s="2847"/>
      <c r="G42" s="2847"/>
      <c r="H42" s="1562"/>
      <c r="N42" s="13495"/>
      <c r="O42" s="13495"/>
      <c r="P42" s="13495"/>
      <c r="Q42" s="13495"/>
      <c r="R42" s="13495"/>
      <c r="S42" s="2577"/>
      <c r="U42" s="2577"/>
      <c r="V42" s="2847"/>
      <c r="W42" s="2847"/>
      <c r="X42" s="2577"/>
      <c r="Y42" s="2577"/>
      <c r="Z42" s="2577"/>
      <c r="AA42" s="2577"/>
      <c r="AB42" s="2847"/>
      <c r="AC42" s="2577"/>
      <c r="AD42" s="2577"/>
      <c r="AE42" s="1755"/>
      <c r="AF42" s="2577"/>
      <c r="AG42" s="2577"/>
      <c r="AH42" s="2577"/>
      <c r="AI42" s="2577"/>
      <c r="AJ42" s="2577"/>
      <c r="AK42" s="2843"/>
      <c r="AL42" s="1833"/>
      <c r="AM42" s="1833"/>
      <c r="AN42" s="1833"/>
      <c r="AO42" s="1833"/>
      <c r="AP42" s="2852">
        <v>11</v>
      </c>
    </row>
    <row s="65897" customFormat="1" customHeight="1" ht="11.549999999999999">
      <c r="A43" s="2198"/>
      <c r="B43" s="2198"/>
      <c r="C43" s="2198"/>
      <c r="D43" s="2198"/>
      <c r="E43" s="2198"/>
      <c r="F43" s="2847"/>
      <c r="G43" s="2847"/>
      <c r="H43" s="1562"/>
      <c r="N43" s="13495"/>
      <c r="O43" s="13495"/>
      <c r="P43" s="13495"/>
      <c r="Q43" s="13495"/>
      <c r="R43" s="13495"/>
      <c r="S43" s="2577"/>
      <c r="U43" s="2577"/>
      <c r="V43" s="2847"/>
      <c r="W43" s="2847"/>
      <c r="X43" s="2577"/>
      <c r="Y43" s="2577"/>
      <c r="Z43" s="2577"/>
      <c r="AA43" s="2577"/>
      <c r="AB43" s="2847"/>
      <c r="AC43" s="2577"/>
      <c r="AD43" s="2577"/>
      <c r="AE43" s="1755"/>
      <c r="AF43" s="2577"/>
      <c r="AG43" s="2577"/>
      <c r="AH43" s="2577"/>
      <c r="AI43" s="2577"/>
      <c r="AJ43" s="2577"/>
      <c r="AK43" s="2843"/>
      <c r="AL43" s="1833"/>
      <c r="AM43" s="1833"/>
      <c r="AN43" s="1833"/>
      <c r="AO43" s="1833"/>
      <c r="AP43" s="2852">
        <v>11</v>
      </c>
    </row>
    <row s="65897" customFormat="1" customHeight="1" ht="11.549999999999999">
      <c r="A44" s="2198"/>
      <c r="B44" s="2198"/>
      <c r="C44" s="2198"/>
      <c r="D44" s="2198"/>
      <c r="E44" s="2198"/>
      <c r="F44" s="2847"/>
      <c r="G44" s="2847"/>
      <c r="H44" s="1562"/>
      <c r="N44" s="13495"/>
      <c r="O44" s="13495"/>
      <c r="P44" s="13495"/>
      <c r="Q44" s="13495"/>
      <c r="R44" s="13495"/>
      <c r="S44" s="2577"/>
      <c r="U44" s="2577"/>
      <c r="V44" s="2847"/>
      <c r="W44" s="2847"/>
      <c r="X44" s="2577"/>
      <c r="Y44" s="2577"/>
      <c r="Z44" s="2577"/>
      <c r="AA44" s="2577"/>
      <c r="AB44" s="2847"/>
      <c r="AC44" s="2577"/>
      <c r="AD44" s="2577"/>
      <c r="AE44" s="1755"/>
      <c r="AF44" s="2577"/>
      <c r="AG44" s="2577"/>
      <c r="AH44" s="2577"/>
      <c r="AI44" s="2577"/>
      <c r="AJ44" s="2577"/>
      <c r="AK44" s="2843"/>
      <c r="AL44" s="1833"/>
      <c r="AM44" s="1833"/>
      <c r="AN44" s="1833"/>
      <c r="AO44" s="1833"/>
      <c r="AP44" s="2852">
        <v>11</v>
      </c>
    </row>
    <row s="65897" customFormat="1" customHeight="1" ht="11.549999999999999">
      <c r="A45" s="2198"/>
      <c r="B45" s="2198"/>
      <c r="C45" s="2198"/>
      <c r="D45" s="2198"/>
      <c r="E45" s="2198"/>
      <c r="F45" s="2847"/>
      <c r="G45" s="2847"/>
      <c r="H45" s="1562"/>
      <c r="N45" s="13495"/>
      <c r="O45" s="13495"/>
      <c r="P45" s="13495"/>
      <c r="Q45" s="13495"/>
      <c r="R45" s="13495"/>
      <c r="S45" s="2577"/>
      <c r="U45" s="2577"/>
      <c r="V45" s="2847"/>
      <c r="W45" s="2847"/>
      <c r="X45" s="2577"/>
      <c r="Y45" s="2577"/>
      <c r="Z45" s="2577"/>
      <c r="AA45" s="2577"/>
      <c r="AB45" s="2847"/>
      <c r="AC45" s="2577"/>
      <c r="AD45" s="2577"/>
      <c r="AE45" s="1755"/>
      <c r="AF45" s="2577"/>
      <c r="AG45" s="2577"/>
      <c r="AH45" s="2577"/>
      <c r="AI45" s="2577"/>
      <c r="AJ45" s="2577"/>
      <c r="AK45" s="2843"/>
      <c r="AL45" s="1833"/>
      <c r="AM45" s="1833"/>
      <c r="AN45" s="1833"/>
      <c r="AO45" s="1833"/>
      <c r="AP45" s="2852">
        <v>11</v>
      </c>
    </row>
    <row s="65897" customFormat="1" customHeight="1" ht="11.549999999999999">
      <c r="A46" s="2198"/>
      <c r="B46" s="2198"/>
      <c r="C46" s="2198"/>
      <c r="D46" s="2198"/>
      <c r="E46" s="2198"/>
      <c r="F46" s="2847"/>
      <c r="G46" s="2847"/>
      <c r="H46" s="1562"/>
      <c r="N46" s="13495"/>
      <c r="O46" s="13495"/>
      <c r="P46" s="13495"/>
      <c r="Q46" s="13495"/>
      <c r="R46" s="13495"/>
      <c r="S46" s="2577"/>
      <c r="U46" s="2577"/>
      <c r="V46" s="2847"/>
      <c r="W46" s="2847"/>
      <c r="X46" s="2577"/>
      <c r="Y46" s="2577"/>
      <c r="Z46" s="2577"/>
      <c r="AA46" s="2577"/>
      <c r="AB46" s="2847"/>
      <c r="AC46" s="2577"/>
      <c r="AD46" s="2577"/>
      <c r="AE46" s="1755"/>
      <c r="AF46" s="2577"/>
      <c r="AG46" s="2577"/>
      <c r="AH46" s="2577"/>
      <c r="AI46" s="2577"/>
      <c r="AJ46" s="2577"/>
      <c r="AK46" s="2843"/>
      <c r="AL46" s="1833"/>
      <c r="AM46" s="1833"/>
      <c r="AN46" s="1833"/>
      <c r="AO46" s="1833"/>
      <c r="AP46" s="2852">
        <v>11</v>
      </c>
    </row>
    <row s="65897" customFormat="1" customHeight="1" ht="11.549999999999999">
      <c r="A47" s="2198"/>
      <c r="B47" s="2198"/>
      <c r="C47" s="2198"/>
      <c r="D47" s="2198"/>
      <c r="E47" s="2198"/>
      <c r="F47" s="2847"/>
      <c r="G47" s="2847"/>
      <c r="H47" s="1562"/>
      <c r="N47" s="13495"/>
      <c r="O47" s="13495"/>
      <c r="P47" s="13495"/>
      <c r="Q47" s="13495"/>
      <c r="R47" s="13495"/>
      <c r="S47" s="2577"/>
      <c r="U47" s="2577"/>
      <c r="V47" s="2847"/>
      <c r="W47" s="2847"/>
      <c r="X47" s="2577"/>
      <c r="Y47" s="2577"/>
      <c r="Z47" s="2577"/>
      <c r="AA47" s="2577"/>
      <c r="AB47" s="2847"/>
      <c r="AC47" s="2577"/>
      <c r="AD47" s="2577"/>
      <c r="AE47" s="1755"/>
      <c r="AF47" s="2577"/>
      <c r="AG47" s="2577"/>
      <c r="AH47" s="2577"/>
      <c r="AI47" s="2577"/>
      <c r="AJ47" s="2577"/>
      <c r="AK47" s="2843"/>
      <c r="AL47" s="1833"/>
      <c r="AM47" s="1833"/>
      <c r="AN47" s="1833"/>
      <c r="AO47" s="1833"/>
      <c r="AP47" s="2852">
        <v>11</v>
      </c>
    </row>
    <row s="65897" customFormat="1" customHeight="1" ht="11.549999999999999">
      <c r="A48" s="2198"/>
      <c r="B48" s="2198"/>
      <c r="C48" s="2198"/>
      <c r="D48" s="2198"/>
      <c r="E48" s="2198"/>
      <c r="F48" s="2847"/>
      <c r="G48" s="2847"/>
      <c r="H48" s="1562"/>
      <c r="N48" s="13495"/>
      <c r="O48" s="13495"/>
      <c r="P48" s="13495"/>
      <c r="Q48" s="13495"/>
      <c r="R48" s="13495"/>
      <c r="S48" s="2577"/>
      <c r="U48" s="2577"/>
      <c r="V48" s="2847"/>
      <c r="W48" s="2847"/>
      <c r="X48" s="2577"/>
      <c r="Y48" s="2577"/>
      <c r="Z48" s="2577"/>
      <c r="AA48" s="2577"/>
      <c r="AB48" s="2847"/>
      <c r="AC48" s="2577"/>
      <c r="AD48" s="2577"/>
      <c r="AE48" s="1755"/>
      <c r="AF48" s="2577"/>
      <c r="AG48" s="2577"/>
      <c r="AH48" s="2577"/>
      <c r="AI48" s="2577"/>
      <c r="AJ48" s="2577"/>
      <c r="AK48" s="2843"/>
      <c r="AL48" s="1833"/>
      <c r="AM48" s="1833"/>
      <c r="AN48" s="1833"/>
      <c r="AO48" s="1833"/>
      <c r="AP48" s="2852">
        <v>11</v>
      </c>
    </row>
    <row s="65897" customFormat="1" customHeight="1" ht="11.549999999999999">
      <c r="A49" s="2198"/>
      <c r="B49" s="2198"/>
      <c r="C49" s="2198"/>
      <c r="D49" s="2198"/>
      <c r="E49" s="2198"/>
      <c r="F49" s="2847"/>
      <c r="G49" s="2847"/>
      <c r="H49" s="1562"/>
      <c r="N49" s="13495"/>
      <c r="O49" s="13495"/>
      <c r="P49" s="13495"/>
      <c r="Q49" s="13495"/>
      <c r="R49" s="13495"/>
      <c r="S49" s="2577"/>
      <c r="U49" s="2577"/>
      <c r="V49" s="2847"/>
      <c r="W49" s="2847"/>
      <c r="X49" s="2577"/>
      <c r="Y49" s="2577"/>
      <c r="Z49" s="2577"/>
      <c r="AA49" s="2577"/>
      <c r="AB49" s="2847"/>
      <c r="AC49" s="2577"/>
      <c r="AD49" s="2577"/>
      <c r="AE49" s="1755"/>
      <c r="AF49" s="2577"/>
      <c r="AG49" s="2577"/>
      <c r="AH49" s="2577"/>
      <c r="AI49" s="2577"/>
      <c r="AJ49" s="2577"/>
      <c r="AK49" s="2843"/>
      <c r="AL49" s="1833"/>
      <c r="AM49" s="1833"/>
      <c r="AN49" s="1833"/>
      <c r="AO49" s="1833"/>
      <c r="AP49" s="2852">
        <v>11</v>
      </c>
    </row>
    <row s="65897" customFormat="1" customHeight="1" ht="11.549999999999999">
      <c r="A50" s="2198"/>
      <c r="B50" s="2198"/>
      <c r="C50" s="2198"/>
      <c r="D50" s="2198"/>
      <c r="E50" s="2198"/>
      <c r="F50" s="2847"/>
      <c r="G50" s="2847"/>
      <c r="H50" s="1562"/>
      <c r="N50" s="13495"/>
      <c r="O50" s="13495"/>
      <c r="P50" s="13495"/>
      <c r="Q50" s="13495"/>
      <c r="R50" s="13495"/>
      <c r="S50" s="2577"/>
      <c r="U50" s="2577"/>
      <c r="V50" s="2847"/>
      <c r="W50" s="2847"/>
      <c r="X50" s="2577"/>
      <c r="Y50" s="2577"/>
      <c r="Z50" s="2577"/>
      <c r="AA50" s="2577"/>
      <c r="AB50" s="2847"/>
      <c r="AC50" s="2577"/>
      <c r="AD50" s="2577"/>
      <c r="AE50" s="1755"/>
      <c r="AF50" s="2577"/>
      <c r="AG50" s="2577"/>
      <c r="AH50" s="2577"/>
      <c r="AI50" s="2577"/>
      <c r="AJ50" s="2577"/>
      <c r="AK50" s="2843"/>
      <c r="AL50" s="1833"/>
      <c r="AM50" s="1833"/>
      <c r="AN50" s="1833"/>
      <c r="AO50" s="1833"/>
      <c r="AP50" s="2852">
        <v>11</v>
      </c>
    </row>
    <row s="65897" customFormat="1" customHeight="1" ht="11.549999999999999">
      <c r="A51" s="2198"/>
      <c r="B51" s="2198"/>
      <c r="C51" s="2198"/>
      <c r="D51" s="2198"/>
      <c r="E51" s="2198"/>
      <c r="F51" s="2847"/>
      <c r="G51" s="2847"/>
      <c r="H51" s="1562"/>
      <c r="N51" s="13495"/>
      <c r="O51" s="13495"/>
      <c r="P51" s="13495"/>
      <c r="Q51" s="13495"/>
      <c r="R51" s="13495"/>
      <c r="S51" s="2577"/>
      <c r="U51" s="2577"/>
      <c r="V51" s="2847"/>
      <c r="W51" s="2847"/>
      <c r="X51" s="2577"/>
      <c r="Y51" s="2577"/>
      <c r="Z51" s="2577"/>
      <c r="AA51" s="2577"/>
      <c r="AB51" s="2847"/>
      <c r="AC51" s="2577"/>
      <c r="AD51" s="2577"/>
      <c r="AE51" s="1755"/>
      <c r="AF51" s="2577"/>
      <c r="AG51" s="2577"/>
      <c r="AH51" s="2577"/>
      <c r="AI51" s="2577"/>
      <c r="AJ51" s="2577"/>
      <c r="AK51" s="2843"/>
      <c r="AL51" s="1833"/>
      <c r="AM51" s="1833"/>
      <c r="AN51" s="1833"/>
      <c r="AO51" s="1833"/>
      <c r="AP51" s="2852">
        <v>11</v>
      </c>
    </row>
    <row s="65897" customFormat="1" customHeight="1" ht="11.549999999999999">
      <c r="A52" s="2198"/>
      <c r="B52" s="2198"/>
      <c r="C52" s="2198"/>
      <c r="D52" s="2198"/>
      <c r="E52" s="2198"/>
      <c r="F52" s="2847"/>
      <c r="G52" s="2847"/>
      <c r="H52" s="1562"/>
      <c r="N52" s="13495"/>
      <c r="O52" s="13495"/>
      <c r="P52" s="13495"/>
      <c r="Q52" s="13495"/>
      <c r="R52" s="13495"/>
      <c r="S52" s="2577"/>
      <c r="U52" s="2577"/>
      <c r="V52" s="2847"/>
      <c r="W52" s="2847"/>
      <c r="X52" s="2577"/>
      <c r="Y52" s="2577"/>
      <c r="Z52" s="2577"/>
      <c r="AA52" s="2577"/>
      <c r="AB52" s="2847"/>
      <c r="AC52" s="2577"/>
      <c r="AD52" s="2577"/>
      <c r="AE52" s="1755"/>
      <c r="AF52" s="2577"/>
      <c r="AG52" s="2577"/>
      <c r="AH52" s="2577"/>
      <c r="AI52" s="2577"/>
      <c r="AJ52" s="2577"/>
      <c r="AK52" s="2843"/>
      <c r="AL52" s="1833"/>
      <c r="AM52" s="1833"/>
      <c r="AN52" s="1833"/>
      <c r="AO52" s="1833"/>
      <c r="AP52" s="2852">
        <v>11</v>
      </c>
    </row>
    <row s="65897" customFormat="1" customHeight="1" ht="11.549999999999999">
      <c r="A53" s="2198"/>
      <c r="B53" s="2198"/>
      <c r="C53" s="2198"/>
      <c r="D53" s="2198"/>
      <c r="E53" s="2198"/>
      <c r="F53" s="2847"/>
      <c r="G53" s="2847"/>
      <c r="H53" s="1562"/>
      <c r="N53" s="13495"/>
      <c r="O53" s="13495"/>
      <c r="P53" s="13495"/>
      <c r="Q53" s="13495"/>
      <c r="R53" s="13495"/>
      <c r="S53" s="2577"/>
      <c r="U53" s="2577"/>
      <c r="V53" s="2847"/>
      <c r="W53" s="2847"/>
      <c r="X53" s="2577"/>
      <c r="Y53" s="2577"/>
      <c r="Z53" s="2577"/>
      <c r="AA53" s="2577"/>
      <c r="AB53" s="2847"/>
      <c r="AC53" s="2577"/>
      <c r="AD53" s="2577"/>
      <c r="AE53" s="1755"/>
      <c r="AF53" s="2577"/>
      <c r="AG53" s="2577"/>
      <c r="AH53" s="2577"/>
      <c r="AI53" s="2577"/>
      <c r="AJ53" s="2577"/>
      <c r="AK53" s="2843"/>
      <c r="AL53" s="1833"/>
      <c r="AM53" s="1833"/>
      <c r="AN53" s="1833"/>
      <c r="AO53" s="1833"/>
      <c r="AP53" s="2852">
        <v>11</v>
      </c>
    </row>
    <row s="65897" customFormat="1" customHeight="1" ht="11.549999999999999">
      <c r="A54" s="2198"/>
      <c r="B54" s="2198"/>
      <c r="C54" s="2198"/>
      <c r="D54" s="2198"/>
      <c r="E54" s="2198"/>
      <c r="F54" s="2847"/>
      <c r="G54" s="2847"/>
      <c r="H54" s="1562"/>
      <c r="N54" s="13495"/>
      <c r="O54" s="13495"/>
      <c r="P54" s="13495"/>
      <c r="Q54" s="13495"/>
      <c r="R54" s="13495"/>
      <c r="S54" s="2577"/>
      <c r="U54" s="2577"/>
      <c r="V54" s="2847"/>
      <c r="W54" s="2847"/>
      <c r="X54" s="2577"/>
      <c r="Y54" s="2577"/>
      <c r="Z54" s="2577"/>
      <c r="AA54" s="2577"/>
      <c r="AB54" s="2847"/>
      <c r="AC54" s="2577"/>
      <c r="AD54" s="2577"/>
      <c r="AE54" s="1755"/>
      <c r="AF54" s="2577"/>
      <c r="AG54" s="2577"/>
      <c r="AH54" s="2577"/>
      <c r="AI54" s="2577"/>
      <c r="AJ54" s="2577"/>
      <c r="AK54" s="2843"/>
      <c r="AL54" s="1833"/>
      <c r="AM54" s="1833"/>
      <c r="AN54" s="1833"/>
      <c r="AO54" s="1833"/>
      <c r="AP54" s="2852">
        <v>11</v>
      </c>
    </row>
    <row s="65897" customFormat="1" customHeight="1" ht="11.549999999999999">
      <c r="A55" s="2198"/>
      <c r="B55" s="2198"/>
      <c r="C55" s="2198"/>
      <c r="D55" s="2198"/>
      <c r="E55" s="2198"/>
      <c r="F55" s="2847"/>
      <c r="G55" s="2847"/>
      <c r="H55" s="1562"/>
      <c r="N55" s="13495"/>
      <c r="O55" s="13495"/>
      <c r="P55" s="13495"/>
      <c r="Q55" s="13495"/>
      <c r="R55" s="13495"/>
      <c r="S55" s="2577"/>
      <c r="U55" s="2577"/>
      <c r="V55" s="2847"/>
      <c r="W55" s="2847"/>
      <c r="X55" s="2577"/>
      <c r="Y55" s="2577"/>
      <c r="Z55" s="2577"/>
      <c r="AA55" s="2577"/>
      <c r="AB55" s="2847"/>
      <c r="AC55" s="2577"/>
      <c r="AD55" s="2577"/>
      <c r="AE55" s="1755"/>
      <c r="AF55" s="2577"/>
      <c r="AG55" s="2577"/>
      <c r="AH55" s="2577"/>
      <c r="AI55" s="2577"/>
      <c r="AJ55" s="2577"/>
      <c r="AK55" s="2843"/>
      <c r="AL55" s="1833"/>
      <c r="AM55" s="1833"/>
      <c r="AN55" s="1833"/>
      <c r="AO55" s="1833"/>
      <c r="AP55" s="2852">
        <v>11</v>
      </c>
    </row>
    <row s="65897" customFormat="1" customHeight="1" ht="11.549999999999999">
      <c r="A56" s="2198"/>
      <c r="B56" s="2198"/>
      <c r="C56" s="2198"/>
      <c r="D56" s="2198"/>
      <c r="E56" s="2198"/>
      <c r="F56" s="2847"/>
      <c r="G56" s="2847"/>
      <c r="H56" s="1562"/>
      <c r="N56" s="13495"/>
      <c r="O56" s="13495"/>
      <c r="P56" s="13495"/>
      <c r="Q56" s="13495"/>
      <c r="R56" s="13495"/>
      <c r="S56" s="2577"/>
      <c r="U56" s="2577"/>
      <c r="V56" s="2847"/>
      <c r="W56" s="2847"/>
      <c r="X56" s="2577"/>
      <c r="Y56" s="2577"/>
      <c r="Z56" s="2577"/>
      <c r="AA56" s="2577"/>
      <c r="AB56" s="2847"/>
      <c r="AC56" s="2577"/>
      <c r="AD56" s="2577"/>
      <c r="AE56" s="1755"/>
      <c r="AF56" s="2577"/>
      <c r="AG56" s="2577"/>
      <c r="AH56" s="2577"/>
      <c r="AI56" s="2577"/>
      <c r="AJ56" s="2577"/>
      <c r="AK56" s="2843"/>
      <c r="AL56" s="1833"/>
      <c r="AM56" s="1833"/>
      <c r="AN56" s="1833"/>
      <c r="AO56" s="1833"/>
      <c r="AP56" s="2852">
        <v>11</v>
      </c>
    </row>
    <row s="65897" customFormat="1" customHeight="1" ht="11.549999999999999">
      <c r="A57" s="2198"/>
      <c r="B57" s="2198"/>
      <c r="C57" s="2198"/>
      <c r="D57" s="2198"/>
      <c r="E57" s="2198"/>
      <c r="F57" s="2847"/>
      <c r="G57" s="2847"/>
      <c r="H57" s="1562"/>
      <c r="N57" s="13495"/>
      <c r="O57" s="13495"/>
      <c r="P57" s="13495"/>
      <c r="Q57" s="13495"/>
      <c r="R57" s="13495"/>
      <c r="S57" s="2577"/>
      <c r="U57" s="2577"/>
      <c r="V57" s="2847"/>
      <c r="W57" s="2847"/>
      <c r="X57" s="2577"/>
      <c r="Y57" s="2577"/>
      <c r="Z57" s="2577"/>
      <c r="AA57" s="2577"/>
      <c r="AB57" s="2847"/>
      <c r="AC57" s="2577"/>
      <c r="AD57" s="2577"/>
      <c r="AE57" s="1755"/>
      <c r="AF57" s="2577"/>
      <c r="AG57" s="2577"/>
      <c r="AH57" s="2577"/>
      <c r="AI57" s="2577"/>
      <c r="AJ57" s="2577"/>
      <c r="AK57" s="2843"/>
      <c r="AL57" s="1833"/>
      <c r="AM57" s="1833"/>
      <c r="AN57" s="1833"/>
      <c r="AO57" s="1833"/>
      <c r="AP57" s="2852">
        <v>11</v>
      </c>
    </row>
    <row s="65897" customFormat="1" customHeight="1" ht="11.549999999999999">
      <c r="A58" s="2198"/>
      <c r="B58" s="2198"/>
      <c r="C58" s="2198"/>
      <c r="D58" s="2198"/>
      <c r="E58" s="2198"/>
      <c r="F58" s="2847"/>
      <c r="G58" s="2847"/>
      <c r="H58" s="1562"/>
      <c r="N58" s="13495"/>
      <c r="O58" s="13495"/>
      <c r="P58" s="13495"/>
      <c r="Q58" s="13495"/>
      <c r="R58" s="13495"/>
      <c r="S58" s="2577"/>
      <c r="U58" s="2577"/>
      <c r="V58" s="2847"/>
      <c r="W58" s="2847"/>
      <c r="X58" s="2577"/>
      <c r="Y58" s="2577"/>
      <c r="Z58" s="2577"/>
      <c r="AA58" s="2577"/>
      <c r="AB58" s="2847"/>
      <c r="AC58" s="2577"/>
      <c r="AD58" s="2577"/>
      <c r="AE58" s="1755"/>
      <c r="AF58" s="2577"/>
      <c r="AG58" s="2577"/>
      <c r="AH58" s="2577"/>
      <c r="AI58" s="2577"/>
      <c r="AJ58" s="2577"/>
      <c r="AK58" s="2843"/>
      <c r="AL58" s="1833"/>
      <c r="AM58" s="1833"/>
      <c r="AN58" s="1833"/>
      <c r="AO58" s="1833"/>
      <c r="AP58" s="2852">
        <v>11</v>
      </c>
    </row>
    <row s="65897" customFormat="1" customHeight="1" ht="11.549999999999999">
      <c r="A59" s="2198"/>
      <c r="B59" s="2198"/>
      <c r="C59" s="2198"/>
      <c r="D59" s="2198"/>
      <c r="E59" s="2198"/>
      <c r="F59" s="2847"/>
      <c r="G59" s="2847"/>
      <c r="H59" s="1562"/>
      <c r="N59" s="13495"/>
      <c r="O59" s="13495"/>
      <c r="P59" s="13495"/>
      <c r="Q59" s="13495"/>
      <c r="R59" s="13495"/>
      <c r="S59" s="2577"/>
      <c r="U59" s="2577"/>
      <c r="V59" s="2847"/>
      <c r="W59" s="2847"/>
      <c r="X59" s="2577"/>
      <c r="Y59" s="2577"/>
      <c r="Z59" s="2577"/>
      <c r="AA59" s="2577"/>
      <c r="AB59" s="2847"/>
      <c r="AC59" s="2577"/>
      <c r="AD59" s="2577"/>
      <c r="AE59" s="1755"/>
      <c r="AF59" s="2577"/>
      <c r="AG59" s="2577"/>
      <c r="AH59" s="2577"/>
      <c r="AI59" s="2577"/>
      <c r="AJ59" s="2577"/>
      <c r="AK59" s="2843"/>
      <c r="AL59" s="1833"/>
      <c r="AM59" s="1833"/>
      <c r="AN59" s="1833"/>
      <c r="AO59" s="1833"/>
      <c r="AP59" s="2852">
        <v>11</v>
      </c>
    </row>
    <row s="65897" customFormat="1" customHeight="1" ht="11.549999999999999">
      <c r="A60" s="2198"/>
      <c r="B60" s="2198"/>
      <c r="C60" s="2198"/>
      <c r="D60" s="2198"/>
      <c r="E60" s="2198"/>
      <c r="F60" s="2847"/>
      <c r="G60" s="2847"/>
      <c r="H60" s="1562"/>
      <c r="N60" s="13495"/>
      <c r="O60" s="13495"/>
      <c r="P60" s="13495"/>
      <c r="Q60" s="13495"/>
      <c r="R60" s="13495"/>
      <c r="S60" s="2577"/>
      <c r="U60" s="2577"/>
      <c r="V60" s="2847"/>
      <c r="W60" s="2847"/>
      <c r="X60" s="2577"/>
      <c r="Y60" s="2577"/>
      <c r="Z60" s="2577"/>
      <c r="AA60" s="2577"/>
      <c r="AB60" s="2847"/>
      <c r="AC60" s="2577"/>
      <c r="AD60" s="2577"/>
      <c r="AE60" s="1755"/>
      <c r="AF60" s="2577"/>
      <c r="AG60" s="2577"/>
      <c r="AH60" s="2577"/>
      <c r="AI60" s="2577"/>
      <c r="AJ60" s="2577"/>
      <c r="AK60" s="2843"/>
      <c r="AL60" s="1833"/>
      <c r="AM60" s="1833"/>
      <c r="AN60" s="1833"/>
      <c r="AO60" s="1833"/>
      <c r="AP60" s="2852">
        <v>11</v>
      </c>
    </row>
    <row s="65897" customFormat="1" customHeight="1" ht="11.549999999999999">
      <c r="A61" s="2198"/>
      <c r="B61" s="2198"/>
      <c r="C61" s="2198"/>
      <c r="D61" s="2198"/>
      <c r="E61" s="2198"/>
      <c r="F61" s="2847"/>
      <c r="G61" s="2847"/>
      <c r="H61" s="1562"/>
      <c r="N61" s="13495"/>
      <c r="O61" s="13495"/>
      <c r="P61" s="13495"/>
      <c r="Q61" s="13495"/>
      <c r="R61" s="13495"/>
      <c r="S61" s="2577"/>
      <c r="U61" s="2577"/>
      <c r="V61" s="2847"/>
      <c r="W61" s="2847"/>
      <c r="X61" s="2577"/>
      <c r="Y61" s="2577"/>
      <c r="Z61" s="2577"/>
      <c r="AA61" s="2577"/>
      <c r="AB61" s="2847"/>
      <c r="AC61" s="2577"/>
      <c r="AD61" s="2577"/>
      <c r="AE61" s="1755"/>
      <c r="AF61" s="2577"/>
      <c r="AG61" s="2577"/>
      <c r="AH61" s="2577"/>
      <c r="AI61" s="2577"/>
      <c r="AJ61" s="2577"/>
      <c r="AK61" s="2843"/>
      <c r="AL61" s="1833"/>
      <c r="AM61" s="1833"/>
      <c r="AN61" s="1833"/>
      <c r="AO61" s="1833"/>
      <c r="AP61" s="2852">
        <v>11</v>
      </c>
    </row>
    <row s="65897" customFormat="1" customHeight="1" ht="11.549999999999999">
      <c r="A62" s="2198"/>
      <c r="B62" s="2198"/>
      <c r="C62" s="2198"/>
      <c r="D62" s="2198"/>
      <c r="E62" s="2198"/>
      <c r="F62" s="2847"/>
      <c r="G62" s="2847"/>
      <c r="H62" s="1562"/>
      <c r="N62" s="13495"/>
      <c r="O62" s="13495"/>
      <c r="P62" s="13495"/>
      <c r="Q62" s="13495"/>
      <c r="R62" s="13495"/>
      <c r="S62" s="2577"/>
      <c r="U62" s="2577"/>
      <c r="V62" s="2847"/>
      <c r="W62" s="2847"/>
      <c r="X62" s="2577"/>
      <c r="Y62" s="2577"/>
      <c r="Z62" s="2577"/>
      <c r="AA62" s="2577"/>
      <c r="AB62" s="2847"/>
      <c r="AC62" s="2577"/>
      <c r="AD62" s="2577"/>
      <c r="AE62" s="1755"/>
      <c r="AF62" s="2577"/>
      <c r="AG62" s="2577"/>
      <c r="AH62" s="2577"/>
      <c r="AI62" s="2577"/>
      <c r="AJ62" s="2577"/>
      <c r="AK62" s="2843"/>
      <c r="AL62" s="1833"/>
      <c r="AM62" s="1833"/>
      <c r="AN62" s="1833"/>
      <c r="AO62" s="1833"/>
      <c r="AP62" s="2852">
        <v>11</v>
      </c>
    </row>
    <row s="65897" customFormat="1" customHeight="1" ht="11.549999999999999">
      <c r="A63" s="2198"/>
      <c r="B63" s="2198"/>
      <c r="C63" s="2198"/>
      <c r="D63" s="2198"/>
      <c r="E63" s="2198"/>
      <c r="F63" s="2847"/>
      <c r="G63" s="2847"/>
      <c r="H63" s="1562"/>
      <c r="N63" s="13495"/>
      <c r="O63" s="13495"/>
      <c r="P63" s="13495"/>
      <c r="Q63" s="13495"/>
      <c r="R63" s="13495"/>
      <c r="S63" s="2577"/>
      <c r="U63" s="2577"/>
      <c r="V63" s="2847"/>
      <c r="W63" s="2847"/>
      <c r="X63" s="2577"/>
      <c r="Y63" s="2577"/>
      <c r="Z63" s="2577"/>
      <c r="AA63" s="2577"/>
      <c r="AB63" s="2847"/>
      <c r="AC63" s="2577"/>
      <c r="AD63" s="2577"/>
      <c r="AE63" s="1755"/>
      <c r="AF63" s="2577"/>
      <c r="AG63" s="2577"/>
      <c r="AH63" s="2577"/>
      <c r="AI63" s="2577"/>
      <c r="AJ63" s="2577"/>
      <c r="AK63" s="2843"/>
      <c r="AL63" s="1833"/>
      <c r="AM63" s="1833"/>
      <c r="AN63" s="1833"/>
      <c r="AO63" s="1833"/>
      <c r="AP63" s="2852">
        <v>11</v>
      </c>
    </row>
    <row s="65897" customFormat="1" customHeight="1" ht="11.549999999999999">
      <c r="A64" s="2198"/>
      <c r="B64" s="2198"/>
      <c r="C64" s="2198"/>
      <c r="D64" s="2198"/>
      <c r="E64" s="2198"/>
      <c r="F64" s="2847"/>
      <c r="G64" s="2847"/>
      <c r="H64" s="1562"/>
      <c r="N64" s="13495"/>
      <c r="O64" s="13495"/>
      <c r="P64" s="13495"/>
      <c r="Q64" s="13495"/>
      <c r="R64" s="13495"/>
      <c r="S64" s="2577"/>
      <c r="U64" s="2577"/>
      <c r="V64" s="2847"/>
      <c r="W64" s="2847"/>
      <c r="X64" s="2577"/>
      <c r="Y64" s="2577"/>
      <c r="Z64" s="2577"/>
      <c r="AA64" s="2577"/>
      <c r="AB64" s="2847"/>
      <c r="AC64" s="2577"/>
      <c r="AD64" s="2577"/>
      <c r="AE64" s="1755"/>
      <c r="AF64" s="2577"/>
      <c r="AG64" s="2577"/>
      <c r="AH64" s="2577"/>
      <c r="AI64" s="2577"/>
      <c r="AJ64" s="2577"/>
      <c r="AK64" s="2843"/>
      <c r="AL64" s="1833"/>
      <c r="AM64" s="1833"/>
      <c r="AN64" s="1833"/>
      <c r="AO64" s="1833"/>
      <c r="AP64" s="2852">
        <v>11</v>
      </c>
    </row>
    <row s="65897" customFormat="1" customHeight="1" ht="11.549999999999999">
      <c r="A65" s="2198"/>
      <c r="B65" s="2198"/>
      <c r="C65" s="2198"/>
      <c r="D65" s="2198"/>
      <c r="E65" s="2198"/>
      <c r="F65" s="2847"/>
      <c r="G65" s="2847"/>
      <c r="H65" s="1562"/>
      <c r="N65" s="13495"/>
      <c r="O65" s="13495"/>
      <c r="P65" s="13495"/>
      <c r="Q65" s="13495"/>
      <c r="R65" s="13495"/>
      <c r="S65" s="2577"/>
      <c r="U65" s="2577"/>
      <c r="V65" s="2847"/>
      <c r="W65" s="2847"/>
      <c r="X65" s="2577"/>
      <c r="Y65" s="2577"/>
      <c r="Z65" s="2577"/>
      <c r="AA65" s="2577"/>
      <c r="AB65" s="2847"/>
      <c r="AC65" s="2577"/>
      <c r="AD65" s="2577"/>
      <c r="AE65" s="1755"/>
      <c r="AF65" s="2577"/>
      <c r="AG65" s="2577"/>
      <c r="AH65" s="2577"/>
      <c r="AI65" s="2577"/>
      <c r="AJ65" s="2577"/>
      <c r="AK65" s="2843"/>
      <c r="AL65" s="1833"/>
      <c r="AM65" s="1833"/>
      <c r="AN65" s="1833"/>
      <c r="AO65" s="1833"/>
      <c r="AP65" s="2852">
        <v>11</v>
      </c>
    </row>
    <row s="65897" customFormat="1" customHeight="1" ht="11.549999999999999">
      <c r="A66" s="2198"/>
      <c r="B66" s="2198"/>
      <c r="C66" s="2198"/>
      <c r="D66" s="2198"/>
      <c r="E66" s="2198"/>
      <c r="F66" s="2847"/>
      <c r="G66" s="2847"/>
      <c r="H66" s="1562"/>
      <c r="N66" s="13495"/>
      <c r="O66" s="13495"/>
      <c r="P66" s="13495"/>
      <c r="Q66" s="13495"/>
      <c r="R66" s="13495"/>
      <c r="S66" s="2577"/>
      <c r="U66" s="2577"/>
      <c r="V66" s="2847"/>
      <c r="W66" s="2847"/>
      <c r="X66" s="2577"/>
      <c r="Y66" s="2577"/>
      <c r="Z66" s="2577"/>
      <c r="AA66" s="2577"/>
      <c r="AB66" s="2847"/>
      <c r="AC66" s="2577"/>
      <c r="AD66" s="2577"/>
      <c r="AE66" s="1755"/>
      <c r="AF66" s="2577"/>
      <c r="AG66" s="2577"/>
      <c r="AH66" s="2577"/>
      <c r="AI66" s="2577"/>
      <c r="AJ66" s="2577"/>
      <c r="AK66" s="2843"/>
      <c r="AL66" s="1833"/>
      <c r="AM66" s="1833"/>
      <c r="AN66" s="1833"/>
      <c r="AO66" s="1833"/>
      <c r="AP66" s="2852">
        <v>11</v>
      </c>
    </row>
    <row s="65897" customFormat="1" customHeight="1" ht="11.549999999999999">
      <c r="A67" s="2198"/>
      <c r="B67" s="2198"/>
      <c r="C67" s="2198"/>
      <c r="D67" s="2198"/>
      <c r="E67" s="2198"/>
      <c r="F67" s="2847"/>
      <c r="G67" s="2847"/>
      <c r="H67" s="1562"/>
      <c r="N67" s="13495"/>
      <c r="O67" s="13495"/>
      <c r="P67" s="13495"/>
      <c r="Q67" s="13495"/>
      <c r="R67" s="13495"/>
      <c r="S67" s="2577"/>
      <c r="U67" s="2577"/>
      <c r="V67" s="2847"/>
      <c r="W67" s="2847"/>
      <c r="X67" s="2577"/>
      <c r="Y67" s="2577"/>
      <c r="Z67" s="2577"/>
      <c r="AA67" s="2577"/>
      <c r="AB67" s="2847"/>
      <c r="AC67" s="2577"/>
      <c r="AD67" s="2577"/>
      <c r="AE67" s="1755"/>
      <c r="AF67" s="2577"/>
      <c r="AG67" s="2577"/>
      <c r="AH67" s="2577"/>
      <c r="AI67" s="2577"/>
      <c r="AJ67" s="2577"/>
      <c r="AK67" s="2843"/>
      <c r="AL67" s="1833"/>
      <c r="AM67" s="1833"/>
      <c r="AN67" s="1833"/>
      <c r="AO67" s="1833"/>
      <c r="AP67" s="2852">
        <v>11</v>
      </c>
    </row>
    <row s="65897" customFormat="1" customHeight="1" ht="11.549999999999999">
      <c r="A68" s="2198"/>
      <c r="B68" s="2198"/>
      <c r="C68" s="2198"/>
      <c r="D68" s="2198"/>
      <c r="E68" s="2198"/>
      <c r="F68" s="2847"/>
      <c r="G68" s="2847"/>
      <c r="H68" s="1562"/>
      <c r="N68" s="13495"/>
      <c r="O68" s="13495"/>
      <c r="P68" s="13495"/>
      <c r="Q68" s="13495"/>
      <c r="R68" s="13495"/>
      <c r="S68" s="2577"/>
      <c r="U68" s="2577"/>
      <c r="V68" s="2847"/>
      <c r="W68" s="2847"/>
      <c r="X68" s="2577"/>
      <c r="Y68" s="2577"/>
      <c r="Z68" s="2577"/>
      <c r="AA68" s="2577"/>
      <c r="AB68" s="2847"/>
      <c r="AC68" s="2577"/>
      <c r="AD68" s="2577"/>
      <c r="AE68" s="1755"/>
      <c r="AF68" s="2577"/>
      <c r="AG68" s="2577"/>
      <c r="AH68" s="2577"/>
      <c r="AI68" s="2577"/>
      <c r="AJ68" s="2577"/>
      <c r="AK68" s="2843"/>
      <c r="AL68" s="1833"/>
      <c r="AM68" s="1833"/>
      <c r="AN68" s="1833"/>
      <c r="AO68" s="1833"/>
      <c r="AP68" s="2852">
        <v>11</v>
      </c>
    </row>
    <row s="65897" customFormat="1" customHeight="1" ht="11.549999999999999">
      <c r="A69" s="2198"/>
      <c r="B69" s="2198"/>
      <c r="C69" s="2198"/>
      <c r="D69" s="2198"/>
      <c r="E69" s="2198"/>
      <c r="F69" s="2847"/>
      <c r="G69" s="2847"/>
      <c r="H69" s="1562"/>
      <c r="N69" s="13495"/>
      <c r="O69" s="13495"/>
      <c r="P69" s="13495"/>
      <c r="Q69" s="13495"/>
      <c r="R69" s="13495"/>
      <c r="S69" s="2577"/>
      <c r="U69" s="2577"/>
      <c r="V69" s="2847"/>
      <c r="W69" s="2847"/>
      <c r="X69" s="2577"/>
      <c r="Y69" s="2577"/>
      <c r="Z69" s="2577"/>
      <c r="AA69" s="2577"/>
      <c r="AB69" s="2847"/>
      <c r="AC69" s="2577"/>
      <c r="AD69" s="2577"/>
      <c r="AE69" s="1755"/>
      <c r="AF69" s="2577"/>
      <c r="AG69" s="2577"/>
      <c r="AH69" s="2577"/>
      <c r="AI69" s="2577"/>
      <c r="AJ69" s="2577"/>
      <c r="AK69" s="2843"/>
      <c r="AL69" s="1833"/>
      <c r="AM69" s="1833"/>
      <c r="AN69" s="1833"/>
      <c r="AO69" s="1833"/>
      <c r="AP69" s="2852">
        <v>11</v>
      </c>
    </row>
    <row s="65897" customFormat="1" customHeight="1" ht="11.549999999999999">
      <c r="A70" s="2198"/>
      <c r="B70" s="2198"/>
      <c r="C70" s="2198"/>
      <c r="D70" s="2198"/>
      <c r="E70" s="2198"/>
      <c r="F70" s="2847"/>
      <c r="G70" s="2847"/>
      <c r="H70" s="1562"/>
      <c r="N70" s="13495"/>
      <c r="O70" s="13495"/>
      <c r="P70" s="13495"/>
      <c r="Q70" s="13495"/>
      <c r="R70" s="13495"/>
      <c r="S70" s="2577"/>
      <c r="U70" s="2577"/>
      <c r="V70" s="2847"/>
      <c r="W70" s="2847"/>
      <c r="X70" s="2577"/>
      <c r="Y70" s="2577"/>
      <c r="Z70" s="2577"/>
      <c r="AA70" s="2577"/>
      <c r="AB70" s="2847"/>
      <c r="AC70" s="2577"/>
      <c r="AD70" s="2577"/>
      <c r="AE70" s="1755"/>
      <c r="AF70" s="2577"/>
      <c r="AG70" s="2577"/>
      <c r="AH70" s="2577"/>
      <c r="AI70" s="2577"/>
      <c r="AJ70" s="2577"/>
      <c r="AK70" s="2843"/>
      <c r="AL70" s="1833"/>
      <c r="AM70" s="1833"/>
      <c r="AN70" s="1833"/>
      <c r="AO70" s="1833"/>
      <c r="AP70" s="2852">
        <v>11</v>
      </c>
    </row>
    <row s="65897" customFormat="1" customHeight="1" ht="11.549999999999999">
      <c r="A71" s="2198"/>
      <c r="B71" s="2198"/>
      <c r="C71" s="2198"/>
      <c r="D71" s="2198"/>
      <c r="E71" s="2198"/>
      <c r="F71" s="2847"/>
      <c r="G71" s="2847"/>
      <c r="H71" s="1562"/>
      <c r="N71" s="13495"/>
      <c r="O71" s="13495"/>
      <c r="P71" s="13495"/>
      <c r="Q71" s="13495"/>
      <c r="R71" s="13495"/>
      <c r="S71" s="2577"/>
      <c r="U71" s="2577"/>
      <c r="V71" s="2847"/>
      <c r="W71" s="2847"/>
      <c r="X71" s="2577"/>
      <c r="Y71" s="2577"/>
      <c r="Z71" s="2577"/>
      <c r="AA71" s="2577"/>
      <c r="AB71" s="2847"/>
      <c r="AC71" s="2577"/>
      <c r="AD71" s="2577"/>
      <c r="AE71" s="1755"/>
      <c r="AF71" s="2577"/>
      <c r="AG71" s="2577"/>
      <c r="AH71" s="2577"/>
      <c r="AI71" s="2577"/>
      <c r="AJ71" s="2577"/>
      <c r="AK71" s="2843"/>
      <c r="AL71" s="1833"/>
      <c r="AM71" s="1833"/>
      <c r="AN71" s="1833"/>
      <c r="AO71" s="1833"/>
      <c r="AP71" s="2852">
        <v>11</v>
      </c>
    </row>
    <row s="65897" customFormat="1" customHeight="1" ht="11.549999999999999">
      <c r="A72" s="2198"/>
      <c r="B72" s="2198"/>
      <c r="C72" s="2198"/>
      <c r="D72" s="2198"/>
      <c r="E72" s="2198"/>
      <c r="F72" s="2847"/>
      <c r="G72" s="2847"/>
      <c r="H72" s="1562"/>
      <c r="N72" s="13495"/>
      <c r="O72" s="13495"/>
      <c r="P72" s="13495"/>
      <c r="Q72" s="13495"/>
      <c r="R72" s="13495"/>
      <c r="S72" s="2577"/>
      <c r="U72" s="2577"/>
      <c r="V72" s="2847"/>
      <c r="W72" s="2847"/>
      <c r="X72" s="2577"/>
      <c r="Y72" s="2577"/>
      <c r="Z72" s="2577"/>
      <c r="AA72" s="2577"/>
      <c r="AB72" s="2847"/>
      <c r="AC72" s="2577"/>
      <c r="AD72" s="2577"/>
      <c r="AE72" s="1755"/>
      <c r="AF72" s="2577"/>
      <c r="AG72" s="2577"/>
      <c r="AH72" s="2577"/>
      <c r="AI72" s="2577"/>
      <c r="AJ72" s="2577"/>
      <c r="AK72" s="2843"/>
      <c r="AL72" s="1833"/>
      <c r="AM72" s="1833"/>
      <c r="AN72" s="1833"/>
      <c r="AO72" s="1833"/>
      <c r="AP72" s="2852">
        <v>11</v>
      </c>
    </row>
    <row s="65897" customFormat="1" customHeight="1" ht="11.549999999999999">
      <c r="A73" s="2198"/>
      <c r="B73" s="2198"/>
      <c r="C73" s="2198"/>
      <c r="D73" s="2198"/>
      <c r="E73" s="2198"/>
      <c r="F73" s="2847"/>
      <c r="G73" s="2847"/>
      <c r="H73" s="1562"/>
      <c r="N73" s="13495"/>
      <c r="O73" s="13495"/>
      <c r="P73" s="13495"/>
      <c r="Q73" s="13495"/>
      <c r="R73" s="13495"/>
      <c r="S73" s="2577"/>
      <c r="U73" s="2577"/>
      <c r="V73" s="2847"/>
      <c r="W73" s="2847"/>
      <c r="X73" s="2577"/>
      <c r="Y73" s="2577"/>
      <c r="Z73" s="2577"/>
      <c r="AA73" s="2577"/>
      <c r="AB73" s="2847"/>
      <c r="AC73" s="2577"/>
      <c r="AD73" s="2577"/>
      <c r="AE73" s="1755"/>
      <c r="AF73" s="2577"/>
      <c r="AG73" s="2577"/>
      <c r="AH73" s="2577"/>
      <c r="AI73" s="2577"/>
      <c r="AJ73" s="2577"/>
      <c r="AK73" s="2843"/>
      <c r="AL73" s="1833"/>
      <c r="AM73" s="1833"/>
      <c r="AN73" s="1833"/>
      <c r="AO73" s="1833"/>
      <c r="AP73" s="2852">
        <v>11</v>
      </c>
    </row>
    <row s="65897" customFormat="1" customHeight="1" ht="11.549999999999999">
      <c r="A74" s="2198"/>
      <c r="B74" s="2198"/>
      <c r="C74" s="2198"/>
      <c r="D74" s="2198"/>
      <c r="E74" s="2198"/>
      <c r="F74" s="2847"/>
      <c r="G74" s="2847"/>
      <c r="H74" s="1562"/>
      <c r="N74" s="13495"/>
      <c r="O74" s="13495"/>
      <c r="P74" s="13495"/>
      <c r="Q74" s="13495"/>
      <c r="R74" s="13495"/>
      <c r="S74" s="2577"/>
      <c r="U74" s="2577"/>
      <c r="V74" s="2847"/>
      <c r="W74" s="2847"/>
      <c r="X74" s="2577"/>
      <c r="Y74" s="2577"/>
      <c r="Z74" s="2577"/>
      <c r="AA74" s="2577"/>
      <c r="AB74" s="2847"/>
      <c r="AC74" s="2577"/>
      <c r="AD74" s="2577"/>
      <c r="AE74" s="1755"/>
      <c r="AF74" s="2577"/>
      <c r="AG74" s="2577"/>
      <c r="AH74" s="2577"/>
      <c r="AI74" s="2577"/>
      <c r="AJ74" s="2577"/>
      <c r="AK74" s="2843"/>
      <c r="AL74" s="1833"/>
      <c r="AM74" s="1833"/>
      <c r="AN74" s="1833"/>
      <c r="AO74" s="1833"/>
      <c r="AP74" s="2852">
        <v>11</v>
      </c>
    </row>
    <row s="65897" customFormat="1" customHeight="1" ht="11.549999999999999">
      <c r="A75" s="2198"/>
      <c r="B75" s="2198"/>
      <c r="C75" s="2198"/>
      <c r="D75" s="2198"/>
      <c r="E75" s="2198"/>
      <c r="F75" s="2847"/>
      <c r="G75" s="2847"/>
      <c r="H75" s="1562"/>
      <c r="N75" s="13495"/>
      <c r="O75" s="13495"/>
      <c r="P75" s="13495"/>
      <c r="Q75" s="13495"/>
      <c r="R75" s="13495"/>
      <c r="S75" s="2577"/>
      <c r="U75" s="2577"/>
      <c r="V75" s="2847"/>
      <c r="W75" s="2847"/>
      <c r="X75" s="2577"/>
      <c r="Y75" s="2577"/>
      <c r="Z75" s="2577"/>
      <c r="AA75" s="2577"/>
      <c r="AB75" s="2847"/>
      <c r="AC75" s="2577"/>
      <c r="AD75" s="2577"/>
      <c r="AE75" s="1755"/>
      <c r="AF75" s="2577"/>
      <c r="AG75" s="2577"/>
      <c r="AH75" s="2577"/>
      <c r="AI75" s="2577"/>
      <c r="AJ75" s="2577"/>
      <c r="AK75" s="2843"/>
      <c r="AL75" s="1833"/>
      <c r="AM75" s="1833"/>
      <c r="AN75" s="1833"/>
      <c r="AO75" s="1833"/>
      <c r="AP75" s="2852">
        <v>11</v>
      </c>
    </row>
    <row s="65897" customFormat="1" customHeight="1" ht="11.549999999999999">
      <c r="A76" s="2198"/>
      <c r="B76" s="2198"/>
      <c r="C76" s="2198"/>
      <c r="D76" s="2198"/>
      <c r="E76" s="2198"/>
      <c r="F76" s="2847"/>
      <c r="G76" s="2847"/>
      <c r="H76" s="1562"/>
      <c r="N76" s="13495"/>
      <c r="O76" s="13495"/>
      <c r="P76" s="13495"/>
      <c r="Q76" s="13495"/>
      <c r="R76" s="13495"/>
      <c r="S76" s="2577"/>
      <c r="U76" s="2577"/>
      <c r="V76" s="2847"/>
      <c r="W76" s="2847"/>
      <c r="X76" s="2577"/>
      <c r="Y76" s="2577"/>
      <c r="Z76" s="2577"/>
      <c r="AA76" s="2577"/>
      <c r="AB76" s="2847"/>
      <c r="AC76" s="2577"/>
      <c r="AD76" s="2577"/>
      <c r="AE76" s="1755"/>
      <c r="AF76" s="2577"/>
      <c r="AG76" s="2577"/>
      <c r="AH76" s="2577"/>
      <c r="AI76" s="2577"/>
      <c r="AJ76" s="2577"/>
      <c r="AK76" s="2843"/>
      <c r="AL76" s="1833"/>
      <c r="AM76" s="1833"/>
      <c r="AN76" s="1833"/>
      <c r="AO76" s="1833"/>
      <c r="AP76" s="2852">
        <v>11</v>
      </c>
    </row>
    <row s="65897" customFormat="1" customHeight="1" ht="11.549999999999999">
      <c r="A77" s="2198"/>
      <c r="B77" s="2198"/>
      <c r="C77" s="2198"/>
      <c r="D77" s="2198"/>
      <c r="E77" s="2198"/>
      <c r="F77" s="2847"/>
      <c r="G77" s="2847"/>
      <c r="H77" s="1562"/>
      <c r="N77" s="13495"/>
      <c r="O77" s="13495"/>
      <c r="P77" s="13495"/>
      <c r="Q77" s="13495"/>
      <c r="R77" s="13495"/>
      <c r="S77" s="2577"/>
      <c r="U77" s="2577"/>
      <c r="V77" s="2847"/>
      <c r="W77" s="2847"/>
      <c r="X77" s="2577"/>
      <c r="Y77" s="2577"/>
      <c r="Z77" s="2577"/>
      <c r="AA77" s="2577"/>
      <c r="AB77" s="2847"/>
      <c r="AC77" s="2577"/>
      <c r="AD77" s="2577"/>
      <c r="AE77" s="1755"/>
      <c r="AF77" s="2577"/>
      <c r="AG77" s="2577"/>
      <c r="AH77" s="2577"/>
      <c r="AI77" s="2577"/>
      <c r="AJ77" s="2577"/>
      <c r="AK77" s="2843"/>
      <c r="AL77" s="1833"/>
      <c r="AM77" s="1833"/>
      <c r="AN77" s="1833"/>
      <c r="AO77" s="1833"/>
      <c r="AP77" s="2852">
        <v>11</v>
      </c>
    </row>
    <row s="65897" customFormat="1" customHeight="1" ht="11.549999999999999">
      <c r="A78" s="2198"/>
      <c r="B78" s="2198"/>
      <c r="C78" s="2198"/>
      <c r="D78" s="2198"/>
      <c r="E78" s="2198"/>
      <c r="F78" s="2847"/>
      <c r="G78" s="2847"/>
      <c r="H78" s="1562"/>
      <c r="N78" s="13495"/>
      <c r="O78" s="13495"/>
      <c r="P78" s="13495"/>
      <c r="Q78" s="13495"/>
      <c r="R78" s="13495"/>
      <c r="S78" s="2577"/>
      <c r="U78" s="2577"/>
      <c r="V78" s="2847"/>
      <c r="W78" s="2847"/>
      <c r="X78" s="2577"/>
      <c r="Y78" s="2577"/>
      <c r="Z78" s="2577"/>
      <c r="AA78" s="2577"/>
      <c r="AB78" s="2847"/>
      <c r="AC78" s="2577"/>
      <c r="AD78" s="2577"/>
      <c r="AE78" s="1755"/>
      <c r="AF78" s="2577"/>
      <c r="AG78" s="2577"/>
      <c r="AH78" s="2577"/>
      <c r="AI78" s="2577"/>
      <c r="AJ78" s="2577"/>
      <c r="AK78" s="2843"/>
      <c r="AL78" s="1833"/>
      <c r="AM78" s="1833"/>
      <c r="AN78" s="1833"/>
      <c r="AO78" s="1833"/>
      <c r="AP78" s="2852">
        <v>11</v>
      </c>
    </row>
    <row s="65897" customFormat="1" customHeight="1" ht="11.549999999999999">
      <c r="A79" s="2198"/>
      <c r="B79" s="2198"/>
      <c r="C79" s="2198"/>
      <c r="D79" s="2198"/>
      <c r="E79" s="2198"/>
      <c r="F79" s="2847"/>
      <c r="G79" s="2847"/>
      <c r="H79" s="1562"/>
      <c r="N79" s="13495"/>
      <c r="O79" s="13495"/>
      <c r="P79" s="13495"/>
      <c r="Q79" s="13495"/>
      <c r="R79" s="13495"/>
      <c r="S79" s="2577"/>
      <c r="U79" s="2577"/>
      <c r="V79" s="2847"/>
      <c r="W79" s="2847"/>
      <c r="X79" s="2577"/>
      <c r="Y79" s="2577"/>
      <c r="Z79" s="2577"/>
      <c r="AA79" s="2577"/>
      <c r="AB79" s="2847"/>
      <c r="AC79" s="2577"/>
      <c r="AD79" s="2577"/>
      <c r="AE79" s="1755"/>
      <c r="AF79" s="2577"/>
      <c r="AG79" s="2577"/>
      <c r="AH79" s="2577"/>
      <c r="AI79" s="2577"/>
      <c r="AJ79" s="2577"/>
      <c r="AK79" s="2843"/>
      <c r="AL79" s="1833"/>
      <c r="AM79" s="1833"/>
      <c r="AN79" s="1833"/>
      <c r="AO79" s="1833"/>
      <c r="AP79" s="2852">
        <v>11</v>
      </c>
    </row>
    <row s="65897" customFormat="1" customHeight="1" ht="11.549999999999999">
      <c r="A80" s="2198"/>
      <c r="B80" s="2198"/>
      <c r="C80" s="2198"/>
      <c r="D80" s="2198"/>
      <c r="E80" s="2198"/>
      <c r="F80" s="2847"/>
      <c r="G80" s="2847"/>
      <c r="H80" s="1562"/>
      <c r="N80" s="13495"/>
      <c r="O80" s="13495"/>
      <c r="P80" s="13495"/>
      <c r="Q80" s="13495"/>
      <c r="R80" s="13495"/>
      <c r="S80" s="2577"/>
      <c r="U80" s="2577"/>
      <c r="V80" s="2847"/>
      <c r="W80" s="2847"/>
      <c r="X80" s="2577"/>
      <c r="Y80" s="2577"/>
      <c r="Z80" s="2577"/>
      <c r="AA80" s="2577"/>
      <c r="AB80" s="2847"/>
      <c r="AC80" s="2577"/>
      <c r="AD80" s="2577"/>
      <c r="AE80" s="1755"/>
      <c r="AF80" s="2577"/>
      <c r="AG80" s="2577"/>
      <c r="AH80" s="2577"/>
      <c r="AI80" s="2577"/>
      <c r="AJ80" s="2577"/>
      <c r="AK80" s="2843"/>
      <c r="AL80" s="1833"/>
      <c r="AM80" s="1833"/>
      <c r="AN80" s="1833"/>
      <c r="AO80" s="1833"/>
      <c r="AP80" s="2852">
        <v>11</v>
      </c>
    </row>
    <row s="65897" customFormat="1" customHeight="1" ht="11.549999999999999">
      <c r="A81" s="2198"/>
      <c r="B81" s="2198"/>
      <c r="C81" s="2198"/>
      <c r="D81" s="2198"/>
      <c r="E81" s="2198"/>
      <c r="F81" s="2847"/>
      <c r="G81" s="2847"/>
      <c r="H81" s="1562"/>
      <c r="N81" s="13495"/>
      <c r="O81" s="13495"/>
      <c r="P81" s="13495"/>
      <c r="Q81" s="13495"/>
      <c r="R81" s="13495"/>
      <c r="S81" s="2577"/>
      <c r="U81" s="2577"/>
      <c r="V81" s="2847"/>
      <c r="W81" s="2847"/>
      <c r="X81" s="2577"/>
      <c r="Y81" s="2577"/>
      <c r="Z81" s="2577"/>
      <c r="AA81" s="2577"/>
      <c r="AB81" s="2847"/>
      <c r="AC81" s="2577"/>
      <c r="AD81" s="2577"/>
      <c r="AE81" s="1755"/>
      <c r="AF81" s="2577"/>
      <c r="AG81" s="2577"/>
      <c r="AH81" s="2577"/>
      <c r="AI81" s="2577"/>
      <c r="AJ81" s="2577"/>
      <c r="AK81" s="2843"/>
      <c r="AL81" s="1833"/>
      <c r="AM81" s="1833"/>
      <c r="AN81" s="1833"/>
      <c r="AO81" s="1833"/>
      <c r="AP81" s="2852">
        <v>11</v>
      </c>
    </row>
    <row s="65897" customFormat="1" customHeight="1" ht="11.549999999999999">
      <c r="A82" s="2198"/>
      <c r="B82" s="2198"/>
      <c r="C82" s="2198"/>
      <c r="D82" s="2198"/>
      <c r="E82" s="2198"/>
      <c r="F82" s="2847"/>
      <c r="G82" s="2847"/>
      <c r="H82" s="1562"/>
      <c r="N82" s="13495"/>
      <c r="O82" s="13495"/>
      <c r="P82" s="13495"/>
      <c r="Q82" s="13495"/>
      <c r="R82" s="13495"/>
      <c r="S82" s="2577"/>
      <c r="U82" s="2577"/>
      <c r="V82" s="2847"/>
      <c r="W82" s="2847"/>
      <c r="X82" s="2577"/>
      <c r="Y82" s="2577"/>
      <c r="Z82" s="2577"/>
      <c r="AA82" s="2577"/>
      <c r="AB82" s="2847"/>
      <c r="AC82" s="2577"/>
      <c r="AD82" s="2577"/>
      <c r="AE82" s="1755"/>
      <c r="AF82" s="2577"/>
      <c r="AG82" s="2577"/>
      <c r="AH82" s="2577"/>
      <c r="AI82" s="2577"/>
      <c r="AJ82" s="2577"/>
      <c r="AK82" s="2843"/>
      <c r="AL82" s="1833"/>
      <c r="AM82" s="1833"/>
      <c r="AN82" s="1833"/>
      <c r="AO82" s="1833"/>
      <c r="AP82" s="2852">
        <v>11</v>
      </c>
    </row>
    <row s="65897" customFormat="1" customHeight="1" ht="11.549999999999999">
      <c r="A83" s="2198"/>
      <c r="B83" s="2198"/>
      <c r="C83" s="2198"/>
      <c r="D83" s="2198"/>
      <c r="E83" s="2198"/>
      <c r="F83" s="2847"/>
      <c r="G83" s="2847"/>
      <c r="H83" s="1562"/>
      <c r="N83" s="13495"/>
      <c r="O83" s="13495"/>
      <c r="P83" s="13495"/>
      <c r="Q83" s="13495"/>
      <c r="R83" s="13495"/>
      <c r="S83" s="2577"/>
      <c r="U83" s="2577"/>
      <c r="V83" s="2847"/>
      <c r="W83" s="2847"/>
      <c r="X83" s="2577"/>
      <c r="Y83" s="2577"/>
      <c r="Z83" s="2577"/>
      <c r="AA83" s="2577"/>
      <c r="AB83" s="2847"/>
      <c r="AC83" s="2577"/>
      <c r="AD83" s="2577"/>
      <c r="AE83" s="1755"/>
      <c r="AF83" s="2577"/>
      <c r="AG83" s="2577"/>
      <c r="AH83" s="2577"/>
      <c r="AI83" s="2577"/>
      <c r="AJ83" s="2577"/>
      <c r="AK83" s="2843"/>
      <c r="AL83" s="1833"/>
      <c r="AM83" s="1833"/>
      <c r="AN83" s="1833"/>
      <c r="AO83" s="1833"/>
      <c r="AP83" s="2852">
        <v>11</v>
      </c>
    </row>
    <row s="65897" customFormat="1" customHeight="1" ht="11.549999999999999">
      <c r="A84" s="2198"/>
      <c r="B84" s="2198"/>
      <c r="C84" s="2198"/>
      <c r="D84" s="2198"/>
      <c r="E84" s="2198"/>
      <c r="F84" s="2847"/>
      <c r="G84" s="2847"/>
      <c r="H84" s="1562"/>
      <c r="N84" s="13495"/>
      <c r="O84" s="13495"/>
      <c r="P84" s="13495"/>
      <c r="Q84" s="13495"/>
      <c r="R84" s="13495"/>
      <c r="S84" s="2577"/>
      <c r="U84" s="2577"/>
      <c r="V84" s="2847"/>
      <c r="W84" s="2847"/>
      <c r="X84" s="2577"/>
      <c r="Y84" s="2577"/>
      <c r="Z84" s="2577"/>
      <c r="AA84" s="2577"/>
      <c r="AB84" s="2847"/>
      <c r="AC84" s="2577"/>
      <c r="AD84" s="2577"/>
      <c r="AE84" s="1755"/>
      <c r="AF84" s="2577"/>
      <c r="AG84" s="2577"/>
      <c r="AH84" s="2577"/>
      <c r="AI84" s="2577"/>
      <c r="AJ84" s="2577"/>
      <c r="AK84" s="2843"/>
      <c r="AL84" s="1833"/>
      <c r="AM84" s="1833"/>
      <c r="AN84" s="1833"/>
      <c r="AO84" s="1833"/>
      <c r="AP84" s="2852">
        <v>11</v>
      </c>
    </row>
    <row s="65897" customFormat="1" customHeight="1" ht="11.549999999999999">
      <c r="A85" s="2198"/>
      <c r="B85" s="2198"/>
      <c r="C85" s="2198"/>
      <c r="D85" s="2198"/>
      <c r="E85" s="2198"/>
      <c r="F85" s="2847"/>
      <c r="G85" s="2847"/>
      <c r="H85" s="1562"/>
      <c r="N85" s="13495"/>
      <c r="O85" s="13495"/>
      <c r="P85" s="13495"/>
      <c r="Q85" s="13495"/>
      <c r="R85" s="13495"/>
      <c r="S85" s="2577"/>
      <c r="U85" s="2577"/>
      <c r="V85" s="2847"/>
      <c r="W85" s="2847"/>
      <c r="X85" s="2577"/>
      <c r="Y85" s="2577"/>
      <c r="Z85" s="2577"/>
      <c r="AA85" s="2577"/>
      <c r="AB85" s="2847"/>
      <c r="AC85" s="2577"/>
      <c r="AD85" s="2577"/>
      <c r="AE85" s="1755"/>
      <c r="AF85" s="2577"/>
      <c r="AG85" s="2577"/>
      <c r="AH85" s="2577"/>
      <c r="AI85" s="2577"/>
      <c r="AJ85" s="2577"/>
      <c r="AK85" s="2843"/>
      <c r="AL85" s="1833"/>
      <c r="AM85" s="1833"/>
      <c r="AN85" s="1833"/>
      <c r="AO85" s="1833"/>
      <c r="AP85" s="2852">
        <v>11</v>
      </c>
    </row>
    <row s="65897" customFormat="1" customHeight="1" ht="11.549999999999999">
      <c r="A86" s="2198"/>
      <c r="B86" s="2198"/>
      <c r="C86" s="2198"/>
      <c r="D86" s="2198"/>
      <c r="E86" s="2198"/>
      <c r="F86" s="2847"/>
      <c r="G86" s="2847"/>
      <c r="H86" s="1562"/>
      <c r="N86" s="13495"/>
      <c r="O86" s="13495"/>
      <c r="P86" s="13495"/>
      <c r="Q86" s="13495"/>
      <c r="R86" s="13495"/>
      <c r="S86" s="2577"/>
      <c r="U86" s="2577"/>
      <c r="V86" s="2847"/>
      <c r="W86" s="2847"/>
      <c r="X86" s="2577"/>
      <c r="Y86" s="2577"/>
      <c r="Z86" s="2577"/>
      <c r="AA86" s="2577"/>
      <c r="AB86" s="2847"/>
      <c r="AC86" s="2577"/>
      <c r="AD86" s="2577"/>
      <c r="AE86" s="1755"/>
      <c r="AF86" s="2577"/>
      <c r="AG86" s="2577"/>
      <c r="AH86" s="2577"/>
      <c r="AI86" s="2577"/>
      <c r="AJ86" s="2577"/>
      <c r="AK86" s="2843"/>
      <c r="AL86" s="1833"/>
      <c r="AM86" s="1833"/>
      <c r="AN86" s="1833"/>
      <c r="AO86" s="1833"/>
      <c r="AP86" s="2852">
        <v>11</v>
      </c>
    </row>
    <row s="65897" customFormat="1" customHeight="1" ht="11.549999999999999">
      <c r="A87" s="2198"/>
      <c r="B87" s="2198"/>
      <c r="C87" s="2198"/>
      <c r="D87" s="2198"/>
      <c r="E87" s="2198"/>
      <c r="F87" s="2847"/>
      <c r="G87" s="2847"/>
      <c r="H87" s="1562"/>
      <c r="N87" s="13495"/>
      <c r="O87" s="13495"/>
      <c r="P87" s="13495"/>
      <c r="Q87" s="13495"/>
      <c r="R87" s="13495"/>
      <c r="S87" s="2577"/>
      <c r="U87" s="2577"/>
      <c r="V87" s="2847"/>
      <c r="W87" s="2847"/>
      <c r="X87" s="2577"/>
      <c r="Y87" s="2577"/>
      <c r="Z87" s="2577"/>
      <c r="AA87" s="2577"/>
      <c r="AB87" s="2847"/>
      <c r="AC87" s="2577"/>
      <c r="AD87" s="2577"/>
      <c r="AE87" s="1755"/>
      <c r="AF87" s="2577"/>
      <c r="AG87" s="2577"/>
      <c r="AH87" s="2577"/>
      <c r="AI87" s="2577"/>
      <c r="AJ87" s="2577"/>
      <c r="AK87" s="2843"/>
      <c r="AL87" s="1833"/>
      <c r="AM87" s="1833"/>
      <c r="AN87" s="1833"/>
      <c r="AO87" s="1833"/>
      <c r="AP87" s="2852">
        <v>11</v>
      </c>
    </row>
    <row s="65897" customFormat="1" customHeight="1" ht="11.549999999999999">
      <c r="A88" s="2198"/>
      <c r="B88" s="2198"/>
      <c r="C88" s="2198"/>
      <c r="D88" s="2198"/>
      <c r="E88" s="2198"/>
      <c r="F88" s="2847"/>
      <c r="G88" s="2847"/>
      <c r="H88" s="1562"/>
      <c r="N88" s="13495"/>
      <c r="O88" s="13495"/>
      <c r="P88" s="13495"/>
      <c r="Q88" s="13495"/>
      <c r="R88" s="13495"/>
      <c r="S88" s="2577"/>
      <c r="U88" s="2577"/>
      <c r="V88" s="2847"/>
      <c r="W88" s="2847"/>
      <c r="X88" s="2577"/>
      <c r="Y88" s="2577"/>
      <c r="Z88" s="2577"/>
      <c r="AA88" s="2577"/>
      <c r="AB88" s="2847"/>
      <c r="AC88" s="2577"/>
      <c r="AD88" s="2577"/>
      <c r="AE88" s="1755"/>
      <c r="AF88" s="2577"/>
      <c r="AG88" s="2577"/>
      <c r="AH88" s="2577"/>
      <c r="AI88" s="2577"/>
      <c r="AJ88" s="2577"/>
      <c r="AK88" s="2843"/>
      <c r="AL88" s="1833"/>
      <c r="AM88" s="1833"/>
      <c r="AN88" s="1833"/>
      <c r="AO88" s="1833"/>
      <c r="AP88" s="2852">
        <v>11</v>
      </c>
    </row>
    <row s="65897" customFormat="1" customHeight="1" ht="11.549999999999999">
      <c r="A89" s="2198"/>
      <c r="B89" s="2198"/>
      <c r="C89" s="2198"/>
      <c r="D89" s="2198"/>
      <c r="E89" s="2198"/>
      <c r="F89" s="2847"/>
      <c r="G89" s="2847"/>
      <c r="H89" s="1562"/>
      <c r="N89" s="13495"/>
      <c r="O89" s="13495"/>
      <c r="P89" s="13495"/>
      <c r="Q89" s="13495"/>
      <c r="R89" s="13495"/>
      <c r="S89" s="2577"/>
      <c r="U89" s="2577"/>
      <c r="V89" s="2847"/>
      <c r="W89" s="2847"/>
      <c r="X89" s="2577"/>
      <c r="Y89" s="2577"/>
      <c r="Z89" s="2577"/>
      <c r="AA89" s="2577"/>
      <c r="AB89" s="2847"/>
      <c r="AC89" s="2577"/>
      <c r="AD89" s="2577"/>
      <c r="AE89" s="1755"/>
      <c r="AF89" s="2577"/>
      <c r="AG89" s="2577"/>
      <c r="AH89" s="2577"/>
      <c r="AI89" s="2577"/>
      <c r="AJ89" s="2577"/>
      <c r="AK89" s="2843"/>
      <c r="AL89" s="1833"/>
      <c r="AM89" s="1833"/>
      <c r="AN89" s="1833"/>
      <c r="AO89" s="1833"/>
      <c r="AP89" s="2852">
        <v>11</v>
      </c>
    </row>
    <row s="65897" customFormat="1" customHeight="1" ht="11.549999999999999">
      <c r="A90" s="2198"/>
      <c r="B90" s="2198"/>
      <c r="C90" s="2198"/>
      <c r="D90" s="2198"/>
      <c r="E90" s="2198"/>
      <c r="F90" s="2847"/>
      <c r="G90" s="2847"/>
      <c r="H90" s="1562"/>
      <c r="N90" s="13495"/>
      <c r="O90" s="13495"/>
      <c r="P90" s="13495"/>
      <c r="Q90" s="13495"/>
      <c r="R90" s="13495"/>
      <c r="S90" s="2577"/>
      <c r="U90" s="2577"/>
      <c r="V90" s="2847"/>
      <c r="W90" s="2847"/>
      <c r="X90" s="2577"/>
      <c r="Y90" s="2577"/>
      <c r="Z90" s="2577"/>
      <c r="AA90" s="2577"/>
      <c r="AB90" s="2847"/>
      <c r="AC90" s="2577"/>
      <c r="AD90" s="2577"/>
      <c r="AE90" s="1755"/>
      <c r="AF90" s="2577"/>
      <c r="AG90" s="2577"/>
      <c r="AH90" s="2577"/>
      <c r="AI90" s="2577"/>
      <c r="AJ90" s="2577"/>
      <c r="AK90" s="2843"/>
      <c r="AL90" s="1833"/>
      <c r="AM90" s="1833"/>
      <c r="AN90" s="1833"/>
      <c r="AO90" s="1833"/>
      <c r="AP90" s="2852">
        <v>11</v>
      </c>
    </row>
    <row s="65897" customFormat="1" customHeight="1" ht="11.549999999999999">
      <c r="A91" s="2198"/>
      <c r="B91" s="2198"/>
      <c r="C91" s="2198"/>
      <c r="D91" s="2198"/>
      <c r="E91" s="2198"/>
      <c r="F91" s="2847"/>
      <c r="G91" s="2847"/>
      <c r="H91" s="1562"/>
      <c r="N91" s="13495"/>
      <c r="O91" s="13495"/>
      <c r="P91" s="13495"/>
      <c r="Q91" s="13495"/>
      <c r="R91" s="13495"/>
      <c r="S91" s="2577"/>
      <c r="U91" s="2577"/>
      <c r="V91" s="2847"/>
      <c r="W91" s="2847"/>
      <c r="X91" s="2577"/>
      <c r="Y91" s="2577"/>
      <c r="Z91" s="2577"/>
      <c r="AA91" s="2577"/>
      <c r="AB91" s="2847"/>
      <c r="AC91" s="2577"/>
      <c r="AD91" s="2577"/>
      <c r="AE91" s="1755"/>
      <c r="AF91" s="2577"/>
      <c r="AG91" s="2577"/>
      <c r="AH91" s="2577"/>
      <c r="AI91" s="2577"/>
      <c r="AJ91" s="2577"/>
      <c r="AK91" s="2843"/>
      <c r="AL91" s="1833"/>
      <c r="AM91" s="1833"/>
      <c r="AN91" s="1833"/>
      <c r="AO91" s="1833"/>
      <c r="AP91" s="2852">
        <v>11</v>
      </c>
    </row>
    <row s="65897" customFormat="1" customHeight="1" ht="11.549999999999999">
      <c r="A92" s="2198"/>
      <c r="B92" s="2198"/>
      <c r="C92" s="2198"/>
      <c r="D92" s="2198"/>
      <c r="E92" s="2198"/>
      <c r="F92" s="2847"/>
      <c r="G92" s="2847"/>
      <c r="H92" s="1562"/>
      <c r="N92" s="13495"/>
      <c r="O92" s="13495"/>
      <c r="P92" s="13495"/>
      <c r="Q92" s="13495"/>
      <c r="R92" s="13495"/>
      <c r="S92" s="2577"/>
      <c r="U92" s="2577"/>
      <c r="V92" s="2847"/>
      <c r="W92" s="2847"/>
      <c r="X92" s="2577"/>
      <c r="Y92" s="2577"/>
      <c r="Z92" s="2577"/>
      <c r="AA92" s="2577"/>
      <c r="AB92" s="2847"/>
      <c r="AC92" s="2577"/>
      <c r="AD92" s="2577"/>
      <c r="AE92" s="1755"/>
      <c r="AF92" s="2577"/>
      <c r="AG92" s="2577"/>
      <c r="AH92" s="2577"/>
      <c r="AI92" s="2577"/>
      <c r="AJ92" s="2577"/>
      <c r="AK92" s="2843"/>
      <c r="AL92" s="1833"/>
      <c r="AM92" s="1833"/>
      <c r="AN92" s="1833"/>
      <c r="AO92" s="1833"/>
      <c r="AP92" s="2852">
        <v>11</v>
      </c>
    </row>
    <row s="65897" customFormat="1" customHeight="1" ht="11.549999999999999">
      <c r="A93" s="2198"/>
      <c r="B93" s="2198"/>
      <c r="C93" s="2198"/>
      <c r="D93" s="2198"/>
      <c r="E93" s="2198"/>
      <c r="F93" s="2847"/>
      <c r="G93" s="2847"/>
      <c r="H93" s="1562"/>
      <c r="N93" s="13495"/>
      <c r="O93" s="13495"/>
      <c r="P93" s="13495"/>
      <c r="Q93" s="13495"/>
      <c r="R93" s="13495"/>
      <c r="S93" s="2577"/>
      <c r="U93" s="2577"/>
      <c r="V93" s="2847"/>
      <c r="W93" s="2847"/>
      <c r="X93" s="2577"/>
      <c r="Y93" s="2577"/>
      <c r="Z93" s="2577"/>
      <c r="AA93" s="2577"/>
      <c r="AB93" s="2847"/>
      <c r="AC93" s="2577"/>
      <c r="AD93" s="2577"/>
      <c r="AE93" s="1755"/>
      <c r="AF93" s="2577"/>
      <c r="AG93" s="2577"/>
      <c r="AH93" s="2577"/>
      <c r="AI93" s="2577"/>
      <c r="AJ93" s="2577"/>
      <c r="AK93" s="2843"/>
      <c r="AL93" s="1833"/>
      <c r="AM93" s="1833"/>
      <c r="AN93" s="1833"/>
      <c r="AO93" s="1833"/>
      <c r="AP93" s="2852">
        <v>11</v>
      </c>
    </row>
    <row s="65897" customFormat="1" customHeight="1" ht="11.549999999999999">
      <c r="A94" s="2198"/>
      <c r="B94" s="2198"/>
      <c r="C94" s="2198"/>
      <c r="D94" s="2198"/>
      <c r="E94" s="2198"/>
      <c r="F94" s="2847"/>
      <c r="G94" s="2847"/>
      <c r="H94" s="1562"/>
      <c r="N94" s="13495"/>
      <c r="O94" s="13495"/>
      <c r="P94" s="13495"/>
      <c r="Q94" s="13495"/>
      <c r="R94" s="13495"/>
      <c r="S94" s="2577"/>
      <c r="U94" s="2577"/>
      <c r="V94" s="2847"/>
      <c r="W94" s="2847"/>
      <c r="X94" s="2577"/>
      <c r="Y94" s="2577"/>
      <c r="Z94" s="2577"/>
      <c r="AA94" s="2577"/>
      <c r="AB94" s="2847"/>
      <c r="AC94" s="2577"/>
      <c r="AD94" s="2577"/>
      <c r="AE94" s="1755"/>
      <c r="AF94" s="2577"/>
      <c r="AG94" s="2577"/>
      <c r="AH94" s="2577"/>
      <c r="AI94" s="2577"/>
      <c r="AJ94" s="2577"/>
      <c r="AK94" s="2843"/>
      <c r="AL94" s="1833"/>
      <c r="AM94" s="1833"/>
      <c r="AN94" s="1833"/>
      <c r="AO94" s="1833"/>
      <c r="AP94" s="2852">
        <v>11</v>
      </c>
    </row>
    <row s="65897" customFormat="1" customHeight="1" ht="11.549999999999999">
      <c r="A95" s="2198"/>
      <c r="B95" s="2198"/>
      <c r="C95" s="2198"/>
      <c r="D95" s="2198"/>
      <c r="E95" s="2198"/>
      <c r="F95" s="2847"/>
      <c r="G95" s="2847"/>
      <c r="H95" s="1562"/>
      <c r="N95" s="13495"/>
      <c r="O95" s="13495"/>
      <c r="P95" s="13495"/>
      <c r="Q95" s="13495"/>
      <c r="R95" s="13495"/>
      <c r="S95" s="2577"/>
      <c r="U95" s="2577"/>
      <c r="V95" s="2847"/>
      <c r="W95" s="2847"/>
      <c r="X95" s="2577"/>
      <c r="Y95" s="2577"/>
      <c r="Z95" s="2577"/>
      <c r="AA95" s="2577"/>
      <c r="AB95" s="2847"/>
      <c r="AC95" s="2577"/>
      <c r="AD95" s="2577"/>
      <c r="AE95" s="1755"/>
      <c r="AF95" s="2577"/>
      <c r="AG95" s="2577"/>
      <c r="AH95" s="2577"/>
      <c r="AI95" s="2577"/>
      <c r="AJ95" s="2577"/>
      <c r="AK95" s="2843"/>
      <c r="AL95" s="1833"/>
      <c r="AM95" s="1833"/>
      <c r="AN95" s="1833"/>
      <c r="AO95" s="1833"/>
      <c r="AP95" s="2852">
        <v>11</v>
      </c>
    </row>
    <row s="65897" customFormat="1" customHeight="1" ht="11.549999999999999">
      <c r="A96" s="2198"/>
      <c r="B96" s="2198"/>
      <c r="C96" s="2198"/>
      <c r="D96" s="2198"/>
      <c r="E96" s="2198"/>
      <c r="F96" s="2847"/>
      <c r="G96" s="2847"/>
      <c r="H96" s="1562"/>
      <c r="N96" s="13495"/>
      <c r="O96" s="13495"/>
      <c r="P96" s="13495"/>
      <c r="Q96" s="13495"/>
      <c r="R96" s="13495"/>
      <c r="S96" s="2577"/>
      <c r="U96" s="2577"/>
      <c r="V96" s="2847"/>
      <c r="W96" s="2847"/>
      <c r="X96" s="2577"/>
      <c r="Y96" s="2577"/>
      <c r="Z96" s="2577"/>
      <c r="AA96" s="2577"/>
      <c r="AB96" s="2847"/>
      <c r="AC96" s="2577"/>
      <c r="AD96" s="2577"/>
      <c r="AE96" s="1755"/>
      <c r="AF96" s="2577"/>
      <c r="AG96" s="2577"/>
      <c r="AH96" s="2577"/>
      <c r="AI96" s="2577"/>
      <c r="AJ96" s="2577"/>
      <c r="AK96" s="2843"/>
      <c r="AL96" s="1833"/>
      <c r="AM96" s="1833"/>
      <c r="AN96" s="1833"/>
      <c r="AO96" s="1833"/>
      <c r="AP96" s="2852">
        <v>11</v>
      </c>
    </row>
    <row s="65897" customFormat="1" customHeight="1" ht="11.549999999999999">
      <c r="A97" s="2198"/>
      <c r="B97" s="2198"/>
      <c r="C97" s="2198"/>
      <c r="D97" s="2198"/>
      <c r="E97" s="2198"/>
      <c r="F97" s="2847"/>
      <c r="G97" s="2847"/>
      <c r="H97" s="1562"/>
      <c r="N97" s="13495"/>
      <c r="O97" s="13495"/>
      <c r="P97" s="13495"/>
      <c r="Q97" s="13495"/>
      <c r="R97" s="13495"/>
      <c r="S97" s="2577"/>
      <c r="U97" s="2577"/>
      <c r="V97" s="2847"/>
      <c r="W97" s="2847"/>
      <c r="X97" s="2577"/>
      <c r="Y97" s="2577"/>
      <c r="Z97" s="2577"/>
      <c r="AA97" s="2577"/>
      <c r="AB97" s="2847"/>
      <c r="AC97" s="2577"/>
      <c r="AD97" s="2577"/>
      <c r="AE97" s="1755"/>
      <c r="AF97" s="2577"/>
      <c r="AG97" s="2577"/>
      <c r="AH97" s="2577"/>
      <c r="AI97" s="2577"/>
      <c r="AJ97" s="2577"/>
      <c r="AK97" s="2843"/>
      <c r="AL97" s="1833"/>
      <c r="AM97" s="1833"/>
      <c r="AN97" s="1833"/>
      <c r="AO97" s="1833"/>
      <c r="AP97" s="2852">
        <v>11</v>
      </c>
    </row>
    <row s="65897" customFormat="1" customHeight="1" ht="11.549999999999999">
      <c r="A98" s="2198"/>
      <c r="B98" s="2198"/>
      <c r="C98" s="2198"/>
      <c r="D98" s="2198"/>
      <c r="E98" s="2198"/>
      <c r="F98" s="2847"/>
      <c r="G98" s="2847"/>
      <c r="H98" s="1562"/>
      <c r="N98" s="13495"/>
      <c r="O98" s="13495"/>
      <c r="P98" s="13495"/>
      <c r="Q98" s="13495"/>
      <c r="R98" s="13495"/>
      <c r="S98" s="2577"/>
      <c r="U98" s="2577"/>
      <c r="V98" s="2847"/>
      <c r="W98" s="2847"/>
      <c r="X98" s="2577"/>
      <c r="Y98" s="2577"/>
      <c r="Z98" s="2577"/>
      <c r="AA98" s="2577"/>
      <c r="AB98" s="2847"/>
      <c r="AC98" s="2577"/>
      <c r="AD98" s="2577"/>
      <c r="AE98" s="1755"/>
      <c r="AF98" s="2577"/>
      <c r="AG98" s="2577"/>
      <c r="AH98" s="2577"/>
      <c r="AI98" s="2577"/>
      <c r="AJ98" s="2577"/>
      <c r="AK98" s="2843"/>
      <c r="AL98" s="1833"/>
      <c r="AM98" s="1833"/>
      <c r="AN98" s="1833"/>
      <c r="AO98" s="1833"/>
      <c r="AP98" s="2852">
        <v>11</v>
      </c>
    </row>
    <row s="65897" customFormat="1" customHeight="1" ht="11.549999999999999">
      <c r="A99" s="2198"/>
      <c r="B99" s="2198"/>
      <c r="C99" s="2198"/>
      <c r="D99" s="2198"/>
      <c r="E99" s="2198"/>
      <c r="F99" s="2847"/>
      <c r="G99" s="2847"/>
      <c r="H99" s="1562"/>
      <c r="N99" s="13495"/>
      <c r="O99" s="13495"/>
      <c r="P99" s="13495"/>
      <c r="Q99" s="13495"/>
      <c r="R99" s="13495"/>
      <c r="S99" s="2577"/>
      <c r="U99" s="2577"/>
      <c r="V99" s="2847"/>
      <c r="W99" s="2847"/>
      <c r="X99" s="2577"/>
      <c r="Y99" s="2577"/>
      <c r="Z99" s="2577"/>
      <c r="AA99" s="2577"/>
      <c r="AB99" s="2847"/>
      <c r="AC99" s="2577"/>
      <c r="AD99" s="2577"/>
      <c r="AE99" s="1755"/>
      <c r="AF99" s="2577"/>
      <c r="AG99" s="2577"/>
      <c r="AH99" s="2577"/>
      <c r="AI99" s="2577"/>
      <c r="AJ99" s="2577"/>
      <c r="AK99" s="2843"/>
      <c r="AL99" s="1833"/>
      <c r="AM99" s="1833"/>
      <c r="AN99" s="1833"/>
      <c r="AO99" s="1833"/>
      <c r="AP99" s="2852">
        <v>11</v>
      </c>
    </row>
    <row s="65897" customFormat="1" customHeight="1" ht="11.549999999999999">
      <c r="A100" s="2198"/>
      <c r="B100" s="2198"/>
      <c r="C100" s="2198"/>
      <c r="D100" s="2198"/>
      <c r="E100" s="2198"/>
      <c r="F100" s="2847"/>
      <c r="G100" s="2847"/>
      <c r="H100" s="1562"/>
      <c r="N100" s="13495"/>
      <c r="O100" s="13495"/>
      <c r="P100" s="13495"/>
      <c r="Q100" s="13495"/>
      <c r="R100" s="13495"/>
      <c r="S100" s="2577"/>
      <c r="U100" s="2577"/>
      <c r="V100" s="2847"/>
      <c r="W100" s="2847"/>
      <c r="X100" s="2577"/>
      <c r="Y100" s="2577"/>
      <c r="Z100" s="2577"/>
      <c r="AA100" s="2577"/>
      <c r="AB100" s="2847"/>
      <c r="AC100" s="2577"/>
      <c r="AD100" s="2577"/>
      <c r="AE100" s="1755"/>
      <c r="AF100" s="2577"/>
      <c r="AG100" s="2577"/>
      <c r="AH100" s="2577"/>
      <c r="AI100" s="2577"/>
      <c r="AJ100" s="2577"/>
      <c r="AK100" s="2843"/>
      <c r="AL100" s="1833"/>
      <c r="AM100" s="1833"/>
      <c r="AN100" s="1833"/>
      <c r="AO100" s="1833"/>
      <c r="AP100" s="2852">
        <v>11</v>
      </c>
    </row>
    <row s="65897" customFormat="1" customHeight="1" ht="11.549999999999999">
      <c r="A101" s="2198"/>
      <c r="B101" s="2198"/>
      <c r="C101" s="2198"/>
      <c r="D101" s="2198"/>
      <c r="E101" s="2198"/>
      <c r="F101" s="2847"/>
      <c r="G101" s="2847"/>
      <c r="H101" s="1562"/>
      <c r="N101" s="13495"/>
      <c r="O101" s="13495"/>
      <c r="P101" s="13495"/>
      <c r="Q101" s="13495"/>
      <c r="R101" s="13495"/>
      <c r="S101" s="2577"/>
      <c r="U101" s="2577"/>
      <c r="V101" s="2847"/>
      <c r="W101" s="2847"/>
      <c r="X101" s="2577"/>
      <c r="Y101" s="2577"/>
      <c r="Z101" s="2577"/>
      <c r="AA101" s="2577"/>
      <c r="AB101" s="2847"/>
      <c r="AC101" s="2577"/>
      <c r="AD101" s="2577"/>
      <c r="AE101" s="1755"/>
      <c r="AF101" s="2577"/>
      <c r="AG101" s="2577"/>
      <c r="AH101" s="2577"/>
      <c r="AI101" s="2577"/>
      <c r="AJ101" s="2577"/>
      <c r="AK101" s="2843"/>
      <c r="AL101" s="1833"/>
      <c r="AM101" s="1833"/>
      <c r="AN101" s="1833"/>
      <c r="AO101" s="1833"/>
      <c r="AP101" s="2852">
        <v>11</v>
      </c>
    </row>
    <row s="65897" customFormat="1" customHeight="1" ht="11.549999999999999">
      <c r="A102" s="2198"/>
      <c r="B102" s="2198"/>
      <c r="C102" s="2198"/>
      <c r="D102" s="2198"/>
      <c r="E102" s="2198"/>
      <c r="F102" s="2847"/>
      <c r="G102" s="2847"/>
      <c r="H102" s="1562"/>
      <c r="N102" s="13495"/>
      <c r="O102" s="13495"/>
      <c r="P102" s="13495"/>
      <c r="Q102" s="13495"/>
      <c r="R102" s="13495"/>
      <c r="S102" s="2577"/>
      <c r="U102" s="2577"/>
      <c r="V102" s="2847"/>
      <c r="W102" s="2847"/>
      <c r="X102" s="2577"/>
      <c r="Y102" s="2577"/>
      <c r="Z102" s="2577"/>
      <c r="AA102" s="2577"/>
      <c r="AB102" s="2847"/>
      <c r="AC102" s="2577"/>
      <c r="AD102" s="2577"/>
      <c r="AE102" s="1755"/>
      <c r="AF102" s="2577"/>
      <c r="AG102" s="2577"/>
      <c r="AH102" s="2577"/>
      <c r="AI102" s="2577"/>
      <c r="AJ102" s="2577"/>
      <c r="AK102" s="2843"/>
      <c r="AL102" s="1833"/>
      <c r="AM102" s="1833"/>
      <c r="AN102" s="1833"/>
      <c r="AO102" s="1833"/>
      <c r="AP102" s="2852">
        <v>11</v>
      </c>
    </row>
    <row s="65897" customFormat="1" customHeight="1" ht="11.549999999999999">
      <c r="A103" s="2198"/>
      <c r="B103" s="2198"/>
      <c r="C103" s="2198"/>
      <c r="D103" s="2198"/>
      <c r="E103" s="2198"/>
      <c r="F103" s="2847"/>
      <c r="G103" s="2847"/>
      <c r="H103" s="1562"/>
      <c r="N103" s="13495"/>
      <c r="O103" s="13495"/>
      <c r="P103" s="13495"/>
      <c r="Q103" s="13495"/>
      <c r="R103" s="13495"/>
      <c r="S103" s="2577"/>
      <c r="U103" s="2577"/>
      <c r="V103" s="2847"/>
      <c r="W103" s="2847"/>
      <c r="X103" s="2577"/>
      <c r="Y103" s="2577"/>
      <c r="Z103" s="2577"/>
      <c r="AA103" s="2577"/>
      <c r="AB103" s="2847"/>
      <c r="AC103" s="2577"/>
      <c r="AD103" s="2577"/>
      <c r="AE103" s="1755"/>
      <c r="AF103" s="2577"/>
      <c r="AG103" s="2577"/>
      <c r="AH103" s="2577"/>
      <c r="AI103" s="2577"/>
      <c r="AJ103" s="2577"/>
      <c r="AK103" s="2843"/>
      <c r="AL103" s="1833"/>
      <c r="AM103" s="1833"/>
      <c r="AN103" s="1833"/>
      <c r="AO103" s="1833"/>
      <c r="AP103" s="2852">
        <v>11</v>
      </c>
    </row>
    <row s="65897" customFormat="1" customHeight="1" ht="11.549999999999999">
      <c r="A104" s="2198"/>
      <c r="B104" s="2198"/>
      <c r="C104" s="2198"/>
      <c r="D104" s="2198"/>
      <c r="E104" s="2198"/>
      <c r="F104" s="2847"/>
      <c r="G104" s="2847"/>
      <c r="H104" s="1562"/>
      <c r="N104" s="13495"/>
      <c r="O104" s="13495"/>
      <c r="P104" s="13495"/>
      <c r="Q104" s="13495"/>
      <c r="R104" s="13495"/>
      <c r="S104" s="2577"/>
      <c r="U104" s="2577"/>
      <c r="V104" s="2847"/>
      <c r="W104" s="2847"/>
      <c r="X104" s="2577"/>
      <c r="Y104" s="2577"/>
      <c r="Z104" s="2577"/>
      <c r="AA104" s="2577"/>
      <c r="AB104" s="2847"/>
      <c r="AC104" s="2577"/>
      <c r="AD104" s="2577"/>
      <c r="AE104" s="1755"/>
      <c r="AF104" s="2577"/>
      <c r="AG104" s="2577"/>
      <c r="AH104" s="2577"/>
      <c r="AI104" s="2577"/>
      <c r="AJ104" s="2577"/>
      <c r="AK104" s="2843"/>
      <c r="AL104" s="1833"/>
      <c r="AM104" s="1833"/>
      <c r="AN104" s="1833"/>
      <c r="AO104" s="1833"/>
      <c r="AP104" s="2852">
        <v>11</v>
      </c>
    </row>
    <row s="65897" customFormat="1" customHeight="1" ht="11.549999999999999">
      <c r="A105" s="2198"/>
      <c r="B105" s="2198"/>
      <c r="C105" s="2198"/>
      <c r="D105" s="2198"/>
      <c r="E105" s="2198"/>
      <c r="F105" s="2847"/>
      <c r="G105" s="2847"/>
      <c r="H105" s="1562"/>
      <c r="N105" s="13495"/>
      <c r="O105" s="13495"/>
      <c r="P105" s="13495"/>
      <c r="Q105" s="13495"/>
      <c r="R105" s="13495"/>
      <c r="S105" s="2577"/>
      <c r="U105" s="2577"/>
      <c r="V105" s="2847"/>
      <c r="W105" s="2847"/>
      <c r="X105" s="2577"/>
      <c r="Y105" s="2577"/>
      <c r="Z105" s="2577"/>
      <c r="AA105" s="2577"/>
      <c r="AB105" s="2847"/>
      <c r="AC105" s="2577"/>
      <c r="AD105" s="2577"/>
      <c r="AE105" s="1755"/>
      <c r="AF105" s="2577"/>
      <c r="AG105" s="2577"/>
      <c r="AH105" s="2577"/>
      <c r="AI105" s="2577"/>
      <c r="AJ105" s="2577"/>
      <c r="AK105" s="2843"/>
      <c r="AL105" s="1833"/>
      <c r="AM105" s="1833"/>
      <c r="AN105" s="1833"/>
      <c r="AO105" s="1833"/>
      <c r="AP105" s="2852">
        <v>11</v>
      </c>
    </row>
    <row s="65897" customFormat="1" customHeight="1" ht="11.549999999999999">
      <c r="A106" s="2198"/>
      <c r="B106" s="2198"/>
      <c r="C106" s="2198"/>
      <c r="D106" s="2198"/>
      <c r="E106" s="2198"/>
      <c r="F106" s="2847"/>
      <c r="G106" s="2847"/>
      <c r="H106" s="1562"/>
      <c r="N106" s="13495"/>
      <c r="O106" s="13495"/>
      <c r="P106" s="13495"/>
      <c r="Q106" s="13495"/>
      <c r="R106" s="13495"/>
      <c r="S106" s="2577"/>
      <c r="U106" s="2577"/>
      <c r="V106" s="2847"/>
      <c r="W106" s="2847"/>
      <c r="X106" s="2577"/>
      <c r="Y106" s="2577"/>
      <c r="Z106" s="2577"/>
      <c r="AA106" s="2577"/>
      <c r="AB106" s="2847"/>
      <c r="AC106" s="2577"/>
      <c r="AD106" s="2577"/>
      <c r="AE106" s="1755"/>
      <c r="AF106" s="2577"/>
      <c r="AG106" s="2577"/>
      <c r="AH106" s="2577"/>
      <c r="AI106" s="2577"/>
      <c r="AJ106" s="2577"/>
      <c r="AK106" s="2843"/>
      <c r="AL106" s="1833"/>
      <c r="AM106" s="1833"/>
      <c r="AN106" s="1833"/>
      <c r="AO106" s="1833"/>
      <c r="AP106" s="2852">
        <v>11</v>
      </c>
    </row>
    <row s="65897" customFormat="1" customHeight="1" ht="11.549999999999999">
      <c r="A107" s="2198"/>
      <c r="B107" s="2198"/>
      <c r="C107" s="2198"/>
      <c r="D107" s="2198"/>
      <c r="E107" s="2198"/>
      <c r="F107" s="2847"/>
      <c r="G107" s="2847"/>
      <c r="H107" s="1562"/>
      <c r="N107" s="13495"/>
      <c r="O107" s="13495"/>
      <c r="P107" s="13495"/>
      <c r="Q107" s="13495"/>
      <c r="R107" s="13495"/>
      <c r="S107" s="2577"/>
      <c r="U107" s="2577"/>
      <c r="V107" s="2847"/>
      <c r="W107" s="2847"/>
      <c r="X107" s="2577"/>
      <c r="Y107" s="2577"/>
      <c r="Z107" s="2577"/>
      <c r="AA107" s="2577"/>
      <c r="AB107" s="2847"/>
      <c r="AC107" s="2577"/>
      <c r="AD107" s="2577"/>
      <c r="AE107" s="1755"/>
      <c r="AF107" s="2577"/>
      <c r="AG107" s="2577"/>
      <c r="AH107" s="2577"/>
      <c r="AI107" s="2577"/>
      <c r="AJ107" s="2577"/>
      <c r="AK107" s="2843"/>
      <c r="AL107" s="1833"/>
      <c r="AM107" s="1833"/>
      <c r="AN107" s="1833"/>
      <c r="AO107" s="1833"/>
      <c r="AP107" s="2852">
        <v>11</v>
      </c>
    </row>
    <row s="65897" customFormat="1" customHeight="1" ht="11.549999999999999">
      <c r="A108" s="2198"/>
      <c r="B108" s="2198"/>
      <c r="C108" s="2198"/>
      <c r="D108" s="2198"/>
      <c r="E108" s="2198"/>
      <c r="F108" s="2847"/>
      <c r="G108" s="2847"/>
      <c r="H108" s="1562"/>
      <c r="N108" s="13495"/>
      <c r="O108" s="13495"/>
      <c r="P108" s="13495"/>
      <c r="Q108" s="13495"/>
      <c r="R108" s="13495"/>
      <c r="S108" s="2577"/>
      <c r="U108" s="2577"/>
      <c r="V108" s="2847"/>
      <c r="W108" s="2847"/>
      <c r="X108" s="2577"/>
      <c r="Y108" s="2577"/>
      <c r="Z108" s="2577"/>
      <c r="AA108" s="2577"/>
      <c r="AB108" s="2847"/>
      <c r="AC108" s="2577"/>
      <c r="AD108" s="2577"/>
      <c r="AE108" s="1755"/>
      <c r="AF108" s="2577"/>
      <c r="AG108" s="2577"/>
      <c r="AH108" s="2577"/>
      <c r="AI108" s="2577"/>
      <c r="AJ108" s="2577"/>
      <c r="AK108" s="2843"/>
      <c r="AL108" s="1833"/>
      <c r="AM108" s="1833"/>
      <c r="AN108" s="1833"/>
      <c r="AO108" s="1833"/>
      <c r="AP108" s="2852">
        <v>11</v>
      </c>
    </row>
    <row s="65897" customFormat="1" customHeight="1" ht="11.549999999999999">
      <c r="A109" s="2198"/>
      <c r="B109" s="2198"/>
      <c r="C109" s="2198"/>
      <c r="D109" s="2198"/>
      <c r="E109" s="2198"/>
      <c r="F109" s="2847"/>
      <c r="G109" s="2847"/>
      <c r="H109" s="1562"/>
      <c r="N109" s="13495"/>
      <c r="O109" s="13495"/>
      <c r="P109" s="13495"/>
      <c r="Q109" s="13495"/>
      <c r="R109" s="13495"/>
      <c r="S109" s="2577"/>
      <c r="U109" s="2577"/>
      <c r="V109" s="2847"/>
      <c r="W109" s="2847"/>
      <c r="X109" s="2577"/>
      <c r="Y109" s="2577"/>
      <c r="Z109" s="2577"/>
      <c r="AA109" s="2577"/>
      <c r="AB109" s="2847"/>
      <c r="AC109" s="2577"/>
      <c r="AD109" s="2577"/>
      <c r="AE109" s="1755"/>
      <c r="AF109" s="2577"/>
      <c r="AG109" s="2577"/>
      <c r="AH109" s="2577"/>
      <c r="AI109" s="2577"/>
      <c r="AJ109" s="2577"/>
      <c r="AK109" s="2843"/>
      <c r="AL109" s="1833"/>
      <c r="AM109" s="1833"/>
      <c r="AN109" s="1833"/>
      <c r="AO109" s="1833"/>
      <c r="AP109" s="2852">
        <v>11</v>
      </c>
    </row>
    <row s="65897" customFormat="1" customHeight="1" ht="11.549999999999999">
      <c r="A110" s="2198"/>
      <c r="B110" s="2198"/>
      <c r="C110" s="2198"/>
      <c r="D110" s="2198"/>
      <c r="E110" s="2198"/>
      <c r="F110" s="2847"/>
      <c r="G110" s="2847"/>
      <c r="H110" s="1562"/>
      <c r="N110" s="13495"/>
      <c r="O110" s="13495"/>
      <c r="P110" s="13495"/>
      <c r="Q110" s="13495"/>
      <c r="R110" s="13495"/>
      <c r="S110" s="2577"/>
      <c r="U110" s="2577"/>
      <c r="V110" s="2847"/>
      <c r="W110" s="2847"/>
      <c r="X110" s="2577"/>
      <c r="Y110" s="2577"/>
      <c r="Z110" s="2577"/>
      <c r="AA110" s="2577"/>
      <c r="AB110" s="2847"/>
      <c r="AC110" s="2577"/>
      <c r="AD110" s="2577"/>
      <c r="AE110" s="1755"/>
      <c r="AF110" s="2577"/>
      <c r="AG110" s="2577"/>
      <c r="AH110" s="2577"/>
      <c r="AI110" s="2577"/>
      <c r="AJ110" s="2577"/>
      <c r="AK110" s="2843"/>
      <c r="AL110" s="1833"/>
      <c r="AM110" s="1833"/>
      <c r="AN110" s="1833"/>
      <c r="AO110" s="1833"/>
      <c r="AP110" s="2852">
        <v>11</v>
      </c>
    </row>
    <row s="65897" customFormat="1" customHeight="1" ht="11.549999999999999">
      <c r="A111" s="2198"/>
      <c r="B111" s="2198"/>
      <c r="C111" s="2198"/>
      <c r="D111" s="2198"/>
      <c r="E111" s="2198"/>
      <c r="F111" s="2847"/>
      <c r="G111" s="2847"/>
      <c r="H111" s="1562"/>
      <c r="N111" s="13495"/>
      <c r="O111" s="13495"/>
      <c r="P111" s="13495"/>
      <c r="Q111" s="13495"/>
      <c r="R111" s="13495"/>
      <c r="S111" s="2577"/>
      <c r="U111" s="2577"/>
      <c r="V111" s="2847"/>
      <c r="W111" s="2847"/>
      <c r="X111" s="2577"/>
      <c r="Y111" s="2577"/>
      <c r="Z111" s="2577"/>
      <c r="AA111" s="2577"/>
      <c r="AB111" s="2847"/>
      <c r="AC111" s="2577"/>
      <c r="AD111" s="2577"/>
      <c r="AE111" s="1755"/>
      <c r="AF111" s="2577"/>
      <c r="AG111" s="2577"/>
      <c r="AH111" s="2577"/>
      <c r="AI111" s="2577"/>
      <c r="AJ111" s="2577"/>
      <c r="AK111" s="2843"/>
      <c r="AL111" s="1833"/>
      <c r="AM111" s="1833"/>
      <c r="AN111" s="1833"/>
      <c r="AO111" s="1833"/>
      <c r="AP111" s="2852">
        <v>11</v>
      </c>
    </row>
    <row s="65897" customFormat="1" customHeight="1" ht="11.549999999999999">
      <c r="A112" s="2198"/>
      <c r="B112" s="2198"/>
      <c r="C112" s="2198"/>
      <c r="D112" s="2198"/>
      <c r="E112" s="2198"/>
      <c r="F112" s="2847"/>
      <c r="G112" s="2847"/>
      <c r="H112" s="1562"/>
      <c r="N112" s="13495"/>
      <c r="O112" s="13495"/>
      <c r="P112" s="13495"/>
      <c r="Q112" s="13495"/>
      <c r="R112" s="13495"/>
      <c r="S112" s="2577"/>
      <c r="U112" s="2577"/>
      <c r="V112" s="2847"/>
      <c r="W112" s="2847"/>
      <c r="X112" s="2577"/>
      <c r="Y112" s="2577"/>
      <c r="Z112" s="2577"/>
      <c r="AA112" s="2577"/>
      <c r="AB112" s="2847"/>
      <c r="AC112" s="2577"/>
      <c r="AD112" s="2577"/>
      <c r="AE112" s="1755"/>
      <c r="AF112" s="2577"/>
      <c r="AG112" s="2577"/>
      <c r="AH112" s="2577"/>
      <c r="AI112" s="2577"/>
      <c r="AJ112" s="2577"/>
      <c r="AK112" s="2843"/>
      <c r="AL112" s="1833"/>
      <c r="AM112" s="1833"/>
      <c r="AN112" s="1833"/>
      <c r="AO112" s="1833"/>
      <c r="AP112" s="2852">
        <v>11</v>
      </c>
    </row>
    <row s="65897" customFormat="1" customHeight="1" ht="11.549999999999999">
      <c r="A113" s="2198"/>
      <c r="B113" s="2198"/>
      <c r="C113" s="2198"/>
      <c r="D113" s="2198"/>
      <c r="E113" s="2198"/>
      <c r="F113" s="2847"/>
      <c r="G113" s="2847"/>
      <c r="H113" s="1562"/>
      <c r="N113" s="13495"/>
      <c r="O113" s="13495"/>
      <c r="P113" s="13495"/>
      <c r="Q113" s="13495"/>
      <c r="R113" s="13495"/>
      <c r="S113" s="2577"/>
      <c r="U113" s="2577"/>
      <c r="V113" s="2847"/>
      <c r="W113" s="2847"/>
      <c r="X113" s="2577"/>
      <c r="Y113" s="2577"/>
      <c r="Z113" s="2577"/>
      <c r="AA113" s="2577"/>
      <c r="AB113" s="2847"/>
      <c r="AC113" s="2577"/>
      <c r="AD113" s="2577"/>
      <c r="AE113" s="1755"/>
      <c r="AF113" s="2577"/>
      <c r="AG113" s="2577"/>
      <c r="AH113" s="2577"/>
      <c r="AI113" s="2577"/>
      <c r="AJ113" s="2577"/>
      <c r="AK113" s="2843"/>
      <c r="AL113" s="1833"/>
      <c r="AM113" s="1833"/>
      <c r="AN113" s="1833"/>
      <c r="AO113" s="1833"/>
      <c r="AP113" s="2852">
        <v>11</v>
      </c>
    </row>
    <row s="65897" customFormat="1" customHeight="1" ht="11.549999999999999">
      <c r="A114" s="2198"/>
      <c r="B114" s="2198"/>
      <c r="C114" s="2198"/>
      <c r="D114" s="2198"/>
      <c r="E114" s="2198"/>
      <c r="F114" s="2847"/>
      <c r="G114" s="2847"/>
      <c r="H114" s="1562"/>
      <c r="N114" s="13495"/>
      <c r="O114" s="13495"/>
      <c r="P114" s="13495"/>
      <c r="Q114" s="13495"/>
      <c r="R114" s="13495"/>
      <c r="S114" s="2577"/>
      <c r="U114" s="2577"/>
      <c r="V114" s="2847"/>
      <c r="W114" s="2847"/>
      <c r="X114" s="2577"/>
      <c r="Y114" s="2577"/>
      <c r="Z114" s="2577"/>
      <c r="AA114" s="2577"/>
      <c r="AB114" s="2847"/>
      <c r="AC114" s="2577"/>
      <c r="AD114" s="2577"/>
      <c r="AE114" s="1755"/>
      <c r="AF114" s="2577"/>
      <c r="AG114" s="2577"/>
      <c r="AH114" s="2577"/>
      <c r="AI114" s="2577"/>
      <c r="AJ114" s="2577"/>
      <c r="AK114" s="2843"/>
      <c r="AL114" s="1833"/>
      <c r="AM114" s="1833"/>
      <c r="AN114" s="1833"/>
      <c r="AO114" s="1833"/>
      <c r="AP114" s="2852">
        <v>11</v>
      </c>
    </row>
    <row s="65897" customFormat="1" customHeight="1" ht="11.549999999999999">
      <c r="A115" s="2198"/>
      <c r="B115" s="2198"/>
      <c r="C115" s="2198"/>
      <c r="D115" s="2198"/>
      <c r="E115" s="2198"/>
      <c r="F115" s="2847"/>
      <c r="G115" s="2847"/>
      <c r="H115" s="1562"/>
      <c r="N115" s="13495"/>
      <c r="O115" s="13495"/>
      <c r="P115" s="13495"/>
      <c r="Q115" s="13495"/>
      <c r="R115" s="13495"/>
      <c r="S115" s="2577"/>
      <c r="U115" s="2577"/>
      <c r="V115" s="2847"/>
      <c r="W115" s="2847"/>
      <c r="X115" s="2577"/>
      <c r="Y115" s="2577"/>
      <c r="Z115" s="2577"/>
      <c r="AA115" s="2577"/>
      <c r="AB115" s="2847"/>
      <c r="AC115" s="2577"/>
      <c r="AD115" s="2577"/>
      <c r="AE115" s="1755"/>
      <c r="AF115" s="2577"/>
      <c r="AG115" s="2577"/>
      <c r="AH115" s="2577"/>
      <c r="AI115" s="2577"/>
      <c r="AJ115" s="2577"/>
      <c r="AK115" s="2843"/>
      <c r="AL115" s="1833"/>
      <c r="AM115" s="1833"/>
      <c r="AN115" s="1833"/>
      <c r="AO115" s="1833"/>
      <c r="AP115" s="2852">
        <v>11</v>
      </c>
    </row>
    <row s="65897" customFormat="1" customHeight="1" ht="11.549999999999999">
      <c r="A116" s="2198"/>
      <c r="B116" s="2198"/>
      <c r="C116" s="2198"/>
      <c r="D116" s="2198"/>
      <c r="E116" s="2198"/>
      <c r="F116" s="2847"/>
      <c r="G116" s="2847"/>
      <c r="H116" s="1562"/>
      <c r="N116" s="13495"/>
      <c r="O116" s="13495"/>
      <c r="P116" s="13495"/>
      <c r="Q116" s="13495"/>
      <c r="R116" s="13495"/>
      <c r="S116" s="2577"/>
      <c r="U116" s="2577"/>
      <c r="V116" s="2847"/>
      <c r="W116" s="2847"/>
      <c r="X116" s="2577"/>
      <c r="Y116" s="2577"/>
      <c r="Z116" s="2577"/>
      <c r="AA116" s="2577"/>
      <c r="AB116" s="2847"/>
      <c r="AC116" s="2577"/>
      <c r="AD116" s="2577"/>
      <c r="AE116" s="1755"/>
      <c r="AF116" s="2577"/>
      <c r="AG116" s="2577"/>
      <c r="AH116" s="2577"/>
      <c r="AI116" s="2577"/>
      <c r="AJ116" s="2577"/>
      <c r="AK116" s="2843"/>
      <c r="AL116" s="1833"/>
      <c r="AM116" s="1833"/>
      <c r="AN116" s="1833"/>
      <c r="AO116" s="1833"/>
      <c r="AP116" s="2852">
        <v>11</v>
      </c>
    </row>
    <row s="65897" customFormat="1" customHeight="1" ht="11.549999999999999">
      <c r="A117" s="2198"/>
      <c r="B117" s="2198"/>
      <c r="C117" s="2198"/>
      <c r="D117" s="2198"/>
      <c r="E117" s="2198"/>
      <c r="F117" s="2847"/>
      <c r="G117" s="2847"/>
      <c r="H117" s="1562"/>
      <c r="N117" s="13495"/>
      <c r="O117" s="13495"/>
      <c r="P117" s="13495"/>
      <c r="Q117" s="13495"/>
      <c r="R117" s="13495"/>
      <c r="S117" s="2577"/>
      <c r="U117" s="2577"/>
      <c r="V117" s="2847"/>
      <c r="W117" s="2847"/>
      <c r="X117" s="2577"/>
      <c r="Y117" s="2577"/>
      <c r="Z117" s="2577"/>
      <c r="AA117" s="2577"/>
      <c r="AB117" s="2847"/>
      <c r="AC117" s="2577"/>
      <c r="AD117" s="2577"/>
      <c r="AE117" s="1755"/>
      <c r="AF117" s="2577"/>
      <c r="AG117" s="2577"/>
      <c r="AH117" s="2577"/>
      <c r="AI117" s="2577"/>
      <c r="AJ117" s="2577"/>
      <c r="AK117" s="2843"/>
      <c r="AL117" s="1833"/>
      <c r="AM117" s="1833"/>
      <c r="AN117" s="1833"/>
      <c r="AO117" s="1833"/>
      <c r="AP117" s="2852">
        <v>11</v>
      </c>
    </row>
    <row s="65897" customFormat="1" customHeight="1" ht="11.549999999999999">
      <c r="A118" s="2198"/>
      <c r="B118" s="2198"/>
      <c r="C118" s="2198"/>
      <c r="D118" s="2198"/>
      <c r="E118" s="2198"/>
      <c r="F118" s="2847"/>
      <c r="G118" s="2847"/>
      <c r="H118" s="1562"/>
      <c r="N118" s="13495"/>
      <c r="O118" s="13495"/>
      <c r="P118" s="13495"/>
      <c r="Q118" s="13495"/>
      <c r="R118" s="13495"/>
      <c r="S118" s="2577"/>
      <c r="U118" s="2577"/>
      <c r="V118" s="2847"/>
      <c r="W118" s="2847"/>
      <c r="X118" s="2577"/>
      <c r="Y118" s="2577"/>
      <c r="Z118" s="2577"/>
      <c r="AA118" s="2577"/>
      <c r="AB118" s="2847"/>
      <c r="AC118" s="2577"/>
      <c r="AD118" s="2577"/>
      <c r="AE118" s="1755"/>
      <c r="AF118" s="2577"/>
      <c r="AG118" s="2577"/>
      <c r="AH118" s="2577"/>
      <c r="AI118" s="2577"/>
      <c r="AJ118" s="2577"/>
      <c r="AK118" s="2843"/>
      <c r="AL118" s="1833"/>
      <c r="AM118" s="1833"/>
      <c r="AN118" s="1833"/>
      <c r="AO118" s="1833"/>
      <c r="AP118" s="2852">
        <v>11</v>
      </c>
    </row>
    <row s="65897" customFormat="1" customHeight="1" ht="11.549999999999999">
      <c r="A119" s="2198"/>
      <c r="B119" s="2198"/>
      <c r="C119" s="2198"/>
      <c r="D119" s="2198"/>
      <c r="E119" s="2198"/>
      <c r="F119" s="2847"/>
      <c r="G119" s="2847"/>
      <c r="H119" s="1562"/>
      <c r="N119" s="13495"/>
      <c r="O119" s="13495"/>
      <c r="P119" s="13495"/>
      <c r="Q119" s="13495"/>
      <c r="R119" s="13495"/>
      <c r="S119" s="2577"/>
      <c r="U119" s="2577"/>
      <c r="V119" s="2847"/>
      <c r="W119" s="2847"/>
      <c r="X119" s="2577"/>
      <c r="Y119" s="2577"/>
      <c r="Z119" s="2577"/>
      <c r="AA119" s="2577"/>
      <c r="AB119" s="2847"/>
      <c r="AC119" s="2577"/>
      <c r="AD119" s="2577"/>
      <c r="AE119" s="1755"/>
      <c r="AF119" s="2577"/>
      <c r="AG119" s="2577"/>
      <c r="AH119" s="2577"/>
      <c r="AI119" s="2577"/>
      <c r="AJ119" s="2577"/>
      <c r="AK119" s="2843"/>
      <c r="AL119" s="1833"/>
      <c r="AM119" s="1833"/>
      <c r="AN119" s="1833"/>
      <c r="AO119" s="1833"/>
      <c r="AP119" s="2852">
        <v>11</v>
      </c>
    </row>
    <row s="65897" customFormat="1" customHeight="1" ht="11.549999999999999">
      <c r="A120" s="2198"/>
      <c r="B120" s="2198"/>
      <c r="C120" s="2198"/>
      <c r="D120" s="2198"/>
      <c r="E120" s="2198"/>
      <c r="F120" s="2847"/>
      <c r="G120" s="2847"/>
      <c r="H120" s="1562"/>
      <c r="N120" s="13495"/>
      <c r="O120" s="13495"/>
      <c r="P120" s="13495"/>
      <c r="Q120" s="13495"/>
      <c r="R120" s="13495"/>
      <c r="S120" s="2577"/>
      <c r="U120" s="2577"/>
      <c r="V120" s="2847"/>
      <c r="W120" s="2847"/>
      <c r="X120" s="2577"/>
      <c r="Y120" s="2577"/>
      <c r="Z120" s="2577"/>
      <c r="AA120" s="2577"/>
      <c r="AB120" s="2847"/>
      <c r="AC120" s="2577"/>
      <c r="AD120" s="2577"/>
      <c r="AE120" s="1755"/>
      <c r="AF120" s="2577"/>
      <c r="AG120" s="2577"/>
      <c r="AH120" s="2577"/>
      <c r="AI120" s="2577"/>
      <c r="AJ120" s="2577"/>
      <c r="AK120" s="2843"/>
      <c r="AL120" s="1833"/>
      <c r="AM120" s="1833"/>
      <c r="AN120" s="1833"/>
      <c r="AO120" s="1833"/>
      <c r="AP120" s="2852">
        <v>11</v>
      </c>
    </row>
    <row s="65897" customFormat="1" customHeight="1" ht="11.549999999999999">
      <c r="A121" s="2198"/>
      <c r="B121" s="2198"/>
      <c r="C121" s="2198"/>
      <c r="D121" s="2198"/>
      <c r="E121" s="2198"/>
      <c r="F121" s="2847"/>
      <c r="G121" s="2847"/>
      <c r="H121" s="1562"/>
      <c r="N121" s="13495"/>
      <c r="O121" s="13495"/>
      <c r="P121" s="13495"/>
      <c r="Q121" s="13495"/>
      <c r="R121" s="13495"/>
      <c r="S121" s="2577"/>
      <c r="U121" s="2577"/>
      <c r="V121" s="2847"/>
      <c r="W121" s="2847"/>
      <c r="X121" s="2577"/>
      <c r="Y121" s="2577"/>
      <c r="Z121" s="2577"/>
      <c r="AA121" s="2577"/>
      <c r="AB121" s="2847"/>
      <c r="AC121" s="2577"/>
      <c r="AD121" s="2577"/>
      <c r="AE121" s="1755"/>
      <c r="AF121" s="2577"/>
      <c r="AG121" s="2577"/>
      <c r="AH121" s="2577"/>
      <c r="AI121" s="2577"/>
      <c r="AJ121" s="2577"/>
      <c r="AK121" s="2843"/>
      <c r="AL121" s="1833"/>
      <c r="AM121" s="1833"/>
      <c r="AN121" s="1833"/>
      <c r="AO121" s="1833"/>
      <c r="AP121" s="2852">
        <v>11</v>
      </c>
    </row>
    <row s="65897" customFormat="1" customHeight="1" ht="11.549999999999999">
      <c r="A122" s="2198"/>
      <c r="B122" s="2198"/>
      <c r="C122" s="2198"/>
      <c r="D122" s="2198"/>
      <c r="E122" s="2198"/>
      <c r="F122" s="2847"/>
      <c r="G122" s="2847"/>
      <c r="H122" s="1562"/>
      <c r="N122" s="13495"/>
      <c r="O122" s="13495"/>
      <c r="P122" s="13495"/>
      <c r="Q122" s="13495"/>
      <c r="R122" s="13495"/>
      <c r="S122" s="2577"/>
      <c r="U122" s="2577"/>
      <c r="V122" s="2847"/>
      <c r="W122" s="2847"/>
      <c r="X122" s="2577"/>
      <c r="Y122" s="2577"/>
      <c r="Z122" s="2577"/>
      <c r="AA122" s="2577"/>
      <c r="AB122" s="2847"/>
      <c r="AC122" s="2577"/>
      <c r="AD122" s="2577"/>
      <c r="AE122" s="1755"/>
      <c r="AF122" s="2577"/>
      <c r="AG122" s="2577"/>
      <c r="AH122" s="2577"/>
      <c r="AI122" s="2577"/>
      <c r="AJ122" s="2577"/>
      <c r="AK122" s="2843"/>
      <c r="AL122" s="1833"/>
      <c r="AM122" s="1833"/>
      <c r="AN122" s="1833"/>
      <c r="AO122" s="1833"/>
      <c r="AP122" s="2852">
        <v>11</v>
      </c>
    </row>
    <row s="65897" customFormat="1" customHeight="1" ht="11.549999999999999">
      <c r="A123" s="2198"/>
      <c r="B123" s="2198"/>
      <c r="C123" s="2198"/>
      <c r="D123" s="2198"/>
      <c r="E123" s="2198"/>
      <c r="F123" s="2847"/>
      <c r="G123" s="2847"/>
      <c r="H123" s="1562"/>
      <c r="N123" s="13495"/>
      <c r="O123" s="13495"/>
      <c r="P123" s="13495"/>
      <c r="Q123" s="13495"/>
      <c r="R123" s="13495"/>
      <c r="S123" s="2577"/>
      <c r="U123" s="2577"/>
      <c r="V123" s="2847"/>
      <c r="W123" s="2847"/>
      <c r="X123" s="2577"/>
      <c r="Y123" s="2577"/>
      <c r="Z123" s="2577"/>
      <c r="AA123" s="2577"/>
      <c r="AB123" s="2847"/>
      <c r="AC123" s="2577"/>
      <c r="AD123" s="2577"/>
      <c r="AE123" s="1755"/>
      <c r="AF123" s="2577"/>
      <c r="AG123" s="2577"/>
      <c r="AH123" s="2577"/>
      <c r="AI123" s="2577"/>
      <c r="AJ123" s="2577"/>
      <c r="AK123" s="2843"/>
      <c r="AL123" s="1833"/>
      <c r="AM123" s="1833"/>
      <c r="AN123" s="1833"/>
      <c r="AO123" s="1833"/>
      <c r="AP123" s="2852">
        <v>11</v>
      </c>
    </row>
    <row s="65897" customFormat="1" customHeight="1" ht="11.549999999999999">
      <c r="A124" s="2198"/>
      <c r="B124" s="2198"/>
      <c r="C124" s="2198"/>
      <c r="D124" s="2198"/>
      <c r="E124" s="2198"/>
      <c r="F124" s="2847"/>
      <c r="G124" s="2847"/>
      <c r="H124" s="1562"/>
      <c r="N124" s="13495"/>
      <c r="O124" s="13495"/>
      <c r="P124" s="13495"/>
      <c r="Q124" s="13495"/>
      <c r="R124" s="13495"/>
      <c r="S124" s="2577"/>
      <c r="U124" s="2577"/>
      <c r="V124" s="2847"/>
      <c r="W124" s="2847"/>
      <c r="X124" s="2577"/>
      <c r="Y124" s="2577"/>
      <c r="Z124" s="2577"/>
      <c r="AA124" s="2577"/>
      <c r="AB124" s="2847"/>
      <c r="AC124" s="2577"/>
      <c r="AD124" s="2577"/>
      <c r="AE124" s="1755"/>
      <c r="AF124" s="2577"/>
      <c r="AG124" s="2577"/>
      <c r="AH124" s="2577"/>
      <c r="AI124" s="2577"/>
      <c r="AJ124" s="2577"/>
      <c r="AK124" s="2843"/>
      <c r="AL124" s="1833"/>
      <c r="AM124" s="1833"/>
      <c r="AN124" s="1833"/>
      <c r="AO124" s="1833"/>
      <c r="AP124" s="2852">
        <v>11</v>
      </c>
    </row>
    <row s="65897" customFormat="1" customHeight="1" ht="11.549999999999999">
      <c r="A125" s="2198"/>
      <c r="B125" s="2198"/>
      <c r="C125" s="2198"/>
      <c r="D125" s="2198"/>
      <c r="E125" s="2198"/>
      <c r="F125" s="2847"/>
      <c r="G125" s="2847"/>
      <c r="H125" s="1562"/>
      <c r="N125" s="13495"/>
      <c r="O125" s="13495"/>
      <c r="P125" s="13495"/>
      <c r="Q125" s="13495"/>
      <c r="R125" s="13495"/>
      <c r="S125" s="2577"/>
      <c r="U125" s="2577"/>
      <c r="V125" s="2847"/>
      <c r="W125" s="2847"/>
      <c r="X125" s="2577"/>
      <c r="Y125" s="2577"/>
      <c r="Z125" s="2577"/>
      <c r="AA125" s="2577"/>
      <c r="AB125" s="2847"/>
      <c r="AC125" s="2577"/>
      <c r="AD125" s="2577"/>
      <c r="AE125" s="1755"/>
      <c r="AF125" s="2577"/>
      <c r="AG125" s="2577"/>
      <c r="AH125" s="2577"/>
      <c r="AI125" s="2577"/>
      <c r="AJ125" s="2577"/>
      <c r="AK125" s="2843"/>
      <c r="AL125" s="1833"/>
      <c r="AM125" s="1833"/>
      <c r="AN125" s="1833"/>
      <c r="AO125" s="1833"/>
      <c r="AP125" s="2852">
        <v>11</v>
      </c>
    </row>
    <row s="65897" customFormat="1" customHeight="1" ht="11.549999999999999">
      <c r="A126" s="2198"/>
      <c r="B126" s="2198"/>
      <c r="C126" s="2198"/>
      <c r="D126" s="2198"/>
      <c r="E126" s="2198"/>
      <c r="F126" s="2847"/>
      <c r="G126" s="2847"/>
      <c r="H126" s="1562"/>
      <c r="N126" s="13495"/>
      <c r="O126" s="13495"/>
      <c r="P126" s="13495"/>
      <c r="Q126" s="13495"/>
      <c r="R126" s="13495"/>
      <c r="S126" s="2577"/>
      <c r="U126" s="2577"/>
      <c r="V126" s="2847"/>
      <c r="W126" s="2847"/>
      <c r="X126" s="2577"/>
      <c r="Y126" s="2577"/>
      <c r="Z126" s="2577"/>
      <c r="AA126" s="2577"/>
      <c r="AB126" s="2847"/>
      <c r="AC126" s="2577"/>
      <c r="AD126" s="2577"/>
      <c r="AE126" s="1755"/>
      <c r="AF126" s="2577"/>
      <c r="AG126" s="2577"/>
      <c r="AH126" s="2577"/>
      <c r="AI126" s="2577"/>
      <c r="AJ126" s="2577"/>
      <c r="AK126" s="2843"/>
      <c r="AL126" s="1833"/>
      <c r="AM126" s="1833"/>
      <c r="AN126" s="1833"/>
      <c r="AO126" s="1833"/>
      <c r="AP126" s="2852">
        <v>11</v>
      </c>
    </row>
    <row s="65897" customFormat="1" customHeight="1" ht="11.549999999999999">
      <c r="A127" s="2198"/>
      <c r="B127" s="2198"/>
      <c r="C127" s="2198"/>
      <c r="D127" s="2198"/>
      <c r="E127" s="2198"/>
      <c r="F127" s="2847"/>
      <c r="G127" s="2847"/>
      <c r="H127" s="1562"/>
      <c r="N127" s="13495"/>
      <c r="O127" s="13495"/>
      <c r="P127" s="13495"/>
      <c r="Q127" s="13495"/>
      <c r="R127" s="13495"/>
      <c r="S127" s="2577"/>
      <c r="U127" s="2577"/>
      <c r="V127" s="2847"/>
      <c r="W127" s="2847"/>
      <c r="X127" s="2577"/>
      <c r="Y127" s="2577"/>
      <c r="Z127" s="2577"/>
      <c r="AA127" s="2577"/>
      <c r="AB127" s="2847"/>
      <c r="AC127" s="2577"/>
      <c r="AD127" s="2577"/>
      <c r="AE127" s="1755"/>
      <c r="AF127" s="2577"/>
      <c r="AG127" s="2577"/>
      <c r="AH127" s="2577"/>
      <c r="AI127" s="2577"/>
      <c r="AJ127" s="2577"/>
      <c r="AK127" s="2843"/>
      <c r="AL127" s="1833"/>
      <c r="AM127" s="1833"/>
      <c r="AN127" s="1833"/>
      <c r="AO127" s="1833"/>
      <c r="AP127" s="2852">
        <v>11</v>
      </c>
    </row>
    <row s="65897" customFormat="1" customHeight="1" ht="11.549999999999999">
      <c r="A128" s="2198"/>
      <c r="B128" s="2198"/>
      <c r="C128" s="2198"/>
      <c r="D128" s="2198"/>
      <c r="E128" s="2198"/>
      <c r="F128" s="2847"/>
      <c r="G128" s="2847"/>
      <c r="H128" s="1562"/>
      <c r="N128" s="13495"/>
      <c r="O128" s="13495"/>
      <c r="P128" s="13495"/>
      <c r="Q128" s="13495"/>
      <c r="R128" s="13495"/>
      <c r="S128" s="2577"/>
      <c r="U128" s="2577"/>
      <c r="V128" s="2847"/>
      <c r="W128" s="2847"/>
      <c r="X128" s="2577"/>
      <c r="Y128" s="2577"/>
      <c r="Z128" s="2577"/>
      <c r="AA128" s="2577"/>
      <c r="AB128" s="2847"/>
      <c r="AC128" s="2577"/>
      <c r="AD128" s="2577"/>
      <c r="AE128" s="1755"/>
      <c r="AF128" s="2577"/>
      <c r="AG128" s="2577"/>
      <c r="AH128" s="2577"/>
      <c r="AI128" s="2577"/>
      <c r="AJ128" s="2577"/>
      <c r="AK128" s="2843"/>
      <c r="AL128" s="1833"/>
      <c r="AM128" s="1833"/>
      <c r="AN128" s="1833"/>
      <c r="AO128" s="1833"/>
      <c r="AP128" s="2852">
        <v>11</v>
      </c>
    </row>
    <row s="65897" customFormat="1" customHeight="1" ht="11.549999999999999">
      <c r="A129" s="2198"/>
      <c r="B129" s="2198"/>
      <c r="C129" s="2198"/>
      <c r="D129" s="2198"/>
      <c r="E129" s="2198"/>
      <c r="F129" s="2847"/>
      <c r="G129" s="2847"/>
      <c r="H129" s="1562"/>
      <c r="N129" s="13495"/>
      <c r="O129" s="13495"/>
      <c r="P129" s="13495"/>
      <c r="Q129" s="13495"/>
      <c r="R129" s="13495"/>
      <c r="S129" s="2577"/>
      <c r="U129" s="2577"/>
      <c r="V129" s="2847"/>
      <c r="W129" s="2847"/>
      <c r="X129" s="2577"/>
      <c r="Y129" s="2577"/>
      <c r="Z129" s="2577"/>
      <c r="AA129" s="2577"/>
      <c r="AB129" s="2847"/>
      <c r="AC129" s="2577"/>
      <c r="AD129" s="2577"/>
      <c r="AE129" s="1755"/>
      <c r="AF129" s="2577"/>
      <c r="AG129" s="2577"/>
      <c r="AH129" s="2577"/>
      <c r="AI129" s="2577"/>
      <c r="AJ129" s="2577"/>
      <c r="AK129" s="2843"/>
      <c r="AL129" s="1833"/>
      <c r="AM129" s="1833"/>
      <c r="AN129" s="1833"/>
      <c r="AO129" s="1833"/>
      <c r="AP129" s="2852">
        <v>11</v>
      </c>
    </row>
    <row s="65897" customFormat="1" customHeight="1" ht="11.549999999999999">
      <c r="A130" s="2198"/>
      <c r="B130" s="2198"/>
      <c r="C130" s="2198"/>
      <c r="D130" s="2198"/>
      <c r="E130" s="2198"/>
      <c r="F130" s="2847"/>
      <c r="G130" s="2847"/>
      <c r="H130" s="1562"/>
      <c r="N130" s="13495"/>
      <c r="O130" s="13495"/>
      <c r="P130" s="13495"/>
      <c r="Q130" s="13495"/>
      <c r="R130" s="13495"/>
      <c r="S130" s="2577"/>
      <c r="U130" s="2577"/>
      <c r="V130" s="2847"/>
      <c r="W130" s="2847"/>
      <c r="X130" s="2577"/>
      <c r="Y130" s="2577"/>
      <c r="Z130" s="2577"/>
      <c r="AA130" s="2577"/>
      <c r="AB130" s="2847"/>
      <c r="AC130" s="2577"/>
      <c r="AD130" s="2577"/>
      <c r="AE130" s="1755"/>
      <c r="AF130" s="2577"/>
      <c r="AG130" s="2577"/>
      <c r="AH130" s="2577"/>
      <c r="AI130" s="2577"/>
      <c r="AJ130" s="2577"/>
      <c r="AK130" s="2843"/>
      <c r="AL130" s="1833"/>
      <c r="AM130" s="1833"/>
      <c r="AN130" s="1833"/>
      <c r="AO130" s="1833"/>
      <c r="AP130" s="2852">
        <v>11</v>
      </c>
    </row>
    <row s="65897" customFormat="1" customHeight="1" ht="11.549999999999999">
      <c r="A131" s="2198"/>
      <c r="B131" s="2198"/>
      <c r="C131" s="2198"/>
      <c r="D131" s="2198"/>
      <c r="E131" s="2198"/>
      <c r="F131" s="2847"/>
      <c r="G131" s="2847"/>
      <c r="H131" s="1562"/>
      <c r="N131" s="13495"/>
      <c r="O131" s="13495"/>
      <c r="P131" s="13495"/>
      <c r="Q131" s="13495"/>
      <c r="R131" s="13495"/>
      <c r="S131" s="2577"/>
      <c r="U131" s="2577"/>
      <c r="V131" s="2847"/>
      <c r="W131" s="2847"/>
      <c r="X131" s="2577"/>
      <c r="Y131" s="2577"/>
      <c r="Z131" s="2577"/>
      <c r="AA131" s="2577"/>
      <c r="AB131" s="2847"/>
      <c r="AC131" s="2577"/>
      <c r="AD131" s="2577"/>
      <c r="AE131" s="1755"/>
      <c r="AF131" s="2577"/>
      <c r="AG131" s="2577"/>
      <c r="AH131" s="2577"/>
      <c r="AI131" s="2577"/>
      <c r="AJ131" s="2577"/>
      <c r="AK131" s="2843"/>
      <c r="AL131" s="1833"/>
      <c r="AM131" s="1833"/>
      <c r="AN131" s="1833"/>
      <c r="AO131" s="1833"/>
      <c r="AP131" s="2852">
        <v>11</v>
      </c>
    </row>
    <row s="65897" customFormat="1" customHeight="1" ht="11.549999999999999">
      <c r="A132" s="2198"/>
      <c r="B132" s="2198"/>
      <c r="C132" s="2198"/>
      <c r="D132" s="2198"/>
      <c r="E132" s="2198"/>
      <c r="F132" s="2847"/>
      <c r="G132" s="2847"/>
      <c r="H132" s="1562"/>
      <c r="N132" s="13495"/>
      <c r="O132" s="13495"/>
      <c r="P132" s="13495"/>
      <c r="Q132" s="13495"/>
      <c r="R132" s="13495"/>
      <c r="S132" s="2577"/>
      <c r="U132" s="2577"/>
      <c r="V132" s="2847"/>
      <c r="W132" s="2847"/>
      <c r="X132" s="2577"/>
      <c r="Y132" s="2577"/>
      <c r="Z132" s="2577"/>
      <c r="AA132" s="2577"/>
      <c r="AB132" s="2847"/>
      <c r="AC132" s="2577"/>
      <c r="AD132" s="2577"/>
      <c r="AE132" s="1755"/>
      <c r="AF132" s="2577"/>
      <c r="AG132" s="2577"/>
      <c r="AH132" s="2577"/>
      <c r="AI132" s="2577"/>
      <c r="AJ132" s="2577"/>
      <c r="AK132" s="2843"/>
      <c r="AL132" s="1833"/>
      <c r="AM132" s="1833"/>
      <c r="AN132" s="1833"/>
      <c r="AO132" s="1833"/>
      <c r="AP132" s="2852">
        <v>11</v>
      </c>
    </row>
    <row s="65897" customFormat="1" customHeight="1" ht="11.549999999999999">
      <c r="A133" s="2198"/>
      <c r="B133" s="2198"/>
      <c r="C133" s="2198"/>
      <c r="D133" s="2198"/>
      <c r="E133" s="2198"/>
      <c r="F133" s="2847"/>
      <c r="G133" s="2847"/>
      <c r="H133" s="1562"/>
      <c r="N133" s="13495"/>
      <c r="O133" s="13495"/>
      <c r="P133" s="13495"/>
      <c r="Q133" s="13495"/>
      <c r="R133" s="13495"/>
      <c r="S133" s="2577"/>
      <c r="U133" s="2577"/>
      <c r="V133" s="2847"/>
      <c r="W133" s="2847"/>
      <c r="X133" s="2577"/>
      <c r="Y133" s="2577"/>
      <c r="Z133" s="2577"/>
      <c r="AA133" s="2577"/>
      <c r="AB133" s="2847"/>
      <c r="AC133" s="2577"/>
      <c r="AD133" s="2577"/>
      <c r="AE133" s="1755"/>
      <c r="AF133" s="2577"/>
      <c r="AG133" s="2577"/>
      <c r="AH133" s="2577"/>
      <c r="AI133" s="2577"/>
      <c r="AJ133" s="2577"/>
      <c r="AK133" s="2843"/>
      <c r="AL133" s="1833"/>
      <c r="AM133" s="1833"/>
      <c r="AN133" s="1833"/>
      <c r="AO133" s="1833"/>
      <c r="AP133" s="2852">
        <v>11</v>
      </c>
    </row>
    <row s="65897" customFormat="1" customHeight="1" ht="11.549999999999999">
      <c r="A134" s="2198"/>
      <c r="B134" s="2198"/>
      <c r="C134" s="2198"/>
      <c r="D134" s="2198"/>
      <c r="E134" s="2198"/>
      <c r="F134" s="2847"/>
      <c r="G134" s="2847"/>
      <c r="H134" s="1562"/>
      <c r="N134" s="13495"/>
      <c r="O134" s="13495"/>
      <c r="P134" s="13495"/>
      <c r="Q134" s="13495"/>
      <c r="R134" s="13495"/>
      <c r="S134" s="2577"/>
      <c r="U134" s="2577"/>
      <c r="V134" s="2847"/>
      <c r="W134" s="2847"/>
      <c r="X134" s="2577"/>
      <c r="Y134" s="2577"/>
      <c r="Z134" s="2577"/>
      <c r="AA134" s="2577"/>
      <c r="AB134" s="2847"/>
      <c r="AC134" s="2577"/>
      <c r="AD134" s="2577"/>
      <c r="AE134" s="1755"/>
      <c r="AF134" s="2577"/>
      <c r="AG134" s="2577"/>
      <c r="AH134" s="2577"/>
      <c r="AI134" s="2577"/>
      <c r="AJ134" s="2577"/>
      <c r="AK134" s="2843"/>
      <c r="AL134" s="1833"/>
      <c r="AM134" s="1833"/>
      <c r="AN134" s="1833"/>
      <c r="AO134" s="1833"/>
      <c r="AP134" s="2852">
        <v>11</v>
      </c>
    </row>
    <row s="65897" customFormat="1" customHeight="1" ht="11.549999999999999">
      <c r="A135" s="2198"/>
      <c r="B135" s="2198"/>
      <c r="C135" s="2198"/>
      <c r="D135" s="2198"/>
      <c r="E135" s="2198"/>
      <c r="F135" s="2847"/>
      <c r="G135" s="2847"/>
      <c r="H135" s="1562"/>
      <c r="N135" s="13495"/>
      <c r="O135" s="13495"/>
      <c r="P135" s="13495"/>
      <c r="Q135" s="13495"/>
      <c r="R135" s="13495"/>
      <c r="S135" s="2577"/>
      <c r="U135" s="2577"/>
      <c r="V135" s="2847"/>
      <c r="W135" s="2847"/>
      <c r="X135" s="2577"/>
      <c r="Y135" s="2577"/>
      <c r="Z135" s="2577"/>
      <c r="AA135" s="2577"/>
      <c r="AB135" s="2847"/>
      <c r="AC135" s="2577"/>
      <c r="AD135" s="2577"/>
      <c r="AE135" s="1755"/>
      <c r="AF135" s="2577"/>
      <c r="AG135" s="2577"/>
      <c r="AH135" s="2577"/>
      <c r="AI135" s="2577"/>
      <c r="AJ135" s="2577"/>
      <c r="AK135" s="2843"/>
      <c r="AL135" s="1833"/>
      <c r="AM135" s="1833"/>
      <c r="AN135" s="1833"/>
      <c r="AO135" s="1833"/>
      <c r="AP135" s="2852">
        <v>11</v>
      </c>
    </row>
    <row s="65897" customFormat="1" customHeight="1" ht="11.549999999999999">
      <c r="A136" s="2198"/>
      <c r="B136" s="2198"/>
      <c r="C136" s="2198"/>
      <c r="D136" s="2198"/>
      <c r="E136" s="2198"/>
      <c r="F136" s="2847"/>
      <c r="G136" s="2847"/>
      <c r="H136" s="1562"/>
      <c r="N136" s="13495"/>
      <c r="O136" s="13495"/>
      <c r="P136" s="13495"/>
      <c r="Q136" s="13495"/>
      <c r="R136" s="13495"/>
      <c r="S136" s="2577"/>
      <c r="U136" s="2577"/>
      <c r="V136" s="2847"/>
      <c r="W136" s="2847"/>
      <c r="X136" s="2577"/>
      <c r="Y136" s="2577"/>
      <c r="Z136" s="2577"/>
      <c r="AA136" s="2577"/>
      <c r="AB136" s="2847"/>
      <c r="AC136" s="2577"/>
      <c r="AD136" s="2577"/>
      <c r="AE136" s="1755"/>
      <c r="AF136" s="2577"/>
      <c r="AG136" s="2577"/>
      <c r="AH136" s="2577"/>
      <c r="AI136" s="2577"/>
      <c r="AJ136" s="2577"/>
      <c r="AK136" s="2843"/>
      <c r="AL136" s="1833"/>
      <c r="AM136" s="1833"/>
      <c r="AN136" s="1833"/>
      <c r="AO136" s="1833"/>
      <c r="AP136" s="2852">
        <v>11</v>
      </c>
    </row>
    <row s="65897" customFormat="1" customHeight="1" ht="11.549999999999999">
      <c r="A137" s="2198"/>
      <c r="B137" s="2198"/>
      <c r="C137" s="2198"/>
      <c r="D137" s="2198"/>
      <c r="E137" s="2198"/>
      <c r="F137" s="2847"/>
      <c r="G137" s="2847"/>
      <c r="H137" s="1562"/>
      <c r="N137" s="13495"/>
      <c r="O137" s="13495"/>
      <c r="P137" s="13495"/>
      <c r="Q137" s="13495"/>
      <c r="R137" s="13495"/>
      <c r="S137" s="2577"/>
      <c r="U137" s="2577"/>
      <c r="V137" s="2847"/>
      <c r="W137" s="2847"/>
      <c r="X137" s="2577"/>
      <c r="Y137" s="2577"/>
      <c r="Z137" s="2577"/>
      <c r="AA137" s="2577"/>
      <c r="AB137" s="2847"/>
      <c r="AC137" s="2577"/>
      <c r="AD137" s="2577"/>
      <c r="AE137" s="1755"/>
      <c r="AF137" s="2577"/>
      <c r="AG137" s="2577"/>
      <c r="AH137" s="2577"/>
      <c r="AI137" s="2577"/>
      <c r="AJ137" s="2577"/>
      <c r="AK137" s="2843"/>
      <c r="AL137" s="1833"/>
      <c r="AM137" s="1833"/>
      <c r="AN137" s="1833"/>
      <c r="AO137" s="1833"/>
      <c r="AP137" s="2852">
        <v>11</v>
      </c>
    </row>
    <row s="65897" customFormat="1" customHeight="1" ht="11.549999999999999">
      <c r="A138" s="2198"/>
      <c r="B138" s="2198"/>
      <c r="C138" s="2198"/>
      <c r="D138" s="2198"/>
      <c r="E138" s="2198"/>
      <c r="F138" s="2847"/>
      <c r="G138" s="2847"/>
      <c r="H138" s="1562"/>
      <c r="N138" s="13495"/>
      <c r="O138" s="13495"/>
      <c r="P138" s="13495"/>
      <c r="Q138" s="13495"/>
      <c r="R138" s="13495"/>
      <c r="S138" s="2577"/>
      <c r="U138" s="2577"/>
      <c r="V138" s="2847"/>
      <c r="W138" s="2847"/>
      <c r="X138" s="2577"/>
      <c r="Y138" s="2577"/>
      <c r="Z138" s="2577"/>
      <c r="AA138" s="2577"/>
      <c r="AB138" s="2847"/>
      <c r="AC138" s="2577"/>
      <c r="AD138" s="2577"/>
      <c r="AE138" s="1755"/>
      <c r="AF138" s="2577"/>
      <c r="AG138" s="2577"/>
      <c r="AH138" s="2577"/>
      <c r="AI138" s="2577"/>
      <c r="AJ138" s="2577"/>
      <c r="AK138" s="2843"/>
      <c r="AL138" s="1833"/>
      <c r="AM138" s="1833"/>
      <c r="AN138" s="1833"/>
      <c r="AO138" s="1833"/>
      <c r="AP138" s="2852">
        <v>11</v>
      </c>
    </row>
    <row s="65897" customFormat="1" customHeight="1" ht="11.549999999999999">
      <c r="A139" s="2198"/>
      <c r="B139" s="2198"/>
      <c r="C139" s="2198"/>
      <c r="D139" s="2198"/>
      <c r="E139" s="2198"/>
      <c r="F139" s="2847"/>
      <c r="G139" s="2847"/>
      <c r="H139" s="1562"/>
      <c r="N139" s="13495"/>
      <c r="O139" s="13495"/>
      <c r="P139" s="13495"/>
      <c r="Q139" s="13495"/>
      <c r="R139" s="13495"/>
      <c r="S139" s="2577"/>
      <c r="U139" s="2577"/>
      <c r="V139" s="2847"/>
      <c r="W139" s="2847"/>
      <c r="X139" s="2577"/>
      <c r="Y139" s="2577"/>
      <c r="Z139" s="2577"/>
      <c r="AA139" s="2577"/>
      <c r="AB139" s="2847"/>
      <c r="AC139" s="2577"/>
      <c r="AD139" s="2577"/>
      <c r="AE139" s="1755"/>
      <c r="AF139" s="2577"/>
      <c r="AG139" s="2577"/>
      <c r="AH139" s="2577"/>
      <c r="AI139" s="2577"/>
      <c r="AJ139" s="2577"/>
      <c r="AK139" s="2843"/>
      <c r="AL139" s="1833"/>
      <c r="AM139" s="1833"/>
      <c r="AN139" s="1833"/>
      <c r="AO139" s="1833"/>
      <c r="AP139" s="2852">
        <v>11</v>
      </c>
    </row>
    <row s="65897" customFormat="1" customHeight="1" ht="11.549999999999999">
      <c r="A140" s="2198"/>
      <c r="B140" s="2198"/>
      <c r="C140" s="2198"/>
      <c r="D140" s="2198"/>
      <c r="E140" s="2198"/>
      <c r="F140" s="2847"/>
      <c r="G140" s="2847"/>
      <c r="H140" s="1562"/>
      <c r="N140" s="13495"/>
      <c r="O140" s="13495"/>
      <c r="P140" s="13495"/>
      <c r="Q140" s="13495"/>
      <c r="R140" s="13495"/>
      <c r="S140" s="2577"/>
      <c r="U140" s="2577"/>
      <c r="V140" s="2847"/>
      <c r="W140" s="2847"/>
      <c r="X140" s="2577"/>
      <c r="Y140" s="2577"/>
      <c r="Z140" s="2577"/>
      <c r="AA140" s="2577"/>
      <c r="AB140" s="2847"/>
      <c r="AC140" s="2577"/>
      <c r="AD140" s="2577"/>
      <c r="AE140" s="1755"/>
      <c r="AF140" s="2577"/>
      <c r="AG140" s="2577"/>
      <c r="AH140" s="2577"/>
      <c r="AI140" s="2577"/>
      <c r="AJ140" s="2577"/>
      <c r="AK140" s="2843"/>
      <c r="AL140" s="1833"/>
      <c r="AM140" s="1833"/>
      <c r="AN140" s="1833"/>
      <c r="AO140" s="1833"/>
      <c r="AP140" s="2852">
        <v>11</v>
      </c>
    </row>
    <row s="65897" customFormat="1" customHeight="1" ht="11.549999999999999">
      <c r="A141" s="2198"/>
      <c r="B141" s="2198"/>
      <c r="C141" s="2198"/>
      <c r="D141" s="2198"/>
      <c r="E141" s="2198"/>
      <c r="F141" s="2847"/>
      <c r="G141" s="2847"/>
      <c r="H141" s="1562"/>
      <c r="N141" s="13495"/>
      <c r="O141" s="13495"/>
      <c r="P141" s="13495"/>
      <c r="Q141" s="13495"/>
      <c r="R141" s="13495"/>
      <c r="S141" s="2577"/>
      <c r="U141" s="2577"/>
      <c r="V141" s="2847"/>
      <c r="W141" s="2847"/>
      <c r="X141" s="2577"/>
      <c r="Y141" s="2577"/>
      <c r="Z141" s="2577"/>
      <c r="AA141" s="2577"/>
      <c r="AB141" s="2847"/>
      <c r="AC141" s="2577"/>
      <c r="AD141" s="2577"/>
      <c r="AE141" s="1755"/>
      <c r="AF141" s="2577"/>
      <c r="AG141" s="2577"/>
      <c r="AH141" s="2577"/>
      <c r="AI141" s="2577"/>
      <c r="AJ141" s="2577"/>
      <c r="AK141" s="2843"/>
      <c r="AL141" s="1833"/>
      <c r="AM141" s="1833"/>
      <c r="AN141" s="1833"/>
      <c r="AO141" s="1833"/>
      <c r="AP141" s="2852">
        <v>11</v>
      </c>
    </row>
    <row s="65897" customFormat="1" customHeight="1" ht="11.549999999999999">
      <c r="A142" s="2198"/>
      <c r="B142" s="2198"/>
      <c r="C142" s="2198"/>
      <c r="D142" s="2198"/>
      <c r="E142" s="2198"/>
      <c r="F142" s="2847"/>
      <c r="G142" s="2847"/>
      <c r="H142" s="1562"/>
      <c r="N142" s="13495"/>
      <c r="O142" s="13495"/>
      <c r="P142" s="13495"/>
      <c r="Q142" s="13495"/>
      <c r="R142" s="13495"/>
      <c r="S142" s="2577"/>
      <c r="U142" s="2577"/>
      <c r="V142" s="2847"/>
      <c r="W142" s="2847"/>
      <c r="X142" s="2577"/>
      <c r="Y142" s="2577"/>
      <c r="Z142" s="2577"/>
      <c r="AA142" s="2577"/>
      <c r="AB142" s="2847"/>
      <c r="AC142" s="2577"/>
      <c r="AD142" s="2577"/>
      <c r="AE142" s="1755"/>
      <c r="AF142" s="2577"/>
      <c r="AG142" s="2577"/>
      <c r="AH142" s="2577"/>
      <c r="AI142" s="2577"/>
      <c r="AJ142" s="2577"/>
      <c r="AK142" s="2843"/>
      <c r="AL142" s="1833"/>
      <c r="AM142" s="1833"/>
      <c r="AN142" s="1833"/>
      <c r="AO142" s="1833"/>
      <c r="AP142" s="2852">
        <v>11</v>
      </c>
    </row>
    <row s="65897" customFormat="1" customHeight="1" ht="11.549999999999999">
      <c r="A143" s="2198"/>
      <c r="B143" s="2198"/>
      <c r="C143" s="2198"/>
      <c r="D143" s="2198"/>
      <c r="E143" s="2198"/>
      <c r="F143" s="2847"/>
      <c r="G143" s="2847"/>
      <c r="H143" s="1562"/>
      <c r="N143" s="13495"/>
      <c r="O143" s="13495"/>
      <c r="P143" s="13495"/>
      <c r="Q143" s="13495"/>
      <c r="R143" s="13495"/>
      <c r="S143" s="2577"/>
      <c r="U143" s="2577"/>
      <c r="V143" s="2847"/>
      <c r="W143" s="2847"/>
      <c r="X143" s="2577"/>
      <c r="Y143" s="2577"/>
      <c r="Z143" s="2577"/>
      <c r="AA143" s="2577"/>
      <c r="AB143" s="2847"/>
      <c r="AC143" s="2577"/>
      <c r="AD143" s="2577"/>
      <c r="AE143" s="1755"/>
      <c r="AF143" s="2577"/>
      <c r="AG143" s="2577"/>
      <c r="AH143" s="2577"/>
      <c r="AI143" s="2577"/>
      <c r="AJ143" s="2577"/>
      <c r="AK143" s="2843"/>
      <c r="AL143" s="1833"/>
      <c r="AM143" s="1833"/>
      <c r="AN143" s="1833"/>
      <c r="AO143" s="1833"/>
      <c r="AP143" s="2852">
        <v>11</v>
      </c>
    </row>
    <row s="65897" customFormat="1" customHeight="1" ht="11.549999999999999">
      <c r="A144" s="2198"/>
      <c r="B144" s="2198"/>
      <c r="C144" s="2198"/>
      <c r="D144" s="2198"/>
      <c r="E144" s="2198"/>
      <c r="F144" s="2847"/>
      <c r="G144" s="2847"/>
      <c r="H144" s="1562"/>
      <c r="N144" s="13495"/>
      <c r="O144" s="13495"/>
      <c r="P144" s="13495"/>
      <c r="Q144" s="13495"/>
      <c r="R144" s="13495"/>
      <c r="S144" s="2577"/>
      <c r="U144" s="2577"/>
      <c r="V144" s="2847"/>
      <c r="W144" s="2847"/>
      <c r="X144" s="2577"/>
      <c r="Y144" s="2577"/>
      <c r="Z144" s="2577"/>
      <c r="AA144" s="2577"/>
      <c r="AB144" s="2847"/>
      <c r="AC144" s="2577"/>
      <c r="AD144" s="2577"/>
      <c r="AE144" s="1755"/>
      <c r="AF144" s="2577"/>
      <c r="AG144" s="2577"/>
      <c r="AH144" s="2577"/>
      <c r="AI144" s="2577"/>
      <c r="AJ144" s="2577"/>
      <c r="AK144" s="2843"/>
      <c r="AL144" s="1833"/>
      <c r="AM144" s="1833"/>
      <c r="AN144" s="1833"/>
      <c r="AO144" s="1833"/>
      <c r="AP144" s="2852">
        <v>11</v>
      </c>
    </row>
    <row s="65897" customFormat="1" customHeight="1" ht="11.549999999999999">
      <c r="A145" s="2198"/>
      <c r="B145" s="2198"/>
      <c r="C145" s="2198"/>
      <c r="D145" s="2198"/>
      <c r="E145" s="2198"/>
      <c r="F145" s="2847"/>
      <c r="G145" s="2847"/>
      <c r="H145" s="1562"/>
      <c r="N145" s="13495"/>
      <c r="O145" s="13495"/>
      <c r="P145" s="13495"/>
      <c r="Q145" s="13495"/>
      <c r="R145" s="13495"/>
      <c r="S145" s="2577"/>
      <c r="U145" s="2577"/>
      <c r="V145" s="2847"/>
      <c r="W145" s="2847"/>
      <c r="X145" s="2577"/>
      <c r="Y145" s="2577"/>
      <c r="Z145" s="2577"/>
      <c r="AA145" s="2577"/>
      <c r="AB145" s="2847"/>
      <c r="AC145" s="2577"/>
      <c r="AD145" s="2577"/>
      <c r="AE145" s="1755"/>
      <c r="AF145" s="2577"/>
      <c r="AG145" s="2577"/>
      <c r="AH145" s="2577"/>
      <c r="AI145" s="2577"/>
      <c r="AJ145" s="2577"/>
      <c r="AK145" s="2843"/>
      <c r="AL145" s="1833"/>
      <c r="AM145" s="1833"/>
      <c r="AN145" s="1833"/>
      <c r="AO145" s="1833"/>
      <c r="AP145" s="2852">
        <v>11</v>
      </c>
    </row>
    <row s="65897" customFormat="1" customHeight="1" ht="11.549999999999999">
      <c r="A146" s="2198"/>
      <c r="B146" s="2198"/>
      <c r="C146" s="2198"/>
      <c r="D146" s="2198"/>
      <c r="E146" s="2198"/>
      <c r="F146" s="2847"/>
      <c r="G146" s="2847"/>
      <c r="H146" s="1562"/>
      <c r="N146" s="13495"/>
      <c r="O146" s="13495"/>
      <c r="P146" s="13495"/>
      <c r="Q146" s="13495"/>
      <c r="R146" s="13495"/>
      <c r="S146" s="2577"/>
      <c r="U146" s="2577"/>
      <c r="V146" s="2847"/>
      <c r="W146" s="2847"/>
      <c r="X146" s="2577"/>
      <c r="Y146" s="2577"/>
      <c r="Z146" s="2577"/>
      <c r="AA146" s="2577"/>
      <c r="AB146" s="2847"/>
      <c r="AC146" s="2577"/>
      <c r="AD146" s="2577"/>
      <c r="AE146" s="1755"/>
      <c r="AF146" s="2577"/>
      <c r="AG146" s="2577"/>
      <c r="AH146" s="2577"/>
      <c r="AI146" s="2577"/>
      <c r="AJ146" s="2577"/>
      <c r="AK146" s="2843"/>
      <c r="AL146" s="1833"/>
      <c r="AM146" s="1833"/>
      <c r="AN146" s="1833"/>
      <c r="AO146" s="1833"/>
      <c r="AP146" s="2852">
        <v>11</v>
      </c>
    </row>
    <row s="65897" customFormat="1" customHeight="1" ht="11.549999999999999">
      <c r="A147" s="2198"/>
      <c r="B147" s="2198"/>
      <c r="C147" s="2198"/>
      <c r="D147" s="2198"/>
      <c r="E147" s="2198"/>
      <c r="F147" s="2847"/>
      <c r="G147" s="2847"/>
      <c r="H147" s="1562"/>
      <c r="N147" s="13495"/>
      <c r="O147" s="13495"/>
      <c r="P147" s="13495"/>
      <c r="Q147" s="13495"/>
      <c r="R147" s="13495"/>
      <c r="S147" s="2577"/>
      <c r="U147" s="2577"/>
      <c r="V147" s="2847"/>
      <c r="W147" s="2847"/>
      <c r="X147" s="2577"/>
      <c r="Y147" s="2577"/>
      <c r="Z147" s="2577"/>
      <c r="AA147" s="2577"/>
      <c r="AB147" s="2847"/>
      <c r="AC147" s="2577"/>
      <c r="AD147" s="2577"/>
      <c r="AE147" s="1755"/>
      <c r="AF147" s="2577"/>
      <c r="AG147" s="2577"/>
      <c r="AH147" s="2577"/>
      <c r="AI147" s="2577"/>
      <c r="AJ147" s="2577"/>
      <c r="AK147" s="2843"/>
      <c r="AL147" s="1833"/>
      <c r="AM147" s="1833"/>
      <c r="AN147" s="1833"/>
      <c r="AO147" s="1833"/>
      <c r="AP147" s="2852">
        <v>11</v>
      </c>
    </row>
    <row s="65897" customFormat="1" customHeight="1" ht="11.549999999999999">
      <c r="A148" s="2198"/>
      <c r="B148" s="2198"/>
      <c r="C148" s="2198"/>
      <c r="D148" s="2198"/>
      <c r="E148" s="2198"/>
      <c r="F148" s="2847"/>
      <c r="G148" s="2847"/>
      <c r="H148" s="1562"/>
      <c r="N148" s="13495"/>
      <c r="O148" s="13495"/>
      <c r="P148" s="13495"/>
      <c r="Q148" s="13495"/>
      <c r="R148" s="13495"/>
      <c r="S148" s="2577"/>
      <c r="U148" s="2577"/>
      <c r="V148" s="2847"/>
      <c r="W148" s="2847"/>
      <c r="X148" s="2577"/>
      <c r="Y148" s="2577"/>
      <c r="Z148" s="2577"/>
      <c r="AA148" s="2577"/>
      <c r="AB148" s="2847"/>
      <c r="AC148" s="2577"/>
      <c r="AD148" s="2577"/>
      <c r="AE148" s="1755"/>
      <c r="AF148" s="2577"/>
      <c r="AG148" s="2577"/>
      <c r="AH148" s="2577"/>
      <c r="AI148" s="2577"/>
      <c r="AJ148" s="2577"/>
      <c r="AK148" s="2843"/>
      <c r="AL148" s="1833"/>
      <c r="AM148" s="1833"/>
      <c r="AN148" s="1833"/>
      <c r="AO148" s="1833"/>
      <c r="AP148" s="2852">
        <v>11</v>
      </c>
    </row>
    <row s="65897" customFormat="1" customHeight="1" ht="11.549999999999999">
      <c r="A149" s="2198"/>
      <c r="B149" s="2198"/>
      <c r="C149" s="2198"/>
      <c r="D149" s="2198"/>
      <c r="E149" s="2198"/>
      <c r="F149" s="2847"/>
      <c r="G149" s="2847"/>
      <c r="H149" s="1562"/>
      <c r="N149" s="13495"/>
      <c r="O149" s="13495"/>
      <c r="P149" s="13495"/>
      <c r="Q149" s="13495"/>
      <c r="R149" s="13495"/>
      <c r="S149" s="2577"/>
      <c r="U149" s="2577"/>
      <c r="V149" s="2847"/>
      <c r="W149" s="2847"/>
      <c r="X149" s="2577"/>
      <c r="Y149" s="2577"/>
      <c r="Z149" s="2577"/>
      <c r="AA149" s="2577"/>
      <c r="AB149" s="2847"/>
      <c r="AC149" s="2577"/>
      <c r="AD149" s="2577"/>
      <c r="AE149" s="1755"/>
      <c r="AF149" s="2577"/>
      <c r="AG149" s="2577"/>
      <c r="AH149" s="2577"/>
      <c r="AI149" s="2577"/>
      <c r="AJ149" s="2577"/>
      <c r="AK149" s="2843"/>
      <c r="AL149" s="1833"/>
      <c r="AM149" s="1833"/>
      <c r="AN149" s="1833"/>
      <c r="AO149" s="1833"/>
      <c r="AP149" s="2852">
        <v>11</v>
      </c>
    </row>
    <row s="65897" customFormat="1" customHeight="1" ht="11.549999999999999">
      <c r="A150" s="2198"/>
      <c r="B150" s="2198"/>
      <c r="C150" s="2198"/>
      <c r="D150" s="2198"/>
      <c r="E150" s="2198"/>
      <c r="F150" s="2847"/>
      <c r="G150" s="2847"/>
      <c r="H150" s="1562"/>
      <c r="N150" s="13495"/>
      <c r="O150" s="13495"/>
      <c r="P150" s="13495"/>
      <c r="Q150" s="13495"/>
      <c r="R150" s="13495"/>
      <c r="S150" s="2577"/>
      <c r="U150" s="2577"/>
      <c r="V150" s="2847"/>
      <c r="W150" s="2847"/>
      <c r="X150" s="2577"/>
      <c r="Y150" s="2577"/>
      <c r="Z150" s="2577"/>
      <c r="AA150" s="2577"/>
      <c r="AB150" s="2847"/>
      <c r="AC150" s="2577"/>
      <c r="AD150" s="2577"/>
      <c r="AE150" s="1755"/>
      <c r="AF150" s="2577"/>
      <c r="AG150" s="2577"/>
      <c r="AH150" s="2577"/>
      <c r="AI150" s="2577"/>
      <c r="AJ150" s="2577"/>
      <c r="AK150" s="2843"/>
      <c r="AL150" s="1833"/>
      <c r="AM150" s="1833"/>
      <c r="AN150" s="1833"/>
      <c r="AO150" s="1833"/>
      <c r="AP150" s="2852">
        <v>11</v>
      </c>
    </row>
    <row s="65897" customFormat="1" customHeight="1" ht="11.549999999999999">
      <c r="A151" s="2198"/>
      <c r="B151" s="2198"/>
      <c r="C151" s="2198"/>
      <c r="D151" s="2198"/>
      <c r="E151" s="2198"/>
      <c r="F151" s="2847"/>
      <c r="G151" s="2847"/>
      <c r="H151" s="1562"/>
      <c r="N151" s="13495"/>
      <c r="O151" s="13495"/>
      <c r="P151" s="13495"/>
      <c r="Q151" s="13495"/>
      <c r="R151" s="13495"/>
      <c r="S151" s="2577"/>
      <c r="U151" s="2577"/>
      <c r="V151" s="2847"/>
      <c r="W151" s="2847"/>
      <c r="X151" s="2577"/>
      <c r="Y151" s="2577"/>
      <c r="Z151" s="2577"/>
      <c r="AA151" s="2577"/>
      <c r="AB151" s="2847"/>
      <c r="AC151" s="2577"/>
      <c r="AD151" s="2577"/>
      <c r="AE151" s="1755"/>
      <c r="AF151" s="2577"/>
      <c r="AG151" s="2577"/>
      <c r="AH151" s="2577"/>
      <c r="AI151" s="2577"/>
      <c r="AJ151" s="2577"/>
      <c r="AK151" s="2843"/>
      <c r="AL151" s="1833"/>
      <c r="AM151" s="1833"/>
      <c r="AN151" s="1833"/>
      <c r="AO151" s="1833"/>
      <c r="AP151" s="2852">
        <v>11</v>
      </c>
    </row>
    <row s="65897" customFormat="1" customHeight="1" ht="11.549999999999999">
      <c r="A152" s="2198"/>
      <c r="B152" s="2198"/>
      <c r="C152" s="2198"/>
      <c r="D152" s="2198"/>
      <c r="E152" s="2198"/>
      <c r="F152" s="2847"/>
      <c r="G152" s="2847"/>
      <c r="H152" s="1562"/>
      <c r="N152" s="13495"/>
      <c r="O152" s="13495"/>
      <c r="P152" s="13495"/>
      <c r="Q152" s="13495"/>
      <c r="R152" s="13495"/>
      <c r="S152" s="2577"/>
      <c r="U152" s="2577"/>
      <c r="V152" s="2847"/>
      <c r="W152" s="2847"/>
      <c r="X152" s="2577"/>
      <c r="Y152" s="2577"/>
      <c r="Z152" s="2577"/>
      <c r="AA152" s="2577"/>
      <c r="AB152" s="2847"/>
      <c r="AC152" s="2577"/>
      <c r="AD152" s="2577"/>
      <c r="AE152" s="1755"/>
      <c r="AF152" s="2577"/>
      <c r="AG152" s="2577"/>
      <c r="AH152" s="2577"/>
      <c r="AI152" s="2577"/>
      <c r="AJ152" s="2577"/>
      <c r="AK152" s="2843"/>
      <c r="AL152" s="1833"/>
      <c r="AM152" s="1833"/>
      <c r="AN152" s="1833"/>
      <c r="AO152" s="1833"/>
      <c r="AP152" s="2852">
        <v>11</v>
      </c>
    </row>
    <row s="65897" customFormat="1" customHeight="1" ht="11.549999999999999">
      <c r="A153" s="2198"/>
      <c r="B153" s="2198"/>
      <c r="C153" s="2198"/>
      <c r="D153" s="2198"/>
      <c r="E153" s="2198"/>
      <c r="F153" s="2847"/>
      <c r="G153" s="2847"/>
      <c r="H153" s="1562"/>
      <c r="N153" s="13495"/>
      <c r="O153" s="13495"/>
      <c r="P153" s="13495"/>
      <c r="Q153" s="13495"/>
      <c r="R153" s="13495"/>
      <c r="S153" s="2577"/>
      <c r="U153" s="2577"/>
      <c r="V153" s="2847"/>
      <c r="W153" s="2847"/>
      <c r="X153" s="2577"/>
      <c r="Y153" s="2577"/>
      <c r="Z153" s="2577"/>
      <c r="AA153" s="2577"/>
      <c r="AB153" s="2847"/>
      <c r="AC153" s="2577"/>
      <c r="AD153" s="2577"/>
      <c r="AE153" s="1755"/>
      <c r="AF153" s="2577"/>
      <c r="AG153" s="2577"/>
      <c r="AH153" s="2577"/>
      <c r="AI153" s="2577"/>
      <c r="AJ153" s="2577"/>
      <c r="AK153" s="2843"/>
      <c r="AL153" s="1833"/>
      <c r="AM153" s="1833"/>
      <c r="AN153" s="1833"/>
      <c r="AO153" s="1833"/>
      <c r="AP153" s="2852">
        <v>11</v>
      </c>
    </row>
    <row s="65897" customFormat="1" customHeight="1" ht="11.549999999999999">
      <c r="A154" s="2198"/>
      <c r="B154" s="2198"/>
      <c r="C154" s="2198"/>
      <c r="D154" s="2198"/>
      <c r="E154" s="2198"/>
      <c r="F154" s="2847"/>
      <c r="G154" s="2847"/>
      <c r="H154" s="1562"/>
      <c r="N154" s="13495"/>
      <c r="O154" s="13495"/>
      <c r="P154" s="13495"/>
      <c r="Q154" s="13495"/>
      <c r="R154" s="13495"/>
      <c r="S154" s="2577"/>
      <c r="U154" s="2577"/>
      <c r="V154" s="2847"/>
      <c r="W154" s="2847"/>
      <c r="X154" s="2577"/>
      <c r="Y154" s="2577"/>
      <c r="Z154" s="2577"/>
      <c r="AA154" s="2577"/>
      <c r="AB154" s="2847"/>
      <c r="AC154" s="2577"/>
      <c r="AD154" s="2577"/>
      <c r="AE154" s="1755"/>
      <c r="AF154" s="2577"/>
      <c r="AG154" s="2577"/>
      <c r="AH154" s="2577"/>
      <c r="AI154" s="2577"/>
      <c r="AJ154" s="2577"/>
      <c r="AK154" s="2843"/>
      <c r="AL154" s="1833"/>
      <c r="AM154" s="1833"/>
      <c r="AN154" s="1833"/>
      <c r="AO154" s="1833"/>
      <c r="AP154" s="2852">
        <v>11</v>
      </c>
    </row>
    <row s="65897" customFormat="1" customHeight="1" ht="11.549999999999999">
      <c r="A155" s="2198"/>
      <c r="B155" s="2198"/>
      <c r="C155" s="2198"/>
      <c r="D155" s="2198"/>
      <c r="E155" s="2198"/>
      <c r="F155" s="2847"/>
      <c r="G155" s="2847"/>
      <c r="H155" s="1562"/>
      <c r="N155" s="13495"/>
      <c r="O155" s="13495"/>
      <c r="P155" s="13495"/>
      <c r="Q155" s="13495"/>
      <c r="R155" s="13495"/>
      <c r="S155" s="2577"/>
      <c r="U155" s="2577"/>
      <c r="V155" s="2847"/>
      <c r="W155" s="2847"/>
      <c r="X155" s="2577"/>
      <c r="Y155" s="2577"/>
      <c r="Z155" s="2577"/>
      <c r="AA155" s="2577"/>
      <c r="AB155" s="2847"/>
      <c r="AC155" s="2577"/>
      <c r="AD155" s="2577"/>
      <c r="AE155" s="1755"/>
      <c r="AF155" s="2577"/>
      <c r="AG155" s="2577"/>
      <c r="AH155" s="2577"/>
      <c r="AI155" s="2577"/>
      <c r="AJ155" s="2577"/>
      <c r="AK155" s="2843"/>
      <c r="AL155" s="1833"/>
      <c r="AM155" s="1833"/>
      <c r="AN155" s="1833"/>
      <c r="AO155" s="1833"/>
      <c r="AP155" s="2852">
        <v>11</v>
      </c>
    </row>
    <row s="65897" customFormat="1" customHeight="1" ht="11.549999999999999">
      <c r="A156" s="2198"/>
      <c r="B156" s="2198"/>
      <c r="C156" s="2198"/>
      <c r="D156" s="2198"/>
      <c r="E156" s="2198"/>
      <c r="F156" s="2847"/>
      <c r="G156" s="2847"/>
      <c r="H156" s="1562"/>
      <c r="N156" s="13495"/>
      <c r="O156" s="13495"/>
      <c r="P156" s="13495"/>
      <c r="Q156" s="13495"/>
      <c r="R156" s="13495"/>
      <c r="S156" s="2577"/>
      <c r="U156" s="2577"/>
      <c r="V156" s="2847"/>
      <c r="W156" s="2847"/>
      <c r="X156" s="2577"/>
      <c r="Y156" s="2577"/>
      <c r="Z156" s="2577"/>
      <c r="AA156" s="2577"/>
      <c r="AB156" s="2847"/>
      <c r="AC156" s="2577"/>
      <c r="AD156" s="2577"/>
      <c r="AE156" s="1755"/>
      <c r="AF156" s="2577"/>
      <c r="AG156" s="2577"/>
      <c r="AH156" s="2577"/>
      <c r="AI156" s="2577"/>
      <c r="AJ156" s="2577"/>
      <c r="AK156" s="2843"/>
      <c r="AL156" s="1833"/>
      <c r="AM156" s="1833"/>
      <c r="AN156" s="1833"/>
      <c r="AO156" s="1833"/>
      <c r="AP156" s="2852">
        <v>11</v>
      </c>
    </row>
    <row s="65897" customFormat="1" customHeight="1" ht="11.549999999999999">
      <c r="A157" s="2198"/>
      <c r="B157" s="2198"/>
      <c r="C157" s="2198"/>
      <c r="D157" s="2198"/>
      <c r="E157" s="2198"/>
      <c r="F157" s="2847"/>
      <c r="G157" s="2847"/>
      <c r="H157" s="1562"/>
      <c r="N157" s="13495"/>
      <c r="O157" s="13495"/>
      <c r="P157" s="13495"/>
      <c r="Q157" s="13495"/>
      <c r="R157" s="13495"/>
      <c r="S157" s="2577"/>
      <c r="U157" s="2577"/>
      <c r="V157" s="2847"/>
      <c r="W157" s="2847"/>
      <c r="X157" s="2577"/>
      <c r="Y157" s="2577"/>
      <c r="Z157" s="2577"/>
      <c r="AA157" s="2577"/>
      <c r="AB157" s="2847"/>
      <c r="AC157" s="2577"/>
      <c r="AD157" s="2577"/>
      <c r="AE157" s="1755"/>
      <c r="AF157" s="2577"/>
      <c r="AG157" s="2577"/>
      <c r="AH157" s="2577"/>
      <c r="AI157" s="2577"/>
      <c r="AJ157" s="2577"/>
      <c r="AK157" s="2843"/>
      <c r="AL157" s="1833"/>
      <c r="AM157" s="1833"/>
      <c r="AN157" s="1833"/>
      <c r="AO157" s="1833"/>
      <c r="AP157" s="2852">
        <v>11</v>
      </c>
    </row>
    <row s="65897" customFormat="1" customHeight="1" ht="11.549999999999999">
      <c r="A158" s="2198"/>
      <c r="B158" s="2198"/>
      <c r="C158" s="2198"/>
      <c r="D158" s="2198"/>
      <c r="E158" s="2198"/>
      <c r="F158" s="2847"/>
      <c r="G158" s="2847"/>
      <c r="H158" s="1562"/>
      <c r="N158" s="13495"/>
      <c r="O158" s="13495"/>
      <c r="P158" s="13495"/>
      <c r="Q158" s="13495"/>
      <c r="R158" s="13495"/>
      <c r="S158" s="2577"/>
      <c r="U158" s="2577"/>
      <c r="V158" s="2847"/>
      <c r="W158" s="2847"/>
      <c r="X158" s="2577"/>
      <c r="Y158" s="2577"/>
      <c r="Z158" s="2577"/>
      <c r="AA158" s="2577"/>
      <c r="AB158" s="2847"/>
      <c r="AC158" s="2577"/>
      <c r="AD158" s="2577"/>
      <c r="AE158" s="1755"/>
      <c r="AF158" s="2577"/>
      <c r="AG158" s="2577"/>
      <c r="AH158" s="2577"/>
      <c r="AI158" s="2577"/>
      <c r="AJ158" s="2577"/>
      <c r="AK158" s="2843"/>
      <c r="AL158" s="1833"/>
      <c r="AM158" s="1833"/>
      <c r="AN158" s="1833"/>
      <c r="AO158" s="1833"/>
      <c r="AP158" s="2852">
        <v>11</v>
      </c>
    </row>
    <row s="65897" customFormat="1" customHeight="1" ht="11.549999999999999">
      <c r="A159" s="2198"/>
      <c r="B159" s="2198"/>
      <c r="C159" s="2198"/>
      <c r="D159" s="2198"/>
      <c r="E159" s="2198"/>
      <c r="F159" s="2847"/>
      <c r="G159" s="2847"/>
      <c r="H159" s="1562"/>
      <c r="N159" s="13495"/>
      <c r="O159" s="13495"/>
      <c r="P159" s="13495"/>
      <c r="Q159" s="13495"/>
      <c r="R159" s="13495"/>
      <c r="S159" s="2577"/>
      <c r="U159" s="2577"/>
      <c r="V159" s="2847"/>
      <c r="W159" s="2847"/>
      <c r="X159" s="2577"/>
      <c r="Y159" s="2577"/>
      <c r="Z159" s="2577"/>
      <c r="AA159" s="2577"/>
      <c r="AB159" s="2847"/>
      <c r="AC159" s="2577"/>
      <c r="AD159" s="2577"/>
      <c r="AE159" s="1755"/>
      <c r="AF159" s="2577"/>
      <c r="AG159" s="2577"/>
      <c r="AH159" s="2577"/>
      <c r="AI159" s="2577"/>
      <c r="AJ159" s="2577"/>
      <c r="AK159" s="2843"/>
      <c r="AL159" s="1833"/>
      <c r="AM159" s="1833"/>
      <c r="AN159" s="1833"/>
      <c r="AO159" s="1833"/>
      <c r="AP159" s="2852">
        <v>11</v>
      </c>
    </row>
    <row s="65897" customFormat="1" customHeight="1" ht="11.549999999999999">
      <c r="A160" s="2198"/>
      <c r="B160" s="2198"/>
      <c r="C160" s="2198"/>
      <c r="D160" s="2198"/>
      <c r="E160" s="2198"/>
      <c r="F160" s="2847"/>
      <c r="G160" s="2847"/>
      <c r="H160" s="1562"/>
      <c r="N160" s="13495"/>
      <c r="O160" s="13495"/>
      <c r="P160" s="13495"/>
      <c r="Q160" s="13495"/>
      <c r="R160" s="13495"/>
      <c r="S160" s="2577"/>
      <c r="U160" s="2577"/>
      <c r="V160" s="2847"/>
      <c r="W160" s="2847"/>
      <c r="X160" s="2577"/>
      <c r="Y160" s="2577"/>
      <c r="Z160" s="2577"/>
      <c r="AA160" s="2577"/>
      <c r="AB160" s="2847"/>
      <c r="AC160" s="2577"/>
      <c r="AD160" s="2577"/>
      <c r="AE160" s="1755"/>
      <c r="AF160" s="2577"/>
      <c r="AG160" s="2577"/>
      <c r="AH160" s="2577"/>
      <c r="AI160" s="2577"/>
      <c r="AJ160" s="2577"/>
      <c r="AK160" s="2843"/>
      <c r="AL160" s="1833"/>
      <c r="AM160" s="1833"/>
      <c r="AN160" s="1833"/>
      <c r="AO160" s="1833"/>
      <c r="AP160" s="2852">
        <v>11</v>
      </c>
    </row>
    <row s="65897" customFormat="1" customHeight="1" ht="11.549999999999999">
      <c r="A161" s="2198"/>
      <c r="B161" s="2198"/>
      <c r="C161" s="2198"/>
      <c r="D161" s="2198"/>
      <c r="E161" s="2198"/>
      <c r="F161" s="2847"/>
      <c r="G161" s="2847"/>
      <c r="H161" s="1562"/>
      <c r="N161" s="13495"/>
      <c r="O161" s="13495"/>
      <c r="P161" s="13495"/>
      <c r="Q161" s="13495"/>
      <c r="R161" s="13495"/>
      <c r="S161" s="2577"/>
      <c r="U161" s="2577"/>
      <c r="V161" s="2847"/>
      <c r="W161" s="2847"/>
      <c r="X161" s="2577"/>
      <c r="Y161" s="2577"/>
      <c r="Z161" s="2577"/>
      <c r="AA161" s="2577"/>
      <c r="AB161" s="2847"/>
      <c r="AC161" s="2577"/>
      <c r="AD161" s="2577"/>
      <c r="AE161" s="1755"/>
      <c r="AF161" s="2577"/>
      <c r="AG161" s="2577"/>
      <c r="AH161" s="2577"/>
      <c r="AI161" s="2577"/>
      <c r="AJ161" s="2577"/>
      <c r="AK161" s="2843"/>
      <c r="AL161" s="1833"/>
      <c r="AM161" s="1833"/>
      <c r="AN161" s="1833"/>
      <c r="AO161" s="1833"/>
      <c r="AP161" s="2852">
        <v>11</v>
      </c>
    </row>
    <row s="65897" customFormat="1" customHeight="1" ht="11.549999999999999">
      <c r="A162" s="2198"/>
      <c r="B162" s="2198"/>
      <c r="C162" s="2198"/>
      <c r="D162" s="2198"/>
      <c r="E162" s="2198"/>
      <c r="F162" s="2847"/>
      <c r="G162" s="2847"/>
      <c r="H162" s="1562"/>
      <c r="N162" s="13495"/>
      <c r="O162" s="13495"/>
      <c r="P162" s="13495"/>
      <c r="Q162" s="13495"/>
      <c r="R162" s="13495"/>
      <c r="S162" s="2577"/>
      <c r="U162" s="2577"/>
      <c r="V162" s="2847"/>
      <c r="W162" s="2847"/>
      <c r="X162" s="2577"/>
      <c r="Y162" s="2577"/>
      <c r="Z162" s="2577"/>
      <c r="AA162" s="2577"/>
      <c r="AB162" s="2847"/>
      <c r="AC162" s="2577"/>
      <c r="AD162" s="2577"/>
      <c r="AE162" s="1755"/>
      <c r="AF162" s="2577"/>
      <c r="AG162" s="2577"/>
      <c r="AH162" s="2577"/>
      <c r="AI162" s="2577"/>
      <c r="AJ162" s="2577"/>
      <c r="AK162" s="2843"/>
      <c r="AL162" s="1833"/>
      <c r="AM162" s="1833"/>
      <c r="AN162" s="1833"/>
      <c r="AO162" s="1833"/>
      <c r="AP162" s="2852">
        <v>11</v>
      </c>
    </row>
    <row s="65897" customFormat="1" customHeight="1" ht="11.549999999999999">
      <c r="A163" s="2198"/>
      <c r="B163" s="2198"/>
      <c r="C163" s="2198"/>
      <c r="D163" s="2198"/>
      <c r="E163" s="2198"/>
      <c r="F163" s="2847"/>
      <c r="G163" s="2847"/>
      <c r="H163" s="1562"/>
      <c r="N163" s="13495"/>
      <c r="O163" s="13495"/>
      <c r="P163" s="13495"/>
      <c r="Q163" s="13495"/>
      <c r="R163" s="13495"/>
      <c r="S163" s="2577"/>
      <c r="U163" s="2577"/>
      <c r="V163" s="2847"/>
      <c r="W163" s="2847"/>
      <c r="X163" s="2577"/>
      <c r="Y163" s="2577"/>
      <c r="Z163" s="2577"/>
      <c r="AA163" s="2577"/>
      <c r="AB163" s="2847"/>
      <c r="AC163" s="2577"/>
      <c r="AD163" s="2577"/>
      <c r="AE163" s="1755"/>
      <c r="AF163" s="2577"/>
      <c r="AG163" s="2577"/>
      <c r="AH163" s="2577"/>
      <c r="AI163" s="2577"/>
      <c r="AJ163" s="2577"/>
      <c r="AK163" s="2843"/>
      <c r="AL163" s="1833"/>
      <c r="AM163" s="1833"/>
      <c r="AN163" s="1833"/>
      <c r="AO163" s="1833"/>
      <c r="AP163" s="2852">
        <v>11</v>
      </c>
    </row>
    <row s="65897" customFormat="1" customHeight="1" ht="11.549999999999999">
      <c r="A164" s="2198"/>
      <c r="B164" s="2198"/>
      <c r="C164" s="2198"/>
      <c r="D164" s="2198"/>
      <c r="E164" s="2198"/>
      <c r="F164" s="2847"/>
      <c r="G164" s="2847"/>
      <c r="H164" s="1562"/>
      <c r="N164" s="13495"/>
      <c r="O164" s="13495"/>
      <c r="P164" s="13495"/>
      <c r="Q164" s="13495"/>
      <c r="R164" s="13495"/>
      <c r="S164" s="2577"/>
      <c r="U164" s="2577"/>
      <c r="V164" s="2847"/>
      <c r="W164" s="2847"/>
      <c r="X164" s="2577"/>
      <c r="Y164" s="2577"/>
      <c r="Z164" s="2577"/>
      <c r="AA164" s="2577"/>
      <c r="AB164" s="2847"/>
      <c r="AC164" s="2577"/>
      <c r="AD164" s="2577"/>
      <c r="AE164" s="1755"/>
      <c r="AF164" s="2577"/>
      <c r="AG164" s="2577"/>
      <c r="AH164" s="2577"/>
      <c r="AI164" s="2577"/>
      <c r="AJ164" s="2577"/>
      <c r="AK164" s="2843"/>
      <c r="AL164" s="1833"/>
      <c r="AM164" s="1833"/>
      <c r="AN164" s="1833"/>
      <c r="AO164" s="1833"/>
      <c r="AP164" s="2852">
        <v>11</v>
      </c>
    </row>
    <row s="65897" customFormat="1" customHeight="1" ht="11.549999999999999">
      <c r="A165" s="2198"/>
      <c r="B165" s="2198"/>
      <c r="C165" s="2198"/>
      <c r="D165" s="2198"/>
      <c r="E165" s="2198"/>
      <c r="F165" s="2847"/>
      <c r="G165" s="2847"/>
      <c r="H165" s="1562"/>
      <c r="N165" s="13495"/>
      <c r="O165" s="13495"/>
      <c r="P165" s="13495"/>
      <c r="Q165" s="13495"/>
      <c r="R165" s="13495"/>
      <c r="S165" s="2577"/>
      <c r="U165" s="2577"/>
      <c r="V165" s="2847"/>
      <c r="W165" s="2847"/>
      <c r="X165" s="2577"/>
      <c r="Y165" s="2577"/>
      <c r="Z165" s="2577"/>
      <c r="AA165" s="2577"/>
      <c r="AB165" s="2847"/>
      <c r="AC165" s="2577"/>
      <c r="AD165" s="2577"/>
      <c r="AE165" s="1755"/>
      <c r="AF165" s="2577"/>
      <c r="AG165" s="2577"/>
      <c r="AH165" s="2577"/>
      <c r="AI165" s="2577"/>
      <c r="AJ165" s="2577"/>
      <c r="AK165" s="2843"/>
      <c r="AL165" s="1833"/>
      <c r="AM165" s="1833"/>
      <c r="AN165" s="1833"/>
      <c r="AO165" s="1833"/>
      <c r="AP165" s="2852">
        <v>11</v>
      </c>
    </row>
    <row s="65897" customFormat="1" customHeight="1" ht="11.549999999999999">
      <c r="A166" s="2198"/>
      <c r="B166" s="2198"/>
      <c r="C166" s="2198"/>
      <c r="D166" s="2198"/>
      <c r="E166" s="2198"/>
      <c r="F166" s="2847"/>
      <c r="G166" s="2847"/>
      <c r="H166" s="1562"/>
      <c r="N166" s="13495"/>
      <c r="O166" s="13495"/>
      <c r="P166" s="13495"/>
      <c r="Q166" s="13495"/>
      <c r="R166" s="13495"/>
      <c r="S166" s="2577"/>
      <c r="U166" s="2577"/>
      <c r="V166" s="2847"/>
      <c r="W166" s="2847"/>
      <c r="X166" s="2577"/>
      <c r="Y166" s="2577"/>
      <c r="Z166" s="2577"/>
      <c r="AA166" s="2577"/>
      <c r="AB166" s="2847"/>
      <c r="AC166" s="2577"/>
      <c r="AD166" s="2577"/>
      <c r="AE166" s="1755"/>
      <c r="AF166" s="2577"/>
      <c r="AG166" s="2577"/>
      <c r="AH166" s="2577"/>
      <c r="AI166" s="2577"/>
      <c r="AJ166" s="2577"/>
      <c r="AK166" s="2843"/>
      <c r="AL166" s="1833"/>
      <c r="AM166" s="1833"/>
      <c r="AN166" s="1833"/>
      <c r="AO166" s="1833"/>
      <c r="AP166" s="2852">
        <v>11</v>
      </c>
    </row>
    <row s="65897" customFormat="1" customHeight="1" ht="11.549999999999999">
      <c r="A167" s="2198"/>
      <c r="B167" s="2198"/>
      <c r="C167" s="2198"/>
      <c r="D167" s="2198"/>
      <c r="E167" s="2198"/>
      <c r="F167" s="2847"/>
      <c r="G167" s="2847"/>
      <c r="H167" s="1562"/>
      <c r="N167" s="13495"/>
      <c r="O167" s="13495"/>
      <c r="P167" s="13495"/>
      <c r="Q167" s="13495"/>
      <c r="R167" s="13495"/>
      <c r="S167" s="2577"/>
      <c r="U167" s="2577"/>
      <c r="V167" s="2847"/>
      <c r="W167" s="2847"/>
      <c r="X167" s="2577"/>
      <c r="Y167" s="2577"/>
      <c r="Z167" s="2577"/>
      <c r="AA167" s="2577"/>
      <c r="AB167" s="2847"/>
      <c r="AC167" s="2577"/>
      <c r="AD167" s="2577"/>
      <c r="AE167" s="1755"/>
      <c r="AF167" s="2577"/>
      <c r="AG167" s="2577"/>
      <c r="AH167" s="2577"/>
      <c r="AI167" s="2577"/>
      <c r="AJ167" s="2577"/>
      <c r="AK167" s="2843"/>
      <c r="AL167" s="1833"/>
      <c r="AM167" s="1833"/>
      <c r="AN167" s="1833"/>
      <c r="AO167" s="1833"/>
      <c r="AP167" s="2852">
        <v>11</v>
      </c>
    </row>
    <row s="65897" customFormat="1" customHeight="1" ht="11.549999999999999">
      <c r="A168" s="2198"/>
      <c r="B168" s="2198"/>
      <c r="C168" s="2198"/>
      <c r="D168" s="2198"/>
      <c r="E168" s="2198"/>
      <c r="F168" s="2847"/>
      <c r="G168" s="2847"/>
      <c r="H168" s="1562"/>
      <c r="N168" s="13495"/>
      <c r="O168" s="13495"/>
      <c r="P168" s="13495"/>
      <c r="Q168" s="13495"/>
      <c r="R168" s="13495"/>
      <c r="S168" s="2577"/>
      <c r="U168" s="2577"/>
      <c r="V168" s="2847"/>
      <c r="W168" s="2847"/>
      <c r="X168" s="2577"/>
      <c r="Y168" s="2577"/>
      <c r="Z168" s="2577"/>
      <c r="AA168" s="2577"/>
      <c r="AB168" s="2847"/>
      <c r="AC168" s="2577"/>
      <c r="AD168" s="2577"/>
      <c r="AE168" s="1755"/>
      <c r="AF168" s="2577"/>
      <c r="AG168" s="2577"/>
      <c r="AH168" s="2577"/>
      <c r="AI168" s="2577"/>
      <c r="AJ168" s="2577"/>
      <c r="AK168" s="2843"/>
      <c r="AL168" s="1833"/>
      <c r="AM168" s="1833"/>
      <c r="AN168" s="1833"/>
      <c r="AO168" s="1833"/>
      <c r="AP168" s="2852">
        <v>11</v>
      </c>
    </row>
    <row s="65897" customFormat="1" customHeight="1" ht="11.549999999999999">
      <c r="A169" s="2198"/>
      <c r="B169" s="2198"/>
      <c r="C169" s="2198"/>
      <c r="D169" s="2198"/>
      <c r="E169" s="2198"/>
      <c r="F169" s="2847"/>
      <c r="G169" s="2847"/>
      <c r="H169" s="1562"/>
      <c r="N169" s="13495"/>
      <c r="O169" s="13495"/>
      <c r="P169" s="13495"/>
      <c r="Q169" s="13495"/>
      <c r="R169" s="13495"/>
      <c r="S169" s="2577"/>
      <c r="U169" s="2577"/>
      <c r="V169" s="2847"/>
      <c r="W169" s="2847"/>
      <c r="X169" s="2577"/>
      <c r="Y169" s="2577"/>
      <c r="Z169" s="2577"/>
      <c r="AA169" s="2577"/>
      <c r="AB169" s="2847"/>
      <c r="AC169" s="2577"/>
      <c r="AD169" s="2577"/>
      <c r="AE169" s="1755"/>
      <c r="AF169" s="2577"/>
      <c r="AG169" s="2577"/>
      <c r="AH169" s="2577"/>
      <c r="AI169" s="2577"/>
      <c r="AJ169" s="2577"/>
      <c r="AK169" s="2843"/>
      <c r="AL169" s="1833"/>
      <c r="AM169" s="1833"/>
      <c r="AN169" s="1833"/>
      <c r="AO169" s="1833"/>
      <c r="AP169" s="2852">
        <v>11</v>
      </c>
    </row>
    <row s="65897" customFormat="1" customHeight="1" ht="11.549999999999999">
      <c r="A170" s="2198"/>
      <c r="B170" s="2198"/>
      <c r="C170" s="2198"/>
      <c r="D170" s="2198"/>
      <c r="E170" s="2198"/>
      <c r="F170" s="2847"/>
      <c r="G170" s="2847"/>
      <c r="H170" s="1562"/>
      <c r="N170" s="13495"/>
      <c r="O170" s="13495"/>
      <c r="P170" s="13495"/>
      <c r="Q170" s="13495"/>
      <c r="R170" s="13495"/>
      <c r="S170" s="2577"/>
      <c r="U170" s="2577"/>
      <c r="V170" s="2847"/>
      <c r="W170" s="2847"/>
      <c r="X170" s="2577"/>
      <c r="Y170" s="2577"/>
      <c r="Z170" s="2577"/>
      <c r="AA170" s="2577"/>
      <c r="AB170" s="2847"/>
      <c r="AC170" s="2577"/>
      <c r="AD170" s="2577"/>
      <c r="AE170" s="1755"/>
      <c r="AF170" s="2577"/>
      <c r="AG170" s="2577"/>
      <c r="AH170" s="2577"/>
      <c r="AI170" s="2577"/>
      <c r="AJ170" s="2577"/>
      <c r="AK170" s="2843"/>
      <c r="AL170" s="1833"/>
      <c r="AM170" s="1833"/>
      <c r="AN170" s="1833"/>
      <c r="AO170" s="1833"/>
      <c r="AP170" s="2852">
        <v>11</v>
      </c>
    </row>
    <row s="65897" customFormat="1" customHeight="1" ht="11.549999999999999">
      <c r="A171" s="2198"/>
      <c r="B171" s="2198"/>
      <c r="C171" s="2198"/>
      <c r="D171" s="2198"/>
      <c r="E171" s="2198"/>
      <c r="F171" s="2847"/>
      <c r="G171" s="2847"/>
      <c r="H171" s="1562"/>
      <c r="N171" s="13495"/>
      <c r="O171" s="13495"/>
      <c r="P171" s="13495"/>
      <c r="Q171" s="13495"/>
      <c r="R171" s="13495"/>
      <c r="S171" s="2577"/>
      <c r="U171" s="2577"/>
      <c r="V171" s="2847"/>
      <c r="W171" s="2847"/>
      <c r="X171" s="2577"/>
      <c r="Y171" s="2577"/>
      <c r="Z171" s="2577"/>
      <c r="AA171" s="2577"/>
      <c r="AB171" s="2847"/>
      <c r="AC171" s="2577"/>
      <c r="AD171" s="2577"/>
      <c r="AE171" s="1755"/>
      <c r="AF171" s="2577"/>
      <c r="AG171" s="2577"/>
      <c r="AH171" s="2577"/>
      <c r="AI171" s="2577"/>
      <c r="AJ171" s="2577"/>
      <c r="AK171" s="2843"/>
      <c r="AL171" s="1833"/>
      <c r="AM171" s="1833"/>
      <c r="AN171" s="1833"/>
      <c r="AO171" s="1833"/>
      <c r="AP171" s="2852">
        <v>11</v>
      </c>
    </row>
    <row s="65897" customFormat="1" customHeight="1" ht="11.549999999999999">
      <c r="A172" s="2198"/>
      <c r="B172" s="2198"/>
      <c r="C172" s="2198"/>
      <c r="D172" s="2198"/>
      <c r="E172" s="2198"/>
      <c r="F172" s="2847"/>
      <c r="G172" s="2847"/>
      <c r="H172" s="1562"/>
      <c r="N172" s="13495"/>
      <c r="O172" s="13495"/>
      <c r="P172" s="13495"/>
      <c r="Q172" s="13495"/>
      <c r="R172" s="13495"/>
      <c r="S172" s="2577"/>
      <c r="U172" s="2577"/>
      <c r="V172" s="2847"/>
      <c r="W172" s="2847"/>
      <c r="X172" s="2577"/>
      <c r="Y172" s="2577"/>
      <c r="Z172" s="2577"/>
      <c r="AA172" s="2577"/>
      <c r="AB172" s="2847"/>
      <c r="AC172" s="2577"/>
      <c r="AD172" s="2577"/>
      <c r="AE172" s="1755"/>
      <c r="AF172" s="2577"/>
      <c r="AG172" s="2577"/>
      <c r="AH172" s="2577"/>
      <c r="AI172" s="2577"/>
      <c r="AJ172" s="2577"/>
      <c r="AK172" s="2843"/>
      <c r="AL172" s="1833"/>
      <c r="AM172" s="1833"/>
      <c r="AN172" s="1833"/>
      <c r="AO172" s="1833"/>
      <c r="AP172" s="2852">
        <v>11</v>
      </c>
    </row>
    <row s="65897" customFormat="1" customHeight="1" ht="11.549999999999999">
      <c r="A173" s="2198"/>
      <c r="B173" s="2198"/>
      <c r="C173" s="2198"/>
      <c r="D173" s="2198"/>
      <c r="E173" s="2198"/>
      <c r="F173" s="2847"/>
      <c r="G173" s="2847"/>
      <c r="H173" s="1562"/>
      <c r="N173" s="13495"/>
      <c r="O173" s="13495"/>
      <c r="P173" s="13495"/>
      <c r="Q173" s="13495"/>
      <c r="R173" s="13495"/>
      <c r="S173" s="2577"/>
      <c r="U173" s="2577"/>
      <c r="V173" s="2847"/>
      <c r="W173" s="2847"/>
      <c r="X173" s="2577"/>
      <c r="Y173" s="2577"/>
      <c r="Z173" s="2577"/>
      <c r="AA173" s="2577"/>
      <c r="AB173" s="2847"/>
      <c r="AC173" s="2577"/>
      <c r="AD173" s="2577"/>
      <c r="AE173" s="1755"/>
      <c r="AF173" s="2577"/>
      <c r="AG173" s="2577"/>
      <c r="AH173" s="2577"/>
      <c r="AI173" s="2577"/>
      <c r="AJ173" s="2577"/>
      <c r="AK173" s="2843"/>
      <c r="AL173" s="1833"/>
      <c r="AM173" s="1833"/>
      <c r="AN173" s="1833"/>
      <c r="AO173" s="1833"/>
      <c r="AP173" s="2852">
        <v>11</v>
      </c>
    </row>
    <row s="65897" customFormat="1" customHeight="1" ht="11.549999999999999">
      <c r="A174" s="2198"/>
      <c r="B174" s="2198"/>
      <c r="C174" s="2198"/>
      <c r="D174" s="2198"/>
      <c r="E174" s="2198"/>
      <c r="F174" s="2847"/>
      <c r="G174" s="2847"/>
      <c r="H174" s="1562"/>
      <c r="N174" s="13495"/>
      <c r="O174" s="13495"/>
      <c r="P174" s="13495"/>
      <c r="Q174" s="13495"/>
      <c r="R174" s="13495"/>
      <c r="S174" s="2577"/>
      <c r="U174" s="2577"/>
      <c r="V174" s="2847"/>
      <c r="W174" s="2847"/>
      <c r="X174" s="2577"/>
      <c r="Y174" s="2577"/>
      <c r="Z174" s="2577"/>
      <c r="AA174" s="2577"/>
      <c r="AB174" s="2847"/>
      <c r="AC174" s="2577"/>
      <c r="AD174" s="2577"/>
      <c r="AE174" s="1755"/>
      <c r="AF174" s="2577"/>
      <c r="AG174" s="2577"/>
      <c r="AH174" s="2577"/>
      <c r="AI174" s="2577"/>
      <c r="AJ174" s="2577"/>
      <c r="AK174" s="2843"/>
      <c r="AL174" s="1833"/>
      <c r="AM174" s="1833"/>
      <c r="AN174" s="1833"/>
      <c r="AO174" s="1833"/>
      <c r="AP174" s="2852">
        <v>11</v>
      </c>
    </row>
    <row s="65897" customFormat="1" customHeight="1" ht="11.549999999999999">
      <c r="A175" s="2198"/>
      <c r="B175" s="2198"/>
      <c r="C175" s="2198"/>
      <c r="D175" s="2198"/>
      <c r="E175" s="2198"/>
      <c r="F175" s="2847"/>
      <c r="G175" s="2847"/>
      <c r="H175" s="1562"/>
      <c r="N175" s="13495"/>
      <c r="O175" s="13495"/>
      <c r="P175" s="13495"/>
      <c r="Q175" s="13495"/>
      <c r="R175" s="13495"/>
      <c r="S175" s="2577"/>
      <c r="U175" s="2577"/>
      <c r="V175" s="2847"/>
      <c r="W175" s="2847"/>
      <c r="X175" s="2577"/>
      <c r="Y175" s="2577"/>
      <c r="Z175" s="2577"/>
      <c r="AA175" s="2577"/>
      <c r="AB175" s="2847"/>
      <c r="AC175" s="2577"/>
      <c r="AD175" s="2577"/>
      <c r="AE175" s="1755"/>
      <c r="AF175" s="2577"/>
      <c r="AG175" s="2577"/>
      <c r="AH175" s="2577"/>
      <c r="AI175" s="2577"/>
      <c r="AJ175" s="2577"/>
      <c r="AK175" s="2843"/>
      <c r="AL175" s="1833"/>
      <c r="AM175" s="1833"/>
      <c r="AN175" s="1833"/>
      <c r="AO175" s="1833"/>
      <c r="AP175" s="2852">
        <v>11</v>
      </c>
    </row>
    <row s="65897" customFormat="1" customHeight="1" ht="11.549999999999999">
      <c r="A176" s="2198"/>
      <c r="B176" s="2198"/>
      <c r="C176" s="2198"/>
      <c r="D176" s="2198"/>
      <c r="E176" s="2198"/>
      <c r="F176" s="2847"/>
      <c r="G176" s="2847"/>
      <c r="H176" s="1562"/>
      <c r="N176" s="13495"/>
      <c r="O176" s="13495"/>
      <c r="P176" s="13495"/>
      <c r="Q176" s="13495"/>
      <c r="R176" s="13495"/>
      <c r="S176" s="2577"/>
      <c r="U176" s="2577"/>
      <c r="V176" s="2847"/>
      <c r="W176" s="2847"/>
      <c r="X176" s="2577"/>
      <c r="Y176" s="2577"/>
      <c r="Z176" s="2577"/>
      <c r="AA176" s="2577"/>
      <c r="AB176" s="2847"/>
      <c r="AC176" s="2577"/>
      <c r="AD176" s="2577"/>
      <c r="AE176" s="1755"/>
      <c r="AF176" s="2577"/>
      <c r="AG176" s="2577"/>
      <c r="AH176" s="2577"/>
      <c r="AI176" s="2577"/>
      <c r="AJ176" s="2577"/>
      <c r="AK176" s="2843"/>
      <c r="AL176" s="1833"/>
      <c r="AM176" s="1833"/>
      <c r="AN176" s="1833"/>
      <c r="AO176" s="1833"/>
      <c r="AP176" s="2852">
        <v>11</v>
      </c>
    </row>
    <row s="65897" customFormat="1" customHeight="1" ht="11.549999999999999">
      <c r="A177" s="2198"/>
      <c r="B177" s="2198"/>
      <c r="C177" s="2198"/>
      <c r="D177" s="2198"/>
      <c r="E177" s="2198"/>
      <c r="F177" s="2847"/>
      <c r="G177" s="2847"/>
      <c r="H177" s="1562"/>
      <c r="N177" s="13495"/>
      <c r="O177" s="13495"/>
      <c r="P177" s="13495"/>
      <c r="Q177" s="13495"/>
      <c r="R177" s="13495"/>
      <c r="S177" s="2577"/>
      <c r="U177" s="2577"/>
      <c r="V177" s="2847"/>
      <c r="W177" s="2847"/>
      <c r="X177" s="2577"/>
      <c r="Y177" s="2577"/>
      <c r="Z177" s="2577"/>
      <c r="AA177" s="2577"/>
      <c r="AB177" s="2847"/>
      <c r="AC177" s="2577"/>
      <c r="AD177" s="2577"/>
      <c r="AE177" s="1755"/>
      <c r="AF177" s="2577"/>
      <c r="AG177" s="2577"/>
      <c r="AH177" s="2577"/>
      <c r="AI177" s="2577"/>
      <c r="AJ177" s="2577"/>
      <c r="AK177" s="2843"/>
      <c r="AL177" s="1833"/>
      <c r="AM177" s="1833"/>
      <c r="AN177" s="1833"/>
      <c r="AO177" s="1833"/>
      <c r="AP177" s="2852">
        <v>11</v>
      </c>
    </row>
    <row s="65897" customFormat="1" customHeight="1" ht="11.549999999999999">
      <c r="A178" s="2198"/>
      <c r="B178" s="2198"/>
      <c r="C178" s="2198"/>
      <c r="D178" s="2198"/>
      <c r="E178" s="2198"/>
      <c r="F178" s="2847"/>
      <c r="G178" s="2847"/>
      <c r="H178" s="1562"/>
      <c r="N178" s="13495"/>
      <c r="O178" s="13495"/>
      <c r="P178" s="13495"/>
      <c r="Q178" s="13495"/>
      <c r="R178" s="13495"/>
      <c r="S178" s="2577"/>
      <c r="U178" s="2577"/>
      <c r="V178" s="2847"/>
      <c r="W178" s="2847"/>
      <c r="X178" s="2577"/>
      <c r="Y178" s="2577"/>
      <c r="Z178" s="2577"/>
      <c r="AA178" s="2577"/>
      <c r="AB178" s="2847"/>
      <c r="AC178" s="2577"/>
      <c r="AD178" s="2577"/>
      <c r="AE178" s="1755"/>
      <c r="AF178" s="2577"/>
      <c r="AG178" s="2577"/>
      <c r="AH178" s="2577"/>
      <c r="AI178" s="2577"/>
      <c r="AJ178" s="2577"/>
      <c r="AK178" s="2843"/>
      <c r="AL178" s="1833"/>
      <c r="AM178" s="1833"/>
      <c r="AN178" s="1833"/>
      <c r="AO178" s="1833"/>
      <c r="AP178" s="2852">
        <v>11</v>
      </c>
    </row>
    <row s="65897" customFormat="1" customHeight="1" ht="11.549999999999999">
      <c r="A179" s="2198"/>
      <c r="B179" s="2198"/>
      <c r="C179" s="2198"/>
      <c r="D179" s="2198"/>
      <c r="E179" s="2198"/>
      <c r="F179" s="2847"/>
      <c r="G179" s="2847"/>
      <c r="H179" s="1562"/>
      <c r="N179" s="13495"/>
      <c r="O179" s="13495"/>
      <c r="P179" s="13495"/>
      <c r="Q179" s="13495"/>
      <c r="R179" s="13495"/>
      <c r="S179" s="2577"/>
      <c r="U179" s="2577"/>
      <c r="V179" s="2847"/>
      <c r="W179" s="2847"/>
      <c r="X179" s="2577"/>
      <c r="Y179" s="2577"/>
      <c r="Z179" s="2577"/>
      <c r="AA179" s="2577"/>
      <c r="AB179" s="2847"/>
      <c r="AC179" s="2577"/>
      <c r="AD179" s="2577"/>
      <c r="AE179" s="1755"/>
      <c r="AF179" s="2577"/>
      <c r="AG179" s="2577"/>
      <c r="AH179" s="2577"/>
      <c r="AI179" s="2577"/>
      <c r="AJ179" s="2577"/>
      <c r="AK179" s="2843"/>
      <c r="AL179" s="1833"/>
      <c r="AM179" s="1833"/>
      <c r="AN179" s="1833"/>
      <c r="AO179" s="1833"/>
      <c r="AP179" s="2852">
        <v>11</v>
      </c>
    </row>
    <row s="65897" customFormat="1" customHeight="1" ht="11.549999999999999">
      <c r="A180" s="2198"/>
      <c r="B180" s="2198"/>
      <c r="C180" s="2198"/>
      <c r="D180" s="2198"/>
      <c r="E180" s="2198"/>
      <c r="F180" s="2847"/>
      <c r="G180" s="2847"/>
      <c r="H180" s="1562"/>
      <c r="N180" s="13495"/>
      <c r="O180" s="13495"/>
      <c r="P180" s="13495"/>
      <c r="Q180" s="13495"/>
      <c r="R180" s="13495"/>
      <c r="S180" s="2577"/>
      <c r="U180" s="2577"/>
      <c r="V180" s="2847"/>
      <c r="W180" s="2847"/>
      <c r="X180" s="2577"/>
      <c r="Y180" s="2577"/>
      <c r="Z180" s="2577"/>
      <c r="AA180" s="2577"/>
      <c r="AB180" s="2847"/>
      <c r="AC180" s="2577"/>
      <c r="AD180" s="2577"/>
      <c r="AE180" s="1755"/>
      <c r="AF180" s="2577"/>
      <c r="AG180" s="2577"/>
      <c r="AH180" s="2577"/>
      <c r="AI180" s="2577"/>
      <c r="AJ180" s="2577"/>
      <c r="AK180" s="2843"/>
      <c r="AL180" s="1833"/>
      <c r="AM180" s="1833"/>
      <c r="AN180" s="1833"/>
      <c r="AO180" s="1833"/>
      <c r="AP180" s="2852">
        <v>11</v>
      </c>
    </row>
    <row s="65897" customFormat="1" customHeight="1" ht="11.549999999999999">
      <c r="A181" s="2198"/>
      <c r="B181" s="2198"/>
      <c r="C181" s="2198"/>
      <c r="D181" s="2198"/>
      <c r="E181" s="2198"/>
      <c r="F181" s="2847"/>
      <c r="G181" s="2847"/>
      <c r="H181" s="1562"/>
      <c r="N181" s="13495"/>
      <c r="O181" s="13495"/>
      <c r="P181" s="13495"/>
      <c r="Q181" s="13495"/>
      <c r="R181" s="13495"/>
      <c r="S181" s="2577"/>
      <c r="U181" s="2577"/>
      <c r="V181" s="2847"/>
      <c r="W181" s="2847"/>
      <c r="X181" s="2577"/>
      <c r="Y181" s="2577"/>
      <c r="Z181" s="2577"/>
      <c r="AA181" s="2577"/>
      <c r="AB181" s="2847"/>
      <c r="AC181" s="2577"/>
      <c r="AD181" s="2577"/>
      <c r="AE181" s="1755"/>
      <c r="AF181" s="2577"/>
      <c r="AG181" s="2577"/>
      <c r="AH181" s="2577"/>
      <c r="AI181" s="2577"/>
      <c r="AJ181" s="2577"/>
      <c r="AK181" s="2843"/>
      <c r="AL181" s="1833"/>
      <c r="AM181" s="1833"/>
      <c r="AN181" s="1833"/>
      <c r="AO181" s="1833"/>
      <c r="AP181" s="2852">
        <v>11</v>
      </c>
    </row>
    <row s="65897" customFormat="1" customHeight="1" ht="11.549999999999999">
      <c r="A182" s="2198"/>
      <c r="B182" s="2198"/>
      <c r="C182" s="2198"/>
      <c r="D182" s="2198"/>
      <c r="E182" s="2198"/>
      <c r="F182" s="2847"/>
      <c r="G182" s="2847"/>
      <c r="H182" s="1562"/>
      <c r="N182" s="13495"/>
      <c r="O182" s="13495"/>
      <c r="P182" s="13495"/>
      <c r="Q182" s="13495"/>
      <c r="R182" s="13495"/>
      <c r="S182" s="2577"/>
      <c r="U182" s="2577"/>
      <c r="V182" s="2847"/>
      <c r="W182" s="2847"/>
      <c r="X182" s="2577"/>
      <c r="Y182" s="2577"/>
      <c r="Z182" s="2577"/>
      <c r="AA182" s="2577"/>
      <c r="AB182" s="2847"/>
      <c r="AC182" s="2577"/>
      <c r="AD182" s="2577"/>
      <c r="AE182" s="1755"/>
      <c r="AF182" s="2577"/>
      <c r="AG182" s="2577"/>
      <c r="AH182" s="2577"/>
      <c r="AI182" s="2577"/>
      <c r="AJ182" s="2577"/>
      <c r="AK182" s="2843"/>
      <c r="AL182" s="1833"/>
      <c r="AM182" s="1833"/>
      <c r="AN182" s="1833"/>
      <c r="AO182" s="1833"/>
      <c r="AP182" s="2852">
        <v>11</v>
      </c>
    </row>
    <row s="65897" customFormat="1" customHeight="1" ht="11.549999999999999">
      <c r="A183" s="2198"/>
      <c r="B183" s="2198"/>
      <c r="C183" s="2198"/>
      <c r="D183" s="2198"/>
      <c r="E183" s="2198"/>
      <c r="F183" s="2847"/>
      <c r="G183" s="2847"/>
      <c r="H183" s="1562"/>
      <c r="N183" s="13495"/>
      <c r="O183" s="13495"/>
      <c r="P183" s="13495"/>
      <c r="Q183" s="13495"/>
      <c r="R183" s="13495"/>
      <c r="S183" s="2577"/>
      <c r="U183" s="2577"/>
      <c r="V183" s="2847"/>
      <c r="W183" s="2847"/>
      <c r="X183" s="2577"/>
      <c r="Y183" s="2577"/>
      <c r="Z183" s="2577"/>
      <c r="AA183" s="2577"/>
      <c r="AB183" s="2847"/>
      <c r="AC183" s="2577"/>
      <c r="AD183" s="2577"/>
      <c r="AE183" s="1755"/>
      <c r="AF183" s="2577"/>
      <c r="AG183" s="2577"/>
      <c r="AH183" s="2577"/>
      <c r="AI183" s="2577"/>
      <c r="AJ183" s="2577"/>
      <c r="AK183" s="2843"/>
      <c r="AL183" s="1833"/>
      <c r="AM183" s="1833"/>
      <c r="AN183" s="1833"/>
      <c r="AO183" s="1833"/>
      <c r="AP183" s="2852">
        <v>11</v>
      </c>
    </row>
    <row s="65897" customFormat="1" customHeight="1" ht="11.549999999999999">
      <c r="A184" s="2198"/>
      <c r="B184" s="2198"/>
      <c r="C184" s="2198"/>
      <c r="D184" s="2198"/>
      <c r="E184" s="2198"/>
      <c r="F184" s="2847"/>
      <c r="G184" s="2847"/>
      <c r="H184" s="1562"/>
      <c r="N184" s="13495"/>
      <c r="O184" s="13495"/>
      <c r="P184" s="13495"/>
      <c r="Q184" s="13495"/>
      <c r="R184" s="13495"/>
      <c r="S184" s="2577"/>
      <c r="U184" s="2577"/>
      <c r="V184" s="2847"/>
      <c r="W184" s="2847"/>
      <c r="X184" s="2577"/>
      <c r="Y184" s="2577"/>
      <c r="Z184" s="2577"/>
      <c r="AA184" s="2577"/>
      <c r="AB184" s="2847"/>
      <c r="AC184" s="2577"/>
      <c r="AD184" s="2577"/>
      <c r="AE184" s="1755"/>
      <c r="AF184" s="2577"/>
      <c r="AG184" s="2577"/>
      <c r="AH184" s="2577"/>
      <c r="AI184" s="2577"/>
      <c r="AJ184" s="2577"/>
      <c r="AK184" s="2843"/>
      <c r="AL184" s="1833"/>
      <c r="AM184" s="1833"/>
      <c r="AN184" s="1833"/>
      <c r="AO184" s="1833"/>
      <c r="AP184" s="2852">
        <v>11</v>
      </c>
    </row>
    <row s="65897" customFormat="1" customHeight="1" ht="11.549999999999999">
      <c r="A185" s="2198"/>
      <c r="B185" s="2198"/>
      <c r="C185" s="2198"/>
      <c r="D185" s="2198"/>
      <c r="E185" s="2198"/>
      <c r="F185" s="2847"/>
      <c r="G185" s="2847"/>
      <c r="H185" s="1562"/>
      <c r="N185" s="13495"/>
      <c r="O185" s="13495"/>
      <c r="P185" s="13495"/>
      <c r="Q185" s="13495"/>
      <c r="R185" s="13495"/>
      <c r="S185" s="2577"/>
      <c r="U185" s="2577"/>
      <c r="V185" s="2847"/>
      <c r="W185" s="2847"/>
      <c r="X185" s="2577"/>
      <c r="Y185" s="2577"/>
      <c r="Z185" s="2577"/>
      <c r="AA185" s="2577"/>
      <c r="AB185" s="2847"/>
      <c r="AC185" s="2577"/>
      <c r="AD185" s="2577"/>
      <c r="AE185" s="1755"/>
      <c r="AF185" s="2577"/>
      <c r="AG185" s="2577"/>
      <c r="AH185" s="2577"/>
      <c r="AI185" s="2577"/>
      <c r="AJ185" s="2577"/>
      <c r="AK185" s="2843"/>
      <c r="AL185" s="1833"/>
      <c r="AM185" s="1833"/>
      <c r="AN185" s="1833"/>
      <c r="AO185" s="1833"/>
      <c r="AP185" s="2852">
        <v>11</v>
      </c>
    </row>
    <row s="65897" customFormat="1" customHeight="1" ht="11.549999999999999">
      <c r="A186" s="2198"/>
      <c r="B186" s="2198"/>
      <c r="C186" s="2198"/>
      <c r="D186" s="2198"/>
      <c r="E186" s="2198"/>
      <c r="F186" s="2847"/>
      <c r="G186" s="2847"/>
      <c r="H186" s="1562"/>
      <c r="N186" s="13495"/>
      <c r="O186" s="13495"/>
      <c r="P186" s="13495"/>
      <c r="Q186" s="13495"/>
      <c r="R186" s="13495"/>
      <c r="S186" s="2577"/>
      <c r="U186" s="2577"/>
      <c r="V186" s="2847"/>
      <c r="W186" s="2847"/>
      <c r="X186" s="2577"/>
      <c r="Y186" s="2577"/>
      <c r="Z186" s="2577"/>
      <c r="AA186" s="2577"/>
      <c r="AB186" s="2847"/>
      <c r="AC186" s="2577"/>
      <c r="AD186" s="2577"/>
      <c r="AE186" s="1755"/>
      <c r="AF186" s="2577"/>
      <c r="AG186" s="2577"/>
      <c r="AH186" s="2577"/>
      <c r="AI186" s="2577"/>
      <c r="AJ186" s="2577"/>
      <c r="AK186" s="2843"/>
      <c r="AL186" s="1833"/>
      <c r="AM186" s="1833"/>
      <c r="AN186" s="1833"/>
      <c r="AO186" s="1833"/>
      <c r="AP186" s="2852">
        <v>11</v>
      </c>
    </row>
    <row s="65897" customFormat="1" customHeight="1" ht="11.549999999999999">
      <c r="A187" s="2198"/>
      <c r="B187" s="2198"/>
      <c r="C187" s="2198"/>
      <c r="D187" s="2198"/>
      <c r="E187" s="2198"/>
      <c r="F187" s="2847"/>
      <c r="G187" s="2847"/>
      <c r="H187" s="1562"/>
      <c r="N187" s="13495"/>
      <c r="O187" s="13495"/>
      <c r="P187" s="13495"/>
      <c r="Q187" s="13495"/>
      <c r="R187" s="13495"/>
      <c r="S187" s="2577"/>
      <c r="U187" s="2577"/>
      <c r="V187" s="2847"/>
      <c r="W187" s="2847"/>
      <c r="X187" s="2577"/>
      <c r="Y187" s="2577"/>
      <c r="Z187" s="2577"/>
      <c r="AA187" s="2577"/>
      <c r="AB187" s="2847"/>
      <c r="AC187" s="2577"/>
      <c r="AD187" s="2577"/>
      <c r="AE187" s="1755"/>
      <c r="AF187" s="2577"/>
      <c r="AG187" s="2577"/>
      <c r="AH187" s="2577"/>
      <c r="AI187" s="2577"/>
      <c r="AJ187" s="2577"/>
      <c r="AK187" s="2843"/>
      <c r="AL187" s="1833"/>
      <c r="AM187" s="1833"/>
      <c r="AN187" s="1833"/>
      <c r="AO187" s="1833"/>
      <c r="AP187" s="2852">
        <v>11</v>
      </c>
    </row>
    <row s="65897" customFormat="1" customHeight="1" ht="11.549999999999999">
      <c r="A188" s="2198"/>
      <c r="B188" s="2198"/>
      <c r="C188" s="2198"/>
      <c r="D188" s="2198"/>
      <c r="E188" s="2198"/>
      <c r="F188" s="2847"/>
      <c r="G188" s="2847"/>
      <c r="H188" s="1562"/>
      <c r="N188" s="13495"/>
      <c r="O188" s="13495"/>
      <c r="P188" s="13495"/>
      <c r="Q188" s="13495"/>
      <c r="R188" s="13495"/>
      <c r="S188" s="2577"/>
      <c r="U188" s="2577"/>
      <c r="V188" s="2847"/>
      <c r="W188" s="2847"/>
      <c r="X188" s="2577"/>
      <c r="Y188" s="2577"/>
      <c r="Z188" s="2577"/>
      <c r="AA188" s="2577"/>
      <c r="AB188" s="2847"/>
      <c r="AC188" s="2577"/>
      <c r="AD188" s="2577"/>
      <c r="AE188" s="1755"/>
      <c r="AF188" s="2577"/>
      <c r="AG188" s="2577"/>
      <c r="AH188" s="2577"/>
      <c r="AI188" s="2577"/>
      <c r="AJ188" s="2577"/>
      <c r="AK188" s="2843"/>
      <c r="AL188" s="1833"/>
      <c r="AM188" s="1833"/>
      <c r="AN188" s="1833"/>
      <c r="AO188" s="1833"/>
      <c r="AP188" s="2852">
        <v>11</v>
      </c>
    </row>
    <row s="65897" customFormat="1" customHeight="1" ht="11.549999999999999">
      <c r="A189" s="2198"/>
      <c r="B189" s="2198"/>
      <c r="C189" s="2198"/>
      <c r="D189" s="2198"/>
      <c r="E189" s="2198"/>
      <c r="F189" s="2847"/>
      <c r="G189" s="2847"/>
      <c r="H189" s="1562"/>
      <c r="N189" s="13495"/>
      <c r="O189" s="13495"/>
      <c r="P189" s="13495"/>
      <c r="Q189" s="13495"/>
      <c r="R189" s="13495"/>
      <c r="S189" s="2577"/>
      <c r="U189" s="2577"/>
      <c r="V189" s="2847"/>
      <c r="W189" s="2847"/>
      <c r="X189" s="2577"/>
      <c r="Y189" s="2577"/>
      <c r="Z189" s="2577"/>
      <c r="AA189" s="2577"/>
      <c r="AB189" s="2847"/>
      <c r="AC189" s="2577"/>
      <c r="AD189" s="2577"/>
      <c r="AE189" s="1755"/>
      <c r="AF189" s="2577"/>
      <c r="AG189" s="2577"/>
      <c r="AH189" s="2577"/>
      <c r="AI189" s="2577"/>
      <c r="AJ189" s="2577"/>
      <c r="AK189" s="2843"/>
      <c r="AL189" s="1833"/>
      <c r="AM189" s="1833"/>
      <c r="AN189" s="1833"/>
      <c r="AO189" s="1833"/>
      <c r="AP189" s="2852">
        <v>11</v>
      </c>
    </row>
    <row customHeight="1" ht="11.549999999999999">
      <c r="N190" s="13315"/>
      <c r="O190" s="13315"/>
      <c r="P190" s="13315"/>
      <c r="Q190" s="13315"/>
      <c r="R190" s="13315"/>
      <c r="AP190" s="2842">
        <v>11</v>
      </c>
    </row>
    <row customHeight="1" ht="11.549999999999999">
      <c r="N191" s="13315"/>
      <c r="O191" s="13315"/>
      <c r="P191" s="13315"/>
      <c r="Q191" s="13315"/>
      <c r="R191" s="13315"/>
      <c r="AP191" s="2842">
        <v>11</v>
      </c>
    </row>
    <row customHeight="1" ht="11.549999999999999">
      <c r="N192" s="13315"/>
      <c r="O192" s="13315"/>
      <c r="P192" s="13315"/>
      <c r="Q192" s="13315"/>
      <c r="R192" s="13315"/>
      <c r="AP192" s="2842">
        <v>11</v>
      </c>
    </row>
    <row customHeight="1" ht="11.549999999999999">
      <c r="A193" s="2201"/>
      <c r="B193" s="2201"/>
      <c r="C193" s="2201"/>
      <c r="D193" s="2201"/>
      <c r="E193" s="2201"/>
      <c r="F193" s="2842"/>
      <c r="H193" s="2842"/>
      <c r="N193" s="13315"/>
      <c r="O193" s="13315"/>
      <c r="P193" s="13315"/>
      <c r="Q193" s="13315"/>
      <c r="R193" s="13315"/>
      <c r="S193" s="2842"/>
      <c r="U193" s="2842"/>
      <c r="X193" s="2842"/>
      <c r="Y193" s="2842"/>
      <c r="Z193" s="2842"/>
      <c r="AA193" s="2842"/>
      <c r="AC193" s="2842"/>
      <c r="AD193" s="2842"/>
      <c r="AE193" s="2842"/>
      <c r="AF193" s="2842"/>
      <c r="AG193" s="2842"/>
      <c r="AH193" s="2842"/>
      <c r="AI193" s="2842"/>
      <c r="AJ193" s="2842"/>
      <c r="AK193" s="2842"/>
      <c r="AL193" s="2842"/>
      <c r="AM193" s="2842"/>
      <c r="AN193" s="2842"/>
      <c r="AO193" s="2842"/>
      <c r="AP193" s="2842">
        <v>11</v>
      </c>
    </row>
    <row customHeight="1" ht="11.549999999999999">
      <c r="A194" s="2201"/>
      <c r="B194" s="2201"/>
      <c r="C194" s="2201"/>
      <c r="D194" s="2201"/>
      <c r="E194" s="2201"/>
      <c r="F194" s="2842"/>
      <c r="H194" s="2842"/>
      <c r="N194" s="13315"/>
      <c r="O194" s="13315"/>
      <c r="P194" s="13315"/>
      <c r="Q194" s="13315"/>
      <c r="R194" s="13315"/>
      <c r="S194" s="2842"/>
      <c r="U194" s="2842"/>
      <c r="X194" s="2842"/>
      <c r="Y194" s="2842"/>
      <c r="Z194" s="2842"/>
      <c r="AA194" s="2842"/>
      <c r="AC194" s="2842"/>
      <c r="AD194" s="2842"/>
      <c r="AE194" s="2842"/>
      <c r="AF194" s="2842"/>
      <c r="AG194" s="2842"/>
      <c r="AH194" s="2842"/>
      <c r="AI194" s="2842"/>
      <c r="AJ194" s="2842"/>
      <c r="AK194" s="2842"/>
      <c r="AL194" s="2842"/>
      <c r="AM194" s="2842"/>
      <c r="AN194" s="2842"/>
      <c r="AO194" s="2842"/>
      <c r="AP194" s="2842">
        <v>11</v>
      </c>
    </row>
    <row customHeight="1" ht="11.549999999999999">
      <c r="A195" s="2201"/>
      <c r="B195" s="2201"/>
      <c r="C195" s="2201"/>
      <c r="D195" s="2201"/>
      <c r="E195" s="2201"/>
      <c r="F195" s="2842"/>
      <c r="H195" s="2842"/>
      <c r="N195" s="13315"/>
      <c r="O195" s="13315"/>
      <c r="P195" s="13315"/>
      <c r="Q195" s="13315"/>
      <c r="R195" s="13315"/>
      <c r="S195" s="2842"/>
      <c r="U195" s="2842"/>
      <c r="X195" s="2842"/>
      <c r="Y195" s="2842"/>
      <c r="Z195" s="2842"/>
      <c r="AA195" s="2842"/>
      <c r="AC195" s="2842"/>
      <c r="AD195" s="2842"/>
      <c r="AE195" s="2842"/>
      <c r="AF195" s="2842"/>
      <c r="AG195" s="2842"/>
      <c r="AH195" s="2842"/>
      <c r="AI195" s="2842"/>
      <c r="AJ195" s="2842"/>
      <c r="AK195" s="2842"/>
      <c r="AL195" s="2842"/>
      <c r="AM195" s="2842"/>
      <c r="AN195" s="2842"/>
      <c r="AO195" s="2842"/>
      <c r="AP195" s="2842">
        <v>11</v>
      </c>
    </row>
    <row customHeight="1" ht="11.549999999999999">
      <c r="A196" s="2201"/>
      <c r="B196" s="2201"/>
      <c r="C196" s="2201"/>
      <c r="D196" s="2201"/>
      <c r="E196" s="2201"/>
      <c r="F196" s="2842"/>
      <c r="H196" s="2842"/>
      <c r="N196" s="13315"/>
      <c r="O196" s="13315"/>
      <c r="P196" s="13315"/>
      <c r="Q196" s="13315"/>
      <c r="R196" s="13315"/>
      <c r="S196" s="2842"/>
      <c r="U196" s="2842"/>
      <c r="X196" s="2842"/>
      <c r="Y196" s="2842"/>
      <c r="Z196" s="2842"/>
      <c r="AA196" s="2842"/>
      <c r="AC196" s="2842"/>
      <c r="AD196" s="2842"/>
      <c r="AE196" s="2842"/>
      <c r="AF196" s="2842"/>
      <c r="AG196" s="2842"/>
      <c r="AH196" s="2842"/>
      <c r="AI196" s="2842"/>
      <c r="AJ196" s="2842"/>
      <c r="AK196" s="2842"/>
      <c r="AL196" s="2842"/>
      <c r="AM196" s="2842"/>
      <c r="AN196" s="2842"/>
      <c r="AO196" s="2842"/>
      <c r="AP196" s="2842">
        <v>11</v>
      </c>
    </row>
    <row customHeight="1" ht="11.549999999999999">
      <c r="A197" s="2201"/>
      <c r="B197" s="2201"/>
      <c r="C197" s="2201"/>
      <c r="D197" s="2201"/>
      <c r="E197" s="2201"/>
      <c r="F197" s="2842"/>
      <c r="H197" s="2842"/>
      <c r="N197" s="13315"/>
      <c r="O197" s="13315"/>
      <c r="P197" s="13315"/>
      <c r="Q197" s="13315"/>
      <c r="R197" s="13315"/>
      <c r="S197" s="2842"/>
      <c r="U197" s="2842"/>
      <c r="X197" s="2842"/>
      <c r="Y197" s="2842"/>
      <c r="Z197" s="2842"/>
      <c r="AA197" s="2842"/>
      <c r="AC197" s="2842"/>
      <c r="AD197" s="2842"/>
      <c r="AE197" s="2842"/>
      <c r="AF197" s="2842"/>
      <c r="AG197" s="2842"/>
      <c r="AH197" s="2842"/>
      <c r="AI197" s="2842"/>
      <c r="AJ197" s="2842"/>
      <c r="AK197" s="2842"/>
      <c r="AL197" s="2842"/>
      <c r="AM197" s="2842"/>
      <c r="AN197" s="2842"/>
      <c r="AO197" s="2842"/>
      <c r="AP197" s="2842">
        <v>11</v>
      </c>
    </row>
    <row customHeight="1" ht="11.549999999999999">
      <c r="A198" s="2201"/>
      <c r="B198" s="2201"/>
      <c r="C198" s="2201"/>
      <c r="D198" s="2201"/>
      <c r="E198" s="2201"/>
      <c r="F198" s="2842"/>
      <c r="H198" s="2842"/>
      <c r="N198" s="13315"/>
      <c r="O198" s="13315"/>
      <c r="P198" s="13315"/>
      <c r="Q198" s="13315"/>
      <c r="R198" s="13315"/>
      <c r="S198" s="2842"/>
      <c r="U198" s="2842"/>
      <c r="X198" s="2842"/>
      <c r="Y198" s="2842"/>
      <c r="Z198" s="2842"/>
      <c r="AA198" s="2842"/>
      <c r="AC198" s="2842"/>
      <c r="AD198" s="2842"/>
      <c r="AE198" s="2842"/>
      <c r="AF198" s="2842"/>
      <c r="AG198" s="2842"/>
      <c r="AH198" s="2842"/>
      <c r="AI198" s="2842"/>
      <c r="AJ198" s="2842"/>
      <c r="AK198" s="2842"/>
      <c r="AL198" s="2842"/>
      <c r="AM198" s="2842"/>
      <c r="AN198" s="2842"/>
      <c r="AO198" s="2842"/>
      <c r="AP198" s="2842">
        <v>11</v>
      </c>
    </row>
    <row customHeight="1" ht="11.549999999999999">
      <c r="A199" s="2201"/>
      <c r="B199" s="2201"/>
      <c r="C199" s="2201"/>
      <c r="D199" s="2201"/>
      <c r="E199" s="2201"/>
      <c r="F199" s="2842"/>
      <c r="H199" s="2842"/>
      <c r="N199" s="13315"/>
      <c r="O199" s="13315"/>
      <c r="P199" s="13315"/>
      <c r="Q199" s="13315"/>
      <c r="R199" s="13315"/>
      <c r="S199" s="2842"/>
      <c r="U199" s="2842"/>
      <c r="X199" s="2842"/>
      <c r="Y199" s="2842"/>
      <c r="Z199" s="2842"/>
      <c r="AA199" s="2842"/>
      <c r="AC199" s="2842"/>
      <c r="AD199" s="2842"/>
      <c r="AE199" s="2842"/>
      <c r="AF199" s="2842"/>
      <c r="AG199" s="2842"/>
      <c r="AH199" s="2842"/>
      <c r="AI199" s="2842"/>
      <c r="AJ199" s="2842"/>
      <c r="AK199" s="2842"/>
      <c r="AL199" s="2842"/>
      <c r="AM199" s="2842"/>
      <c r="AN199" s="2842"/>
      <c r="AO199" s="2842"/>
      <c r="AP199" s="2842">
        <v>11</v>
      </c>
    </row>
    <row customHeight="1" ht="11.549999999999999">
      <c r="A200" s="2201"/>
      <c r="B200" s="2201"/>
      <c r="C200" s="2201"/>
      <c r="D200" s="2201"/>
      <c r="E200" s="2201"/>
      <c r="F200" s="2842"/>
      <c r="H200" s="2842"/>
      <c r="N200" s="13315"/>
      <c r="O200" s="13315"/>
      <c r="P200" s="13315"/>
      <c r="Q200" s="13315"/>
      <c r="R200" s="13315"/>
      <c r="S200" s="2842"/>
      <c r="U200" s="2842"/>
      <c r="X200" s="2842"/>
      <c r="Y200" s="2842"/>
      <c r="Z200" s="2842"/>
      <c r="AA200" s="2842"/>
      <c r="AC200" s="2842"/>
      <c r="AD200" s="2842"/>
      <c r="AE200" s="2842"/>
      <c r="AF200" s="2842"/>
      <c r="AG200" s="2842"/>
      <c r="AH200" s="2842"/>
      <c r="AI200" s="2842"/>
      <c r="AJ200" s="2842"/>
      <c r="AK200" s="2842"/>
      <c r="AL200" s="2842"/>
      <c r="AM200" s="2842"/>
      <c r="AN200" s="2842"/>
      <c r="AO200" s="2842"/>
      <c r="AP200" s="2842">
        <v>11</v>
      </c>
    </row>
    <row customHeight="1" ht="11.549999999999999">
      <c r="A201" s="2201"/>
      <c r="B201" s="2201"/>
      <c r="C201" s="2201"/>
      <c r="D201" s="2201"/>
      <c r="E201" s="2201"/>
      <c r="F201" s="2842"/>
      <c r="H201" s="2842"/>
      <c r="N201" s="13315"/>
      <c r="O201" s="13315"/>
      <c r="P201" s="13315"/>
      <c r="Q201" s="13315"/>
      <c r="R201" s="13315"/>
      <c r="S201" s="2842"/>
      <c r="U201" s="2842"/>
      <c r="X201" s="2842"/>
      <c r="Y201" s="2842"/>
      <c r="Z201" s="2842"/>
      <c r="AA201" s="2842"/>
      <c r="AC201" s="2842"/>
      <c r="AD201" s="2842"/>
      <c r="AE201" s="2842"/>
      <c r="AF201" s="2842"/>
      <c r="AG201" s="2842"/>
      <c r="AH201" s="2842"/>
      <c r="AI201" s="2842"/>
      <c r="AJ201" s="2842"/>
      <c r="AK201" s="2842"/>
      <c r="AL201" s="2842"/>
      <c r="AM201" s="2842"/>
      <c r="AN201" s="2842"/>
      <c r="AO201" s="2842"/>
      <c r="AP201" s="2842">
        <v>11</v>
      </c>
    </row>
    <row customHeight="1" ht="11.549999999999999">
      <c r="A202" s="2201"/>
      <c r="B202" s="2201"/>
      <c r="C202" s="2201"/>
      <c r="D202" s="2201"/>
      <c r="E202" s="2201"/>
      <c r="F202" s="2842"/>
      <c r="H202" s="2842"/>
      <c r="N202" s="13315"/>
      <c r="O202" s="13315"/>
      <c r="P202" s="13315"/>
      <c r="Q202" s="13315"/>
      <c r="R202" s="13315"/>
      <c r="S202" s="2842"/>
      <c r="U202" s="2842"/>
      <c r="X202" s="2842"/>
      <c r="Y202" s="2842"/>
      <c r="Z202" s="2842"/>
      <c r="AA202" s="2842"/>
      <c r="AC202" s="2842"/>
      <c r="AD202" s="2842"/>
      <c r="AE202" s="2842"/>
      <c r="AF202" s="2842"/>
      <c r="AG202" s="2842"/>
      <c r="AH202" s="2842"/>
      <c r="AI202" s="2842"/>
      <c r="AJ202" s="2842"/>
      <c r="AK202" s="2842"/>
      <c r="AL202" s="2842"/>
      <c r="AM202" s="2842"/>
      <c r="AN202" s="2842"/>
      <c r="AO202" s="2842"/>
      <c r="AP202" s="2842">
        <v>11</v>
      </c>
    </row>
    <row customHeight="1" ht="11.549999999999999">
      <c r="A203" s="2201"/>
      <c r="B203" s="2201"/>
      <c r="C203" s="2201"/>
      <c r="D203" s="2201"/>
      <c r="E203" s="2201"/>
      <c r="F203" s="2842"/>
      <c r="H203" s="2842"/>
      <c r="N203" s="13315"/>
      <c r="O203" s="13315"/>
      <c r="P203" s="13315"/>
      <c r="Q203" s="13315"/>
      <c r="R203" s="13315"/>
      <c r="S203" s="2842"/>
      <c r="U203" s="2842"/>
      <c r="X203" s="2842"/>
      <c r="Y203" s="2842"/>
      <c r="Z203" s="2842"/>
      <c r="AA203" s="2842"/>
      <c r="AC203" s="2842"/>
      <c r="AD203" s="2842"/>
      <c r="AE203" s="2842"/>
      <c r="AF203" s="2842"/>
      <c r="AG203" s="2842"/>
      <c r="AH203" s="2842"/>
      <c r="AI203" s="2842"/>
      <c r="AJ203" s="2842"/>
      <c r="AK203" s="2842"/>
      <c r="AL203" s="2842"/>
      <c r="AM203" s="2842"/>
      <c r="AN203" s="2842"/>
      <c r="AO203" s="2842"/>
      <c r="AP203" s="2842">
        <v>11</v>
      </c>
    </row>
    <row customHeight="1" ht="12.75" hidden="1">
      <c r="A204" s="2198" t="s">
        <v>82</v>
      </c>
      <c r="B204" s="2198" t="s">
        <v>169</v>
      </c>
      <c r="C204" s="2198" t="s">
        <v>169</v>
      </c>
      <c r="D204" s="2198" t="s">
        <v>169</v>
      </c>
      <c r="E204" s="2198" t="s">
        <v>169</v>
      </c>
      <c r="F204" s="2846">
        <v>16</v>
      </c>
      <c r="G204" s="2847">
        <v>0</v>
      </c>
      <c r="H204" s="2846">
        <v>3</v>
      </c>
      <c r="I204" s="2842">
        <v>7</v>
      </c>
      <c r="J204" s="2842">
        <v>56</v>
      </c>
      <c r="K204" s="2842">
        <v>10</v>
      </c>
      <c r="L204" s="2842">
        <v>40</v>
      </c>
      <c r="M204" s="2842">
        <v>40</v>
      </c>
      <c r="N204" s="13315">
        <v>40</v>
      </c>
      <c r="O204" s="13315">
        <v>40</v>
      </c>
      <c r="P204" s="13315">
        <v>40</v>
      </c>
      <c r="Q204" s="13315">
        <v>40</v>
      </c>
      <c r="R204" s="13315">
        <v>40</v>
      </c>
      <c r="S204" s="2577">
        <v>9</v>
      </c>
      <c r="T204" s="2842">
        <v>102</v>
      </c>
      <c r="U204" s="2577">
        <v>9</v>
      </c>
      <c r="V204" s="2847">
        <v>5</v>
      </c>
      <c r="W204" s="2847">
        <v>3</v>
      </c>
      <c r="X204" s="2577">
        <v>3</v>
      </c>
      <c r="Y204" s="2577">
        <v>3</v>
      </c>
      <c r="Z204" s="2577">
        <v>3</v>
      </c>
      <c r="AA204" s="2577">
        <v>3</v>
      </c>
      <c r="AB204" s="2847">
        <v>10</v>
      </c>
      <c r="AC204" s="2577">
        <v>34</v>
      </c>
      <c r="AD204" s="2577">
        <v>9</v>
      </c>
      <c r="AE204" s="1755">
        <v>8</v>
      </c>
      <c r="AF204" s="2577">
        <v>8</v>
      </c>
      <c r="AG204" s="2577">
        <v>8</v>
      </c>
      <c r="AH204" s="2577">
        <v>8</v>
      </c>
      <c r="AI204" s="2577">
        <v>8</v>
      </c>
      <c r="AJ204" s="2577">
        <v>8</v>
      </c>
      <c r="AK204" s="2843">
        <v>8</v>
      </c>
      <c r="AL204" s="2843">
        <v>8</v>
      </c>
      <c r="AM204" s="2843">
        <v>8</v>
      </c>
      <c r="AN204" s="2843">
        <v>8</v>
      </c>
      <c r="AO204" s="2843">
        <v>8</v>
      </c>
      <c r="AP204" s="2842">
        <v>11</v>
      </c>
    </row>
  </sheetData>
  <sheetProtection sort="0" autoFilter="0" insertRows="0" insertColumns="1" deleteRows="0" deleteColumns="0"/>
  <mergeCells count="7">
    <mergeCell ref="I6:M6"/>
    <mergeCell ref="I7:M7"/>
    <mergeCell ref="J10:K10"/>
    <mergeCell ref="T10:T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4D303-09D9-69CF-B89C-731429628064}"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66903" width="10.57421875" hidden="1"/>
    <col min="5" max="5" style="67462" width="9.140625" hidden="1" customWidth="1"/>
    <col min="6" max="7" style="66852" width="9.140625" hidden="1" customWidth="1"/>
    <col min="8" max="8" style="66873" width="3.00390625" customWidth="1"/>
    <col min="9" max="9" style="66903" width="6.00390625" customWidth="1"/>
    <col min="10" max="10" style="66903" width="63.00390625" customWidth="1"/>
    <col min="11" max="11" style="66903" width="9.00390625" customWidth="1"/>
    <col min="12" max="12" style="66903" width="39.00390625" customWidth="1"/>
    <col min="13" max="13" style="66903" width="89.00390625" customWidth="1"/>
    <col min="14" max="14" style="66903" width="10.00390625" customWidth="1"/>
    <col min="15" max="16" style="66855" width="10.00390625" customWidth="1"/>
    <col min="17" max="22" style="66903" width="10.00390625" customWidth="1"/>
    <col min="23" max="23" style="66903" width="10.57421875" hidden="1"/>
  </cols>
  <sheetData>
    <row customHeight="1" ht="22.5" hidden="1">
      <c r="S1" s="1466"/>
      <c r="T1" s="1466"/>
      <c r="V1" s="1466"/>
      <c r="W1" s="2842" t="s">
        <v>14</v>
      </c>
    </row>
    <row customHeight="1" ht="22.5" hidden="1">
      <c r="B2" s="3264" t="s">
        <v>839</v>
      </c>
      <c r="C2" s="3264" t="s">
        <v>840</v>
      </c>
      <c r="D2" s="3263" t="s">
        <v>779</v>
      </c>
      <c r="E2" s="3269">
        <f>I2-3</f>
        <v>-3</v>
      </c>
      <c r="F2" s="3269">
        <f>J2</f>
        <v>0</v>
      </c>
      <c r="H2" s="2941" t="s">
        <v>103</v>
      </c>
      <c r="I2" s="3235"/>
      <c r="J2" s="2893"/>
      <c r="K2" s="3229" t="s">
        <v>324</v>
      </c>
      <c r="L2" s="2375"/>
      <c r="M2" s="1508"/>
      <c r="N2" s="2835"/>
      <c r="P2" s="2842"/>
      <c r="W2" s="2842">
        <v>0</v>
      </c>
    </row>
    <row customHeight="1" ht="14.25" hidden="1">
      <c r="W3" s="2842">
        <v>0</v>
      </c>
    </row>
    <row customHeight="1" ht="6.3">
      <c r="H4" s="1587"/>
      <c r="I4" s="1668"/>
      <c r="J4" s="1668"/>
      <c r="K4" s="1668"/>
      <c r="L4" s="1296"/>
      <c r="M4" s="1296"/>
      <c r="W4" s="2842">
        <v>6</v>
      </c>
    </row>
    <row customHeight="1" ht="50.25">
      <c r="H5" s="1587"/>
      <c r="I5" s="3459" t="s">
        <v>841</v>
      </c>
      <c r="J5" s="3459"/>
      <c r="K5" s="3459"/>
      <c r="L5" s="3459"/>
      <c r="M5" s="1477"/>
      <c r="W5" s="2842">
        <v>48</v>
      </c>
    </row>
    <row customHeight="1" ht="18">
      <c r="H6" s="1587"/>
      <c r="I6" s="3460" t="str">
        <f>IF(org=0,"Не определено",org)</f>
        <v>ПАО "ТГК-2"</v>
      </c>
      <c r="J6" s="3460"/>
      <c r="K6" s="3460"/>
      <c r="L6" s="3460"/>
      <c r="M6" s="1477"/>
      <c r="W6" s="2842">
        <v>17</v>
      </c>
    </row>
    <row customHeight="1" ht="14.699999999999998">
      <c r="H7" s="1587"/>
      <c r="I7" s="1668"/>
      <c r="J7" s="1674"/>
      <c r="K7" s="1674"/>
      <c r="L7" s="1963"/>
      <c r="M7" s="1404"/>
      <c r="W7" s="2842">
        <v>14</v>
      </c>
    </row>
    <row customHeight="1" ht="14.699999999999998">
      <c r="H8" s="1587"/>
      <c r="I8" s="3597" t="s">
        <v>318</v>
      </c>
      <c r="J8" s="3598"/>
      <c r="K8" s="3598"/>
      <c r="L8" s="3599"/>
      <c r="M8" s="3600" t="s">
        <v>319</v>
      </c>
      <c r="W8" s="2842">
        <v>14</v>
      </c>
    </row>
    <row customHeight="1" ht="35.699999999999996">
      <c r="E9" s="3262" t="s">
        <v>770</v>
      </c>
      <c r="F9" s="3262" t="s">
        <v>776</v>
      </c>
      <c r="H9" s="1587"/>
      <c r="I9" s="3236" t="s">
        <v>88</v>
      </c>
      <c r="J9" s="3237" t="s">
        <v>320</v>
      </c>
      <c r="K9" s="3275" t="s">
        <v>584</v>
      </c>
      <c r="L9" s="3276" t="s">
        <v>321</v>
      </c>
      <c r="M9" s="3600"/>
      <c r="W9" s="2842">
        <v>34</v>
      </c>
    </row>
    <row customHeight="1" ht="35.699999999999996">
      <c r="B10" s="3264" t="s">
        <v>842</v>
      </c>
      <c r="C10" s="3264" t="s">
        <v>843</v>
      </c>
      <c r="D10" s="3263" t="s">
        <v>779</v>
      </c>
      <c r="E10" s="3267" t="s">
        <v>780</v>
      </c>
      <c r="F10" s="3267" t="s">
        <v>780</v>
      </c>
      <c r="H10" s="1587"/>
      <c r="I10" s="3235" t="s">
        <v>99</v>
      </c>
      <c r="J10" s="3097" t="s">
        <v>844</v>
      </c>
      <c r="K10" s="3229" t="s">
        <v>324</v>
      </c>
      <c r="L10" s="2029"/>
      <c r="M10" s="1508" t="s">
        <v>845</v>
      </c>
      <c r="W10" s="2842">
        <v>34</v>
      </c>
    </row>
    <row customHeight="1" ht="50.25">
      <c r="B11" s="3264" t="s">
        <v>846</v>
      </c>
      <c r="C11" s="3264" t="s">
        <v>847</v>
      </c>
      <c r="D11" s="3263" t="s">
        <v>779</v>
      </c>
      <c r="E11" s="3267" t="s">
        <v>780</v>
      </c>
      <c r="F11" s="3267" t="s">
        <v>780</v>
      </c>
      <c r="H11" s="1587"/>
      <c r="I11" s="3235" t="s">
        <v>102</v>
      </c>
      <c r="J11" s="3097" t="s">
        <v>848</v>
      </c>
      <c r="K11" s="3229" t="s">
        <v>324</v>
      </c>
      <c r="L11" s="2029"/>
      <c r="M11" s="1508" t="s">
        <v>845</v>
      </c>
      <c r="W11" s="2842">
        <v>48</v>
      </c>
    </row>
    <row customHeight="1" ht="48.29999999999999">
      <c r="B12" s="3264" t="s">
        <v>849</v>
      </c>
      <c r="C12" s="3264" t="s">
        <v>850</v>
      </c>
      <c r="D12" s="3263" t="s">
        <v>779</v>
      </c>
      <c r="E12" s="3267" t="s">
        <v>780</v>
      </c>
      <c r="F12" s="3267" t="s">
        <v>780</v>
      </c>
      <c r="H12" s="2899"/>
      <c r="I12" s="3235" t="s">
        <v>90</v>
      </c>
      <c r="J12" s="3242" t="s">
        <v>851</v>
      </c>
      <c r="K12" s="3229" t="s">
        <v>324</v>
      </c>
      <c r="L12" s="2029"/>
      <c r="M12" s="1508" t="s">
        <v>852</v>
      </c>
      <c r="N12" s="2835"/>
      <c r="P12" s="2842"/>
      <c r="W12" s="2842">
        <v>46</v>
      </c>
    </row>
    <row customHeight="1" ht="14.699999999999998">
      <c r="E13" s="1554"/>
      <c r="H13" s="1587"/>
      <c r="I13" s="1558"/>
      <c r="J13" s="1862" t="s">
        <v>853</v>
      </c>
      <c r="K13" s="1782"/>
      <c r="L13" s="1425"/>
      <c r="M13" s="1508"/>
      <c r="W13" s="2842">
        <v>14</v>
      </c>
    </row>
    <row customHeight="1" ht="14.699999999999998">
      <c r="E14" s="1554"/>
      <c r="H14" s="1587"/>
      <c r="I14" s="2268"/>
      <c r="J14" s="2888"/>
      <c r="K14" s="2889"/>
      <c r="L14" s="2890"/>
      <c r="M14" s="3239"/>
      <c r="W14" s="2842">
        <v>14</v>
      </c>
    </row>
    <row customHeight="1" ht="14.699999999999998">
      <c r="I15" s="2892"/>
      <c r="J15" s="3596"/>
      <c r="K15" s="3596"/>
      <c r="L15" s="3596"/>
      <c r="M15" s="3596"/>
      <c r="W15" s="2842">
        <v>14</v>
      </c>
    </row>
    <row customHeight="1" ht="21" hidden="1">
      <c r="A16" s="3241" t="s">
        <v>82</v>
      </c>
      <c r="B16" s="2842">
        <v>9</v>
      </c>
      <c r="C16" s="2842">
        <v>9</v>
      </c>
      <c r="D16" s="2842">
        <v>9</v>
      </c>
      <c r="E16" s="3241" t="s">
        <v>168</v>
      </c>
      <c r="F16" s="3266" t="s">
        <v>168</v>
      </c>
      <c r="G16" s="3268"/>
      <c r="H16" s="1555">
        <v>3</v>
      </c>
      <c r="I16" s="2842">
        <v>6</v>
      </c>
      <c r="J16" s="2842">
        <v>63</v>
      </c>
      <c r="K16" s="2842">
        <v>9</v>
      </c>
      <c r="L16" s="2842">
        <v>39</v>
      </c>
      <c r="M16" s="2842">
        <v>89</v>
      </c>
      <c r="N16" s="2842">
        <v>10</v>
      </c>
      <c r="O16" s="2835">
        <v>10</v>
      </c>
      <c r="P16" s="2835">
        <v>10</v>
      </c>
      <c r="Q16" s="2842">
        <v>10</v>
      </c>
      <c r="R16" s="2842">
        <v>10</v>
      </c>
      <c r="S16" s="2842">
        <v>10</v>
      </c>
      <c r="T16" s="2842">
        <v>10</v>
      </c>
      <c r="U16" s="2842">
        <v>10</v>
      </c>
      <c r="V16" s="2842">
        <v>10</v>
      </c>
      <c r="W16" s="284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1979D-373E-45AD-7C9F-16C9461966E7}" mc:Ignorable="x14ac xr xr2 xr3">
  <sheetPr>
    <tabColor theme="9" tint="-0.25"/>
  </sheetPr>
  <dimension ref="A1:AK219"/>
  <sheetViews>
    <sheetView showGridLines="0" zoomScale="90" workbookViewId="0">
      <pane xSplit="8" ySplit="14" topLeftCell="I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65900" width="10.7109375" hidden="1" customWidth="1"/>
    <col min="2" max="2" style="66852" width="16.8515625" hidden="1" customWidth="1"/>
    <col min="3" max="3" style="65923" width="5.57421875" hidden="1" customWidth="1"/>
    <col min="4" max="4" style="66903" width="3.00390625" customWidth="1"/>
    <col min="5" max="5" style="66903" width="7.00390625" customWidth="1"/>
    <col min="6" max="6" style="66903" width="56.00390625" customWidth="1"/>
    <col min="7" max="7" style="66903" width="10.00390625" customWidth="1"/>
    <col min="8" max="8" style="66903" width="40.7109375" hidden="1" customWidth="1"/>
    <col min="9" max="9" style="66903" width="40.00390625" customWidth="1"/>
    <col min="10" max="14" style="66903" width="40.7109375" customWidth="1"/>
    <col min="15" max="15" style="66903" width="102.00390625" customWidth="1"/>
    <col min="16" max="16" style="66852" width="9.00390625" customWidth="1"/>
    <col min="17" max="17" style="65923" width="5.00390625" customWidth="1"/>
    <col min="18" max="18" style="65923" width="3.00390625" customWidth="1"/>
    <col min="19" max="22" style="66852" width="3.00390625" customWidth="1"/>
    <col min="23" max="23" style="65923" width="10.00390625" customWidth="1"/>
    <col min="24" max="24" style="66852" width="34.00390625" customWidth="1"/>
    <col min="25" max="25" style="66852" width="9.00390625" customWidth="1"/>
    <col min="26" max="26" style="65901" width="8.00390625" customWidth="1"/>
    <col min="27" max="31" style="66852" width="8.00390625" customWidth="1"/>
    <col min="32" max="36" style="67156" width="8.00390625" customWidth="1"/>
    <col min="37" max="37" style="66903" width="10.421875" hidden="1" customWidth="1"/>
  </cols>
  <sheetData>
    <row s="66852" customFormat="1" customHeight="1" ht="22.5" hidden="1">
      <c r="A1" s="2198"/>
      <c r="C1" s="2847"/>
      <c r="D1" s="1748"/>
      <c r="H1" s="2371">
        <v>4</v>
      </c>
      <c r="I1" s="2371">
        <v>4</v>
      </c>
      <c r="J1" s="13336">
        <v>4</v>
      </c>
      <c r="K1" s="13336">
        <v>4</v>
      </c>
      <c r="L1" s="13336">
        <v>4</v>
      </c>
      <c r="M1" s="13336">
        <v>4</v>
      </c>
      <c r="N1" s="13336">
        <v>4</v>
      </c>
      <c r="Q1" s="2847"/>
      <c r="R1" s="2847"/>
      <c r="W1" s="2847"/>
      <c r="AK1" s="2371" t="s">
        <v>14</v>
      </c>
    </row>
    <row s="66852" customFormat="1" customHeight="1" ht="22.5" hidden="1">
      <c r="A2" s="2198"/>
      <c r="C2" s="2847"/>
      <c r="D2" s="1749"/>
      <c r="E2" s="2848"/>
      <c r="F2" s="1751"/>
      <c r="G2" s="2850" t="s">
        <v>570</v>
      </c>
      <c r="H2" s="1752"/>
      <c r="I2" s="1752"/>
      <c r="J2" s="13332"/>
      <c r="K2" s="13332"/>
      <c r="L2" s="13332"/>
      <c r="M2" s="13332"/>
      <c r="N2" s="13332"/>
      <c r="O2" s="1753" t="s">
        <v>854</v>
      </c>
      <c r="P2" s="1754"/>
      <c r="Q2" s="2847"/>
      <c r="R2" s="2847"/>
      <c r="W2" s="2847"/>
      <c r="Z2" s="1755"/>
      <c r="AF2" s="2843"/>
      <c r="AG2" s="2843"/>
      <c r="AH2" s="2843"/>
      <c r="AI2" s="2843"/>
      <c r="AJ2" s="2843"/>
      <c r="AK2" s="2371">
        <v>0</v>
      </c>
    </row>
    <row customHeight="1" ht="11.25" hidden="1">
      <c r="J3" s="13315"/>
      <c r="K3" s="13315"/>
      <c r="L3" s="13315"/>
      <c r="M3" s="13315"/>
      <c r="N3" s="13315"/>
      <c r="AK3" s="2842">
        <v>0</v>
      </c>
    </row>
    <row s="67156" customFormat="1" customHeight="1" ht="11.25" hidden="1">
      <c r="A4" s="2198"/>
      <c r="B4" s="2371"/>
      <c r="C4" s="2847"/>
      <c r="D4" s="1573"/>
      <c r="J4" s="13346"/>
      <c r="K4" s="13346"/>
      <c r="L4" s="13346"/>
      <c r="M4" s="13346"/>
      <c r="N4" s="13346"/>
      <c r="O4" s="2843">
        <v>4</v>
      </c>
      <c r="P4" s="2371"/>
      <c r="Q4" s="2847"/>
      <c r="R4" s="2847"/>
      <c r="S4" s="2371"/>
      <c r="T4" s="2371"/>
      <c r="U4" s="2371"/>
      <c r="V4" s="2371"/>
      <c r="W4" s="2847"/>
      <c r="X4" s="2371"/>
      <c r="Y4" s="2371"/>
      <c r="Z4" s="1755"/>
      <c r="AA4" s="2371"/>
      <c r="AB4" s="2371"/>
      <c r="AC4" s="2371"/>
      <c r="AD4" s="2371"/>
      <c r="AE4" s="2371"/>
      <c r="AK4" s="2843">
        <v>0</v>
      </c>
    </row>
    <row customHeight="1" ht="11.549999999999999">
      <c r="J5" s="13315"/>
      <c r="K5" s="13315"/>
      <c r="L5" s="13315"/>
      <c r="M5" s="13315"/>
      <c r="N5" s="13315"/>
      <c r="AK5" s="2842">
        <v>11</v>
      </c>
    </row>
    <row customHeight="1" ht="31.5">
      <c r="E6" s="3518" t="s">
        <v>855</v>
      </c>
      <c r="F6" s="3518"/>
      <c r="G6" s="3518"/>
      <c r="H6" s="3518"/>
      <c r="I6" s="3518"/>
      <c r="J6" s="13593"/>
      <c r="K6" s="13593"/>
      <c r="L6" s="13593"/>
      <c r="M6" s="13593"/>
      <c r="N6" s="13593"/>
      <c r="O6" s="1767"/>
      <c r="AK6" s="2842">
        <v>30</v>
      </c>
    </row>
    <row customHeight="1" ht="11.549999999999999">
      <c r="E7" s="3460" t="str">
        <f>IF(org=0,"Не определено",org)</f>
        <v>ПАО "ТГК-2"</v>
      </c>
      <c r="F7" s="3460"/>
      <c r="G7" s="3460"/>
      <c r="H7" s="3460"/>
      <c r="I7" s="3460"/>
      <c r="J7" s="13349"/>
      <c r="K7" s="13349"/>
      <c r="L7" s="13349"/>
      <c r="M7" s="13349"/>
      <c r="N7" s="13349"/>
      <c r="AK7" s="2842">
        <v>11</v>
      </c>
    </row>
    <row customHeight="1" ht="11.549999999999999">
      <c r="E8" s="2346"/>
      <c r="F8" s="2346"/>
      <c r="G8" s="2346"/>
      <c r="H8" s="2346"/>
      <c r="I8" s="2346"/>
      <c r="J8" s="13351" t="s">
        <v>22</v>
      </c>
      <c r="K8" s="13351" t="s">
        <v>22</v>
      </c>
      <c r="L8" s="13351" t="s">
        <v>22</v>
      </c>
      <c r="M8" s="13351" t="s">
        <v>22</v>
      </c>
      <c r="N8" s="13351" t="s">
        <v>22</v>
      </c>
      <c r="AK8" s="2842">
        <v>11</v>
      </c>
    </row>
    <row s="65923" customFormat="1" customHeight="1" ht="4.2">
      <c r="A9" s="2378"/>
      <c r="D9" s="2853"/>
      <c r="H9" s="2100"/>
      <c r="I9" s="2100" t="s">
        <v>128</v>
      </c>
      <c r="J9" s="13353" t="s">
        <v>132</v>
      </c>
      <c r="K9" s="13353" t="s">
        <v>134</v>
      </c>
      <c r="L9" s="13353" t="s">
        <v>136</v>
      </c>
      <c r="M9" s="13353" t="s">
        <v>138</v>
      </c>
      <c r="N9" s="13353" t="s">
        <v>139</v>
      </c>
      <c r="AK9" s="2847">
        <v>4</v>
      </c>
    </row>
    <row customHeight="1" ht="11.549999999999999">
      <c r="E10" s="1922"/>
      <c r="F10" s="3578" t="s">
        <v>118</v>
      </c>
      <c r="G10" s="3579"/>
      <c r="H10" s="2763" t="str">
        <f>IF(H9="","",INDEX(DIFFERENTIATION_UNMERGE_VD,MATCH(H9,DIFFERENTIATION_ID_DIFF,0)))</f>
        <v/>
      </c>
      <c r="I10" s="2763"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13358"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v>
      </c>
      <c r="K10" s="13358" t="str">
        <f>IF(K9="","",INDEX(DIFFERENTIATION_UNMERGE_VD,MATCH(K9,DIFFERENTIATION_ID_DIFF,0)))</f>
        <v>Производство тепловой энергии. Некомбинированная выработка</v>
      </c>
      <c r="L10" s="13358" t="str">
        <f>IF(L9="","",INDEX(DIFFERENTIATION_UNMERGE_VD,MATCH(L9,DIFFERENTIATION_ID_DIFF,0)))</f>
        <v>Передача. Тепловая энергия; Сбыт. Тепловая энергия</v>
      </c>
      <c r="M10" s="13358" t="str">
        <f>IF(M9="","",INDEX(DIFFERENTIATION_UNMERGE_VD,MATCH(M9,DIFFERENTIATION_ID_DIFF,0)))</f>
        <v>Передача. Тепловая энергия; Сбыт. Тепловая энергия</v>
      </c>
      <c r="N10" s="13358" t="str">
        <f>IF(N9="","",INDEX(DIFFERENTIATION_UNMERGE_VD,MATCH(N9,DIFFERENTIATION_ID_DIFF,0)))</f>
        <v>Производство. Теплоноситель; Сбыт. Теплоноситель</v>
      </c>
      <c r="O10" s="3338" t="s">
        <v>319</v>
      </c>
      <c r="AK10" s="2842">
        <v>11</v>
      </c>
    </row>
    <row customHeight="1" ht="11.549999999999999">
      <c r="E11" s="1922"/>
      <c r="F11" s="3578" t="s">
        <v>582</v>
      </c>
      <c r="G11" s="3579"/>
      <c r="H11" s="2763" t="str">
        <f>IF(H9="","",INDEX(DIFFERENTIATION_UNMERGE_AREA,MATCH(H9,DIFFERENTIATION_ID_DIFF,0)))</f>
        <v/>
      </c>
      <c r="I11" s="2763" t="str">
        <f>IF(I9="","",INDEX(DIFFERENTIATION_UNMERGE_AREA,MATCH(I9,DIFFERENTIATION_ID_DIFF,0)))</f>
        <v>Территория 1</v>
      </c>
      <c r="J11" s="13358" t="str">
        <f>IF(J9="","",INDEX(DIFFERENTIATION_UNMERGE_AREA,MATCH(J9,DIFFERENTIATION_ID_DIFF,0)))</f>
        <v>Территория 2</v>
      </c>
      <c r="K11" s="13358" t="str">
        <f>IF(K9="","",INDEX(DIFFERENTIATION_UNMERGE_AREA,MATCH(K9,DIFFERENTIATION_ID_DIFF,0)))</f>
        <v>Территория 1</v>
      </c>
      <c r="L11" s="13358" t="str">
        <f>IF(L9="","",INDEX(DIFFERENTIATION_UNMERGE_AREA,MATCH(L9,DIFFERENTIATION_ID_DIFF,0)))</f>
        <v>Территория 1</v>
      </c>
      <c r="M11" s="13358" t="str">
        <f>IF(M9="","",INDEX(DIFFERENTIATION_UNMERGE_AREA,MATCH(M9,DIFFERENTIATION_ID_DIFF,0)))</f>
        <v>Территория 2</v>
      </c>
      <c r="N11" s="13358" t="str">
        <f>IF(N9="","",INDEX(DIFFERENTIATION_UNMERGE_AREA,MATCH(N9,DIFFERENTIATION_ID_DIFF,0)))</f>
        <v>Территория 2</v>
      </c>
      <c r="O11" s="3338"/>
      <c r="AK11" s="2842">
        <v>11</v>
      </c>
    </row>
    <row customHeight="1" ht="1.05">
      <c r="E12" s="2873"/>
      <c r="F12" s="3601" t="s">
        <v>583</v>
      </c>
      <c r="G12" s="3602"/>
      <c r="H12" s="2874" t="str">
        <f>IF(H9="","",INDEX(DIFFERENTIATION_UNMERGE_SYSTEM,MATCH(H9,DIFFERENTIATION_ID_DIFF,0)))</f>
        <v/>
      </c>
      <c r="I12" s="2874" t="str">
        <f>IF(I9="","",INDEX(DIFFERENTIATION_UNMERGE_SYSTEM,MATCH(I9,DIFFERENTIATION_ID_DIFF,0)))</f>
        <v>без дифференциации</v>
      </c>
      <c r="J12" s="13670" t="str">
        <f>IF(J9="","",INDEX(DIFFERENTIATION_UNMERGE_SYSTEM,MATCH(J9,DIFFERENTIATION_ID_DIFF,0)))</f>
        <v>без дифференциации</v>
      </c>
      <c r="K12" s="13670" t="str">
        <f>IF(K9="","",INDEX(DIFFERENTIATION_UNMERGE_SYSTEM,MATCH(K9,DIFFERENTIATION_ID_DIFF,0)))</f>
        <v>без дифференциации</v>
      </c>
      <c r="L12" s="13670" t="str">
        <f>IF(L9="","",INDEX(DIFFERENTIATION_UNMERGE_SYSTEM,MATCH(L9,DIFFERENTIATION_ID_DIFF,0)))</f>
        <v>без дифференциации</v>
      </c>
      <c r="M12" s="13670" t="str">
        <f>IF(M9="","",INDEX(DIFFERENTIATION_UNMERGE_SYSTEM,MATCH(M9,DIFFERENTIATION_ID_DIFF,0)))</f>
        <v>без дифференциации</v>
      </c>
      <c r="N12" s="13670" t="str">
        <f>IF(N9="","",INDEX(DIFFERENTIATION_UNMERGE_SYSTEM,MATCH(N9,DIFFERENTIATION_ID_DIFF,0)))</f>
        <v>без дифференциации</v>
      </c>
      <c r="O12" s="3338"/>
      <c r="AK12" s="2842">
        <v>1</v>
      </c>
    </row>
    <row customHeight="1" ht="11.549999999999999">
      <c r="E13" s="3580" t="s">
        <v>318</v>
      </c>
      <c r="F13" s="3581"/>
      <c r="G13" s="3581"/>
      <c r="H13" s="2762"/>
      <c r="I13" s="2762"/>
      <c r="J13" s="13362"/>
      <c r="K13" s="13362"/>
      <c r="L13" s="13362"/>
      <c r="M13" s="13362"/>
      <c r="N13" s="13362"/>
      <c r="O13" s="3338"/>
      <c r="AK13" s="2842">
        <v>11</v>
      </c>
    </row>
    <row customHeight="1" ht="24">
      <c r="E14" s="2850" t="s">
        <v>88</v>
      </c>
      <c r="F14" s="2845" t="s">
        <v>320</v>
      </c>
      <c r="G14" s="2845" t="s">
        <v>584</v>
      </c>
      <c r="H14" s="2845" t="s">
        <v>321</v>
      </c>
      <c r="I14" s="2845" t="s">
        <v>321</v>
      </c>
      <c r="J14" s="13321" t="s">
        <v>321</v>
      </c>
      <c r="K14" s="13321" t="s">
        <v>321</v>
      </c>
      <c r="L14" s="13321" t="s">
        <v>321</v>
      </c>
      <c r="M14" s="13321" t="s">
        <v>321</v>
      </c>
      <c r="N14" s="13321" t="s">
        <v>321</v>
      </c>
      <c r="O14" s="3338"/>
      <c r="AK14" s="2842">
        <v>23</v>
      </c>
    </row>
    <row customHeight="1" ht="19.95">
      <c r="D15" s="2849"/>
      <c r="E15" s="2841" t="s">
        <v>99</v>
      </c>
      <c r="F15" s="1918" t="s">
        <v>856</v>
      </c>
      <c r="G15" s="2857" t="s">
        <v>570</v>
      </c>
      <c r="H15" s="1768"/>
      <c r="I15" s="1768"/>
      <c r="J15" s="13366"/>
      <c r="K15" s="13366"/>
      <c r="L15" s="13366"/>
      <c r="M15" s="13366"/>
      <c r="N15" s="13366"/>
      <c r="O15" s="1500" t="s">
        <v>857</v>
      </c>
      <c r="P15" s="1754" t="s">
        <v>782</v>
      </c>
      <c r="AK15" s="2842">
        <v>19</v>
      </c>
    </row>
    <row customHeight="1" ht="35.699999999999996">
      <c r="D16" s="2849"/>
      <c r="E16" s="2841" t="s">
        <v>102</v>
      </c>
      <c r="F16" s="1918" t="s">
        <v>858</v>
      </c>
      <c r="G16" s="2857" t="s">
        <v>570</v>
      </c>
      <c r="H16" s="1769">
        <f>SUM(H17,H20,H23,H26,H29:H32,H35)</f>
        <v>0</v>
      </c>
      <c r="I16" s="1769">
        <f>SUM(I17,I20,I23,I26,I29:I32,I35)</f>
        <v>0</v>
      </c>
      <c r="J16" s="13368">
        <f>SUM(J17,J20,J23,J26,J29:J32,J35)</f>
        <v>0</v>
      </c>
      <c r="K16" s="13368">
        <f>SUM(K17,K20,K23,K26,K29:K32,K35)</f>
        <v>0</v>
      </c>
      <c r="L16" s="13368">
        <f>SUM(L17,L20,L23,L26,L29:L32,L35)</f>
        <v>0</v>
      </c>
      <c r="M16" s="13368">
        <f>SUM(M17,M20,M23,M26,M29:M32,M35)</f>
        <v>0</v>
      </c>
      <c r="N16" s="13368">
        <f>SUM(N17,N20,N23,N26,N29:N32,N35)</f>
        <v>0</v>
      </c>
      <c r="O16" s="1500" t="s">
        <v>859</v>
      </c>
      <c r="P16" s="1754" t="s">
        <v>782</v>
      </c>
      <c r="AK16" s="2842">
        <v>34</v>
      </c>
    </row>
    <row customHeight="1" ht="19.95">
      <c r="D17" s="2849"/>
      <c r="E17" s="2875" t="s">
        <v>860</v>
      </c>
      <c r="F17" s="2165" t="s">
        <v>861</v>
      </c>
      <c r="G17" s="2854" t="s">
        <v>570</v>
      </c>
      <c r="H17" s="1768"/>
      <c r="I17" s="1768"/>
      <c r="J17" s="13366"/>
      <c r="K17" s="13366"/>
      <c r="L17" s="13366"/>
      <c r="M17" s="13366"/>
      <c r="N17" s="13366"/>
      <c r="O17" s="1500" t="s">
        <v>862</v>
      </c>
      <c r="P17" s="1754"/>
      <c r="AK17" s="2842">
        <v>19</v>
      </c>
    </row>
    <row customHeight="1" ht="24">
      <c r="D18" s="2849"/>
      <c r="E18" s="2875" t="s">
        <v>863</v>
      </c>
      <c r="F18" s="2861" t="s">
        <v>864</v>
      </c>
      <c r="G18" s="2854" t="s">
        <v>570</v>
      </c>
      <c r="H18" s="1768"/>
      <c r="I18" s="1768"/>
      <c r="J18" s="13366"/>
      <c r="K18" s="13366"/>
      <c r="L18" s="13366"/>
      <c r="M18" s="13366"/>
      <c r="N18" s="13366"/>
      <c r="O18" s="1500" t="s">
        <v>865</v>
      </c>
      <c r="P18" s="1754"/>
      <c r="AK18" s="2842">
        <v>23</v>
      </c>
    </row>
    <row customHeight="1" ht="35.699999999999996">
      <c r="D19" s="2849"/>
      <c r="E19" s="2875" t="s">
        <v>866</v>
      </c>
      <c r="F19" s="2861" t="s">
        <v>867</v>
      </c>
      <c r="G19" s="2854" t="s">
        <v>570</v>
      </c>
      <c r="H19" s="1768"/>
      <c r="I19" s="1768"/>
      <c r="J19" s="13366"/>
      <c r="K19" s="13366"/>
      <c r="L19" s="13366"/>
      <c r="M19" s="13366"/>
      <c r="N19" s="13366"/>
      <c r="O19" s="1500"/>
      <c r="P19" s="1754"/>
      <c r="AK19" s="2842">
        <v>34</v>
      </c>
    </row>
    <row customHeight="1" ht="19.95">
      <c r="D20" s="2849"/>
      <c r="E20" s="2875" t="s">
        <v>325</v>
      </c>
      <c r="F20" s="2165" t="s">
        <v>868</v>
      </c>
      <c r="G20" s="2854" t="s">
        <v>570</v>
      </c>
      <c r="H20" s="1768"/>
      <c r="I20" s="1768"/>
      <c r="J20" s="13366"/>
      <c r="K20" s="13366"/>
      <c r="L20" s="13366"/>
      <c r="M20" s="13366"/>
      <c r="N20" s="13366"/>
      <c r="O20" s="1500" t="s">
        <v>869</v>
      </c>
      <c r="P20" s="1754"/>
      <c r="AK20" s="2842">
        <v>19</v>
      </c>
    </row>
    <row customHeight="1" ht="19.95">
      <c r="D21" s="2849"/>
      <c r="E21" s="2875" t="s">
        <v>870</v>
      </c>
      <c r="F21" s="2861" t="s">
        <v>871</v>
      </c>
      <c r="G21" s="2854" t="s">
        <v>570</v>
      </c>
      <c r="H21" s="1768"/>
      <c r="I21" s="1768"/>
      <c r="J21" s="13366"/>
      <c r="K21" s="13366"/>
      <c r="L21" s="13366"/>
      <c r="M21" s="13366"/>
      <c r="N21" s="13366"/>
      <c r="O21" s="1500"/>
      <c r="P21" s="1754"/>
      <c r="AK21" s="2842">
        <v>19</v>
      </c>
    </row>
    <row customHeight="1" ht="19.95">
      <c r="D22" s="2849"/>
      <c r="E22" s="2875" t="s">
        <v>872</v>
      </c>
      <c r="F22" s="2861" t="s">
        <v>873</v>
      </c>
      <c r="G22" s="2854" t="s">
        <v>570</v>
      </c>
      <c r="H22" s="1768"/>
      <c r="I22" s="1768"/>
      <c r="J22" s="13366"/>
      <c r="K22" s="13366"/>
      <c r="L22" s="13366"/>
      <c r="M22" s="13366"/>
      <c r="N22" s="13366"/>
      <c r="O22" s="1500"/>
      <c r="P22" s="1754"/>
      <c r="AK22" s="2842">
        <v>19</v>
      </c>
    </row>
    <row customHeight="1" ht="24">
      <c r="D23" s="2849"/>
      <c r="E23" s="2875" t="s">
        <v>328</v>
      </c>
      <c r="F23" s="2165" t="s">
        <v>874</v>
      </c>
      <c r="G23" s="2854" t="s">
        <v>570</v>
      </c>
      <c r="H23" s="1768"/>
      <c r="I23" s="1768"/>
      <c r="J23" s="13366"/>
      <c r="K23" s="13366"/>
      <c r="L23" s="13366"/>
      <c r="M23" s="13366"/>
      <c r="N23" s="13366"/>
      <c r="O23" s="1500" t="s">
        <v>875</v>
      </c>
      <c r="P23" s="1754"/>
      <c r="AK23" s="2842">
        <v>23</v>
      </c>
    </row>
    <row customHeight="1" ht="19.95">
      <c r="D24" s="2849"/>
      <c r="E24" s="2875" t="s">
        <v>876</v>
      </c>
      <c r="F24" s="2861" t="s">
        <v>877</v>
      </c>
      <c r="G24" s="2854" t="s">
        <v>570</v>
      </c>
      <c r="H24" s="1768"/>
      <c r="I24" s="1768"/>
      <c r="J24" s="13366"/>
      <c r="K24" s="13366"/>
      <c r="L24" s="13366"/>
      <c r="M24" s="13366"/>
      <c r="N24" s="13366"/>
      <c r="O24" s="1500"/>
      <c r="P24" s="1754"/>
      <c r="AK24" s="2842">
        <v>19</v>
      </c>
    </row>
    <row customHeight="1" ht="35.699999999999996">
      <c r="D25" s="2849"/>
      <c r="E25" s="2875" t="s">
        <v>878</v>
      </c>
      <c r="F25" s="2861" t="s">
        <v>879</v>
      </c>
      <c r="G25" s="2854" t="s">
        <v>570</v>
      </c>
      <c r="H25" s="1768"/>
      <c r="I25" s="1768"/>
      <c r="J25" s="13366"/>
      <c r="K25" s="13366"/>
      <c r="L25" s="13366"/>
      <c r="M25" s="13366"/>
      <c r="N25" s="13366"/>
      <c r="O25" s="1500"/>
      <c r="P25" s="1754"/>
      <c r="AK25" s="2842">
        <v>34</v>
      </c>
    </row>
    <row customHeight="1" ht="24">
      <c r="D26" s="2849"/>
      <c r="E26" s="2875" t="s">
        <v>880</v>
      </c>
      <c r="F26" s="2165" t="s">
        <v>881</v>
      </c>
      <c r="G26" s="2854" t="s">
        <v>570</v>
      </c>
      <c r="H26" s="1768"/>
      <c r="I26" s="1768"/>
      <c r="J26" s="13366"/>
      <c r="K26" s="13366"/>
      <c r="L26" s="13366"/>
      <c r="M26" s="13366"/>
      <c r="N26" s="13366"/>
      <c r="O26" s="1500" t="s">
        <v>882</v>
      </c>
      <c r="P26" s="1754"/>
      <c r="AK26" s="2842">
        <v>23</v>
      </c>
    </row>
    <row customHeight="1" ht="19.95">
      <c r="D27" s="2849"/>
      <c r="E27" s="2886" t="s">
        <v>883</v>
      </c>
      <c r="F27" s="2861" t="s">
        <v>884</v>
      </c>
      <c r="G27" s="2865" t="s">
        <v>570</v>
      </c>
      <c r="H27" s="2887"/>
      <c r="I27" s="2887"/>
      <c r="J27" s="13677"/>
      <c r="K27" s="13677"/>
      <c r="L27" s="13677"/>
      <c r="M27" s="13677"/>
      <c r="N27" s="13677"/>
      <c r="O27" s="1500"/>
      <c r="P27" s="1754"/>
      <c r="AK27" s="2842">
        <v>19</v>
      </c>
    </row>
    <row customHeight="1" ht="19.95">
      <c r="D28" s="2849"/>
      <c r="E28" s="2886" t="s">
        <v>885</v>
      </c>
      <c r="F28" s="2861" t="s">
        <v>886</v>
      </c>
      <c r="G28" s="2865" t="s">
        <v>570</v>
      </c>
      <c r="H28" s="2887"/>
      <c r="I28" s="2887"/>
      <c r="J28" s="13677"/>
      <c r="K28" s="13677"/>
      <c r="L28" s="13677"/>
      <c r="M28" s="13677"/>
      <c r="N28" s="13677"/>
      <c r="O28" s="1500"/>
      <c r="P28" s="1754"/>
      <c r="AK28" s="2842">
        <v>19</v>
      </c>
    </row>
    <row customHeight="1" ht="19.95">
      <c r="D29" s="2849"/>
      <c r="E29" s="2886" t="s">
        <v>887</v>
      </c>
      <c r="F29" s="2165" t="s">
        <v>888</v>
      </c>
      <c r="G29" s="2865" t="s">
        <v>570</v>
      </c>
      <c r="H29" s="2887"/>
      <c r="I29" s="2887"/>
      <c r="J29" s="13677"/>
      <c r="K29" s="13677"/>
      <c r="L29" s="13677"/>
      <c r="M29" s="13677"/>
      <c r="N29" s="13677"/>
      <c r="O29" s="1500"/>
      <c r="P29" s="1754"/>
      <c r="AK29" s="2842">
        <v>19</v>
      </c>
    </row>
    <row customHeight="1" ht="19.95">
      <c r="D30" s="2849"/>
      <c r="E30" s="2886" t="s">
        <v>889</v>
      </c>
      <c r="F30" s="2165" t="s">
        <v>890</v>
      </c>
      <c r="G30" s="2865" t="s">
        <v>570</v>
      </c>
      <c r="H30" s="2887"/>
      <c r="I30" s="2887"/>
      <c r="J30" s="13677"/>
      <c r="K30" s="13677"/>
      <c r="L30" s="13677"/>
      <c r="M30" s="13677"/>
      <c r="N30" s="13677"/>
      <c r="O30" s="1500"/>
      <c r="P30" s="1754"/>
      <c r="AK30" s="2842">
        <v>19</v>
      </c>
    </row>
    <row customHeight="1" ht="19.95">
      <c r="D31" s="2849"/>
      <c r="E31" s="2886" t="s">
        <v>891</v>
      </c>
      <c r="F31" s="2165" t="s">
        <v>892</v>
      </c>
      <c r="G31" s="2865" t="s">
        <v>570</v>
      </c>
      <c r="H31" s="2887"/>
      <c r="I31" s="2887"/>
      <c r="J31" s="13677"/>
      <c r="K31" s="13677"/>
      <c r="L31" s="13677"/>
      <c r="M31" s="13677"/>
      <c r="N31" s="13677"/>
      <c r="O31" s="1500"/>
      <c r="P31" s="1754"/>
      <c r="AK31" s="2842">
        <v>19</v>
      </c>
    </row>
    <row s="66852" customFormat="1" customHeight="1" ht="35.699999999999996">
      <c r="A32" s="2198"/>
      <c r="C32" s="2847"/>
      <c r="D32" s="2849"/>
      <c r="E32" s="2886" t="s">
        <v>893</v>
      </c>
      <c r="F32" s="2165" t="s">
        <v>894</v>
      </c>
      <c r="G32" s="2855" t="s">
        <v>570</v>
      </c>
      <c r="H32" s="1790">
        <f>SUM(H33:H34)</f>
        <v>0</v>
      </c>
      <c r="I32" s="1790">
        <f>SUM(I33:I34)</f>
        <v>0</v>
      </c>
      <c r="J32" s="13409">
        <f>SUM(J33:J34)</f>
        <v>0</v>
      </c>
      <c r="K32" s="13409">
        <f>SUM(K33:K34)</f>
        <v>0</v>
      </c>
      <c r="L32" s="13409">
        <f>SUM(L33:L34)</f>
        <v>0</v>
      </c>
      <c r="M32" s="13409">
        <f>SUM(M33:M34)</f>
        <v>0</v>
      </c>
      <c r="N32" s="13409">
        <f>SUM(N33:N34)</f>
        <v>0</v>
      </c>
      <c r="O32" s="1500" t="s">
        <v>895</v>
      </c>
      <c r="P32" s="1754"/>
      <c r="Q32" s="2847"/>
      <c r="R32" s="2847"/>
      <c r="W32" s="2847"/>
      <c r="Z32" s="1755"/>
      <c r="AF32" s="2843"/>
      <c r="AG32" s="2843"/>
      <c r="AH32" s="2843"/>
      <c r="AI32" s="2843"/>
      <c r="AJ32" s="2843"/>
      <c r="AK32" s="2371">
        <v>34</v>
      </c>
    </row>
    <row s="65923" customFormat="1" customHeight="1" ht="1.05">
      <c r="A33" s="2378"/>
      <c r="D33" s="1759"/>
      <c r="E33" s="2013" t="str">
        <f>E32&amp;".0"</f>
        <v>2.8.0</v>
      </c>
      <c r="F33" s="2202"/>
      <c r="G33" s="1762"/>
      <c r="H33" s="2203"/>
      <c r="I33" s="2203"/>
      <c r="J33" s="13412"/>
      <c r="K33" s="13412"/>
      <c r="L33" s="13412"/>
      <c r="M33" s="13412"/>
      <c r="N33" s="13412"/>
      <c r="O33" s="2204"/>
      <c r="AK33" s="2847">
        <v>1</v>
      </c>
    </row>
    <row s="66852" customFormat="1" customHeight="1" ht="19.95">
      <c r="A34" s="2198"/>
      <c r="C34" s="2847"/>
      <c r="D34" s="2844"/>
      <c r="E34" s="1781"/>
      <c r="F34" s="2877" t="s">
        <v>603</v>
      </c>
      <c r="G34" s="1783"/>
      <c r="H34" s="1784"/>
      <c r="I34" s="1784"/>
      <c r="J34" s="13680"/>
      <c r="K34" s="13681"/>
      <c r="L34" s="13682"/>
      <c r="M34" s="13683"/>
      <c r="N34" s="13684"/>
      <c r="O34" s="1512" t="s">
        <v>896</v>
      </c>
      <c r="P34" s="1754"/>
      <c r="Q34" s="2847"/>
      <c r="R34" s="2847"/>
      <c r="W34" s="2847"/>
      <c r="Z34" s="1755"/>
      <c r="AF34" s="2843"/>
      <c r="AG34" s="2843"/>
      <c r="AH34" s="2843"/>
      <c r="AI34" s="2843"/>
      <c r="AJ34" s="2843"/>
      <c r="AK34" s="2371">
        <v>19</v>
      </c>
    </row>
    <row customHeight="1" ht="60">
      <c r="D35" s="2849"/>
      <c r="E35" s="2886" t="s">
        <v>897</v>
      </c>
      <c r="F35" s="2165" t="s">
        <v>898</v>
      </c>
      <c r="G35" s="2865" t="s">
        <v>570</v>
      </c>
      <c r="H35" s="67506" t="s">
        <v>22</v>
      </c>
      <c r="I35" s="67506" t="s">
        <v>22</v>
      </c>
      <c r="J35" s="67507" t="s">
        <v>22</v>
      </c>
      <c r="K35" s="67507" t="s">
        <v>22</v>
      </c>
      <c r="L35" s="67507" t="s">
        <v>22</v>
      </c>
      <c r="M35" s="67507" t="s">
        <v>22</v>
      </c>
      <c r="N35" s="67507" t="s">
        <v>22</v>
      </c>
      <c r="O35" s="1500" t="s">
        <v>899</v>
      </c>
      <c r="P35" s="1754"/>
      <c r="AK35" s="2842">
        <v>57</v>
      </c>
    </row>
    <row s="67502" customFormat="1" customHeight="1" ht="19.95">
      <c r="A36" s="65900"/>
      <c r="B36" s="66852"/>
      <c r="C36" s="65923"/>
      <c r="D36" s="67332"/>
      <c r="E36" s="66064" t="s">
        <v>900</v>
      </c>
      <c r="F36" s="66190" t="s">
        <v>901</v>
      </c>
      <c r="G36" s="66281" t="s">
        <v>570</v>
      </c>
      <c r="H36" s="67508" t="s">
        <v>22</v>
      </c>
      <c r="I36" s="67508" t="s">
        <v>22</v>
      </c>
      <c r="J36" s="67508" t="s">
        <v>22</v>
      </c>
      <c r="K36" s="67508" t="s">
        <v>22</v>
      </c>
      <c r="L36" s="67508" t="s">
        <v>22</v>
      </c>
      <c r="M36" s="67508" t="s">
        <v>22</v>
      </c>
      <c r="N36" s="67508" t="s">
        <v>22</v>
      </c>
      <c r="O36" s="66869" t="s">
        <v>902</v>
      </c>
      <c r="P36" s="65876"/>
      <c r="Q36" s="65923"/>
      <c r="R36" s="65923"/>
      <c r="S36" s="66852"/>
      <c r="T36" s="66852"/>
      <c r="U36" s="66852"/>
      <c r="V36" s="66852"/>
      <c r="W36" s="65923"/>
      <c r="X36" s="66852"/>
      <c r="Y36" s="66852"/>
      <c r="Z36" s="65901"/>
      <c r="AA36" s="66852"/>
      <c r="AB36" s="66852"/>
      <c r="AC36" s="66852"/>
      <c r="AD36" s="66852"/>
      <c r="AE36" s="66852"/>
      <c r="AF36" s="67156"/>
      <c r="AG36" s="67156"/>
      <c r="AH36" s="67156"/>
      <c r="AI36" s="67156"/>
      <c r="AJ36" s="67156"/>
      <c r="AK36" s="66903">
        <v>19</v>
      </c>
    </row>
    <row s="67502" customFormat="1" customHeight="1" ht="19.95">
      <c r="A37" s="65900"/>
      <c r="B37" s="66852"/>
      <c r="C37" s="65923"/>
      <c r="D37" s="67332"/>
      <c r="E37" s="66064" t="s">
        <v>903</v>
      </c>
      <c r="F37" s="66190" t="s">
        <v>904</v>
      </c>
      <c r="G37" s="66281" t="s">
        <v>570</v>
      </c>
      <c r="H37" s="67508" t="s">
        <v>22</v>
      </c>
      <c r="I37" s="67508" t="s">
        <v>22</v>
      </c>
      <c r="J37" s="67508" t="s">
        <v>22</v>
      </c>
      <c r="K37" s="67508" t="s">
        <v>22</v>
      </c>
      <c r="L37" s="67508" t="s">
        <v>22</v>
      </c>
      <c r="M37" s="67508" t="s">
        <v>22</v>
      </c>
      <c r="N37" s="67508" t="s">
        <v>22</v>
      </c>
      <c r="O37" s="66869" t="s">
        <v>905</v>
      </c>
      <c r="P37" s="65876"/>
      <c r="Q37" s="65923"/>
      <c r="R37" s="65923"/>
      <c r="S37" s="66852"/>
      <c r="T37" s="66852"/>
      <c r="U37" s="66852"/>
      <c r="V37" s="66852"/>
      <c r="W37" s="65923"/>
      <c r="X37" s="66852"/>
      <c r="Y37" s="66852"/>
      <c r="Z37" s="65901"/>
      <c r="AA37" s="66852"/>
      <c r="AB37" s="66852"/>
      <c r="AC37" s="66852"/>
      <c r="AD37" s="66852"/>
      <c r="AE37" s="66852"/>
      <c r="AF37" s="67156"/>
      <c r="AG37" s="67156"/>
      <c r="AH37" s="67156"/>
      <c r="AI37" s="67156"/>
      <c r="AJ37" s="67156"/>
      <c r="AK37" s="66903">
        <v>19</v>
      </c>
    </row>
    <row s="66852" customFormat="1" customHeight="1" ht="24">
      <c r="A38" s="2200" t="s">
        <v>604</v>
      </c>
      <c r="C38" s="2847"/>
      <c r="D38" s="2849"/>
      <c r="E38" s="2875" t="s">
        <v>90</v>
      </c>
      <c r="F38" s="1918" t="s">
        <v>906</v>
      </c>
      <c r="G38" s="2854" t="s">
        <v>570</v>
      </c>
      <c r="H38" s="1768"/>
      <c r="I38" s="1768"/>
      <c r="J38" s="13366"/>
      <c r="K38" s="13366"/>
      <c r="L38" s="13366"/>
      <c r="M38" s="13366"/>
      <c r="N38" s="13366"/>
      <c r="O38" s="1500" t="s">
        <v>907</v>
      </c>
      <c r="P38" s="1754"/>
      <c r="Q38" s="2847"/>
      <c r="R38" s="2847"/>
      <c r="W38" s="2847"/>
      <c r="Z38" s="1755"/>
      <c r="AF38" s="2843"/>
      <c r="AG38" s="2843"/>
      <c r="AH38" s="2843"/>
      <c r="AI38" s="2843"/>
      <c r="AJ38" s="2843"/>
      <c r="AK38" s="2371">
        <v>23</v>
      </c>
    </row>
    <row s="66852" customFormat="1" customHeight="1" ht="35.699999999999996">
      <c r="A39" s="2200"/>
      <c r="C39" s="2847"/>
      <c r="D39" s="2849"/>
      <c r="E39" s="2875" t="s">
        <v>342</v>
      </c>
      <c r="F39" s="2165" t="s">
        <v>908</v>
      </c>
      <c r="G39" s="2865"/>
      <c r="H39" s="1768"/>
      <c r="I39" s="1768"/>
      <c r="J39" s="13366"/>
      <c r="K39" s="13366"/>
      <c r="L39" s="13366"/>
      <c r="M39" s="13366"/>
      <c r="N39" s="13366"/>
      <c r="O39" s="1500"/>
      <c r="P39" s="1754"/>
      <c r="Q39" s="2847"/>
      <c r="R39" s="2847"/>
      <c r="W39" s="2847"/>
      <c r="Z39" s="1755"/>
      <c r="AF39" s="2843"/>
      <c r="AG39" s="2843"/>
      <c r="AH39" s="2843"/>
      <c r="AI39" s="2843"/>
      <c r="AJ39" s="2843"/>
      <c r="AK39" s="2371">
        <v>34</v>
      </c>
    </row>
    <row s="66852" customFormat="1" customHeight="1" ht="19.95">
      <c r="A40" s="2198"/>
      <c r="C40" s="2847"/>
      <c r="D40" s="1786"/>
      <c r="E40" s="2875" t="s">
        <v>91</v>
      </c>
      <c r="F40" s="1918" t="s">
        <v>909</v>
      </c>
      <c r="G40" s="2854" t="s">
        <v>570</v>
      </c>
      <c r="H40" s="1768"/>
      <c r="I40" s="1768"/>
      <c r="J40" s="13366"/>
      <c r="K40" s="13366"/>
      <c r="L40" s="13366"/>
      <c r="M40" s="13366"/>
      <c r="N40" s="13366"/>
      <c r="O40" s="1500" t="s">
        <v>910</v>
      </c>
      <c r="P40" s="1754"/>
      <c r="Q40" s="2847"/>
      <c r="R40" s="2847"/>
      <c r="W40" s="2847"/>
      <c r="Z40" s="1755"/>
      <c r="AF40" s="2843"/>
      <c r="AG40" s="2843"/>
      <c r="AH40" s="2843"/>
      <c r="AI40" s="2843"/>
      <c r="AJ40" s="2843"/>
      <c r="AK40" s="2371">
        <v>19</v>
      </c>
    </row>
    <row s="66852" customFormat="1" customHeight="1" ht="24">
      <c r="A41" s="2198"/>
      <c r="C41" s="2847"/>
      <c r="D41" s="1786"/>
      <c r="E41" s="2875" t="s">
        <v>911</v>
      </c>
      <c r="F41" s="2165" t="s">
        <v>912</v>
      </c>
      <c r="G41" s="2865" t="s">
        <v>570</v>
      </c>
      <c r="H41" s="1768"/>
      <c r="I41" s="1768"/>
      <c r="J41" s="13366"/>
      <c r="K41" s="13366"/>
      <c r="L41" s="13366"/>
      <c r="M41" s="13366"/>
      <c r="N41" s="13366"/>
      <c r="O41" s="1500" t="s">
        <v>913</v>
      </c>
      <c r="P41" s="1754"/>
      <c r="Q41" s="2847"/>
      <c r="R41" s="2847"/>
      <c r="W41" s="2847"/>
      <c r="Z41" s="1755"/>
      <c r="AF41" s="2843"/>
      <c r="AG41" s="2843"/>
      <c r="AH41" s="2843"/>
      <c r="AI41" s="2843"/>
      <c r="AJ41" s="2843"/>
      <c r="AK41" s="2371">
        <v>23</v>
      </c>
    </row>
    <row s="66852" customFormat="1" customHeight="1" ht="24">
      <c r="A42" s="2198"/>
      <c r="C42" s="2847"/>
      <c r="D42" s="2849"/>
      <c r="E42" s="2875" t="s">
        <v>914</v>
      </c>
      <c r="F42" s="2861" t="s">
        <v>915</v>
      </c>
      <c r="G42" s="2854" t="s">
        <v>570</v>
      </c>
      <c r="H42" s="1768"/>
      <c r="I42" s="1768"/>
      <c r="J42" s="13366"/>
      <c r="K42" s="13366"/>
      <c r="L42" s="13366"/>
      <c r="M42" s="13366"/>
      <c r="N42" s="13366"/>
      <c r="O42" s="1500" t="s">
        <v>916</v>
      </c>
      <c r="P42" s="1754"/>
      <c r="Q42" s="2847"/>
      <c r="R42" s="2847"/>
      <c r="W42" s="2847"/>
      <c r="Z42" s="1755"/>
      <c r="AF42" s="2843"/>
      <c r="AG42" s="2843"/>
      <c r="AH42" s="2843"/>
      <c r="AI42" s="2843"/>
      <c r="AJ42" s="2843"/>
      <c r="AK42" s="2371">
        <v>23</v>
      </c>
    </row>
    <row s="66852" customFormat="1" customHeight="1" ht="24">
      <c r="A43" s="2198"/>
      <c r="C43" s="2847"/>
      <c r="D43" s="2849"/>
      <c r="E43" s="2875" t="s">
        <v>917</v>
      </c>
      <c r="F43" s="2861" t="s">
        <v>918</v>
      </c>
      <c r="G43" s="2854" t="s">
        <v>570</v>
      </c>
      <c r="H43" s="1768"/>
      <c r="I43" s="1768"/>
      <c r="J43" s="13366"/>
      <c r="K43" s="13366"/>
      <c r="L43" s="13366"/>
      <c r="M43" s="13366"/>
      <c r="N43" s="13366"/>
      <c r="O43" s="1500" t="s">
        <v>919</v>
      </c>
      <c r="P43" s="1754"/>
      <c r="Q43" s="2847"/>
      <c r="R43" s="2847"/>
      <c r="W43" s="2847"/>
      <c r="Z43" s="1755"/>
      <c r="AF43" s="2843"/>
      <c r="AG43" s="2843"/>
      <c r="AH43" s="2843"/>
      <c r="AI43" s="2843"/>
      <c r="AJ43" s="2843"/>
      <c r="AK43" s="2371">
        <v>23</v>
      </c>
    </row>
    <row s="66852" customFormat="1" customHeight="1" ht="24">
      <c r="A44" s="2198"/>
      <c r="C44" s="2847"/>
      <c r="D44" s="2849"/>
      <c r="E44" s="2875" t="s">
        <v>920</v>
      </c>
      <c r="F44" s="2861" t="s">
        <v>921</v>
      </c>
      <c r="G44" s="2854" t="s">
        <v>570</v>
      </c>
      <c r="H44" s="1768"/>
      <c r="I44" s="1768"/>
      <c r="J44" s="13366"/>
      <c r="K44" s="13366"/>
      <c r="L44" s="13366"/>
      <c r="M44" s="13366"/>
      <c r="N44" s="13366"/>
      <c r="O44" s="1500" t="s">
        <v>922</v>
      </c>
      <c r="P44" s="1754"/>
      <c r="Q44" s="2847"/>
      <c r="R44" s="2847"/>
      <c r="W44" s="2847"/>
      <c r="Z44" s="1755"/>
      <c r="AF44" s="2843"/>
      <c r="AG44" s="2843"/>
      <c r="AH44" s="2843"/>
      <c r="AI44" s="2843"/>
      <c r="AJ44" s="2843"/>
      <c r="AK44" s="2371">
        <v>23</v>
      </c>
    </row>
    <row s="66852" customFormat="1" customHeight="1" ht="35.699999999999996">
      <c r="A45" s="2198"/>
      <c r="C45" s="2847" t="s">
        <v>606</v>
      </c>
      <c r="D45" s="2849"/>
      <c r="E45" s="2875" t="s">
        <v>122</v>
      </c>
      <c r="F45" s="1918" t="s">
        <v>781</v>
      </c>
      <c r="G45" s="2857" t="s">
        <v>923</v>
      </c>
      <c r="H45" s="19861"/>
      <c r="I45" s="19861"/>
      <c r="J45" s="19862"/>
      <c r="K45" s="19862"/>
      <c r="L45" s="19862"/>
      <c r="M45" s="19862"/>
      <c r="N45" s="19862"/>
      <c r="O45" s="1500" t="s">
        <v>924</v>
      </c>
      <c r="P45" s="1754"/>
      <c r="Q45" s="2847"/>
      <c r="R45" s="2847"/>
      <c r="W45" s="2847"/>
      <c r="Z45" s="1755"/>
      <c r="AF45" s="2843"/>
      <c r="AG45" s="2843"/>
      <c r="AH45" s="2843"/>
      <c r="AI45" s="2843"/>
      <c r="AJ45" s="2843"/>
      <c r="AK45" s="2371">
        <v>34</v>
      </c>
    </row>
    <row s="66852" customFormat="1" customHeight="1" ht="35.699999999999996">
      <c r="A46" s="2198"/>
      <c r="C46" s="2847"/>
      <c r="D46" s="2849"/>
      <c r="E46" s="2875" t="s">
        <v>92</v>
      </c>
      <c r="F46" s="1918" t="s">
        <v>925</v>
      </c>
      <c r="G46" s="2854" t="s">
        <v>926</v>
      </c>
      <c r="H46" s="1756"/>
      <c r="I46" s="1756"/>
      <c r="J46" s="13343"/>
      <c r="K46" s="13343"/>
      <c r="L46" s="13343"/>
      <c r="M46" s="13343"/>
      <c r="N46" s="13343"/>
      <c r="O46" s="1500" t="s">
        <v>927</v>
      </c>
      <c r="P46" s="1754"/>
      <c r="Q46" s="2847"/>
      <c r="R46" s="2847"/>
      <c r="W46" s="2847"/>
      <c r="Z46" s="1755"/>
      <c r="AF46" s="2843"/>
      <c r="AG46" s="2843"/>
      <c r="AH46" s="2843"/>
      <c r="AI46" s="2843"/>
      <c r="AJ46" s="2843"/>
      <c r="AK46" s="2371">
        <v>34</v>
      </c>
    </row>
    <row s="66852" customFormat="1" customHeight="1" ht="24">
      <c r="A47" s="2198"/>
      <c r="C47" s="2847"/>
      <c r="D47" s="2849"/>
      <c r="E47" s="2875" t="s">
        <v>93</v>
      </c>
      <c r="F47" s="1918" t="s">
        <v>928</v>
      </c>
      <c r="G47" s="2865" t="s">
        <v>929</v>
      </c>
      <c r="H47" s="1756"/>
      <c r="I47" s="1756"/>
      <c r="J47" s="13343"/>
      <c r="K47" s="13343"/>
      <c r="L47" s="13343"/>
      <c r="M47" s="13343"/>
      <c r="N47" s="13343"/>
      <c r="O47" s="1500" t="s">
        <v>930</v>
      </c>
      <c r="P47" s="1754"/>
      <c r="Q47" s="2847"/>
      <c r="R47" s="2847"/>
      <c r="W47" s="2847"/>
      <c r="Z47" s="1755"/>
      <c r="AF47" s="2843"/>
      <c r="AG47" s="2843"/>
      <c r="AH47" s="2843"/>
      <c r="AI47" s="2843"/>
      <c r="AJ47" s="2843"/>
      <c r="AK47" s="2371">
        <v>23</v>
      </c>
    </row>
    <row s="66852" customFormat="1" customHeight="1" ht="19.95">
      <c r="A48" s="2198"/>
      <c r="C48" s="2847"/>
      <c r="D48" s="2849"/>
      <c r="E48" s="2875" t="s">
        <v>123</v>
      </c>
      <c r="F48" s="1918" t="s">
        <v>931</v>
      </c>
      <c r="G48" s="2854" t="s">
        <v>617</v>
      </c>
      <c r="H48" s="1788"/>
      <c r="I48" s="1788"/>
      <c r="J48" s="13398"/>
      <c r="K48" s="13398"/>
      <c r="L48" s="13398"/>
      <c r="M48" s="13398"/>
      <c r="N48" s="13398"/>
      <c r="O48" s="1500"/>
      <c r="P48" s="1754"/>
      <c r="Q48" s="2847"/>
      <c r="R48" s="2847"/>
      <c r="W48" s="2847"/>
      <c r="Z48" s="1755"/>
      <c r="AF48" s="2843"/>
      <c r="AG48" s="2843"/>
      <c r="AH48" s="2843"/>
      <c r="AI48" s="2843"/>
      <c r="AJ48" s="2843"/>
      <c r="AK48" s="2371">
        <v>19</v>
      </c>
    </row>
    <row customHeight="1" ht="11.549999999999999">
      <c r="D49" s="2849"/>
      <c r="J49" s="13315"/>
      <c r="K49" s="13315"/>
      <c r="L49" s="13315"/>
      <c r="M49" s="13315"/>
      <c r="N49" s="13315"/>
      <c r="AK49" s="2842">
        <v>11</v>
      </c>
    </row>
    <row s="65897" customFormat="1" customHeight="1" ht="11.549999999999999">
      <c r="A50" s="2198"/>
      <c r="B50" s="2847"/>
      <c r="C50" s="2847"/>
      <c r="D50" s="1562"/>
      <c r="J50" s="13495"/>
      <c r="K50" s="13495"/>
      <c r="L50" s="13495"/>
      <c r="M50" s="13495"/>
      <c r="N50" s="13495"/>
      <c r="P50" s="2371"/>
      <c r="Q50" s="2847"/>
      <c r="R50" s="2847"/>
      <c r="S50" s="2371"/>
      <c r="T50" s="2371"/>
      <c r="U50" s="2371"/>
      <c r="V50" s="2371"/>
      <c r="W50" s="2847"/>
      <c r="X50" s="2371"/>
      <c r="Y50" s="2371"/>
      <c r="Z50" s="1755"/>
      <c r="AA50" s="2371"/>
      <c r="AB50" s="2371"/>
      <c r="AC50" s="2371"/>
      <c r="AD50" s="2371"/>
      <c r="AE50" s="2371"/>
      <c r="AF50" s="2843"/>
      <c r="AG50" s="1777"/>
      <c r="AH50" s="1777"/>
      <c r="AI50" s="1777"/>
      <c r="AJ50" s="1777"/>
      <c r="AK50" s="2852">
        <v>11</v>
      </c>
    </row>
    <row s="65897" customFormat="1" customHeight="1" ht="11.549999999999999">
      <c r="A51" s="2198"/>
      <c r="B51" s="2847"/>
      <c r="C51" s="2847"/>
      <c r="D51" s="1562"/>
      <c r="J51" s="13495"/>
      <c r="K51" s="13495"/>
      <c r="L51" s="13495"/>
      <c r="M51" s="13495"/>
      <c r="N51" s="13495"/>
      <c r="P51" s="2371"/>
      <c r="Q51" s="2847"/>
      <c r="R51" s="2847"/>
      <c r="S51" s="2371"/>
      <c r="T51" s="2371"/>
      <c r="U51" s="2371"/>
      <c r="V51" s="2371"/>
      <c r="W51" s="2847"/>
      <c r="X51" s="2371"/>
      <c r="Y51" s="2371"/>
      <c r="Z51" s="1755"/>
      <c r="AA51" s="2371"/>
      <c r="AB51" s="2371"/>
      <c r="AC51" s="2371"/>
      <c r="AD51" s="2371"/>
      <c r="AE51" s="2371"/>
      <c r="AF51" s="2843"/>
      <c r="AG51" s="1777"/>
      <c r="AH51" s="1777"/>
      <c r="AI51" s="1777"/>
      <c r="AJ51" s="1777"/>
      <c r="AK51" s="2852">
        <v>11</v>
      </c>
    </row>
    <row s="65897" customFormat="1" customHeight="1" ht="11.549999999999999">
      <c r="A52" s="2198"/>
      <c r="B52" s="2847"/>
      <c r="C52" s="2847"/>
      <c r="D52" s="1562"/>
      <c r="H52" s="1777"/>
      <c r="I52" s="1777"/>
      <c r="J52" s="13496"/>
      <c r="K52" s="13496"/>
      <c r="L52" s="13496"/>
      <c r="M52" s="13496"/>
      <c r="N52" s="13496"/>
      <c r="P52" s="2371"/>
      <c r="Q52" s="2847"/>
      <c r="R52" s="2847"/>
      <c r="S52" s="2371"/>
      <c r="T52" s="2371"/>
      <c r="U52" s="2371"/>
      <c r="V52" s="2371"/>
      <c r="W52" s="2847"/>
      <c r="X52" s="2371"/>
      <c r="Y52" s="2371"/>
      <c r="Z52" s="1755"/>
      <c r="AA52" s="2371"/>
      <c r="AB52" s="2371"/>
      <c r="AC52" s="2371"/>
      <c r="AD52" s="2371"/>
      <c r="AE52" s="2371"/>
      <c r="AF52" s="2843"/>
      <c r="AG52" s="1777"/>
      <c r="AH52" s="1777"/>
      <c r="AI52" s="1777"/>
      <c r="AJ52" s="1777"/>
      <c r="AK52" s="2852">
        <v>11</v>
      </c>
    </row>
    <row s="65897" customFormat="1" customHeight="1" ht="11.549999999999999">
      <c r="A53" s="2198"/>
      <c r="B53" s="2847"/>
      <c r="C53" s="2847"/>
      <c r="D53" s="1562"/>
      <c r="J53" s="13495"/>
      <c r="K53" s="13495"/>
      <c r="L53" s="13495"/>
      <c r="M53" s="13495"/>
      <c r="N53" s="13495"/>
      <c r="P53" s="2371"/>
      <c r="Q53" s="2847"/>
      <c r="R53" s="2847"/>
      <c r="S53" s="2371"/>
      <c r="T53" s="2371"/>
      <c r="U53" s="2371"/>
      <c r="V53" s="2371"/>
      <c r="W53" s="2847"/>
      <c r="X53" s="2371"/>
      <c r="Y53" s="2371"/>
      <c r="Z53" s="1755"/>
      <c r="AA53" s="2371"/>
      <c r="AB53" s="2371"/>
      <c r="AC53" s="2371"/>
      <c r="AD53" s="2371"/>
      <c r="AE53" s="2371"/>
      <c r="AF53" s="2843"/>
      <c r="AG53" s="1777"/>
      <c r="AH53" s="1777"/>
      <c r="AI53" s="1777"/>
      <c r="AJ53" s="1777"/>
      <c r="AK53" s="2852">
        <v>11</v>
      </c>
    </row>
    <row s="65897" customFormat="1" customHeight="1" ht="11.549999999999999">
      <c r="A54" s="2198"/>
      <c r="B54" s="2847"/>
      <c r="C54" s="2847"/>
      <c r="D54" s="1562"/>
      <c r="J54" s="13495"/>
      <c r="K54" s="13495"/>
      <c r="L54" s="13495"/>
      <c r="M54" s="13495"/>
      <c r="N54" s="13495"/>
      <c r="P54" s="2371"/>
      <c r="Q54" s="2847"/>
      <c r="R54" s="2847"/>
      <c r="S54" s="2371"/>
      <c r="T54" s="2371"/>
      <c r="U54" s="2371"/>
      <c r="V54" s="2371"/>
      <c r="W54" s="2847"/>
      <c r="X54" s="2371"/>
      <c r="Y54" s="2371"/>
      <c r="Z54" s="1755"/>
      <c r="AA54" s="2371"/>
      <c r="AB54" s="2371"/>
      <c r="AC54" s="2371"/>
      <c r="AD54" s="2371"/>
      <c r="AE54" s="2371"/>
      <c r="AF54" s="2843"/>
      <c r="AG54" s="1777"/>
      <c r="AH54" s="1777"/>
      <c r="AI54" s="1777"/>
      <c r="AJ54" s="1777"/>
      <c r="AK54" s="2852">
        <v>11</v>
      </c>
    </row>
    <row s="65897" customFormat="1" customHeight="1" ht="11.549999999999999">
      <c r="A55" s="2198"/>
      <c r="B55" s="2847"/>
      <c r="C55" s="2847"/>
      <c r="D55" s="1562"/>
      <c r="J55" s="13495"/>
      <c r="K55" s="13495"/>
      <c r="L55" s="13495"/>
      <c r="M55" s="13495"/>
      <c r="N55" s="13495"/>
      <c r="P55" s="2371"/>
      <c r="Q55" s="2847"/>
      <c r="R55" s="2847"/>
      <c r="S55" s="2371"/>
      <c r="T55" s="2371"/>
      <c r="U55" s="2371"/>
      <c r="V55" s="2371"/>
      <c r="W55" s="2847"/>
      <c r="X55" s="2371"/>
      <c r="Y55" s="2371"/>
      <c r="Z55" s="1755"/>
      <c r="AA55" s="2371"/>
      <c r="AB55" s="2371"/>
      <c r="AC55" s="2371"/>
      <c r="AD55" s="2371"/>
      <c r="AE55" s="2371"/>
      <c r="AF55" s="2843"/>
      <c r="AG55" s="1777"/>
      <c r="AH55" s="1777"/>
      <c r="AI55" s="1777"/>
      <c r="AJ55" s="1777"/>
      <c r="AK55" s="2852">
        <v>11</v>
      </c>
    </row>
    <row s="65897" customFormat="1" customHeight="1" ht="11.549999999999999">
      <c r="A56" s="2198"/>
      <c r="B56" s="2847"/>
      <c r="C56" s="2847"/>
      <c r="D56" s="1562"/>
      <c r="J56" s="13495"/>
      <c r="K56" s="13495"/>
      <c r="L56" s="13495"/>
      <c r="M56" s="13495"/>
      <c r="N56" s="13495"/>
      <c r="P56" s="2371"/>
      <c r="Q56" s="2847"/>
      <c r="R56" s="2847"/>
      <c r="S56" s="2371"/>
      <c r="T56" s="2371"/>
      <c r="U56" s="2371"/>
      <c r="V56" s="2371"/>
      <c r="W56" s="2847"/>
      <c r="X56" s="2371"/>
      <c r="Y56" s="2371"/>
      <c r="Z56" s="1755"/>
      <c r="AA56" s="2371"/>
      <c r="AB56" s="2371"/>
      <c r="AC56" s="2371"/>
      <c r="AD56" s="2371"/>
      <c r="AE56" s="2371"/>
      <c r="AF56" s="2843"/>
      <c r="AG56" s="1777"/>
      <c r="AH56" s="1777"/>
      <c r="AI56" s="1777"/>
      <c r="AJ56" s="1777"/>
      <c r="AK56" s="2852">
        <v>11</v>
      </c>
    </row>
    <row s="65897" customFormat="1" customHeight="1" ht="11.549999999999999">
      <c r="A57" s="2198"/>
      <c r="B57" s="2847"/>
      <c r="C57" s="2847"/>
      <c r="D57" s="1562"/>
      <c r="J57" s="13495"/>
      <c r="K57" s="13495"/>
      <c r="L57" s="13495"/>
      <c r="M57" s="13495"/>
      <c r="N57" s="13495"/>
      <c r="P57" s="2371"/>
      <c r="Q57" s="2847"/>
      <c r="R57" s="2847"/>
      <c r="S57" s="2371"/>
      <c r="T57" s="2371"/>
      <c r="U57" s="2371"/>
      <c r="V57" s="2371"/>
      <c r="W57" s="2847"/>
      <c r="X57" s="2371"/>
      <c r="Y57" s="2371"/>
      <c r="Z57" s="1755"/>
      <c r="AA57" s="2371"/>
      <c r="AB57" s="2371"/>
      <c r="AC57" s="2371"/>
      <c r="AD57" s="2371"/>
      <c r="AE57" s="2371"/>
      <c r="AF57" s="2843"/>
      <c r="AG57" s="1777"/>
      <c r="AH57" s="1777"/>
      <c r="AI57" s="1777"/>
      <c r="AJ57" s="1777"/>
      <c r="AK57" s="2852">
        <v>11</v>
      </c>
    </row>
    <row s="65897" customFormat="1" customHeight="1" ht="11.549999999999999">
      <c r="A58" s="2198"/>
      <c r="B58" s="2847"/>
      <c r="C58" s="2847"/>
      <c r="D58" s="1562"/>
      <c r="J58" s="13495"/>
      <c r="K58" s="13495"/>
      <c r="L58" s="13495"/>
      <c r="M58" s="13495"/>
      <c r="N58" s="13495"/>
      <c r="P58" s="2371"/>
      <c r="Q58" s="2847"/>
      <c r="R58" s="2847"/>
      <c r="S58" s="2371"/>
      <c r="T58" s="2371"/>
      <c r="U58" s="2371"/>
      <c r="V58" s="2371"/>
      <c r="W58" s="2847"/>
      <c r="X58" s="2371"/>
      <c r="Y58" s="2371"/>
      <c r="Z58" s="1755"/>
      <c r="AA58" s="2371"/>
      <c r="AB58" s="2371"/>
      <c r="AC58" s="2371"/>
      <c r="AD58" s="2371"/>
      <c r="AE58" s="2371"/>
      <c r="AF58" s="2843"/>
      <c r="AG58" s="1777"/>
      <c r="AH58" s="1777"/>
      <c r="AI58" s="1777"/>
      <c r="AJ58" s="1777"/>
      <c r="AK58" s="2852">
        <v>11</v>
      </c>
    </row>
    <row s="65897" customFormat="1" customHeight="1" ht="11.549999999999999">
      <c r="A59" s="2198"/>
      <c r="B59" s="2847"/>
      <c r="C59" s="2847"/>
      <c r="D59" s="1562"/>
      <c r="J59" s="13495"/>
      <c r="K59" s="13495"/>
      <c r="L59" s="13495"/>
      <c r="M59" s="13495"/>
      <c r="N59" s="13495"/>
      <c r="P59" s="2371"/>
      <c r="Q59" s="2847"/>
      <c r="R59" s="2847"/>
      <c r="S59" s="2371"/>
      <c r="T59" s="2371"/>
      <c r="U59" s="2371"/>
      <c r="V59" s="2371"/>
      <c r="W59" s="2847"/>
      <c r="X59" s="2371"/>
      <c r="Y59" s="2371"/>
      <c r="Z59" s="1755"/>
      <c r="AA59" s="2371"/>
      <c r="AB59" s="2371"/>
      <c r="AC59" s="2371"/>
      <c r="AD59" s="2371"/>
      <c r="AE59" s="2371"/>
      <c r="AF59" s="2843"/>
      <c r="AG59" s="1777"/>
      <c r="AH59" s="1777"/>
      <c r="AI59" s="1777"/>
      <c r="AJ59" s="1777"/>
      <c r="AK59" s="2852">
        <v>11</v>
      </c>
    </row>
    <row s="65897" customFormat="1" customHeight="1" ht="11.549999999999999">
      <c r="A60" s="2198"/>
      <c r="B60" s="2847"/>
      <c r="C60" s="2847"/>
      <c r="D60" s="1562"/>
      <c r="J60" s="13495"/>
      <c r="K60" s="13495"/>
      <c r="L60" s="13495"/>
      <c r="M60" s="13495"/>
      <c r="N60" s="13495"/>
      <c r="P60" s="2371"/>
      <c r="Q60" s="2847"/>
      <c r="R60" s="2847"/>
      <c r="S60" s="2371"/>
      <c r="T60" s="2371"/>
      <c r="U60" s="2371"/>
      <c r="V60" s="2371"/>
      <c r="W60" s="2847"/>
      <c r="X60" s="2371"/>
      <c r="Y60" s="2371"/>
      <c r="Z60" s="1755"/>
      <c r="AA60" s="2371"/>
      <c r="AB60" s="2371"/>
      <c r="AC60" s="2371"/>
      <c r="AD60" s="2371"/>
      <c r="AE60" s="2371"/>
      <c r="AF60" s="2843"/>
      <c r="AG60" s="1777"/>
      <c r="AH60" s="1777"/>
      <c r="AI60" s="1777"/>
      <c r="AJ60" s="1777"/>
      <c r="AK60" s="2852">
        <v>11</v>
      </c>
    </row>
    <row s="65897" customFormat="1" customHeight="1" ht="11.549999999999999">
      <c r="A61" s="2198"/>
      <c r="B61" s="2847"/>
      <c r="C61" s="2847"/>
      <c r="D61" s="1562"/>
      <c r="J61" s="13495"/>
      <c r="K61" s="13495"/>
      <c r="L61" s="13495"/>
      <c r="M61" s="13495"/>
      <c r="N61" s="13495"/>
      <c r="P61" s="2371"/>
      <c r="Q61" s="2847"/>
      <c r="R61" s="2847"/>
      <c r="S61" s="2371"/>
      <c r="T61" s="2371"/>
      <c r="U61" s="2371"/>
      <c r="V61" s="2371"/>
      <c r="W61" s="2847"/>
      <c r="X61" s="2371"/>
      <c r="Y61" s="2371"/>
      <c r="Z61" s="1755"/>
      <c r="AA61" s="2371"/>
      <c r="AB61" s="2371"/>
      <c r="AC61" s="2371"/>
      <c r="AD61" s="2371"/>
      <c r="AE61" s="2371"/>
      <c r="AF61" s="2843"/>
      <c r="AG61" s="1777"/>
      <c r="AH61" s="1777"/>
      <c r="AI61" s="1777"/>
      <c r="AJ61" s="1777"/>
      <c r="AK61" s="2852">
        <v>11</v>
      </c>
    </row>
    <row s="65897" customFormat="1" customHeight="1" ht="11.549999999999999">
      <c r="A62" s="2198"/>
      <c r="B62" s="2847"/>
      <c r="C62" s="2847"/>
      <c r="D62" s="1562"/>
      <c r="J62" s="13495"/>
      <c r="K62" s="13495"/>
      <c r="L62" s="13495"/>
      <c r="M62" s="13495"/>
      <c r="N62" s="13495"/>
      <c r="P62" s="2371"/>
      <c r="Q62" s="2847"/>
      <c r="R62" s="2847"/>
      <c r="S62" s="2371"/>
      <c r="T62" s="2371"/>
      <c r="U62" s="2371"/>
      <c r="V62" s="2371"/>
      <c r="W62" s="2847"/>
      <c r="X62" s="2371"/>
      <c r="Y62" s="2371"/>
      <c r="Z62" s="1755"/>
      <c r="AA62" s="2371"/>
      <c r="AB62" s="2371"/>
      <c r="AC62" s="2371"/>
      <c r="AD62" s="2371"/>
      <c r="AE62" s="2371"/>
      <c r="AF62" s="2843"/>
      <c r="AG62" s="1777"/>
      <c r="AH62" s="1777"/>
      <c r="AI62" s="1777"/>
      <c r="AJ62" s="1777"/>
      <c r="AK62" s="2852">
        <v>11</v>
      </c>
    </row>
    <row s="65897" customFormat="1" customHeight="1" ht="11.549999999999999">
      <c r="A63" s="2198"/>
      <c r="B63" s="2847"/>
      <c r="C63" s="2847"/>
      <c r="D63" s="1562"/>
      <c r="J63" s="13495"/>
      <c r="K63" s="13495"/>
      <c r="L63" s="13495"/>
      <c r="M63" s="13495"/>
      <c r="N63" s="13495"/>
      <c r="P63" s="2371"/>
      <c r="Q63" s="2847"/>
      <c r="R63" s="2847"/>
      <c r="S63" s="2371"/>
      <c r="T63" s="2371"/>
      <c r="U63" s="2371"/>
      <c r="V63" s="2371"/>
      <c r="W63" s="2847"/>
      <c r="X63" s="2371"/>
      <c r="Y63" s="2371"/>
      <c r="Z63" s="1755"/>
      <c r="AA63" s="2371"/>
      <c r="AB63" s="2371"/>
      <c r="AC63" s="2371"/>
      <c r="AD63" s="2371"/>
      <c r="AE63" s="2371"/>
      <c r="AF63" s="2843"/>
      <c r="AG63" s="1777"/>
      <c r="AH63" s="1777"/>
      <c r="AI63" s="1777"/>
      <c r="AJ63" s="1777"/>
      <c r="AK63" s="2852">
        <v>11</v>
      </c>
    </row>
    <row s="65897" customFormat="1" customHeight="1" ht="11.549999999999999">
      <c r="A64" s="2198"/>
      <c r="B64" s="2847"/>
      <c r="C64" s="2847"/>
      <c r="D64" s="1562"/>
      <c r="J64" s="13495"/>
      <c r="K64" s="13495"/>
      <c r="L64" s="13495"/>
      <c r="M64" s="13495"/>
      <c r="N64" s="13495"/>
      <c r="P64" s="2371"/>
      <c r="Q64" s="2847"/>
      <c r="R64" s="2847"/>
      <c r="S64" s="2371"/>
      <c r="T64" s="2371"/>
      <c r="U64" s="2371"/>
      <c r="V64" s="2371"/>
      <c r="W64" s="2847"/>
      <c r="X64" s="2371"/>
      <c r="Y64" s="2371"/>
      <c r="Z64" s="1755"/>
      <c r="AA64" s="2371"/>
      <c r="AB64" s="2371"/>
      <c r="AC64" s="2371"/>
      <c r="AD64" s="2371"/>
      <c r="AE64" s="2371"/>
      <c r="AF64" s="2843"/>
      <c r="AG64" s="1777"/>
      <c r="AH64" s="1777"/>
      <c r="AI64" s="1777"/>
      <c r="AJ64" s="1777"/>
      <c r="AK64" s="2852">
        <v>11</v>
      </c>
    </row>
    <row s="65897" customFormat="1" customHeight="1" ht="11.549999999999999">
      <c r="A65" s="2198"/>
      <c r="B65" s="2847"/>
      <c r="C65" s="2847"/>
      <c r="D65" s="1562"/>
      <c r="J65" s="13495"/>
      <c r="K65" s="13495"/>
      <c r="L65" s="13495"/>
      <c r="M65" s="13495"/>
      <c r="N65" s="13495"/>
      <c r="P65" s="2371"/>
      <c r="Q65" s="2847"/>
      <c r="R65" s="2847"/>
      <c r="S65" s="2371"/>
      <c r="T65" s="2371"/>
      <c r="U65" s="2371"/>
      <c r="V65" s="2371"/>
      <c r="W65" s="2847"/>
      <c r="X65" s="2371"/>
      <c r="Y65" s="2371"/>
      <c r="Z65" s="1755"/>
      <c r="AA65" s="2371"/>
      <c r="AB65" s="2371"/>
      <c r="AC65" s="2371"/>
      <c r="AD65" s="2371"/>
      <c r="AE65" s="2371"/>
      <c r="AF65" s="2843"/>
      <c r="AG65" s="1777"/>
      <c r="AH65" s="1777"/>
      <c r="AI65" s="1777"/>
      <c r="AJ65" s="1777"/>
      <c r="AK65" s="2852">
        <v>11</v>
      </c>
    </row>
    <row s="65897" customFormat="1" customHeight="1" ht="11.549999999999999">
      <c r="A66" s="2198"/>
      <c r="B66" s="2847"/>
      <c r="C66" s="2847"/>
      <c r="D66" s="1562"/>
      <c r="J66" s="13495"/>
      <c r="K66" s="13495"/>
      <c r="L66" s="13495"/>
      <c r="M66" s="13495"/>
      <c r="N66" s="13495"/>
      <c r="P66" s="2371"/>
      <c r="Q66" s="2847"/>
      <c r="R66" s="2847"/>
      <c r="S66" s="2371"/>
      <c r="T66" s="2371"/>
      <c r="U66" s="2371"/>
      <c r="V66" s="2371"/>
      <c r="W66" s="2847"/>
      <c r="X66" s="2371"/>
      <c r="Y66" s="2371"/>
      <c r="Z66" s="1755"/>
      <c r="AA66" s="2371"/>
      <c r="AB66" s="2371"/>
      <c r="AC66" s="2371"/>
      <c r="AD66" s="2371"/>
      <c r="AE66" s="2371"/>
      <c r="AF66" s="2843"/>
      <c r="AG66" s="1777"/>
      <c r="AH66" s="1777"/>
      <c r="AI66" s="1777"/>
      <c r="AJ66" s="1777"/>
      <c r="AK66" s="2852">
        <v>11</v>
      </c>
    </row>
    <row s="65897" customFormat="1" customHeight="1" ht="11.549999999999999">
      <c r="A67" s="2198"/>
      <c r="B67" s="2847"/>
      <c r="C67" s="2847"/>
      <c r="D67" s="1562"/>
      <c r="J67" s="13495"/>
      <c r="K67" s="13495"/>
      <c r="L67" s="13495"/>
      <c r="M67" s="13495"/>
      <c r="N67" s="13495"/>
      <c r="P67" s="2371"/>
      <c r="Q67" s="2847"/>
      <c r="R67" s="2847"/>
      <c r="S67" s="2371"/>
      <c r="T67" s="2371"/>
      <c r="U67" s="2371"/>
      <c r="V67" s="2371"/>
      <c r="W67" s="2847"/>
      <c r="X67" s="2371"/>
      <c r="Y67" s="2371"/>
      <c r="Z67" s="1755"/>
      <c r="AA67" s="2371"/>
      <c r="AB67" s="2371"/>
      <c r="AC67" s="2371"/>
      <c r="AD67" s="2371"/>
      <c r="AE67" s="2371"/>
      <c r="AF67" s="2843"/>
      <c r="AG67" s="1777"/>
      <c r="AH67" s="1777"/>
      <c r="AI67" s="1777"/>
      <c r="AJ67" s="1777"/>
      <c r="AK67" s="2852">
        <v>11</v>
      </c>
    </row>
    <row s="65897" customFormat="1" customHeight="1" ht="11.549999999999999">
      <c r="A68" s="2198"/>
      <c r="B68" s="2847"/>
      <c r="C68" s="2847"/>
      <c r="D68" s="1562"/>
      <c r="J68" s="13495"/>
      <c r="K68" s="13495"/>
      <c r="L68" s="13495"/>
      <c r="M68" s="13495"/>
      <c r="N68" s="13495"/>
      <c r="P68" s="2371"/>
      <c r="Q68" s="2847"/>
      <c r="R68" s="2847"/>
      <c r="S68" s="2371"/>
      <c r="T68" s="2371"/>
      <c r="U68" s="2371"/>
      <c r="V68" s="2371"/>
      <c r="W68" s="2847"/>
      <c r="X68" s="2371"/>
      <c r="Y68" s="2371"/>
      <c r="Z68" s="1755"/>
      <c r="AA68" s="2371"/>
      <c r="AB68" s="2371"/>
      <c r="AC68" s="2371"/>
      <c r="AD68" s="2371"/>
      <c r="AE68" s="2371"/>
      <c r="AF68" s="2843"/>
      <c r="AG68" s="1777"/>
      <c r="AH68" s="1777"/>
      <c r="AI68" s="1777"/>
      <c r="AJ68" s="1777"/>
      <c r="AK68" s="2852">
        <v>11</v>
      </c>
    </row>
    <row s="65897" customFormat="1" customHeight="1" ht="11.549999999999999">
      <c r="A69" s="2198"/>
      <c r="B69" s="2847"/>
      <c r="C69" s="2847"/>
      <c r="D69" s="1562"/>
      <c r="J69" s="13495"/>
      <c r="K69" s="13495"/>
      <c r="L69" s="13495"/>
      <c r="M69" s="13495"/>
      <c r="N69" s="13495"/>
      <c r="P69" s="2371"/>
      <c r="Q69" s="2847"/>
      <c r="R69" s="2847"/>
      <c r="S69" s="2371"/>
      <c r="T69" s="2371"/>
      <c r="U69" s="2371"/>
      <c r="V69" s="2371"/>
      <c r="W69" s="2847"/>
      <c r="X69" s="2371"/>
      <c r="Y69" s="2371"/>
      <c r="Z69" s="1755"/>
      <c r="AA69" s="2371"/>
      <c r="AB69" s="2371"/>
      <c r="AC69" s="2371"/>
      <c r="AD69" s="2371"/>
      <c r="AE69" s="2371"/>
      <c r="AF69" s="2843"/>
      <c r="AG69" s="1777"/>
      <c r="AH69" s="1777"/>
      <c r="AI69" s="1777"/>
      <c r="AJ69" s="1777"/>
      <c r="AK69" s="2852">
        <v>11</v>
      </c>
    </row>
    <row s="65897" customFormat="1" customHeight="1" ht="11.549999999999999">
      <c r="A70" s="2198"/>
      <c r="B70" s="2847"/>
      <c r="C70" s="2847"/>
      <c r="D70" s="1562"/>
      <c r="J70" s="13495"/>
      <c r="K70" s="13495"/>
      <c r="L70" s="13495"/>
      <c r="M70" s="13495"/>
      <c r="N70" s="13495"/>
      <c r="P70" s="2371"/>
      <c r="Q70" s="2847"/>
      <c r="R70" s="2847"/>
      <c r="S70" s="2371"/>
      <c r="T70" s="2371"/>
      <c r="U70" s="2371"/>
      <c r="V70" s="2371"/>
      <c r="W70" s="2847"/>
      <c r="X70" s="2371"/>
      <c r="Y70" s="2371"/>
      <c r="Z70" s="1755"/>
      <c r="AA70" s="2371"/>
      <c r="AB70" s="2371"/>
      <c r="AC70" s="2371"/>
      <c r="AD70" s="2371"/>
      <c r="AE70" s="2371"/>
      <c r="AF70" s="2843"/>
      <c r="AG70" s="1777"/>
      <c r="AH70" s="1777"/>
      <c r="AI70" s="1777"/>
      <c r="AJ70" s="1777"/>
      <c r="AK70" s="2852">
        <v>11</v>
      </c>
    </row>
    <row s="65897" customFormat="1" customHeight="1" ht="11.549999999999999">
      <c r="A71" s="2198"/>
      <c r="B71" s="2847"/>
      <c r="C71" s="2847"/>
      <c r="D71" s="1562"/>
      <c r="J71" s="13495"/>
      <c r="K71" s="13495"/>
      <c r="L71" s="13495"/>
      <c r="M71" s="13495"/>
      <c r="N71" s="13495"/>
      <c r="P71" s="2371"/>
      <c r="Q71" s="2847"/>
      <c r="R71" s="2847"/>
      <c r="S71" s="2371"/>
      <c r="T71" s="2371"/>
      <c r="U71" s="2371"/>
      <c r="V71" s="2371"/>
      <c r="W71" s="2847"/>
      <c r="X71" s="2371"/>
      <c r="Y71" s="2371"/>
      <c r="Z71" s="1755"/>
      <c r="AA71" s="2371"/>
      <c r="AB71" s="2371"/>
      <c r="AC71" s="2371"/>
      <c r="AD71" s="2371"/>
      <c r="AE71" s="2371"/>
      <c r="AF71" s="2843"/>
      <c r="AG71" s="1777"/>
      <c r="AH71" s="1777"/>
      <c r="AI71" s="1777"/>
      <c r="AJ71" s="1777"/>
      <c r="AK71" s="2852">
        <v>11</v>
      </c>
    </row>
    <row s="65897" customFormat="1" customHeight="1" ht="11.549999999999999">
      <c r="A72" s="2198"/>
      <c r="B72" s="2847"/>
      <c r="C72" s="2847"/>
      <c r="D72" s="1562"/>
      <c r="J72" s="13495"/>
      <c r="K72" s="13495"/>
      <c r="L72" s="13495"/>
      <c r="M72" s="13495"/>
      <c r="N72" s="13495"/>
      <c r="P72" s="2371"/>
      <c r="Q72" s="2847"/>
      <c r="R72" s="2847"/>
      <c r="S72" s="2371"/>
      <c r="T72" s="2371"/>
      <c r="U72" s="2371"/>
      <c r="V72" s="2371"/>
      <c r="W72" s="2847"/>
      <c r="X72" s="2371"/>
      <c r="Y72" s="2371"/>
      <c r="Z72" s="1755"/>
      <c r="AA72" s="2371"/>
      <c r="AB72" s="2371"/>
      <c r="AC72" s="2371"/>
      <c r="AD72" s="2371"/>
      <c r="AE72" s="2371"/>
      <c r="AF72" s="2843"/>
      <c r="AG72" s="1777"/>
      <c r="AH72" s="1777"/>
      <c r="AI72" s="1777"/>
      <c r="AJ72" s="1777"/>
      <c r="AK72" s="2852">
        <v>11</v>
      </c>
    </row>
    <row s="65897" customFormat="1" customHeight="1" ht="11.549999999999999">
      <c r="A73" s="2198"/>
      <c r="B73" s="2847"/>
      <c r="C73" s="2847"/>
      <c r="D73" s="1562"/>
      <c r="J73" s="13495"/>
      <c r="K73" s="13495"/>
      <c r="L73" s="13495"/>
      <c r="M73" s="13495"/>
      <c r="N73" s="13495"/>
      <c r="P73" s="2371"/>
      <c r="Q73" s="2847"/>
      <c r="R73" s="2847"/>
      <c r="S73" s="2371"/>
      <c r="T73" s="2371"/>
      <c r="U73" s="2371"/>
      <c r="V73" s="2371"/>
      <c r="W73" s="2847"/>
      <c r="X73" s="2371"/>
      <c r="Y73" s="2371"/>
      <c r="Z73" s="1755"/>
      <c r="AA73" s="2371"/>
      <c r="AB73" s="2371"/>
      <c r="AC73" s="2371"/>
      <c r="AD73" s="2371"/>
      <c r="AE73" s="2371"/>
      <c r="AF73" s="2843"/>
      <c r="AG73" s="1777"/>
      <c r="AH73" s="1777"/>
      <c r="AI73" s="1777"/>
      <c r="AJ73" s="1777"/>
      <c r="AK73" s="2852">
        <v>11</v>
      </c>
    </row>
    <row s="65897" customFormat="1" customHeight="1" ht="11.549999999999999">
      <c r="A74" s="2198"/>
      <c r="B74" s="2847"/>
      <c r="C74" s="2847"/>
      <c r="D74" s="1562"/>
      <c r="J74" s="13495"/>
      <c r="K74" s="13495"/>
      <c r="L74" s="13495"/>
      <c r="M74" s="13495"/>
      <c r="N74" s="13495"/>
      <c r="P74" s="2371"/>
      <c r="Q74" s="2847"/>
      <c r="R74" s="2847"/>
      <c r="S74" s="2371"/>
      <c r="T74" s="2371"/>
      <c r="U74" s="2371"/>
      <c r="V74" s="2371"/>
      <c r="W74" s="2847"/>
      <c r="X74" s="2371"/>
      <c r="Y74" s="2371"/>
      <c r="Z74" s="1755"/>
      <c r="AA74" s="2371"/>
      <c r="AB74" s="2371"/>
      <c r="AC74" s="2371"/>
      <c r="AD74" s="2371"/>
      <c r="AE74" s="2371"/>
      <c r="AF74" s="2843"/>
      <c r="AG74" s="1777"/>
      <c r="AH74" s="1777"/>
      <c r="AI74" s="1777"/>
      <c r="AJ74" s="1777"/>
      <c r="AK74" s="2852">
        <v>11</v>
      </c>
    </row>
    <row s="65897" customFormat="1" customHeight="1" ht="11.549999999999999">
      <c r="A75" s="2198"/>
      <c r="B75" s="2847"/>
      <c r="C75" s="2847"/>
      <c r="D75" s="1562"/>
      <c r="J75" s="13495"/>
      <c r="K75" s="13495"/>
      <c r="L75" s="13495"/>
      <c r="M75" s="13495"/>
      <c r="N75" s="13495"/>
      <c r="P75" s="2371"/>
      <c r="Q75" s="2847"/>
      <c r="R75" s="2847"/>
      <c r="S75" s="2371"/>
      <c r="T75" s="2371"/>
      <c r="U75" s="2371"/>
      <c r="V75" s="2371"/>
      <c r="W75" s="2847"/>
      <c r="X75" s="2371"/>
      <c r="Y75" s="2371"/>
      <c r="Z75" s="1755"/>
      <c r="AA75" s="2371"/>
      <c r="AB75" s="2371"/>
      <c r="AC75" s="2371"/>
      <c r="AD75" s="2371"/>
      <c r="AE75" s="2371"/>
      <c r="AF75" s="2843"/>
      <c r="AG75" s="1777"/>
      <c r="AH75" s="1777"/>
      <c r="AI75" s="1777"/>
      <c r="AJ75" s="1777"/>
      <c r="AK75" s="2852">
        <v>11</v>
      </c>
    </row>
    <row s="65897" customFormat="1" customHeight="1" ht="11.549999999999999">
      <c r="A76" s="2198"/>
      <c r="B76" s="2847"/>
      <c r="C76" s="2847"/>
      <c r="D76" s="1562"/>
      <c r="J76" s="13495"/>
      <c r="K76" s="13495"/>
      <c r="L76" s="13495"/>
      <c r="M76" s="13495"/>
      <c r="N76" s="13495"/>
      <c r="P76" s="2371"/>
      <c r="Q76" s="2847"/>
      <c r="R76" s="2847"/>
      <c r="S76" s="2371"/>
      <c r="T76" s="2371"/>
      <c r="U76" s="2371"/>
      <c r="V76" s="2371"/>
      <c r="W76" s="2847"/>
      <c r="X76" s="2371"/>
      <c r="Y76" s="2371"/>
      <c r="Z76" s="1755"/>
      <c r="AA76" s="2371"/>
      <c r="AB76" s="2371"/>
      <c r="AC76" s="2371"/>
      <c r="AD76" s="2371"/>
      <c r="AE76" s="2371"/>
      <c r="AF76" s="2843"/>
      <c r="AG76" s="1777"/>
      <c r="AH76" s="1777"/>
      <c r="AI76" s="1777"/>
      <c r="AJ76" s="1777"/>
      <c r="AK76" s="2852">
        <v>11</v>
      </c>
    </row>
    <row s="65897" customFormat="1" customHeight="1" ht="11.549999999999999">
      <c r="A77" s="2198"/>
      <c r="B77" s="2847"/>
      <c r="C77" s="2847"/>
      <c r="D77" s="1562"/>
      <c r="J77" s="13495"/>
      <c r="K77" s="13495"/>
      <c r="L77" s="13495"/>
      <c r="M77" s="13495"/>
      <c r="N77" s="13495"/>
      <c r="P77" s="2371"/>
      <c r="Q77" s="2847"/>
      <c r="R77" s="2847"/>
      <c r="S77" s="2371"/>
      <c r="T77" s="2371"/>
      <c r="U77" s="2371"/>
      <c r="V77" s="2371"/>
      <c r="W77" s="2847"/>
      <c r="X77" s="2371"/>
      <c r="Y77" s="2371"/>
      <c r="Z77" s="1755"/>
      <c r="AA77" s="2371"/>
      <c r="AB77" s="2371"/>
      <c r="AC77" s="2371"/>
      <c r="AD77" s="2371"/>
      <c r="AE77" s="2371"/>
      <c r="AF77" s="2843"/>
      <c r="AG77" s="1777"/>
      <c r="AH77" s="1777"/>
      <c r="AI77" s="1777"/>
      <c r="AJ77" s="1777"/>
      <c r="AK77" s="2852">
        <v>11</v>
      </c>
    </row>
    <row s="65897" customFormat="1" customHeight="1" ht="11.549999999999999">
      <c r="A78" s="2198"/>
      <c r="B78" s="2847"/>
      <c r="C78" s="2847"/>
      <c r="D78" s="1562"/>
      <c r="J78" s="13495"/>
      <c r="K78" s="13495"/>
      <c r="L78" s="13495"/>
      <c r="M78" s="13495"/>
      <c r="N78" s="13495"/>
      <c r="P78" s="2371"/>
      <c r="Q78" s="2847"/>
      <c r="R78" s="2847"/>
      <c r="S78" s="2371"/>
      <c r="T78" s="2371"/>
      <c r="U78" s="2371"/>
      <c r="V78" s="2371"/>
      <c r="W78" s="2847"/>
      <c r="X78" s="2371"/>
      <c r="Y78" s="2371"/>
      <c r="Z78" s="1755"/>
      <c r="AA78" s="2371"/>
      <c r="AB78" s="2371"/>
      <c r="AC78" s="2371"/>
      <c r="AD78" s="2371"/>
      <c r="AE78" s="2371"/>
      <c r="AF78" s="2843"/>
      <c r="AG78" s="1777"/>
      <c r="AH78" s="1777"/>
      <c r="AI78" s="1777"/>
      <c r="AJ78" s="1777"/>
      <c r="AK78" s="2852">
        <v>11</v>
      </c>
    </row>
    <row s="65897" customFormat="1" customHeight="1" ht="11.549999999999999">
      <c r="A79" s="2198"/>
      <c r="B79" s="2847"/>
      <c r="C79" s="2847"/>
      <c r="D79" s="1562"/>
      <c r="J79" s="13495"/>
      <c r="K79" s="13495"/>
      <c r="L79" s="13495"/>
      <c r="M79" s="13495"/>
      <c r="N79" s="13495"/>
      <c r="P79" s="2371"/>
      <c r="Q79" s="2847"/>
      <c r="R79" s="2847"/>
      <c r="S79" s="2371"/>
      <c r="T79" s="2371"/>
      <c r="U79" s="2371"/>
      <c r="V79" s="2371"/>
      <c r="W79" s="2847"/>
      <c r="X79" s="2371"/>
      <c r="Y79" s="2371"/>
      <c r="Z79" s="1755"/>
      <c r="AA79" s="2371"/>
      <c r="AB79" s="2371"/>
      <c r="AC79" s="2371"/>
      <c r="AD79" s="2371"/>
      <c r="AE79" s="2371"/>
      <c r="AF79" s="2843"/>
      <c r="AG79" s="1777"/>
      <c r="AH79" s="1777"/>
      <c r="AI79" s="1777"/>
      <c r="AJ79" s="1777"/>
      <c r="AK79" s="2852">
        <v>11</v>
      </c>
    </row>
    <row s="65897" customFormat="1" customHeight="1" ht="11.549999999999999">
      <c r="A80" s="2198"/>
      <c r="B80" s="2847"/>
      <c r="C80" s="2847"/>
      <c r="D80" s="1562"/>
      <c r="J80" s="13495"/>
      <c r="K80" s="13495"/>
      <c r="L80" s="13495"/>
      <c r="M80" s="13495"/>
      <c r="N80" s="13495"/>
      <c r="P80" s="2371"/>
      <c r="Q80" s="2847"/>
      <c r="R80" s="2847"/>
      <c r="S80" s="2371"/>
      <c r="T80" s="2371"/>
      <c r="U80" s="2371"/>
      <c r="V80" s="2371"/>
      <c r="W80" s="2847"/>
      <c r="X80" s="2371"/>
      <c r="Y80" s="2371"/>
      <c r="Z80" s="1755"/>
      <c r="AA80" s="2371"/>
      <c r="AB80" s="2371"/>
      <c r="AC80" s="2371"/>
      <c r="AD80" s="2371"/>
      <c r="AE80" s="2371"/>
      <c r="AF80" s="2843"/>
      <c r="AG80" s="1777"/>
      <c r="AH80" s="1777"/>
      <c r="AI80" s="1777"/>
      <c r="AJ80" s="1777"/>
      <c r="AK80" s="2852">
        <v>11</v>
      </c>
    </row>
    <row s="65897" customFormat="1" customHeight="1" ht="11.549999999999999">
      <c r="A81" s="2198"/>
      <c r="B81" s="2847"/>
      <c r="C81" s="2847"/>
      <c r="D81" s="1562"/>
      <c r="J81" s="13495"/>
      <c r="K81" s="13495"/>
      <c r="L81" s="13495"/>
      <c r="M81" s="13495"/>
      <c r="N81" s="13495"/>
      <c r="P81" s="2371"/>
      <c r="Q81" s="2847"/>
      <c r="R81" s="2847"/>
      <c r="S81" s="2371"/>
      <c r="T81" s="2371"/>
      <c r="U81" s="2371"/>
      <c r="V81" s="2371"/>
      <c r="W81" s="2847"/>
      <c r="X81" s="2371"/>
      <c r="Y81" s="2371"/>
      <c r="Z81" s="1755"/>
      <c r="AA81" s="2371"/>
      <c r="AB81" s="2371"/>
      <c r="AC81" s="2371"/>
      <c r="AD81" s="2371"/>
      <c r="AE81" s="2371"/>
      <c r="AF81" s="2843"/>
      <c r="AG81" s="1777"/>
      <c r="AH81" s="1777"/>
      <c r="AI81" s="1777"/>
      <c r="AJ81" s="1777"/>
      <c r="AK81" s="2852">
        <v>11</v>
      </c>
    </row>
    <row s="65897" customFormat="1" customHeight="1" ht="11.549999999999999">
      <c r="A82" s="2198"/>
      <c r="B82" s="2847"/>
      <c r="C82" s="2847"/>
      <c r="D82" s="1562"/>
      <c r="J82" s="13495"/>
      <c r="K82" s="13495"/>
      <c r="L82" s="13495"/>
      <c r="M82" s="13495"/>
      <c r="N82" s="13495"/>
      <c r="P82" s="2371"/>
      <c r="Q82" s="2847"/>
      <c r="R82" s="2847"/>
      <c r="S82" s="2371"/>
      <c r="T82" s="2371"/>
      <c r="U82" s="2371"/>
      <c r="V82" s="2371"/>
      <c r="W82" s="2847"/>
      <c r="X82" s="2371"/>
      <c r="Y82" s="2371"/>
      <c r="Z82" s="1755"/>
      <c r="AA82" s="2371"/>
      <c r="AB82" s="2371"/>
      <c r="AC82" s="2371"/>
      <c r="AD82" s="2371"/>
      <c r="AE82" s="2371"/>
      <c r="AF82" s="2843"/>
      <c r="AG82" s="1777"/>
      <c r="AH82" s="1777"/>
      <c r="AI82" s="1777"/>
      <c r="AJ82" s="1777"/>
      <c r="AK82" s="2852">
        <v>11</v>
      </c>
    </row>
    <row s="65897" customFormat="1" customHeight="1" ht="11.549999999999999">
      <c r="A83" s="2198"/>
      <c r="B83" s="2847"/>
      <c r="C83" s="2847"/>
      <c r="D83" s="1562"/>
      <c r="J83" s="13495"/>
      <c r="K83" s="13495"/>
      <c r="L83" s="13495"/>
      <c r="M83" s="13495"/>
      <c r="N83" s="13495"/>
      <c r="P83" s="2371"/>
      <c r="Q83" s="2847"/>
      <c r="R83" s="2847"/>
      <c r="S83" s="2371"/>
      <c r="T83" s="2371"/>
      <c r="U83" s="2371"/>
      <c r="V83" s="2371"/>
      <c r="W83" s="2847"/>
      <c r="X83" s="2371"/>
      <c r="Y83" s="2371"/>
      <c r="Z83" s="1755"/>
      <c r="AA83" s="2371"/>
      <c r="AB83" s="2371"/>
      <c r="AC83" s="2371"/>
      <c r="AD83" s="2371"/>
      <c r="AE83" s="2371"/>
      <c r="AF83" s="2843"/>
      <c r="AG83" s="1777"/>
      <c r="AH83" s="1777"/>
      <c r="AI83" s="1777"/>
      <c r="AJ83" s="1777"/>
      <c r="AK83" s="2852">
        <v>11</v>
      </c>
    </row>
    <row s="65897" customFormat="1" customHeight="1" ht="11.549999999999999">
      <c r="A84" s="2198"/>
      <c r="B84" s="2847"/>
      <c r="C84" s="2847"/>
      <c r="D84" s="1562"/>
      <c r="J84" s="13495"/>
      <c r="K84" s="13495"/>
      <c r="L84" s="13495"/>
      <c r="M84" s="13495"/>
      <c r="N84" s="13495"/>
      <c r="P84" s="2371"/>
      <c r="Q84" s="2847"/>
      <c r="R84" s="2847"/>
      <c r="S84" s="2371"/>
      <c r="T84" s="2371"/>
      <c r="U84" s="2371"/>
      <c r="V84" s="2371"/>
      <c r="W84" s="2847"/>
      <c r="X84" s="2371"/>
      <c r="Y84" s="2371"/>
      <c r="Z84" s="1755"/>
      <c r="AA84" s="2371"/>
      <c r="AB84" s="2371"/>
      <c r="AC84" s="2371"/>
      <c r="AD84" s="2371"/>
      <c r="AE84" s="2371"/>
      <c r="AF84" s="2843"/>
      <c r="AG84" s="1777"/>
      <c r="AH84" s="1777"/>
      <c r="AI84" s="1777"/>
      <c r="AJ84" s="1777"/>
      <c r="AK84" s="2852">
        <v>11</v>
      </c>
    </row>
    <row s="65897" customFormat="1" customHeight="1" ht="11.549999999999999">
      <c r="A85" s="2198"/>
      <c r="B85" s="2847"/>
      <c r="C85" s="2847"/>
      <c r="D85" s="1562"/>
      <c r="J85" s="13495"/>
      <c r="K85" s="13495"/>
      <c r="L85" s="13495"/>
      <c r="M85" s="13495"/>
      <c r="N85" s="13495"/>
      <c r="P85" s="2371"/>
      <c r="Q85" s="2847"/>
      <c r="R85" s="2847"/>
      <c r="S85" s="2371"/>
      <c r="T85" s="2371"/>
      <c r="U85" s="2371"/>
      <c r="V85" s="2371"/>
      <c r="W85" s="2847"/>
      <c r="X85" s="2371"/>
      <c r="Y85" s="2371"/>
      <c r="Z85" s="1755"/>
      <c r="AA85" s="2371"/>
      <c r="AB85" s="2371"/>
      <c r="AC85" s="2371"/>
      <c r="AD85" s="2371"/>
      <c r="AE85" s="2371"/>
      <c r="AF85" s="2843"/>
      <c r="AG85" s="1777"/>
      <c r="AH85" s="1777"/>
      <c r="AI85" s="1777"/>
      <c r="AJ85" s="1777"/>
      <c r="AK85" s="2852">
        <v>11</v>
      </c>
    </row>
    <row s="65897" customFormat="1" customHeight="1" ht="11.549999999999999">
      <c r="A86" s="2198"/>
      <c r="B86" s="2847"/>
      <c r="C86" s="2847"/>
      <c r="D86" s="1562"/>
      <c r="J86" s="13495"/>
      <c r="K86" s="13495"/>
      <c r="L86" s="13495"/>
      <c r="M86" s="13495"/>
      <c r="N86" s="13495"/>
      <c r="P86" s="2371"/>
      <c r="Q86" s="2847"/>
      <c r="R86" s="2847"/>
      <c r="S86" s="2371"/>
      <c r="T86" s="2371"/>
      <c r="U86" s="2371"/>
      <c r="V86" s="2371"/>
      <c r="W86" s="2847"/>
      <c r="X86" s="2371"/>
      <c r="Y86" s="2371"/>
      <c r="Z86" s="1755"/>
      <c r="AA86" s="2371"/>
      <c r="AB86" s="2371"/>
      <c r="AC86" s="2371"/>
      <c r="AD86" s="2371"/>
      <c r="AE86" s="2371"/>
      <c r="AF86" s="2843"/>
      <c r="AG86" s="1777"/>
      <c r="AH86" s="1777"/>
      <c r="AI86" s="1777"/>
      <c r="AJ86" s="1777"/>
      <c r="AK86" s="2852">
        <v>11</v>
      </c>
    </row>
    <row s="65897" customFormat="1" customHeight="1" ht="11.549999999999999">
      <c r="A87" s="2198"/>
      <c r="B87" s="2847"/>
      <c r="C87" s="2847"/>
      <c r="D87" s="1562"/>
      <c r="J87" s="13495"/>
      <c r="K87" s="13495"/>
      <c r="L87" s="13495"/>
      <c r="M87" s="13495"/>
      <c r="N87" s="13495"/>
      <c r="P87" s="2371"/>
      <c r="Q87" s="2847"/>
      <c r="R87" s="2847"/>
      <c r="S87" s="2371"/>
      <c r="T87" s="2371"/>
      <c r="U87" s="2371"/>
      <c r="V87" s="2371"/>
      <c r="W87" s="2847"/>
      <c r="X87" s="2371"/>
      <c r="Y87" s="2371"/>
      <c r="Z87" s="1755"/>
      <c r="AA87" s="2371"/>
      <c r="AB87" s="2371"/>
      <c r="AC87" s="2371"/>
      <c r="AD87" s="2371"/>
      <c r="AE87" s="2371"/>
      <c r="AF87" s="2843"/>
      <c r="AG87" s="1777"/>
      <c r="AH87" s="1777"/>
      <c r="AI87" s="1777"/>
      <c r="AJ87" s="1777"/>
      <c r="AK87" s="2852">
        <v>11</v>
      </c>
    </row>
    <row s="65897" customFormat="1" customHeight="1" ht="11.549999999999999">
      <c r="A88" s="2198"/>
      <c r="B88" s="2847"/>
      <c r="C88" s="2847"/>
      <c r="D88" s="1562"/>
      <c r="J88" s="13495"/>
      <c r="K88" s="13495"/>
      <c r="L88" s="13495"/>
      <c r="M88" s="13495"/>
      <c r="N88" s="13495"/>
      <c r="P88" s="2371"/>
      <c r="Q88" s="2847"/>
      <c r="R88" s="2847"/>
      <c r="S88" s="2371"/>
      <c r="T88" s="2371"/>
      <c r="U88" s="2371"/>
      <c r="V88" s="2371"/>
      <c r="W88" s="2847"/>
      <c r="X88" s="2371"/>
      <c r="Y88" s="2371"/>
      <c r="Z88" s="1755"/>
      <c r="AA88" s="2371"/>
      <c r="AB88" s="2371"/>
      <c r="AC88" s="2371"/>
      <c r="AD88" s="2371"/>
      <c r="AE88" s="2371"/>
      <c r="AF88" s="2843"/>
      <c r="AG88" s="1777"/>
      <c r="AH88" s="1777"/>
      <c r="AI88" s="1777"/>
      <c r="AJ88" s="1777"/>
      <c r="AK88" s="2852">
        <v>11</v>
      </c>
    </row>
    <row s="65897" customFormat="1" customHeight="1" ht="11.549999999999999">
      <c r="A89" s="2198"/>
      <c r="B89" s="2847"/>
      <c r="C89" s="2847"/>
      <c r="D89" s="1562"/>
      <c r="J89" s="13495"/>
      <c r="K89" s="13495"/>
      <c r="L89" s="13495"/>
      <c r="M89" s="13495"/>
      <c r="N89" s="13495"/>
      <c r="P89" s="2371"/>
      <c r="Q89" s="2847"/>
      <c r="R89" s="2847"/>
      <c r="S89" s="2371"/>
      <c r="T89" s="2371"/>
      <c r="U89" s="2371"/>
      <c r="V89" s="2371"/>
      <c r="W89" s="2847"/>
      <c r="X89" s="2371"/>
      <c r="Y89" s="2371"/>
      <c r="Z89" s="1755"/>
      <c r="AA89" s="2371"/>
      <c r="AB89" s="2371"/>
      <c r="AC89" s="2371"/>
      <c r="AD89" s="2371"/>
      <c r="AE89" s="2371"/>
      <c r="AF89" s="2843"/>
      <c r="AG89" s="1777"/>
      <c r="AH89" s="1777"/>
      <c r="AI89" s="1777"/>
      <c r="AJ89" s="1777"/>
      <c r="AK89" s="2852">
        <v>11</v>
      </c>
    </row>
    <row s="65897" customFormat="1" customHeight="1" ht="11.549999999999999">
      <c r="A90" s="2198"/>
      <c r="B90" s="2847"/>
      <c r="C90" s="2847"/>
      <c r="D90" s="1562"/>
      <c r="J90" s="13495"/>
      <c r="K90" s="13495"/>
      <c r="L90" s="13495"/>
      <c r="M90" s="13495"/>
      <c r="N90" s="13495"/>
      <c r="P90" s="2371"/>
      <c r="Q90" s="2847"/>
      <c r="R90" s="2847"/>
      <c r="S90" s="2371"/>
      <c r="T90" s="2371"/>
      <c r="U90" s="2371"/>
      <c r="V90" s="2371"/>
      <c r="W90" s="2847"/>
      <c r="X90" s="2371"/>
      <c r="Y90" s="2371"/>
      <c r="Z90" s="1755"/>
      <c r="AA90" s="2371"/>
      <c r="AB90" s="2371"/>
      <c r="AC90" s="2371"/>
      <c r="AD90" s="2371"/>
      <c r="AE90" s="2371"/>
      <c r="AF90" s="2843"/>
      <c r="AG90" s="1777"/>
      <c r="AH90" s="1777"/>
      <c r="AI90" s="1777"/>
      <c r="AJ90" s="1777"/>
      <c r="AK90" s="2852">
        <v>11</v>
      </c>
    </row>
    <row s="65897" customFormat="1" customHeight="1" ht="11.549999999999999">
      <c r="A91" s="2198"/>
      <c r="B91" s="2847"/>
      <c r="C91" s="2847"/>
      <c r="D91" s="1562"/>
      <c r="J91" s="13495"/>
      <c r="K91" s="13495"/>
      <c r="L91" s="13495"/>
      <c r="M91" s="13495"/>
      <c r="N91" s="13495"/>
      <c r="P91" s="2371"/>
      <c r="Q91" s="2847"/>
      <c r="R91" s="2847"/>
      <c r="S91" s="2371"/>
      <c r="T91" s="2371"/>
      <c r="U91" s="2371"/>
      <c r="V91" s="2371"/>
      <c r="W91" s="2847"/>
      <c r="X91" s="2371"/>
      <c r="Y91" s="2371"/>
      <c r="Z91" s="1755"/>
      <c r="AA91" s="2371"/>
      <c r="AB91" s="2371"/>
      <c r="AC91" s="2371"/>
      <c r="AD91" s="2371"/>
      <c r="AE91" s="2371"/>
      <c r="AF91" s="2843"/>
      <c r="AG91" s="1777"/>
      <c r="AH91" s="1777"/>
      <c r="AI91" s="1777"/>
      <c r="AJ91" s="1777"/>
      <c r="AK91" s="2852">
        <v>11</v>
      </c>
    </row>
    <row s="65897" customFormat="1" customHeight="1" ht="11.549999999999999">
      <c r="A92" s="2198"/>
      <c r="B92" s="2847"/>
      <c r="C92" s="2847"/>
      <c r="D92" s="1562"/>
      <c r="J92" s="13495"/>
      <c r="K92" s="13495"/>
      <c r="L92" s="13495"/>
      <c r="M92" s="13495"/>
      <c r="N92" s="13495"/>
      <c r="P92" s="2371"/>
      <c r="Q92" s="2847"/>
      <c r="R92" s="2847"/>
      <c r="S92" s="2371"/>
      <c r="T92" s="2371"/>
      <c r="U92" s="2371"/>
      <c r="V92" s="2371"/>
      <c r="W92" s="2847"/>
      <c r="X92" s="2371"/>
      <c r="Y92" s="2371"/>
      <c r="Z92" s="1755"/>
      <c r="AA92" s="2371"/>
      <c r="AB92" s="2371"/>
      <c r="AC92" s="2371"/>
      <c r="AD92" s="2371"/>
      <c r="AE92" s="2371"/>
      <c r="AF92" s="2843"/>
      <c r="AG92" s="1777"/>
      <c r="AH92" s="1777"/>
      <c r="AI92" s="1777"/>
      <c r="AJ92" s="1777"/>
      <c r="AK92" s="2852">
        <v>11</v>
      </c>
    </row>
    <row s="65897" customFormat="1" customHeight="1" ht="11.549999999999999">
      <c r="A93" s="2198"/>
      <c r="B93" s="2847"/>
      <c r="C93" s="2847"/>
      <c r="D93" s="1562"/>
      <c r="J93" s="13495"/>
      <c r="K93" s="13495"/>
      <c r="L93" s="13495"/>
      <c r="M93" s="13495"/>
      <c r="N93" s="13495"/>
      <c r="P93" s="2371"/>
      <c r="Q93" s="2847"/>
      <c r="R93" s="2847"/>
      <c r="S93" s="2371"/>
      <c r="T93" s="2371"/>
      <c r="U93" s="2371"/>
      <c r="V93" s="2371"/>
      <c r="W93" s="2847"/>
      <c r="X93" s="2371"/>
      <c r="Y93" s="2371"/>
      <c r="Z93" s="1755"/>
      <c r="AA93" s="2371"/>
      <c r="AB93" s="2371"/>
      <c r="AC93" s="2371"/>
      <c r="AD93" s="2371"/>
      <c r="AE93" s="2371"/>
      <c r="AF93" s="2843"/>
      <c r="AG93" s="1777"/>
      <c r="AH93" s="1777"/>
      <c r="AI93" s="1777"/>
      <c r="AJ93" s="1777"/>
      <c r="AK93" s="2852">
        <v>11</v>
      </c>
    </row>
    <row s="65897" customFormat="1" customHeight="1" ht="11.549999999999999">
      <c r="A94" s="2198"/>
      <c r="B94" s="2847"/>
      <c r="C94" s="2847"/>
      <c r="D94" s="1562"/>
      <c r="J94" s="13495"/>
      <c r="K94" s="13495"/>
      <c r="L94" s="13495"/>
      <c r="M94" s="13495"/>
      <c r="N94" s="13495"/>
      <c r="P94" s="2371"/>
      <c r="Q94" s="2847"/>
      <c r="R94" s="2847"/>
      <c r="S94" s="2371"/>
      <c r="T94" s="2371"/>
      <c r="U94" s="2371"/>
      <c r="V94" s="2371"/>
      <c r="W94" s="2847"/>
      <c r="X94" s="2371"/>
      <c r="Y94" s="2371"/>
      <c r="Z94" s="1755"/>
      <c r="AA94" s="2371"/>
      <c r="AB94" s="2371"/>
      <c r="AC94" s="2371"/>
      <c r="AD94" s="2371"/>
      <c r="AE94" s="2371"/>
      <c r="AF94" s="2843"/>
      <c r="AG94" s="1777"/>
      <c r="AH94" s="1777"/>
      <c r="AI94" s="1777"/>
      <c r="AJ94" s="1777"/>
      <c r="AK94" s="2852">
        <v>11</v>
      </c>
    </row>
    <row s="65897" customFormat="1" customHeight="1" ht="11.549999999999999">
      <c r="A95" s="2198"/>
      <c r="B95" s="2847"/>
      <c r="C95" s="2847"/>
      <c r="D95" s="1562"/>
      <c r="J95" s="13495"/>
      <c r="K95" s="13495"/>
      <c r="L95" s="13495"/>
      <c r="M95" s="13495"/>
      <c r="N95" s="13495"/>
      <c r="P95" s="2371"/>
      <c r="Q95" s="2847"/>
      <c r="R95" s="2847"/>
      <c r="S95" s="2371"/>
      <c r="T95" s="2371"/>
      <c r="U95" s="2371"/>
      <c r="V95" s="2371"/>
      <c r="W95" s="2847"/>
      <c r="X95" s="2371"/>
      <c r="Y95" s="2371"/>
      <c r="Z95" s="1755"/>
      <c r="AA95" s="2371"/>
      <c r="AB95" s="2371"/>
      <c r="AC95" s="2371"/>
      <c r="AD95" s="2371"/>
      <c r="AE95" s="2371"/>
      <c r="AF95" s="2843"/>
      <c r="AG95" s="1777"/>
      <c r="AH95" s="1777"/>
      <c r="AI95" s="1777"/>
      <c r="AJ95" s="1777"/>
      <c r="AK95" s="2852">
        <v>11</v>
      </c>
    </row>
    <row s="65897" customFormat="1" customHeight="1" ht="11.549999999999999">
      <c r="A96" s="2198"/>
      <c r="B96" s="2847"/>
      <c r="C96" s="2847"/>
      <c r="D96" s="1562"/>
      <c r="J96" s="13495"/>
      <c r="K96" s="13495"/>
      <c r="L96" s="13495"/>
      <c r="M96" s="13495"/>
      <c r="N96" s="13495"/>
      <c r="P96" s="2371"/>
      <c r="Q96" s="2847"/>
      <c r="R96" s="2847"/>
      <c r="S96" s="2371"/>
      <c r="T96" s="2371"/>
      <c r="U96" s="2371"/>
      <c r="V96" s="2371"/>
      <c r="W96" s="2847"/>
      <c r="X96" s="2371"/>
      <c r="Y96" s="2371"/>
      <c r="Z96" s="1755"/>
      <c r="AA96" s="2371"/>
      <c r="AB96" s="2371"/>
      <c r="AC96" s="2371"/>
      <c r="AD96" s="2371"/>
      <c r="AE96" s="2371"/>
      <c r="AF96" s="2843"/>
      <c r="AG96" s="1777"/>
      <c r="AH96" s="1777"/>
      <c r="AI96" s="1777"/>
      <c r="AJ96" s="1777"/>
      <c r="AK96" s="2852">
        <v>11</v>
      </c>
    </row>
    <row s="65897" customFormat="1" customHeight="1" ht="11.549999999999999">
      <c r="A97" s="2198"/>
      <c r="B97" s="2847"/>
      <c r="C97" s="2847"/>
      <c r="D97" s="1562"/>
      <c r="J97" s="13495"/>
      <c r="K97" s="13495"/>
      <c r="L97" s="13495"/>
      <c r="M97" s="13495"/>
      <c r="N97" s="13495"/>
      <c r="P97" s="2371"/>
      <c r="Q97" s="2847"/>
      <c r="R97" s="2847"/>
      <c r="S97" s="2371"/>
      <c r="T97" s="2371"/>
      <c r="U97" s="2371"/>
      <c r="V97" s="2371"/>
      <c r="W97" s="2847"/>
      <c r="X97" s="2371"/>
      <c r="Y97" s="2371"/>
      <c r="Z97" s="1755"/>
      <c r="AA97" s="2371"/>
      <c r="AB97" s="2371"/>
      <c r="AC97" s="2371"/>
      <c r="AD97" s="2371"/>
      <c r="AE97" s="2371"/>
      <c r="AF97" s="2843"/>
      <c r="AG97" s="1777"/>
      <c r="AH97" s="1777"/>
      <c r="AI97" s="1777"/>
      <c r="AJ97" s="1777"/>
      <c r="AK97" s="2852">
        <v>11</v>
      </c>
    </row>
    <row s="65897" customFormat="1" customHeight="1" ht="11.549999999999999">
      <c r="A98" s="2198"/>
      <c r="B98" s="2847"/>
      <c r="C98" s="2847"/>
      <c r="D98" s="1562"/>
      <c r="J98" s="13495"/>
      <c r="K98" s="13495"/>
      <c r="L98" s="13495"/>
      <c r="M98" s="13495"/>
      <c r="N98" s="13495"/>
      <c r="P98" s="2371"/>
      <c r="Q98" s="2847"/>
      <c r="R98" s="2847"/>
      <c r="S98" s="2371"/>
      <c r="T98" s="2371"/>
      <c r="U98" s="2371"/>
      <c r="V98" s="2371"/>
      <c r="W98" s="2847"/>
      <c r="X98" s="2371"/>
      <c r="Y98" s="2371"/>
      <c r="Z98" s="1755"/>
      <c r="AA98" s="2371"/>
      <c r="AB98" s="2371"/>
      <c r="AC98" s="2371"/>
      <c r="AD98" s="2371"/>
      <c r="AE98" s="2371"/>
      <c r="AF98" s="2843"/>
      <c r="AG98" s="1777"/>
      <c r="AH98" s="1777"/>
      <c r="AI98" s="1777"/>
      <c r="AJ98" s="1777"/>
      <c r="AK98" s="2852">
        <v>11</v>
      </c>
    </row>
    <row s="65897" customFormat="1" customHeight="1" ht="11.549999999999999">
      <c r="A99" s="2198"/>
      <c r="B99" s="2847"/>
      <c r="C99" s="2847"/>
      <c r="D99" s="1562"/>
      <c r="J99" s="13495"/>
      <c r="K99" s="13495"/>
      <c r="L99" s="13495"/>
      <c r="M99" s="13495"/>
      <c r="N99" s="13495"/>
      <c r="P99" s="2371"/>
      <c r="Q99" s="2847"/>
      <c r="R99" s="2847"/>
      <c r="S99" s="2371"/>
      <c r="T99" s="2371"/>
      <c r="U99" s="2371"/>
      <c r="V99" s="2371"/>
      <c r="W99" s="2847"/>
      <c r="X99" s="2371"/>
      <c r="Y99" s="2371"/>
      <c r="Z99" s="1755"/>
      <c r="AA99" s="2371"/>
      <c r="AB99" s="2371"/>
      <c r="AC99" s="2371"/>
      <c r="AD99" s="2371"/>
      <c r="AE99" s="2371"/>
      <c r="AF99" s="2843"/>
      <c r="AG99" s="1777"/>
      <c r="AH99" s="1777"/>
      <c r="AI99" s="1777"/>
      <c r="AJ99" s="1777"/>
      <c r="AK99" s="2852">
        <v>11</v>
      </c>
    </row>
    <row s="65897" customFormat="1" customHeight="1" ht="11.549999999999999">
      <c r="A100" s="2198"/>
      <c r="B100" s="2847"/>
      <c r="C100" s="2847"/>
      <c r="D100" s="1562"/>
      <c r="J100" s="13495"/>
      <c r="K100" s="13495"/>
      <c r="L100" s="13495"/>
      <c r="M100" s="13495"/>
      <c r="N100" s="13495"/>
      <c r="P100" s="2371"/>
      <c r="Q100" s="2847"/>
      <c r="R100" s="2847"/>
      <c r="S100" s="2371"/>
      <c r="T100" s="2371"/>
      <c r="U100" s="2371"/>
      <c r="V100" s="2371"/>
      <c r="W100" s="2847"/>
      <c r="X100" s="2371"/>
      <c r="Y100" s="2371"/>
      <c r="Z100" s="1755"/>
      <c r="AA100" s="2371"/>
      <c r="AB100" s="2371"/>
      <c r="AC100" s="2371"/>
      <c r="AD100" s="2371"/>
      <c r="AE100" s="2371"/>
      <c r="AF100" s="2843"/>
      <c r="AG100" s="1777"/>
      <c r="AH100" s="1777"/>
      <c r="AI100" s="1777"/>
      <c r="AJ100" s="1777"/>
      <c r="AK100" s="2852">
        <v>11</v>
      </c>
    </row>
    <row s="65897" customFormat="1" customHeight="1" ht="11.549999999999999">
      <c r="A101" s="2198"/>
      <c r="B101" s="2847"/>
      <c r="C101" s="2847"/>
      <c r="D101" s="1562"/>
      <c r="J101" s="13495"/>
      <c r="K101" s="13495"/>
      <c r="L101" s="13495"/>
      <c r="M101" s="13495"/>
      <c r="N101" s="13495"/>
      <c r="P101" s="2371"/>
      <c r="Q101" s="2847"/>
      <c r="R101" s="2847"/>
      <c r="S101" s="2371"/>
      <c r="T101" s="2371"/>
      <c r="U101" s="2371"/>
      <c r="V101" s="2371"/>
      <c r="W101" s="2847"/>
      <c r="X101" s="2371"/>
      <c r="Y101" s="2371"/>
      <c r="Z101" s="1755"/>
      <c r="AA101" s="2371"/>
      <c r="AB101" s="2371"/>
      <c r="AC101" s="2371"/>
      <c r="AD101" s="2371"/>
      <c r="AE101" s="2371"/>
      <c r="AF101" s="2843"/>
      <c r="AG101" s="1777"/>
      <c r="AH101" s="1777"/>
      <c r="AI101" s="1777"/>
      <c r="AJ101" s="1777"/>
      <c r="AK101" s="2852">
        <v>11</v>
      </c>
    </row>
    <row s="65897" customFormat="1" customHeight="1" ht="11.549999999999999">
      <c r="A102" s="2198"/>
      <c r="B102" s="2847"/>
      <c r="C102" s="2847"/>
      <c r="D102" s="1562"/>
      <c r="J102" s="13495"/>
      <c r="K102" s="13495"/>
      <c r="L102" s="13495"/>
      <c r="M102" s="13495"/>
      <c r="N102" s="13495"/>
      <c r="P102" s="2371"/>
      <c r="Q102" s="2847"/>
      <c r="R102" s="2847"/>
      <c r="S102" s="2371"/>
      <c r="T102" s="2371"/>
      <c r="U102" s="2371"/>
      <c r="V102" s="2371"/>
      <c r="W102" s="2847"/>
      <c r="X102" s="2371"/>
      <c r="Y102" s="2371"/>
      <c r="Z102" s="1755"/>
      <c r="AA102" s="2371"/>
      <c r="AB102" s="2371"/>
      <c r="AC102" s="2371"/>
      <c r="AD102" s="2371"/>
      <c r="AE102" s="2371"/>
      <c r="AF102" s="2843"/>
      <c r="AG102" s="1777"/>
      <c r="AH102" s="1777"/>
      <c r="AI102" s="1777"/>
      <c r="AJ102" s="1777"/>
      <c r="AK102" s="2852">
        <v>11</v>
      </c>
    </row>
    <row s="65897" customFormat="1" customHeight="1" ht="11.549999999999999">
      <c r="A103" s="2198"/>
      <c r="B103" s="2847"/>
      <c r="C103" s="2847"/>
      <c r="D103" s="1562"/>
      <c r="J103" s="13495"/>
      <c r="K103" s="13495"/>
      <c r="L103" s="13495"/>
      <c r="M103" s="13495"/>
      <c r="N103" s="13495"/>
      <c r="P103" s="2371"/>
      <c r="Q103" s="2847"/>
      <c r="R103" s="2847"/>
      <c r="S103" s="2371"/>
      <c r="T103" s="2371"/>
      <c r="U103" s="2371"/>
      <c r="V103" s="2371"/>
      <c r="W103" s="2847"/>
      <c r="X103" s="2371"/>
      <c r="Y103" s="2371"/>
      <c r="Z103" s="1755"/>
      <c r="AA103" s="2371"/>
      <c r="AB103" s="2371"/>
      <c r="AC103" s="2371"/>
      <c r="AD103" s="2371"/>
      <c r="AE103" s="2371"/>
      <c r="AF103" s="2843"/>
      <c r="AG103" s="1777"/>
      <c r="AH103" s="1777"/>
      <c r="AI103" s="1777"/>
      <c r="AJ103" s="1777"/>
      <c r="AK103" s="2852">
        <v>11</v>
      </c>
    </row>
    <row s="65897" customFormat="1" customHeight="1" ht="11.549999999999999">
      <c r="A104" s="2198"/>
      <c r="B104" s="2847"/>
      <c r="C104" s="2847"/>
      <c r="D104" s="1562"/>
      <c r="J104" s="13495"/>
      <c r="K104" s="13495"/>
      <c r="L104" s="13495"/>
      <c r="M104" s="13495"/>
      <c r="N104" s="13495"/>
      <c r="P104" s="2371"/>
      <c r="Q104" s="2847"/>
      <c r="R104" s="2847"/>
      <c r="S104" s="2371"/>
      <c r="T104" s="2371"/>
      <c r="U104" s="2371"/>
      <c r="V104" s="2371"/>
      <c r="W104" s="2847"/>
      <c r="X104" s="2371"/>
      <c r="Y104" s="2371"/>
      <c r="Z104" s="1755"/>
      <c r="AA104" s="2371"/>
      <c r="AB104" s="2371"/>
      <c r="AC104" s="2371"/>
      <c r="AD104" s="2371"/>
      <c r="AE104" s="2371"/>
      <c r="AF104" s="2843"/>
      <c r="AG104" s="1777"/>
      <c r="AH104" s="1777"/>
      <c r="AI104" s="1777"/>
      <c r="AJ104" s="1777"/>
      <c r="AK104" s="2852">
        <v>11</v>
      </c>
    </row>
    <row s="65897" customFormat="1" customHeight="1" ht="11.549999999999999">
      <c r="A105" s="2198"/>
      <c r="B105" s="2847"/>
      <c r="C105" s="2847"/>
      <c r="D105" s="1562"/>
      <c r="J105" s="13495"/>
      <c r="K105" s="13495"/>
      <c r="L105" s="13495"/>
      <c r="M105" s="13495"/>
      <c r="N105" s="13495"/>
      <c r="P105" s="2371"/>
      <c r="Q105" s="2847"/>
      <c r="R105" s="2847"/>
      <c r="S105" s="2371"/>
      <c r="T105" s="2371"/>
      <c r="U105" s="2371"/>
      <c r="V105" s="2371"/>
      <c r="W105" s="2847"/>
      <c r="X105" s="2371"/>
      <c r="Y105" s="2371"/>
      <c r="Z105" s="1755"/>
      <c r="AA105" s="2371"/>
      <c r="AB105" s="2371"/>
      <c r="AC105" s="2371"/>
      <c r="AD105" s="2371"/>
      <c r="AE105" s="2371"/>
      <c r="AF105" s="2843"/>
      <c r="AG105" s="1777"/>
      <c r="AH105" s="1777"/>
      <c r="AI105" s="1777"/>
      <c r="AJ105" s="1777"/>
      <c r="AK105" s="2852">
        <v>11</v>
      </c>
    </row>
    <row s="65897" customFormat="1" customHeight="1" ht="11.549999999999999">
      <c r="A106" s="2198"/>
      <c r="B106" s="2847"/>
      <c r="C106" s="2847"/>
      <c r="D106" s="1562"/>
      <c r="J106" s="13495"/>
      <c r="K106" s="13495"/>
      <c r="L106" s="13495"/>
      <c r="M106" s="13495"/>
      <c r="N106" s="13495"/>
      <c r="P106" s="2371"/>
      <c r="Q106" s="2847"/>
      <c r="R106" s="2847"/>
      <c r="S106" s="2371"/>
      <c r="T106" s="2371"/>
      <c r="U106" s="2371"/>
      <c r="V106" s="2371"/>
      <c r="W106" s="2847"/>
      <c r="X106" s="2371"/>
      <c r="Y106" s="2371"/>
      <c r="Z106" s="1755"/>
      <c r="AA106" s="2371"/>
      <c r="AB106" s="2371"/>
      <c r="AC106" s="2371"/>
      <c r="AD106" s="2371"/>
      <c r="AE106" s="2371"/>
      <c r="AF106" s="2843"/>
      <c r="AG106" s="1777"/>
      <c r="AH106" s="1777"/>
      <c r="AI106" s="1777"/>
      <c r="AJ106" s="1777"/>
      <c r="AK106" s="2852">
        <v>11</v>
      </c>
    </row>
    <row s="65897" customFormat="1" customHeight="1" ht="11.549999999999999">
      <c r="A107" s="2198"/>
      <c r="B107" s="2847"/>
      <c r="C107" s="2847"/>
      <c r="D107" s="1562"/>
      <c r="J107" s="13495"/>
      <c r="K107" s="13495"/>
      <c r="L107" s="13495"/>
      <c r="M107" s="13495"/>
      <c r="N107" s="13495"/>
      <c r="P107" s="2371"/>
      <c r="Q107" s="2847"/>
      <c r="R107" s="2847"/>
      <c r="S107" s="2371"/>
      <c r="T107" s="2371"/>
      <c r="U107" s="2371"/>
      <c r="V107" s="2371"/>
      <c r="W107" s="2847"/>
      <c r="X107" s="2371"/>
      <c r="Y107" s="2371"/>
      <c r="Z107" s="1755"/>
      <c r="AA107" s="2371"/>
      <c r="AB107" s="2371"/>
      <c r="AC107" s="2371"/>
      <c r="AD107" s="2371"/>
      <c r="AE107" s="2371"/>
      <c r="AF107" s="2843"/>
      <c r="AG107" s="1777"/>
      <c r="AH107" s="1777"/>
      <c r="AI107" s="1777"/>
      <c r="AJ107" s="1777"/>
      <c r="AK107" s="2852">
        <v>11</v>
      </c>
    </row>
    <row s="65897" customFormat="1" customHeight="1" ht="11.549999999999999">
      <c r="A108" s="2198"/>
      <c r="B108" s="2847"/>
      <c r="C108" s="2847"/>
      <c r="D108" s="1562"/>
      <c r="J108" s="13495"/>
      <c r="K108" s="13495"/>
      <c r="L108" s="13495"/>
      <c r="M108" s="13495"/>
      <c r="N108" s="13495"/>
      <c r="P108" s="2371"/>
      <c r="Q108" s="2847"/>
      <c r="R108" s="2847"/>
      <c r="S108" s="2371"/>
      <c r="T108" s="2371"/>
      <c r="U108" s="2371"/>
      <c r="V108" s="2371"/>
      <c r="W108" s="2847"/>
      <c r="X108" s="2371"/>
      <c r="Y108" s="2371"/>
      <c r="Z108" s="1755"/>
      <c r="AA108" s="2371"/>
      <c r="AB108" s="2371"/>
      <c r="AC108" s="2371"/>
      <c r="AD108" s="2371"/>
      <c r="AE108" s="2371"/>
      <c r="AF108" s="2843"/>
      <c r="AG108" s="1777"/>
      <c r="AH108" s="1777"/>
      <c r="AI108" s="1777"/>
      <c r="AJ108" s="1777"/>
      <c r="AK108" s="2852">
        <v>11</v>
      </c>
    </row>
    <row s="65897" customFormat="1" customHeight="1" ht="11.549999999999999">
      <c r="A109" s="2198"/>
      <c r="B109" s="2847"/>
      <c r="C109" s="2847"/>
      <c r="D109" s="1562"/>
      <c r="J109" s="13495"/>
      <c r="K109" s="13495"/>
      <c r="L109" s="13495"/>
      <c r="M109" s="13495"/>
      <c r="N109" s="13495"/>
      <c r="P109" s="2371"/>
      <c r="Q109" s="2847"/>
      <c r="R109" s="2847"/>
      <c r="S109" s="2371"/>
      <c r="T109" s="2371"/>
      <c r="U109" s="2371"/>
      <c r="V109" s="2371"/>
      <c r="W109" s="2847"/>
      <c r="X109" s="2371"/>
      <c r="Y109" s="2371"/>
      <c r="Z109" s="1755"/>
      <c r="AA109" s="2371"/>
      <c r="AB109" s="2371"/>
      <c r="AC109" s="2371"/>
      <c r="AD109" s="2371"/>
      <c r="AE109" s="2371"/>
      <c r="AF109" s="2843"/>
      <c r="AG109" s="1777"/>
      <c r="AH109" s="1777"/>
      <c r="AI109" s="1777"/>
      <c r="AJ109" s="1777"/>
      <c r="AK109" s="2852">
        <v>11</v>
      </c>
    </row>
    <row s="65897" customFormat="1" customHeight="1" ht="11.549999999999999">
      <c r="A110" s="2198"/>
      <c r="B110" s="2847"/>
      <c r="C110" s="2847"/>
      <c r="D110" s="1562"/>
      <c r="J110" s="13495"/>
      <c r="K110" s="13495"/>
      <c r="L110" s="13495"/>
      <c r="M110" s="13495"/>
      <c r="N110" s="13495"/>
      <c r="P110" s="2371"/>
      <c r="Q110" s="2847"/>
      <c r="R110" s="2847"/>
      <c r="S110" s="2371"/>
      <c r="T110" s="2371"/>
      <c r="U110" s="2371"/>
      <c r="V110" s="2371"/>
      <c r="W110" s="2847"/>
      <c r="X110" s="2371"/>
      <c r="Y110" s="2371"/>
      <c r="Z110" s="1755"/>
      <c r="AA110" s="2371"/>
      <c r="AB110" s="2371"/>
      <c r="AC110" s="2371"/>
      <c r="AD110" s="2371"/>
      <c r="AE110" s="2371"/>
      <c r="AF110" s="2843"/>
      <c r="AG110" s="1777"/>
      <c r="AH110" s="1777"/>
      <c r="AI110" s="1777"/>
      <c r="AJ110" s="1777"/>
      <c r="AK110" s="2852">
        <v>11</v>
      </c>
    </row>
    <row s="65897" customFormat="1" customHeight="1" ht="11.549999999999999">
      <c r="A111" s="2198"/>
      <c r="B111" s="2847"/>
      <c r="C111" s="2847"/>
      <c r="D111" s="1562"/>
      <c r="J111" s="13495"/>
      <c r="K111" s="13495"/>
      <c r="L111" s="13495"/>
      <c r="M111" s="13495"/>
      <c r="N111" s="13495"/>
      <c r="P111" s="2371"/>
      <c r="Q111" s="2847"/>
      <c r="R111" s="2847"/>
      <c r="S111" s="2371"/>
      <c r="T111" s="2371"/>
      <c r="U111" s="2371"/>
      <c r="V111" s="2371"/>
      <c r="W111" s="2847"/>
      <c r="X111" s="2371"/>
      <c r="Y111" s="2371"/>
      <c r="Z111" s="1755"/>
      <c r="AA111" s="2371"/>
      <c r="AB111" s="2371"/>
      <c r="AC111" s="2371"/>
      <c r="AD111" s="2371"/>
      <c r="AE111" s="2371"/>
      <c r="AF111" s="2843"/>
      <c r="AG111" s="1777"/>
      <c r="AH111" s="1777"/>
      <c r="AI111" s="1777"/>
      <c r="AJ111" s="1777"/>
      <c r="AK111" s="2852">
        <v>11</v>
      </c>
    </row>
    <row s="65897" customFormat="1" customHeight="1" ht="11.549999999999999">
      <c r="A112" s="2198"/>
      <c r="B112" s="2847"/>
      <c r="C112" s="2847"/>
      <c r="D112" s="1562"/>
      <c r="J112" s="13495"/>
      <c r="K112" s="13495"/>
      <c r="L112" s="13495"/>
      <c r="M112" s="13495"/>
      <c r="N112" s="13495"/>
      <c r="P112" s="2371"/>
      <c r="Q112" s="2847"/>
      <c r="R112" s="2847"/>
      <c r="S112" s="2371"/>
      <c r="T112" s="2371"/>
      <c r="U112" s="2371"/>
      <c r="V112" s="2371"/>
      <c r="W112" s="2847"/>
      <c r="X112" s="2371"/>
      <c r="Y112" s="2371"/>
      <c r="Z112" s="1755"/>
      <c r="AA112" s="2371"/>
      <c r="AB112" s="2371"/>
      <c r="AC112" s="2371"/>
      <c r="AD112" s="2371"/>
      <c r="AE112" s="2371"/>
      <c r="AF112" s="2843"/>
      <c r="AG112" s="1777"/>
      <c r="AH112" s="1777"/>
      <c r="AI112" s="1777"/>
      <c r="AJ112" s="1777"/>
      <c r="AK112" s="2852">
        <v>11</v>
      </c>
    </row>
    <row s="65897" customFormat="1" customHeight="1" ht="11.549999999999999">
      <c r="A113" s="2198"/>
      <c r="B113" s="2847"/>
      <c r="C113" s="2847"/>
      <c r="D113" s="1562"/>
      <c r="J113" s="13495"/>
      <c r="K113" s="13495"/>
      <c r="L113" s="13495"/>
      <c r="M113" s="13495"/>
      <c r="N113" s="13495"/>
      <c r="P113" s="2371"/>
      <c r="Q113" s="2847"/>
      <c r="R113" s="2847"/>
      <c r="S113" s="2371"/>
      <c r="T113" s="2371"/>
      <c r="U113" s="2371"/>
      <c r="V113" s="2371"/>
      <c r="W113" s="2847"/>
      <c r="X113" s="2371"/>
      <c r="Y113" s="2371"/>
      <c r="Z113" s="1755"/>
      <c r="AA113" s="2371"/>
      <c r="AB113" s="2371"/>
      <c r="AC113" s="2371"/>
      <c r="AD113" s="2371"/>
      <c r="AE113" s="2371"/>
      <c r="AF113" s="2843"/>
      <c r="AG113" s="1777"/>
      <c r="AH113" s="1777"/>
      <c r="AI113" s="1777"/>
      <c r="AJ113" s="1777"/>
      <c r="AK113" s="2852">
        <v>11</v>
      </c>
    </row>
    <row s="65897" customFormat="1" customHeight="1" ht="11.549999999999999">
      <c r="A114" s="2198"/>
      <c r="B114" s="2847"/>
      <c r="C114" s="2847"/>
      <c r="D114" s="1562"/>
      <c r="J114" s="13495"/>
      <c r="K114" s="13495"/>
      <c r="L114" s="13495"/>
      <c r="M114" s="13495"/>
      <c r="N114" s="13495"/>
      <c r="P114" s="2371"/>
      <c r="Q114" s="2847"/>
      <c r="R114" s="2847"/>
      <c r="S114" s="2371"/>
      <c r="T114" s="2371"/>
      <c r="U114" s="2371"/>
      <c r="V114" s="2371"/>
      <c r="W114" s="2847"/>
      <c r="X114" s="2371"/>
      <c r="Y114" s="2371"/>
      <c r="Z114" s="1755"/>
      <c r="AA114" s="2371"/>
      <c r="AB114" s="2371"/>
      <c r="AC114" s="2371"/>
      <c r="AD114" s="2371"/>
      <c r="AE114" s="2371"/>
      <c r="AF114" s="2843"/>
      <c r="AG114" s="1777"/>
      <c r="AH114" s="1777"/>
      <c r="AI114" s="1777"/>
      <c r="AJ114" s="1777"/>
      <c r="AK114" s="2852">
        <v>11</v>
      </c>
    </row>
    <row s="65897" customFormat="1" customHeight="1" ht="11.549999999999999">
      <c r="A115" s="2198"/>
      <c r="B115" s="2847"/>
      <c r="C115" s="2847"/>
      <c r="D115" s="1562"/>
      <c r="J115" s="13495"/>
      <c r="K115" s="13495"/>
      <c r="L115" s="13495"/>
      <c r="M115" s="13495"/>
      <c r="N115" s="13495"/>
      <c r="P115" s="2371"/>
      <c r="Q115" s="2847"/>
      <c r="R115" s="2847"/>
      <c r="S115" s="2371"/>
      <c r="T115" s="2371"/>
      <c r="U115" s="2371"/>
      <c r="V115" s="2371"/>
      <c r="W115" s="2847"/>
      <c r="X115" s="2371"/>
      <c r="Y115" s="2371"/>
      <c r="Z115" s="1755"/>
      <c r="AA115" s="2371"/>
      <c r="AB115" s="2371"/>
      <c r="AC115" s="2371"/>
      <c r="AD115" s="2371"/>
      <c r="AE115" s="2371"/>
      <c r="AF115" s="2843"/>
      <c r="AG115" s="1777"/>
      <c r="AH115" s="1777"/>
      <c r="AI115" s="1777"/>
      <c r="AJ115" s="1777"/>
      <c r="AK115" s="2852">
        <v>11</v>
      </c>
    </row>
    <row s="65897" customFormat="1" customHeight="1" ht="11.549999999999999">
      <c r="A116" s="2198"/>
      <c r="B116" s="2847"/>
      <c r="C116" s="2847"/>
      <c r="D116" s="1562"/>
      <c r="J116" s="13495"/>
      <c r="K116" s="13495"/>
      <c r="L116" s="13495"/>
      <c r="M116" s="13495"/>
      <c r="N116" s="13495"/>
      <c r="P116" s="2371"/>
      <c r="Q116" s="2847"/>
      <c r="R116" s="2847"/>
      <c r="S116" s="2371"/>
      <c r="T116" s="2371"/>
      <c r="U116" s="2371"/>
      <c r="V116" s="2371"/>
      <c r="W116" s="2847"/>
      <c r="X116" s="2371"/>
      <c r="Y116" s="2371"/>
      <c r="Z116" s="1755"/>
      <c r="AA116" s="2371"/>
      <c r="AB116" s="2371"/>
      <c r="AC116" s="2371"/>
      <c r="AD116" s="2371"/>
      <c r="AE116" s="2371"/>
      <c r="AF116" s="2843"/>
      <c r="AG116" s="1777"/>
      <c r="AH116" s="1777"/>
      <c r="AI116" s="1777"/>
      <c r="AJ116" s="1777"/>
      <c r="AK116" s="2852">
        <v>11</v>
      </c>
    </row>
    <row s="65897" customFormat="1" customHeight="1" ht="11.549999999999999">
      <c r="A117" s="2198"/>
      <c r="B117" s="2847"/>
      <c r="C117" s="2847"/>
      <c r="D117" s="1562"/>
      <c r="J117" s="13495"/>
      <c r="K117" s="13495"/>
      <c r="L117" s="13495"/>
      <c r="M117" s="13495"/>
      <c r="N117" s="13495"/>
      <c r="P117" s="2371"/>
      <c r="Q117" s="2847"/>
      <c r="R117" s="2847"/>
      <c r="S117" s="2371"/>
      <c r="T117" s="2371"/>
      <c r="U117" s="2371"/>
      <c r="V117" s="2371"/>
      <c r="W117" s="2847"/>
      <c r="X117" s="2371"/>
      <c r="Y117" s="2371"/>
      <c r="Z117" s="1755"/>
      <c r="AA117" s="2371"/>
      <c r="AB117" s="2371"/>
      <c r="AC117" s="2371"/>
      <c r="AD117" s="2371"/>
      <c r="AE117" s="2371"/>
      <c r="AF117" s="2843"/>
      <c r="AG117" s="1777"/>
      <c r="AH117" s="1777"/>
      <c r="AI117" s="1777"/>
      <c r="AJ117" s="1777"/>
      <c r="AK117" s="2852">
        <v>11</v>
      </c>
    </row>
    <row s="65897" customFormat="1" customHeight="1" ht="11.549999999999999">
      <c r="A118" s="2198"/>
      <c r="B118" s="2847"/>
      <c r="C118" s="2847"/>
      <c r="D118" s="1562"/>
      <c r="J118" s="13495"/>
      <c r="K118" s="13495"/>
      <c r="L118" s="13495"/>
      <c r="M118" s="13495"/>
      <c r="N118" s="13495"/>
      <c r="P118" s="2371"/>
      <c r="Q118" s="2847"/>
      <c r="R118" s="2847"/>
      <c r="S118" s="2371"/>
      <c r="T118" s="2371"/>
      <c r="U118" s="2371"/>
      <c r="V118" s="2371"/>
      <c r="W118" s="2847"/>
      <c r="X118" s="2371"/>
      <c r="Y118" s="2371"/>
      <c r="Z118" s="1755"/>
      <c r="AA118" s="2371"/>
      <c r="AB118" s="2371"/>
      <c r="AC118" s="2371"/>
      <c r="AD118" s="2371"/>
      <c r="AE118" s="2371"/>
      <c r="AF118" s="2843"/>
      <c r="AG118" s="1777"/>
      <c r="AH118" s="1777"/>
      <c r="AI118" s="1777"/>
      <c r="AJ118" s="1777"/>
      <c r="AK118" s="2852">
        <v>11</v>
      </c>
    </row>
    <row s="65897" customFormat="1" customHeight="1" ht="11.549999999999999">
      <c r="A119" s="2198"/>
      <c r="B119" s="2847"/>
      <c r="C119" s="2847"/>
      <c r="D119" s="1562"/>
      <c r="J119" s="13495"/>
      <c r="K119" s="13495"/>
      <c r="L119" s="13495"/>
      <c r="M119" s="13495"/>
      <c r="N119" s="13495"/>
      <c r="P119" s="2371"/>
      <c r="Q119" s="2847"/>
      <c r="R119" s="2847"/>
      <c r="S119" s="2371"/>
      <c r="T119" s="2371"/>
      <c r="U119" s="2371"/>
      <c r="V119" s="2371"/>
      <c r="W119" s="2847"/>
      <c r="X119" s="2371"/>
      <c r="Y119" s="2371"/>
      <c r="Z119" s="1755"/>
      <c r="AA119" s="2371"/>
      <c r="AB119" s="2371"/>
      <c r="AC119" s="2371"/>
      <c r="AD119" s="2371"/>
      <c r="AE119" s="2371"/>
      <c r="AF119" s="2843"/>
      <c r="AG119" s="1777"/>
      <c r="AH119" s="1777"/>
      <c r="AI119" s="1777"/>
      <c r="AJ119" s="1777"/>
      <c r="AK119" s="2852">
        <v>11</v>
      </c>
    </row>
    <row s="65897" customFormat="1" customHeight="1" ht="11.549999999999999">
      <c r="A120" s="2198"/>
      <c r="B120" s="2847"/>
      <c r="C120" s="2847"/>
      <c r="D120" s="1562"/>
      <c r="J120" s="13495"/>
      <c r="K120" s="13495"/>
      <c r="L120" s="13495"/>
      <c r="M120" s="13495"/>
      <c r="N120" s="13495"/>
      <c r="P120" s="2371"/>
      <c r="Q120" s="2847"/>
      <c r="R120" s="2847"/>
      <c r="S120" s="2371"/>
      <c r="T120" s="2371"/>
      <c r="U120" s="2371"/>
      <c r="V120" s="2371"/>
      <c r="W120" s="2847"/>
      <c r="X120" s="2371"/>
      <c r="Y120" s="2371"/>
      <c r="Z120" s="1755"/>
      <c r="AA120" s="2371"/>
      <c r="AB120" s="2371"/>
      <c r="AC120" s="2371"/>
      <c r="AD120" s="2371"/>
      <c r="AE120" s="2371"/>
      <c r="AF120" s="2843"/>
      <c r="AG120" s="1777"/>
      <c r="AH120" s="1777"/>
      <c r="AI120" s="1777"/>
      <c r="AJ120" s="1777"/>
      <c r="AK120" s="2852">
        <v>11</v>
      </c>
    </row>
    <row s="65897" customFormat="1" customHeight="1" ht="11.549999999999999">
      <c r="A121" s="2198"/>
      <c r="B121" s="2847"/>
      <c r="C121" s="2847"/>
      <c r="D121" s="1562"/>
      <c r="J121" s="13495"/>
      <c r="K121" s="13495"/>
      <c r="L121" s="13495"/>
      <c r="M121" s="13495"/>
      <c r="N121" s="13495"/>
      <c r="P121" s="2371"/>
      <c r="Q121" s="2847"/>
      <c r="R121" s="2847"/>
      <c r="S121" s="2371"/>
      <c r="T121" s="2371"/>
      <c r="U121" s="2371"/>
      <c r="V121" s="2371"/>
      <c r="W121" s="2847"/>
      <c r="X121" s="2371"/>
      <c r="Y121" s="2371"/>
      <c r="Z121" s="1755"/>
      <c r="AA121" s="2371"/>
      <c r="AB121" s="2371"/>
      <c r="AC121" s="2371"/>
      <c r="AD121" s="2371"/>
      <c r="AE121" s="2371"/>
      <c r="AF121" s="2843"/>
      <c r="AG121" s="1777"/>
      <c r="AH121" s="1777"/>
      <c r="AI121" s="1777"/>
      <c r="AJ121" s="1777"/>
      <c r="AK121" s="2852">
        <v>11</v>
      </c>
    </row>
    <row s="65897" customFormat="1" customHeight="1" ht="11.549999999999999">
      <c r="A122" s="2198"/>
      <c r="B122" s="2847"/>
      <c r="C122" s="2847"/>
      <c r="D122" s="1562"/>
      <c r="J122" s="13495"/>
      <c r="K122" s="13495"/>
      <c r="L122" s="13495"/>
      <c r="M122" s="13495"/>
      <c r="N122" s="13495"/>
      <c r="P122" s="2371"/>
      <c r="Q122" s="2847"/>
      <c r="R122" s="2847"/>
      <c r="S122" s="2371"/>
      <c r="T122" s="2371"/>
      <c r="U122" s="2371"/>
      <c r="V122" s="2371"/>
      <c r="W122" s="2847"/>
      <c r="X122" s="2371"/>
      <c r="Y122" s="2371"/>
      <c r="Z122" s="1755"/>
      <c r="AA122" s="2371"/>
      <c r="AB122" s="2371"/>
      <c r="AC122" s="2371"/>
      <c r="AD122" s="2371"/>
      <c r="AE122" s="2371"/>
      <c r="AF122" s="2843"/>
      <c r="AG122" s="1777"/>
      <c r="AH122" s="1777"/>
      <c r="AI122" s="1777"/>
      <c r="AJ122" s="1777"/>
      <c r="AK122" s="2852">
        <v>11</v>
      </c>
    </row>
    <row s="65897" customFormat="1" customHeight="1" ht="11.549999999999999">
      <c r="A123" s="2198"/>
      <c r="B123" s="2847"/>
      <c r="C123" s="2847"/>
      <c r="D123" s="1562"/>
      <c r="J123" s="13495"/>
      <c r="K123" s="13495"/>
      <c r="L123" s="13495"/>
      <c r="M123" s="13495"/>
      <c r="N123" s="13495"/>
      <c r="P123" s="2371"/>
      <c r="Q123" s="2847"/>
      <c r="R123" s="2847"/>
      <c r="S123" s="2371"/>
      <c r="T123" s="2371"/>
      <c r="U123" s="2371"/>
      <c r="V123" s="2371"/>
      <c r="W123" s="2847"/>
      <c r="X123" s="2371"/>
      <c r="Y123" s="2371"/>
      <c r="Z123" s="1755"/>
      <c r="AA123" s="2371"/>
      <c r="AB123" s="2371"/>
      <c r="AC123" s="2371"/>
      <c r="AD123" s="2371"/>
      <c r="AE123" s="2371"/>
      <c r="AF123" s="2843"/>
      <c r="AG123" s="1777"/>
      <c r="AH123" s="1777"/>
      <c r="AI123" s="1777"/>
      <c r="AJ123" s="1777"/>
      <c r="AK123" s="2852">
        <v>11</v>
      </c>
    </row>
    <row s="65897" customFormat="1" customHeight="1" ht="11.549999999999999">
      <c r="A124" s="2198"/>
      <c r="B124" s="2847"/>
      <c r="C124" s="2847"/>
      <c r="D124" s="1562"/>
      <c r="J124" s="13495"/>
      <c r="K124" s="13495"/>
      <c r="L124" s="13495"/>
      <c r="M124" s="13495"/>
      <c r="N124" s="13495"/>
      <c r="P124" s="2371"/>
      <c r="Q124" s="2847"/>
      <c r="R124" s="2847"/>
      <c r="S124" s="2371"/>
      <c r="T124" s="2371"/>
      <c r="U124" s="2371"/>
      <c r="V124" s="2371"/>
      <c r="W124" s="2847"/>
      <c r="X124" s="2371"/>
      <c r="Y124" s="2371"/>
      <c r="Z124" s="1755"/>
      <c r="AA124" s="2371"/>
      <c r="AB124" s="2371"/>
      <c r="AC124" s="2371"/>
      <c r="AD124" s="2371"/>
      <c r="AE124" s="2371"/>
      <c r="AF124" s="2843"/>
      <c r="AG124" s="1777"/>
      <c r="AH124" s="1777"/>
      <c r="AI124" s="1777"/>
      <c r="AJ124" s="1777"/>
      <c r="AK124" s="2852">
        <v>11</v>
      </c>
    </row>
    <row s="65897" customFormat="1" customHeight="1" ht="11.549999999999999">
      <c r="A125" s="2198"/>
      <c r="B125" s="2847"/>
      <c r="C125" s="2847"/>
      <c r="D125" s="1562"/>
      <c r="J125" s="13495"/>
      <c r="K125" s="13495"/>
      <c r="L125" s="13495"/>
      <c r="M125" s="13495"/>
      <c r="N125" s="13495"/>
      <c r="P125" s="2371"/>
      <c r="Q125" s="2847"/>
      <c r="R125" s="2847"/>
      <c r="S125" s="2371"/>
      <c r="T125" s="2371"/>
      <c r="U125" s="2371"/>
      <c r="V125" s="2371"/>
      <c r="W125" s="2847"/>
      <c r="X125" s="2371"/>
      <c r="Y125" s="2371"/>
      <c r="Z125" s="1755"/>
      <c r="AA125" s="2371"/>
      <c r="AB125" s="2371"/>
      <c r="AC125" s="2371"/>
      <c r="AD125" s="2371"/>
      <c r="AE125" s="2371"/>
      <c r="AF125" s="2843"/>
      <c r="AG125" s="1777"/>
      <c r="AH125" s="1777"/>
      <c r="AI125" s="1777"/>
      <c r="AJ125" s="1777"/>
      <c r="AK125" s="2852">
        <v>11</v>
      </c>
    </row>
    <row s="65897" customFormat="1" customHeight="1" ht="11.549999999999999">
      <c r="A126" s="2198"/>
      <c r="B126" s="2847"/>
      <c r="C126" s="2847"/>
      <c r="D126" s="1562"/>
      <c r="J126" s="13495"/>
      <c r="K126" s="13495"/>
      <c r="L126" s="13495"/>
      <c r="M126" s="13495"/>
      <c r="N126" s="13495"/>
      <c r="P126" s="2371"/>
      <c r="Q126" s="2847"/>
      <c r="R126" s="2847"/>
      <c r="S126" s="2371"/>
      <c r="T126" s="2371"/>
      <c r="U126" s="2371"/>
      <c r="V126" s="2371"/>
      <c r="W126" s="2847"/>
      <c r="X126" s="2371"/>
      <c r="Y126" s="2371"/>
      <c r="Z126" s="1755"/>
      <c r="AA126" s="2371"/>
      <c r="AB126" s="2371"/>
      <c r="AC126" s="2371"/>
      <c r="AD126" s="2371"/>
      <c r="AE126" s="2371"/>
      <c r="AF126" s="2843"/>
      <c r="AG126" s="1777"/>
      <c r="AH126" s="1777"/>
      <c r="AI126" s="1777"/>
      <c r="AJ126" s="1777"/>
      <c r="AK126" s="2852">
        <v>11</v>
      </c>
    </row>
    <row s="65897" customFormat="1" customHeight="1" ht="11.549999999999999">
      <c r="A127" s="2198"/>
      <c r="B127" s="2847"/>
      <c r="C127" s="2847"/>
      <c r="D127" s="1562"/>
      <c r="J127" s="13495"/>
      <c r="K127" s="13495"/>
      <c r="L127" s="13495"/>
      <c r="M127" s="13495"/>
      <c r="N127" s="13495"/>
      <c r="P127" s="2371"/>
      <c r="Q127" s="2847"/>
      <c r="R127" s="2847"/>
      <c r="S127" s="2371"/>
      <c r="T127" s="2371"/>
      <c r="U127" s="2371"/>
      <c r="V127" s="2371"/>
      <c r="W127" s="2847"/>
      <c r="X127" s="2371"/>
      <c r="Y127" s="2371"/>
      <c r="Z127" s="1755"/>
      <c r="AA127" s="2371"/>
      <c r="AB127" s="2371"/>
      <c r="AC127" s="2371"/>
      <c r="AD127" s="2371"/>
      <c r="AE127" s="2371"/>
      <c r="AF127" s="2843"/>
      <c r="AG127" s="1777"/>
      <c r="AH127" s="1777"/>
      <c r="AI127" s="1777"/>
      <c r="AJ127" s="1777"/>
      <c r="AK127" s="2852">
        <v>11</v>
      </c>
    </row>
    <row s="65897" customFormat="1" customHeight="1" ht="11.549999999999999">
      <c r="A128" s="2198"/>
      <c r="B128" s="2847"/>
      <c r="C128" s="2847"/>
      <c r="D128" s="1562"/>
      <c r="J128" s="13495"/>
      <c r="K128" s="13495"/>
      <c r="L128" s="13495"/>
      <c r="M128" s="13495"/>
      <c r="N128" s="13495"/>
      <c r="P128" s="2371"/>
      <c r="Q128" s="2847"/>
      <c r="R128" s="2847"/>
      <c r="S128" s="2371"/>
      <c r="T128" s="2371"/>
      <c r="U128" s="2371"/>
      <c r="V128" s="2371"/>
      <c r="W128" s="2847"/>
      <c r="X128" s="2371"/>
      <c r="Y128" s="2371"/>
      <c r="Z128" s="1755"/>
      <c r="AA128" s="2371"/>
      <c r="AB128" s="2371"/>
      <c r="AC128" s="2371"/>
      <c r="AD128" s="2371"/>
      <c r="AE128" s="2371"/>
      <c r="AF128" s="2843"/>
      <c r="AG128" s="1777"/>
      <c r="AH128" s="1777"/>
      <c r="AI128" s="1777"/>
      <c r="AJ128" s="1777"/>
      <c r="AK128" s="2852">
        <v>11</v>
      </c>
    </row>
    <row s="65897" customFormat="1" customHeight="1" ht="11.549999999999999">
      <c r="A129" s="2198"/>
      <c r="B129" s="2847"/>
      <c r="C129" s="2847"/>
      <c r="D129" s="1562"/>
      <c r="J129" s="13495"/>
      <c r="K129" s="13495"/>
      <c r="L129" s="13495"/>
      <c r="M129" s="13495"/>
      <c r="N129" s="13495"/>
      <c r="P129" s="2371"/>
      <c r="Q129" s="2847"/>
      <c r="R129" s="2847"/>
      <c r="S129" s="2371"/>
      <c r="T129" s="2371"/>
      <c r="U129" s="2371"/>
      <c r="V129" s="2371"/>
      <c r="W129" s="2847"/>
      <c r="X129" s="2371"/>
      <c r="Y129" s="2371"/>
      <c r="Z129" s="1755"/>
      <c r="AA129" s="2371"/>
      <c r="AB129" s="2371"/>
      <c r="AC129" s="2371"/>
      <c r="AD129" s="2371"/>
      <c r="AE129" s="2371"/>
      <c r="AF129" s="2843"/>
      <c r="AG129" s="1777"/>
      <c r="AH129" s="1777"/>
      <c r="AI129" s="1777"/>
      <c r="AJ129" s="1777"/>
      <c r="AK129" s="2852">
        <v>11</v>
      </c>
    </row>
    <row s="65897" customFormat="1" customHeight="1" ht="11.549999999999999">
      <c r="A130" s="2198"/>
      <c r="B130" s="2847"/>
      <c r="C130" s="2847"/>
      <c r="D130" s="1562"/>
      <c r="J130" s="13495"/>
      <c r="K130" s="13495"/>
      <c r="L130" s="13495"/>
      <c r="M130" s="13495"/>
      <c r="N130" s="13495"/>
      <c r="P130" s="2371"/>
      <c r="Q130" s="2847"/>
      <c r="R130" s="2847"/>
      <c r="S130" s="2371"/>
      <c r="T130" s="2371"/>
      <c r="U130" s="2371"/>
      <c r="V130" s="2371"/>
      <c r="W130" s="2847"/>
      <c r="X130" s="2371"/>
      <c r="Y130" s="2371"/>
      <c r="Z130" s="1755"/>
      <c r="AA130" s="2371"/>
      <c r="AB130" s="2371"/>
      <c r="AC130" s="2371"/>
      <c r="AD130" s="2371"/>
      <c r="AE130" s="2371"/>
      <c r="AF130" s="2843"/>
      <c r="AG130" s="1777"/>
      <c r="AH130" s="1777"/>
      <c r="AI130" s="1777"/>
      <c r="AJ130" s="1777"/>
      <c r="AK130" s="2852">
        <v>11</v>
      </c>
    </row>
    <row s="65897" customFormat="1" customHeight="1" ht="11.549999999999999">
      <c r="A131" s="2198"/>
      <c r="B131" s="2847"/>
      <c r="C131" s="2847"/>
      <c r="D131" s="1562"/>
      <c r="J131" s="13495"/>
      <c r="K131" s="13495"/>
      <c r="L131" s="13495"/>
      <c r="M131" s="13495"/>
      <c r="N131" s="13495"/>
      <c r="P131" s="2371"/>
      <c r="Q131" s="2847"/>
      <c r="R131" s="2847"/>
      <c r="S131" s="2371"/>
      <c r="T131" s="2371"/>
      <c r="U131" s="2371"/>
      <c r="V131" s="2371"/>
      <c r="W131" s="2847"/>
      <c r="X131" s="2371"/>
      <c r="Y131" s="2371"/>
      <c r="Z131" s="1755"/>
      <c r="AA131" s="2371"/>
      <c r="AB131" s="2371"/>
      <c r="AC131" s="2371"/>
      <c r="AD131" s="2371"/>
      <c r="AE131" s="2371"/>
      <c r="AF131" s="2843"/>
      <c r="AG131" s="1777"/>
      <c r="AH131" s="1777"/>
      <c r="AI131" s="1777"/>
      <c r="AJ131" s="1777"/>
      <c r="AK131" s="2852">
        <v>11</v>
      </c>
    </row>
    <row s="65897" customFormat="1" customHeight="1" ht="11.549999999999999">
      <c r="A132" s="2198"/>
      <c r="B132" s="2847"/>
      <c r="C132" s="2847"/>
      <c r="D132" s="1562"/>
      <c r="J132" s="13495"/>
      <c r="K132" s="13495"/>
      <c r="L132" s="13495"/>
      <c r="M132" s="13495"/>
      <c r="N132" s="13495"/>
      <c r="P132" s="2371"/>
      <c r="Q132" s="2847"/>
      <c r="R132" s="2847"/>
      <c r="S132" s="2371"/>
      <c r="T132" s="2371"/>
      <c r="U132" s="2371"/>
      <c r="V132" s="2371"/>
      <c r="W132" s="2847"/>
      <c r="X132" s="2371"/>
      <c r="Y132" s="2371"/>
      <c r="Z132" s="1755"/>
      <c r="AA132" s="2371"/>
      <c r="AB132" s="2371"/>
      <c r="AC132" s="2371"/>
      <c r="AD132" s="2371"/>
      <c r="AE132" s="2371"/>
      <c r="AF132" s="2843"/>
      <c r="AG132" s="1777"/>
      <c r="AH132" s="1777"/>
      <c r="AI132" s="1777"/>
      <c r="AJ132" s="1777"/>
      <c r="AK132" s="2852">
        <v>11</v>
      </c>
    </row>
    <row s="65897" customFormat="1" customHeight="1" ht="11.549999999999999">
      <c r="A133" s="2198"/>
      <c r="B133" s="2847"/>
      <c r="C133" s="2847"/>
      <c r="D133" s="1562"/>
      <c r="J133" s="13495"/>
      <c r="K133" s="13495"/>
      <c r="L133" s="13495"/>
      <c r="M133" s="13495"/>
      <c r="N133" s="13495"/>
      <c r="P133" s="2371"/>
      <c r="Q133" s="2847"/>
      <c r="R133" s="2847"/>
      <c r="S133" s="2371"/>
      <c r="T133" s="2371"/>
      <c r="U133" s="2371"/>
      <c r="V133" s="2371"/>
      <c r="W133" s="2847"/>
      <c r="X133" s="2371"/>
      <c r="Y133" s="2371"/>
      <c r="Z133" s="1755"/>
      <c r="AA133" s="2371"/>
      <c r="AB133" s="2371"/>
      <c r="AC133" s="2371"/>
      <c r="AD133" s="2371"/>
      <c r="AE133" s="2371"/>
      <c r="AF133" s="2843"/>
      <c r="AG133" s="1777"/>
      <c r="AH133" s="1777"/>
      <c r="AI133" s="1777"/>
      <c r="AJ133" s="1777"/>
      <c r="AK133" s="2852">
        <v>11</v>
      </c>
    </row>
    <row s="65897" customFormat="1" customHeight="1" ht="11.549999999999999">
      <c r="A134" s="2198"/>
      <c r="B134" s="2847"/>
      <c r="C134" s="2847"/>
      <c r="D134" s="1562"/>
      <c r="J134" s="13495"/>
      <c r="K134" s="13495"/>
      <c r="L134" s="13495"/>
      <c r="M134" s="13495"/>
      <c r="N134" s="13495"/>
      <c r="P134" s="2371"/>
      <c r="Q134" s="2847"/>
      <c r="R134" s="2847"/>
      <c r="S134" s="2371"/>
      <c r="T134" s="2371"/>
      <c r="U134" s="2371"/>
      <c r="V134" s="2371"/>
      <c r="W134" s="2847"/>
      <c r="X134" s="2371"/>
      <c r="Y134" s="2371"/>
      <c r="Z134" s="1755"/>
      <c r="AA134" s="2371"/>
      <c r="AB134" s="2371"/>
      <c r="AC134" s="2371"/>
      <c r="AD134" s="2371"/>
      <c r="AE134" s="2371"/>
      <c r="AF134" s="2843"/>
      <c r="AG134" s="1777"/>
      <c r="AH134" s="1777"/>
      <c r="AI134" s="1777"/>
      <c r="AJ134" s="1777"/>
      <c r="AK134" s="2852">
        <v>11</v>
      </c>
    </row>
    <row s="65897" customFormat="1" customHeight="1" ht="11.549999999999999">
      <c r="A135" s="2198"/>
      <c r="B135" s="2847"/>
      <c r="C135" s="2847"/>
      <c r="D135" s="1562"/>
      <c r="J135" s="13495"/>
      <c r="K135" s="13495"/>
      <c r="L135" s="13495"/>
      <c r="M135" s="13495"/>
      <c r="N135" s="13495"/>
      <c r="P135" s="2371"/>
      <c r="Q135" s="2847"/>
      <c r="R135" s="2847"/>
      <c r="S135" s="2371"/>
      <c r="T135" s="2371"/>
      <c r="U135" s="2371"/>
      <c r="V135" s="2371"/>
      <c r="W135" s="2847"/>
      <c r="X135" s="2371"/>
      <c r="Y135" s="2371"/>
      <c r="Z135" s="1755"/>
      <c r="AA135" s="2371"/>
      <c r="AB135" s="2371"/>
      <c r="AC135" s="2371"/>
      <c r="AD135" s="2371"/>
      <c r="AE135" s="2371"/>
      <c r="AF135" s="2843"/>
      <c r="AG135" s="1777"/>
      <c r="AH135" s="1777"/>
      <c r="AI135" s="1777"/>
      <c r="AJ135" s="1777"/>
      <c r="AK135" s="2852">
        <v>11</v>
      </c>
    </row>
    <row s="65897" customFormat="1" customHeight="1" ht="11.549999999999999">
      <c r="A136" s="2198"/>
      <c r="B136" s="2847"/>
      <c r="C136" s="2847"/>
      <c r="D136" s="1562"/>
      <c r="J136" s="13495"/>
      <c r="K136" s="13495"/>
      <c r="L136" s="13495"/>
      <c r="M136" s="13495"/>
      <c r="N136" s="13495"/>
      <c r="P136" s="2371"/>
      <c r="Q136" s="2847"/>
      <c r="R136" s="2847"/>
      <c r="S136" s="2371"/>
      <c r="T136" s="2371"/>
      <c r="U136" s="2371"/>
      <c r="V136" s="2371"/>
      <c r="W136" s="2847"/>
      <c r="X136" s="2371"/>
      <c r="Y136" s="2371"/>
      <c r="Z136" s="1755"/>
      <c r="AA136" s="2371"/>
      <c r="AB136" s="2371"/>
      <c r="AC136" s="2371"/>
      <c r="AD136" s="2371"/>
      <c r="AE136" s="2371"/>
      <c r="AF136" s="2843"/>
      <c r="AG136" s="1777"/>
      <c r="AH136" s="1777"/>
      <c r="AI136" s="1777"/>
      <c r="AJ136" s="1777"/>
      <c r="AK136" s="2852">
        <v>11</v>
      </c>
    </row>
    <row s="65897" customFormat="1" customHeight="1" ht="11.549999999999999">
      <c r="A137" s="2198"/>
      <c r="B137" s="2847"/>
      <c r="C137" s="2847"/>
      <c r="D137" s="1562"/>
      <c r="J137" s="13495"/>
      <c r="K137" s="13495"/>
      <c r="L137" s="13495"/>
      <c r="M137" s="13495"/>
      <c r="N137" s="13495"/>
      <c r="P137" s="2371"/>
      <c r="Q137" s="2847"/>
      <c r="R137" s="2847"/>
      <c r="S137" s="2371"/>
      <c r="T137" s="2371"/>
      <c r="U137" s="2371"/>
      <c r="V137" s="2371"/>
      <c r="W137" s="2847"/>
      <c r="X137" s="2371"/>
      <c r="Y137" s="2371"/>
      <c r="Z137" s="1755"/>
      <c r="AA137" s="2371"/>
      <c r="AB137" s="2371"/>
      <c r="AC137" s="2371"/>
      <c r="AD137" s="2371"/>
      <c r="AE137" s="2371"/>
      <c r="AF137" s="2843"/>
      <c r="AG137" s="1777"/>
      <c r="AH137" s="1777"/>
      <c r="AI137" s="1777"/>
      <c r="AJ137" s="1777"/>
      <c r="AK137" s="2852">
        <v>11</v>
      </c>
    </row>
    <row s="65897" customFormat="1" customHeight="1" ht="11.549999999999999">
      <c r="A138" s="2198"/>
      <c r="B138" s="2847"/>
      <c r="C138" s="2847"/>
      <c r="D138" s="1562"/>
      <c r="J138" s="13495"/>
      <c r="K138" s="13495"/>
      <c r="L138" s="13495"/>
      <c r="M138" s="13495"/>
      <c r="N138" s="13495"/>
      <c r="P138" s="2371"/>
      <c r="Q138" s="2847"/>
      <c r="R138" s="2847"/>
      <c r="S138" s="2371"/>
      <c r="T138" s="2371"/>
      <c r="U138" s="2371"/>
      <c r="V138" s="2371"/>
      <c r="W138" s="2847"/>
      <c r="X138" s="2371"/>
      <c r="Y138" s="2371"/>
      <c r="Z138" s="1755"/>
      <c r="AA138" s="2371"/>
      <c r="AB138" s="2371"/>
      <c r="AC138" s="2371"/>
      <c r="AD138" s="2371"/>
      <c r="AE138" s="2371"/>
      <c r="AF138" s="2843"/>
      <c r="AG138" s="1777"/>
      <c r="AH138" s="1777"/>
      <c r="AI138" s="1777"/>
      <c r="AJ138" s="1777"/>
      <c r="AK138" s="2852">
        <v>11</v>
      </c>
    </row>
    <row s="65897" customFormat="1" customHeight="1" ht="11.549999999999999">
      <c r="A139" s="2198"/>
      <c r="B139" s="2847"/>
      <c r="C139" s="2847"/>
      <c r="D139" s="1562"/>
      <c r="J139" s="13495"/>
      <c r="K139" s="13495"/>
      <c r="L139" s="13495"/>
      <c r="M139" s="13495"/>
      <c r="N139" s="13495"/>
      <c r="P139" s="2371"/>
      <c r="Q139" s="2847"/>
      <c r="R139" s="2847"/>
      <c r="S139" s="2371"/>
      <c r="T139" s="2371"/>
      <c r="U139" s="2371"/>
      <c r="V139" s="2371"/>
      <c r="W139" s="2847"/>
      <c r="X139" s="2371"/>
      <c r="Y139" s="2371"/>
      <c r="Z139" s="1755"/>
      <c r="AA139" s="2371"/>
      <c r="AB139" s="2371"/>
      <c r="AC139" s="2371"/>
      <c r="AD139" s="2371"/>
      <c r="AE139" s="2371"/>
      <c r="AF139" s="2843"/>
      <c r="AG139" s="1777"/>
      <c r="AH139" s="1777"/>
      <c r="AI139" s="1777"/>
      <c r="AJ139" s="1777"/>
      <c r="AK139" s="2852">
        <v>11</v>
      </c>
    </row>
    <row s="65897" customFormat="1" customHeight="1" ht="11.549999999999999">
      <c r="A140" s="2198"/>
      <c r="B140" s="2847"/>
      <c r="C140" s="2847"/>
      <c r="D140" s="1562"/>
      <c r="J140" s="13495"/>
      <c r="K140" s="13495"/>
      <c r="L140" s="13495"/>
      <c r="M140" s="13495"/>
      <c r="N140" s="13495"/>
      <c r="P140" s="2371"/>
      <c r="Q140" s="2847"/>
      <c r="R140" s="2847"/>
      <c r="S140" s="2371"/>
      <c r="T140" s="2371"/>
      <c r="U140" s="2371"/>
      <c r="V140" s="2371"/>
      <c r="W140" s="2847"/>
      <c r="X140" s="2371"/>
      <c r="Y140" s="2371"/>
      <c r="Z140" s="1755"/>
      <c r="AA140" s="2371"/>
      <c r="AB140" s="2371"/>
      <c r="AC140" s="2371"/>
      <c r="AD140" s="2371"/>
      <c r="AE140" s="2371"/>
      <c r="AF140" s="2843"/>
      <c r="AG140" s="1777"/>
      <c r="AH140" s="1777"/>
      <c r="AI140" s="1777"/>
      <c r="AJ140" s="1777"/>
      <c r="AK140" s="2852">
        <v>11</v>
      </c>
    </row>
    <row s="65897" customFormat="1" customHeight="1" ht="11.549999999999999">
      <c r="A141" s="2198"/>
      <c r="B141" s="2847"/>
      <c r="C141" s="2847"/>
      <c r="D141" s="1562"/>
      <c r="J141" s="13495"/>
      <c r="K141" s="13495"/>
      <c r="L141" s="13495"/>
      <c r="M141" s="13495"/>
      <c r="N141" s="13495"/>
      <c r="P141" s="2371"/>
      <c r="Q141" s="2847"/>
      <c r="R141" s="2847"/>
      <c r="S141" s="2371"/>
      <c r="T141" s="2371"/>
      <c r="U141" s="2371"/>
      <c r="V141" s="2371"/>
      <c r="W141" s="2847"/>
      <c r="X141" s="2371"/>
      <c r="Y141" s="2371"/>
      <c r="Z141" s="1755"/>
      <c r="AA141" s="2371"/>
      <c r="AB141" s="2371"/>
      <c r="AC141" s="2371"/>
      <c r="AD141" s="2371"/>
      <c r="AE141" s="2371"/>
      <c r="AF141" s="2843"/>
      <c r="AG141" s="1777"/>
      <c r="AH141" s="1777"/>
      <c r="AI141" s="1777"/>
      <c r="AJ141" s="1777"/>
      <c r="AK141" s="2852">
        <v>11</v>
      </c>
    </row>
    <row s="65897" customFormat="1" customHeight="1" ht="11.549999999999999">
      <c r="A142" s="2198"/>
      <c r="B142" s="2847"/>
      <c r="C142" s="2847"/>
      <c r="D142" s="1562"/>
      <c r="J142" s="13495"/>
      <c r="K142" s="13495"/>
      <c r="L142" s="13495"/>
      <c r="M142" s="13495"/>
      <c r="N142" s="13495"/>
      <c r="P142" s="2371"/>
      <c r="Q142" s="2847"/>
      <c r="R142" s="2847"/>
      <c r="S142" s="2371"/>
      <c r="T142" s="2371"/>
      <c r="U142" s="2371"/>
      <c r="V142" s="2371"/>
      <c r="W142" s="2847"/>
      <c r="X142" s="2371"/>
      <c r="Y142" s="2371"/>
      <c r="Z142" s="1755"/>
      <c r="AA142" s="2371"/>
      <c r="AB142" s="2371"/>
      <c r="AC142" s="2371"/>
      <c r="AD142" s="2371"/>
      <c r="AE142" s="2371"/>
      <c r="AF142" s="2843"/>
      <c r="AG142" s="1777"/>
      <c r="AH142" s="1777"/>
      <c r="AI142" s="1777"/>
      <c r="AJ142" s="1777"/>
      <c r="AK142" s="2852">
        <v>11</v>
      </c>
    </row>
    <row s="65897" customFormat="1" customHeight="1" ht="11.549999999999999">
      <c r="A143" s="2198"/>
      <c r="B143" s="2847"/>
      <c r="C143" s="2847"/>
      <c r="D143" s="1562"/>
      <c r="J143" s="13495"/>
      <c r="K143" s="13495"/>
      <c r="L143" s="13495"/>
      <c r="M143" s="13495"/>
      <c r="N143" s="13495"/>
      <c r="P143" s="2371"/>
      <c r="Q143" s="2847"/>
      <c r="R143" s="2847"/>
      <c r="S143" s="2371"/>
      <c r="T143" s="2371"/>
      <c r="U143" s="2371"/>
      <c r="V143" s="2371"/>
      <c r="W143" s="2847"/>
      <c r="X143" s="2371"/>
      <c r="Y143" s="2371"/>
      <c r="Z143" s="1755"/>
      <c r="AA143" s="2371"/>
      <c r="AB143" s="2371"/>
      <c r="AC143" s="2371"/>
      <c r="AD143" s="2371"/>
      <c r="AE143" s="2371"/>
      <c r="AF143" s="2843"/>
      <c r="AG143" s="1777"/>
      <c r="AH143" s="1777"/>
      <c r="AI143" s="1777"/>
      <c r="AJ143" s="1777"/>
      <c r="AK143" s="2852">
        <v>11</v>
      </c>
    </row>
    <row s="65897" customFormat="1" customHeight="1" ht="11.549999999999999">
      <c r="A144" s="2198"/>
      <c r="B144" s="2847"/>
      <c r="C144" s="2847"/>
      <c r="D144" s="1562"/>
      <c r="J144" s="13495"/>
      <c r="K144" s="13495"/>
      <c r="L144" s="13495"/>
      <c r="M144" s="13495"/>
      <c r="N144" s="13495"/>
      <c r="P144" s="2371"/>
      <c r="Q144" s="2847"/>
      <c r="R144" s="2847"/>
      <c r="S144" s="2371"/>
      <c r="T144" s="2371"/>
      <c r="U144" s="2371"/>
      <c r="V144" s="2371"/>
      <c r="W144" s="2847"/>
      <c r="X144" s="2371"/>
      <c r="Y144" s="2371"/>
      <c r="Z144" s="1755"/>
      <c r="AA144" s="2371"/>
      <c r="AB144" s="2371"/>
      <c r="AC144" s="2371"/>
      <c r="AD144" s="2371"/>
      <c r="AE144" s="2371"/>
      <c r="AF144" s="2843"/>
      <c r="AG144" s="1777"/>
      <c r="AH144" s="1777"/>
      <c r="AI144" s="1777"/>
      <c r="AJ144" s="1777"/>
      <c r="AK144" s="2852">
        <v>11</v>
      </c>
    </row>
    <row s="65897" customFormat="1" customHeight="1" ht="11.549999999999999">
      <c r="A145" s="2198"/>
      <c r="B145" s="2847"/>
      <c r="C145" s="2847"/>
      <c r="D145" s="1562"/>
      <c r="J145" s="13495"/>
      <c r="K145" s="13495"/>
      <c r="L145" s="13495"/>
      <c r="M145" s="13495"/>
      <c r="N145" s="13495"/>
      <c r="P145" s="2371"/>
      <c r="Q145" s="2847"/>
      <c r="R145" s="2847"/>
      <c r="S145" s="2371"/>
      <c r="T145" s="2371"/>
      <c r="U145" s="2371"/>
      <c r="V145" s="2371"/>
      <c r="W145" s="2847"/>
      <c r="X145" s="2371"/>
      <c r="Y145" s="2371"/>
      <c r="Z145" s="1755"/>
      <c r="AA145" s="2371"/>
      <c r="AB145" s="2371"/>
      <c r="AC145" s="2371"/>
      <c r="AD145" s="2371"/>
      <c r="AE145" s="2371"/>
      <c r="AF145" s="2843"/>
      <c r="AG145" s="1777"/>
      <c r="AH145" s="1777"/>
      <c r="AI145" s="1777"/>
      <c r="AJ145" s="1777"/>
      <c r="AK145" s="2852">
        <v>11</v>
      </c>
    </row>
    <row s="65897" customFormat="1" customHeight="1" ht="11.549999999999999">
      <c r="A146" s="2198"/>
      <c r="B146" s="2847"/>
      <c r="C146" s="2847"/>
      <c r="D146" s="1562"/>
      <c r="J146" s="13495"/>
      <c r="K146" s="13495"/>
      <c r="L146" s="13495"/>
      <c r="M146" s="13495"/>
      <c r="N146" s="13495"/>
      <c r="P146" s="2371"/>
      <c r="Q146" s="2847"/>
      <c r="R146" s="2847"/>
      <c r="S146" s="2371"/>
      <c r="T146" s="2371"/>
      <c r="U146" s="2371"/>
      <c r="V146" s="2371"/>
      <c r="W146" s="2847"/>
      <c r="X146" s="2371"/>
      <c r="Y146" s="2371"/>
      <c r="Z146" s="1755"/>
      <c r="AA146" s="2371"/>
      <c r="AB146" s="2371"/>
      <c r="AC146" s="2371"/>
      <c r="AD146" s="2371"/>
      <c r="AE146" s="2371"/>
      <c r="AF146" s="2843"/>
      <c r="AG146" s="1777"/>
      <c r="AH146" s="1777"/>
      <c r="AI146" s="1777"/>
      <c r="AJ146" s="1777"/>
      <c r="AK146" s="2852">
        <v>11</v>
      </c>
    </row>
    <row s="65897" customFormat="1" customHeight="1" ht="11.549999999999999">
      <c r="A147" s="2198"/>
      <c r="B147" s="2847"/>
      <c r="C147" s="2847"/>
      <c r="D147" s="1562"/>
      <c r="J147" s="13495"/>
      <c r="K147" s="13495"/>
      <c r="L147" s="13495"/>
      <c r="M147" s="13495"/>
      <c r="N147" s="13495"/>
      <c r="P147" s="2371"/>
      <c r="Q147" s="2847"/>
      <c r="R147" s="2847"/>
      <c r="S147" s="2371"/>
      <c r="T147" s="2371"/>
      <c r="U147" s="2371"/>
      <c r="V147" s="2371"/>
      <c r="W147" s="2847"/>
      <c r="X147" s="2371"/>
      <c r="Y147" s="2371"/>
      <c r="Z147" s="1755"/>
      <c r="AA147" s="2371"/>
      <c r="AB147" s="2371"/>
      <c r="AC147" s="2371"/>
      <c r="AD147" s="2371"/>
      <c r="AE147" s="2371"/>
      <c r="AF147" s="2843"/>
      <c r="AG147" s="1777"/>
      <c r="AH147" s="1777"/>
      <c r="AI147" s="1777"/>
      <c r="AJ147" s="1777"/>
      <c r="AK147" s="2852">
        <v>11</v>
      </c>
    </row>
    <row s="65897" customFormat="1" customHeight="1" ht="11.549999999999999">
      <c r="A148" s="2198"/>
      <c r="B148" s="2847"/>
      <c r="C148" s="2847"/>
      <c r="D148" s="1562"/>
      <c r="J148" s="13495"/>
      <c r="K148" s="13495"/>
      <c r="L148" s="13495"/>
      <c r="M148" s="13495"/>
      <c r="N148" s="13495"/>
      <c r="P148" s="2371"/>
      <c r="Q148" s="2847"/>
      <c r="R148" s="2847"/>
      <c r="S148" s="2371"/>
      <c r="T148" s="2371"/>
      <c r="U148" s="2371"/>
      <c r="V148" s="2371"/>
      <c r="W148" s="2847"/>
      <c r="X148" s="2371"/>
      <c r="Y148" s="2371"/>
      <c r="Z148" s="1755"/>
      <c r="AA148" s="2371"/>
      <c r="AB148" s="2371"/>
      <c r="AC148" s="2371"/>
      <c r="AD148" s="2371"/>
      <c r="AE148" s="2371"/>
      <c r="AF148" s="2843"/>
      <c r="AG148" s="1777"/>
      <c r="AH148" s="1777"/>
      <c r="AI148" s="1777"/>
      <c r="AJ148" s="1777"/>
      <c r="AK148" s="2852">
        <v>11</v>
      </c>
    </row>
    <row s="65897" customFormat="1" customHeight="1" ht="11.549999999999999">
      <c r="A149" s="2198"/>
      <c r="B149" s="2847"/>
      <c r="C149" s="2847"/>
      <c r="D149" s="1562"/>
      <c r="J149" s="13495"/>
      <c r="K149" s="13495"/>
      <c r="L149" s="13495"/>
      <c r="M149" s="13495"/>
      <c r="N149" s="13495"/>
      <c r="P149" s="2371"/>
      <c r="Q149" s="2847"/>
      <c r="R149" s="2847"/>
      <c r="S149" s="2371"/>
      <c r="T149" s="2371"/>
      <c r="U149" s="2371"/>
      <c r="V149" s="2371"/>
      <c r="W149" s="2847"/>
      <c r="X149" s="2371"/>
      <c r="Y149" s="2371"/>
      <c r="Z149" s="1755"/>
      <c r="AA149" s="2371"/>
      <c r="AB149" s="2371"/>
      <c r="AC149" s="2371"/>
      <c r="AD149" s="2371"/>
      <c r="AE149" s="2371"/>
      <c r="AF149" s="2843"/>
      <c r="AG149" s="1777"/>
      <c r="AH149" s="1777"/>
      <c r="AI149" s="1777"/>
      <c r="AJ149" s="1777"/>
      <c r="AK149" s="2852">
        <v>11</v>
      </c>
    </row>
    <row s="65897" customFormat="1" customHeight="1" ht="11.549999999999999">
      <c r="A150" s="2198"/>
      <c r="B150" s="2847"/>
      <c r="C150" s="2847"/>
      <c r="D150" s="1562"/>
      <c r="J150" s="13495"/>
      <c r="K150" s="13495"/>
      <c r="L150" s="13495"/>
      <c r="M150" s="13495"/>
      <c r="N150" s="13495"/>
      <c r="P150" s="2371"/>
      <c r="Q150" s="2847"/>
      <c r="R150" s="2847"/>
      <c r="S150" s="2371"/>
      <c r="T150" s="2371"/>
      <c r="U150" s="2371"/>
      <c r="V150" s="2371"/>
      <c r="W150" s="2847"/>
      <c r="X150" s="2371"/>
      <c r="Y150" s="2371"/>
      <c r="Z150" s="1755"/>
      <c r="AA150" s="2371"/>
      <c r="AB150" s="2371"/>
      <c r="AC150" s="2371"/>
      <c r="AD150" s="2371"/>
      <c r="AE150" s="2371"/>
      <c r="AF150" s="2843"/>
      <c r="AG150" s="1777"/>
      <c r="AH150" s="1777"/>
      <c r="AI150" s="1777"/>
      <c r="AJ150" s="1777"/>
      <c r="AK150" s="2852">
        <v>11</v>
      </c>
    </row>
    <row s="65897" customFormat="1" customHeight="1" ht="11.549999999999999">
      <c r="A151" s="2198"/>
      <c r="B151" s="2847"/>
      <c r="C151" s="2847"/>
      <c r="D151" s="1562"/>
      <c r="J151" s="13495"/>
      <c r="K151" s="13495"/>
      <c r="L151" s="13495"/>
      <c r="M151" s="13495"/>
      <c r="N151" s="13495"/>
      <c r="P151" s="2371"/>
      <c r="Q151" s="2847"/>
      <c r="R151" s="2847"/>
      <c r="S151" s="2371"/>
      <c r="T151" s="2371"/>
      <c r="U151" s="2371"/>
      <c r="V151" s="2371"/>
      <c r="W151" s="2847"/>
      <c r="X151" s="2371"/>
      <c r="Y151" s="2371"/>
      <c r="Z151" s="1755"/>
      <c r="AA151" s="2371"/>
      <c r="AB151" s="2371"/>
      <c r="AC151" s="2371"/>
      <c r="AD151" s="2371"/>
      <c r="AE151" s="2371"/>
      <c r="AF151" s="2843"/>
      <c r="AG151" s="1777"/>
      <c r="AH151" s="1777"/>
      <c r="AI151" s="1777"/>
      <c r="AJ151" s="1777"/>
      <c r="AK151" s="2852">
        <v>11</v>
      </c>
    </row>
    <row s="65897" customFormat="1" customHeight="1" ht="11.549999999999999">
      <c r="A152" s="2198"/>
      <c r="B152" s="2847"/>
      <c r="C152" s="2847"/>
      <c r="D152" s="1562"/>
      <c r="J152" s="13495"/>
      <c r="K152" s="13495"/>
      <c r="L152" s="13495"/>
      <c r="M152" s="13495"/>
      <c r="N152" s="13495"/>
      <c r="P152" s="2371"/>
      <c r="Q152" s="2847"/>
      <c r="R152" s="2847"/>
      <c r="S152" s="2371"/>
      <c r="T152" s="2371"/>
      <c r="U152" s="2371"/>
      <c r="V152" s="2371"/>
      <c r="W152" s="2847"/>
      <c r="X152" s="2371"/>
      <c r="Y152" s="2371"/>
      <c r="Z152" s="1755"/>
      <c r="AA152" s="2371"/>
      <c r="AB152" s="2371"/>
      <c r="AC152" s="2371"/>
      <c r="AD152" s="2371"/>
      <c r="AE152" s="2371"/>
      <c r="AF152" s="2843"/>
      <c r="AG152" s="1777"/>
      <c r="AH152" s="1777"/>
      <c r="AI152" s="1777"/>
      <c r="AJ152" s="1777"/>
      <c r="AK152" s="2852">
        <v>11</v>
      </c>
    </row>
    <row s="65897" customFormat="1" customHeight="1" ht="11.549999999999999">
      <c r="A153" s="2198"/>
      <c r="B153" s="2847"/>
      <c r="C153" s="2847"/>
      <c r="D153" s="1562"/>
      <c r="J153" s="13495"/>
      <c r="K153" s="13495"/>
      <c r="L153" s="13495"/>
      <c r="M153" s="13495"/>
      <c r="N153" s="13495"/>
      <c r="P153" s="2371"/>
      <c r="Q153" s="2847"/>
      <c r="R153" s="2847"/>
      <c r="S153" s="2371"/>
      <c r="T153" s="2371"/>
      <c r="U153" s="2371"/>
      <c r="V153" s="2371"/>
      <c r="W153" s="2847"/>
      <c r="X153" s="2371"/>
      <c r="Y153" s="2371"/>
      <c r="Z153" s="1755"/>
      <c r="AA153" s="2371"/>
      <c r="AB153" s="2371"/>
      <c r="AC153" s="2371"/>
      <c r="AD153" s="2371"/>
      <c r="AE153" s="2371"/>
      <c r="AF153" s="2843"/>
      <c r="AG153" s="1777"/>
      <c r="AH153" s="1777"/>
      <c r="AI153" s="1777"/>
      <c r="AJ153" s="1777"/>
      <c r="AK153" s="2852">
        <v>11</v>
      </c>
    </row>
    <row s="65897" customFormat="1" customHeight="1" ht="11.549999999999999">
      <c r="A154" s="2198"/>
      <c r="B154" s="2847"/>
      <c r="C154" s="2847"/>
      <c r="D154" s="1562"/>
      <c r="J154" s="13495"/>
      <c r="K154" s="13495"/>
      <c r="L154" s="13495"/>
      <c r="M154" s="13495"/>
      <c r="N154" s="13495"/>
      <c r="P154" s="2371"/>
      <c r="Q154" s="2847"/>
      <c r="R154" s="2847"/>
      <c r="S154" s="2371"/>
      <c r="T154" s="2371"/>
      <c r="U154" s="2371"/>
      <c r="V154" s="2371"/>
      <c r="W154" s="2847"/>
      <c r="X154" s="2371"/>
      <c r="Y154" s="2371"/>
      <c r="Z154" s="1755"/>
      <c r="AA154" s="2371"/>
      <c r="AB154" s="2371"/>
      <c r="AC154" s="2371"/>
      <c r="AD154" s="2371"/>
      <c r="AE154" s="2371"/>
      <c r="AF154" s="2843"/>
      <c r="AG154" s="1777"/>
      <c r="AH154" s="1777"/>
      <c r="AI154" s="1777"/>
      <c r="AJ154" s="1777"/>
      <c r="AK154" s="2852">
        <v>11</v>
      </c>
    </row>
    <row s="65897" customFormat="1" customHeight="1" ht="11.549999999999999">
      <c r="A155" s="2198"/>
      <c r="B155" s="2847"/>
      <c r="C155" s="2847"/>
      <c r="D155" s="1562"/>
      <c r="J155" s="13495"/>
      <c r="K155" s="13495"/>
      <c r="L155" s="13495"/>
      <c r="M155" s="13495"/>
      <c r="N155" s="13495"/>
      <c r="P155" s="2371"/>
      <c r="Q155" s="2847"/>
      <c r="R155" s="2847"/>
      <c r="S155" s="2371"/>
      <c r="T155" s="2371"/>
      <c r="U155" s="2371"/>
      <c r="V155" s="2371"/>
      <c r="W155" s="2847"/>
      <c r="X155" s="2371"/>
      <c r="Y155" s="2371"/>
      <c r="Z155" s="1755"/>
      <c r="AA155" s="2371"/>
      <c r="AB155" s="2371"/>
      <c r="AC155" s="2371"/>
      <c r="AD155" s="2371"/>
      <c r="AE155" s="2371"/>
      <c r="AF155" s="2843"/>
      <c r="AG155" s="1777"/>
      <c r="AH155" s="1777"/>
      <c r="AI155" s="1777"/>
      <c r="AJ155" s="1777"/>
      <c r="AK155" s="2852">
        <v>11</v>
      </c>
    </row>
    <row s="65897" customFormat="1" customHeight="1" ht="11.549999999999999">
      <c r="A156" s="2198"/>
      <c r="B156" s="2847"/>
      <c r="C156" s="2847"/>
      <c r="D156" s="1562"/>
      <c r="J156" s="13495"/>
      <c r="K156" s="13495"/>
      <c r="L156" s="13495"/>
      <c r="M156" s="13495"/>
      <c r="N156" s="13495"/>
      <c r="P156" s="2371"/>
      <c r="Q156" s="2847"/>
      <c r="R156" s="2847"/>
      <c r="S156" s="2371"/>
      <c r="T156" s="2371"/>
      <c r="U156" s="2371"/>
      <c r="V156" s="2371"/>
      <c r="W156" s="2847"/>
      <c r="X156" s="2371"/>
      <c r="Y156" s="2371"/>
      <c r="Z156" s="1755"/>
      <c r="AA156" s="2371"/>
      <c r="AB156" s="2371"/>
      <c r="AC156" s="2371"/>
      <c r="AD156" s="2371"/>
      <c r="AE156" s="2371"/>
      <c r="AF156" s="2843"/>
      <c r="AG156" s="1777"/>
      <c r="AH156" s="1777"/>
      <c r="AI156" s="1777"/>
      <c r="AJ156" s="1777"/>
      <c r="AK156" s="2852">
        <v>11</v>
      </c>
    </row>
    <row s="65897" customFormat="1" customHeight="1" ht="11.549999999999999">
      <c r="A157" s="2198"/>
      <c r="B157" s="2847"/>
      <c r="C157" s="2847"/>
      <c r="D157" s="1562"/>
      <c r="J157" s="13495"/>
      <c r="K157" s="13495"/>
      <c r="L157" s="13495"/>
      <c r="M157" s="13495"/>
      <c r="N157" s="13495"/>
      <c r="P157" s="2371"/>
      <c r="Q157" s="2847"/>
      <c r="R157" s="2847"/>
      <c r="S157" s="2371"/>
      <c r="T157" s="2371"/>
      <c r="U157" s="2371"/>
      <c r="V157" s="2371"/>
      <c r="W157" s="2847"/>
      <c r="X157" s="2371"/>
      <c r="Y157" s="2371"/>
      <c r="Z157" s="1755"/>
      <c r="AA157" s="2371"/>
      <c r="AB157" s="2371"/>
      <c r="AC157" s="2371"/>
      <c r="AD157" s="2371"/>
      <c r="AE157" s="2371"/>
      <c r="AF157" s="2843"/>
      <c r="AG157" s="1777"/>
      <c r="AH157" s="1777"/>
      <c r="AI157" s="1777"/>
      <c r="AJ157" s="1777"/>
      <c r="AK157" s="2852">
        <v>11</v>
      </c>
    </row>
    <row s="65897" customFormat="1" customHeight="1" ht="11.549999999999999">
      <c r="A158" s="2198"/>
      <c r="B158" s="2847"/>
      <c r="C158" s="2847"/>
      <c r="D158" s="1562"/>
      <c r="J158" s="13495"/>
      <c r="K158" s="13495"/>
      <c r="L158" s="13495"/>
      <c r="M158" s="13495"/>
      <c r="N158" s="13495"/>
      <c r="P158" s="2371"/>
      <c r="Q158" s="2847"/>
      <c r="R158" s="2847"/>
      <c r="S158" s="2371"/>
      <c r="T158" s="2371"/>
      <c r="U158" s="2371"/>
      <c r="V158" s="2371"/>
      <c r="W158" s="2847"/>
      <c r="X158" s="2371"/>
      <c r="Y158" s="2371"/>
      <c r="Z158" s="1755"/>
      <c r="AA158" s="2371"/>
      <c r="AB158" s="2371"/>
      <c r="AC158" s="2371"/>
      <c r="AD158" s="2371"/>
      <c r="AE158" s="2371"/>
      <c r="AF158" s="2843"/>
      <c r="AG158" s="1777"/>
      <c r="AH158" s="1777"/>
      <c r="AI158" s="1777"/>
      <c r="AJ158" s="1777"/>
      <c r="AK158" s="2852">
        <v>11</v>
      </c>
    </row>
    <row s="65897" customFormat="1" customHeight="1" ht="11.549999999999999">
      <c r="A159" s="2198"/>
      <c r="B159" s="2847"/>
      <c r="C159" s="2847"/>
      <c r="D159" s="1562"/>
      <c r="J159" s="13495"/>
      <c r="K159" s="13495"/>
      <c r="L159" s="13495"/>
      <c r="M159" s="13495"/>
      <c r="N159" s="13495"/>
      <c r="P159" s="2371"/>
      <c r="Q159" s="2847"/>
      <c r="R159" s="2847"/>
      <c r="S159" s="2371"/>
      <c r="T159" s="2371"/>
      <c r="U159" s="2371"/>
      <c r="V159" s="2371"/>
      <c r="W159" s="2847"/>
      <c r="X159" s="2371"/>
      <c r="Y159" s="2371"/>
      <c r="Z159" s="1755"/>
      <c r="AA159" s="2371"/>
      <c r="AB159" s="2371"/>
      <c r="AC159" s="2371"/>
      <c r="AD159" s="2371"/>
      <c r="AE159" s="2371"/>
      <c r="AF159" s="2843"/>
      <c r="AG159" s="1777"/>
      <c r="AH159" s="1777"/>
      <c r="AI159" s="1777"/>
      <c r="AJ159" s="1777"/>
      <c r="AK159" s="2852">
        <v>11</v>
      </c>
    </row>
    <row s="65897" customFormat="1" customHeight="1" ht="11.549999999999999">
      <c r="A160" s="2198"/>
      <c r="B160" s="2847"/>
      <c r="C160" s="2847"/>
      <c r="D160" s="1562"/>
      <c r="J160" s="13495"/>
      <c r="K160" s="13495"/>
      <c r="L160" s="13495"/>
      <c r="M160" s="13495"/>
      <c r="N160" s="13495"/>
      <c r="P160" s="2371"/>
      <c r="Q160" s="2847"/>
      <c r="R160" s="2847"/>
      <c r="S160" s="2371"/>
      <c r="T160" s="2371"/>
      <c r="U160" s="2371"/>
      <c r="V160" s="2371"/>
      <c r="W160" s="2847"/>
      <c r="X160" s="2371"/>
      <c r="Y160" s="2371"/>
      <c r="Z160" s="1755"/>
      <c r="AA160" s="2371"/>
      <c r="AB160" s="2371"/>
      <c r="AC160" s="2371"/>
      <c r="AD160" s="2371"/>
      <c r="AE160" s="2371"/>
      <c r="AF160" s="2843"/>
      <c r="AG160" s="1777"/>
      <c r="AH160" s="1777"/>
      <c r="AI160" s="1777"/>
      <c r="AJ160" s="1777"/>
      <c r="AK160" s="2852">
        <v>11</v>
      </c>
    </row>
    <row s="65897" customFormat="1" customHeight="1" ht="11.549999999999999">
      <c r="A161" s="2198"/>
      <c r="B161" s="2847"/>
      <c r="C161" s="2847"/>
      <c r="D161" s="1562"/>
      <c r="J161" s="13495"/>
      <c r="K161" s="13495"/>
      <c r="L161" s="13495"/>
      <c r="M161" s="13495"/>
      <c r="N161" s="13495"/>
      <c r="P161" s="2371"/>
      <c r="Q161" s="2847"/>
      <c r="R161" s="2847"/>
      <c r="S161" s="2371"/>
      <c r="T161" s="2371"/>
      <c r="U161" s="2371"/>
      <c r="V161" s="2371"/>
      <c r="W161" s="2847"/>
      <c r="X161" s="2371"/>
      <c r="Y161" s="2371"/>
      <c r="Z161" s="1755"/>
      <c r="AA161" s="2371"/>
      <c r="AB161" s="2371"/>
      <c r="AC161" s="2371"/>
      <c r="AD161" s="2371"/>
      <c r="AE161" s="2371"/>
      <c r="AF161" s="2843"/>
      <c r="AG161" s="1777"/>
      <c r="AH161" s="1777"/>
      <c r="AI161" s="1777"/>
      <c r="AJ161" s="1777"/>
      <c r="AK161" s="2852">
        <v>11</v>
      </c>
    </row>
    <row s="65897" customFormat="1" customHeight="1" ht="11.549999999999999">
      <c r="A162" s="2198"/>
      <c r="B162" s="2847"/>
      <c r="C162" s="2847"/>
      <c r="D162" s="1562"/>
      <c r="J162" s="13495"/>
      <c r="K162" s="13495"/>
      <c r="L162" s="13495"/>
      <c r="M162" s="13495"/>
      <c r="N162" s="13495"/>
      <c r="P162" s="2371"/>
      <c r="Q162" s="2847"/>
      <c r="R162" s="2847"/>
      <c r="S162" s="2371"/>
      <c r="T162" s="2371"/>
      <c r="U162" s="2371"/>
      <c r="V162" s="2371"/>
      <c r="W162" s="2847"/>
      <c r="X162" s="2371"/>
      <c r="Y162" s="2371"/>
      <c r="Z162" s="1755"/>
      <c r="AA162" s="2371"/>
      <c r="AB162" s="2371"/>
      <c r="AC162" s="2371"/>
      <c r="AD162" s="2371"/>
      <c r="AE162" s="2371"/>
      <c r="AF162" s="2843"/>
      <c r="AG162" s="1777"/>
      <c r="AH162" s="1777"/>
      <c r="AI162" s="1777"/>
      <c r="AJ162" s="1777"/>
      <c r="AK162" s="2852">
        <v>11</v>
      </c>
    </row>
    <row s="65897" customFormat="1" customHeight="1" ht="11.549999999999999">
      <c r="A163" s="2198"/>
      <c r="B163" s="2847"/>
      <c r="C163" s="2847"/>
      <c r="D163" s="1562"/>
      <c r="J163" s="13495"/>
      <c r="K163" s="13495"/>
      <c r="L163" s="13495"/>
      <c r="M163" s="13495"/>
      <c r="N163" s="13495"/>
      <c r="P163" s="2371"/>
      <c r="Q163" s="2847"/>
      <c r="R163" s="2847"/>
      <c r="S163" s="2371"/>
      <c r="T163" s="2371"/>
      <c r="U163" s="2371"/>
      <c r="V163" s="2371"/>
      <c r="W163" s="2847"/>
      <c r="X163" s="2371"/>
      <c r="Y163" s="2371"/>
      <c r="Z163" s="1755"/>
      <c r="AA163" s="2371"/>
      <c r="AB163" s="2371"/>
      <c r="AC163" s="2371"/>
      <c r="AD163" s="2371"/>
      <c r="AE163" s="2371"/>
      <c r="AF163" s="2843"/>
      <c r="AG163" s="1777"/>
      <c r="AH163" s="1777"/>
      <c r="AI163" s="1777"/>
      <c r="AJ163" s="1777"/>
      <c r="AK163" s="2852">
        <v>11</v>
      </c>
    </row>
    <row s="65897" customFormat="1" customHeight="1" ht="11.549999999999999">
      <c r="A164" s="2198"/>
      <c r="B164" s="2847"/>
      <c r="C164" s="2847"/>
      <c r="D164" s="1562"/>
      <c r="J164" s="13495"/>
      <c r="K164" s="13495"/>
      <c r="L164" s="13495"/>
      <c r="M164" s="13495"/>
      <c r="N164" s="13495"/>
      <c r="P164" s="2371"/>
      <c r="Q164" s="2847"/>
      <c r="R164" s="2847"/>
      <c r="S164" s="2371"/>
      <c r="T164" s="2371"/>
      <c r="U164" s="2371"/>
      <c r="V164" s="2371"/>
      <c r="W164" s="2847"/>
      <c r="X164" s="2371"/>
      <c r="Y164" s="2371"/>
      <c r="Z164" s="1755"/>
      <c r="AA164" s="2371"/>
      <c r="AB164" s="2371"/>
      <c r="AC164" s="2371"/>
      <c r="AD164" s="2371"/>
      <c r="AE164" s="2371"/>
      <c r="AF164" s="2843"/>
      <c r="AG164" s="1777"/>
      <c r="AH164" s="1777"/>
      <c r="AI164" s="1777"/>
      <c r="AJ164" s="1777"/>
      <c r="AK164" s="2852">
        <v>11</v>
      </c>
    </row>
    <row s="65897" customFormat="1" customHeight="1" ht="11.549999999999999">
      <c r="A165" s="2198"/>
      <c r="B165" s="2847"/>
      <c r="C165" s="2847"/>
      <c r="D165" s="1562"/>
      <c r="J165" s="13495"/>
      <c r="K165" s="13495"/>
      <c r="L165" s="13495"/>
      <c r="M165" s="13495"/>
      <c r="N165" s="13495"/>
      <c r="P165" s="2371"/>
      <c r="Q165" s="2847"/>
      <c r="R165" s="2847"/>
      <c r="S165" s="2371"/>
      <c r="T165" s="2371"/>
      <c r="U165" s="2371"/>
      <c r="V165" s="2371"/>
      <c r="W165" s="2847"/>
      <c r="X165" s="2371"/>
      <c r="Y165" s="2371"/>
      <c r="Z165" s="1755"/>
      <c r="AA165" s="2371"/>
      <c r="AB165" s="2371"/>
      <c r="AC165" s="2371"/>
      <c r="AD165" s="2371"/>
      <c r="AE165" s="2371"/>
      <c r="AF165" s="2843"/>
      <c r="AG165" s="1777"/>
      <c r="AH165" s="1777"/>
      <c r="AI165" s="1777"/>
      <c r="AJ165" s="1777"/>
      <c r="AK165" s="2852">
        <v>11</v>
      </c>
    </row>
    <row s="65897" customFormat="1" customHeight="1" ht="11.549999999999999">
      <c r="A166" s="2198"/>
      <c r="B166" s="2847"/>
      <c r="C166" s="2847"/>
      <c r="D166" s="1562"/>
      <c r="J166" s="13495"/>
      <c r="K166" s="13495"/>
      <c r="L166" s="13495"/>
      <c r="M166" s="13495"/>
      <c r="N166" s="13495"/>
      <c r="P166" s="2371"/>
      <c r="Q166" s="2847"/>
      <c r="R166" s="2847"/>
      <c r="S166" s="2371"/>
      <c r="T166" s="2371"/>
      <c r="U166" s="2371"/>
      <c r="V166" s="2371"/>
      <c r="W166" s="2847"/>
      <c r="X166" s="2371"/>
      <c r="Y166" s="2371"/>
      <c r="Z166" s="1755"/>
      <c r="AA166" s="2371"/>
      <c r="AB166" s="2371"/>
      <c r="AC166" s="2371"/>
      <c r="AD166" s="2371"/>
      <c r="AE166" s="2371"/>
      <c r="AF166" s="2843"/>
      <c r="AG166" s="1777"/>
      <c r="AH166" s="1777"/>
      <c r="AI166" s="1777"/>
      <c r="AJ166" s="1777"/>
      <c r="AK166" s="2852">
        <v>11</v>
      </c>
    </row>
    <row s="65897" customFormat="1" customHeight="1" ht="11.549999999999999">
      <c r="A167" s="2198"/>
      <c r="B167" s="2847"/>
      <c r="C167" s="2847"/>
      <c r="D167" s="1562"/>
      <c r="J167" s="13495"/>
      <c r="K167" s="13495"/>
      <c r="L167" s="13495"/>
      <c r="M167" s="13495"/>
      <c r="N167" s="13495"/>
      <c r="P167" s="2371"/>
      <c r="Q167" s="2847"/>
      <c r="R167" s="2847"/>
      <c r="S167" s="2371"/>
      <c r="T167" s="2371"/>
      <c r="U167" s="2371"/>
      <c r="V167" s="2371"/>
      <c r="W167" s="2847"/>
      <c r="X167" s="2371"/>
      <c r="Y167" s="2371"/>
      <c r="Z167" s="1755"/>
      <c r="AA167" s="2371"/>
      <c r="AB167" s="2371"/>
      <c r="AC167" s="2371"/>
      <c r="AD167" s="2371"/>
      <c r="AE167" s="2371"/>
      <c r="AF167" s="2843"/>
      <c r="AG167" s="1777"/>
      <c r="AH167" s="1777"/>
      <c r="AI167" s="1777"/>
      <c r="AJ167" s="1777"/>
      <c r="AK167" s="2852">
        <v>11</v>
      </c>
    </row>
    <row s="65897" customFormat="1" customHeight="1" ht="11.549999999999999">
      <c r="A168" s="2198"/>
      <c r="B168" s="2847"/>
      <c r="C168" s="2847"/>
      <c r="D168" s="1562"/>
      <c r="J168" s="13495"/>
      <c r="K168" s="13495"/>
      <c r="L168" s="13495"/>
      <c r="M168" s="13495"/>
      <c r="N168" s="13495"/>
      <c r="P168" s="2371"/>
      <c r="Q168" s="2847"/>
      <c r="R168" s="2847"/>
      <c r="S168" s="2371"/>
      <c r="T168" s="2371"/>
      <c r="U168" s="2371"/>
      <c r="V168" s="2371"/>
      <c r="W168" s="2847"/>
      <c r="X168" s="2371"/>
      <c r="Y168" s="2371"/>
      <c r="Z168" s="1755"/>
      <c r="AA168" s="2371"/>
      <c r="AB168" s="2371"/>
      <c r="AC168" s="2371"/>
      <c r="AD168" s="2371"/>
      <c r="AE168" s="2371"/>
      <c r="AF168" s="2843"/>
      <c r="AG168" s="1777"/>
      <c r="AH168" s="1777"/>
      <c r="AI168" s="1777"/>
      <c r="AJ168" s="1777"/>
      <c r="AK168" s="2852">
        <v>11</v>
      </c>
    </row>
    <row s="65897" customFormat="1" customHeight="1" ht="11.549999999999999">
      <c r="A169" s="2198"/>
      <c r="B169" s="2847"/>
      <c r="C169" s="2847"/>
      <c r="D169" s="1562"/>
      <c r="J169" s="13495"/>
      <c r="K169" s="13495"/>
      <c r="L169" s="13495"/>
      <c r="M169" s="13495"/>
      <c r="N169" s="13495"/>
      <c r="P169" s="2371"/>
      <c r="Q169" s="2847"/>
      <c r="R169" s="2847"/>
      <c r="S169" s="2371"/>
      <c r="T169" s="2371"/>
      <c r="U169" s="2371"/>
      <c r="V169" s="2371"/>
      <c r="W169" s="2847"/>
      <c r="X169" s="2371"/>
      <c r="Y169" s="2371"/>
      <c r="Z169" s="1755"/>
      <c r="AA169" s="2371"/>
      <c r="AB169" s="2371"/>
      <c r="AC169" s="2371"/>
      <c r="AD169" s="2371"/>
      <c r="AE169" s="2371"/>
      <c r="AF169" s="2843"/>
      <c r="AG169" s="1777"/>
      <c r="AH169" s="1777"/>
      <c r="AI169" s="1777"/>
      <c r="AJ169" s="1777"/>
      <c r="AK169" s="2852">
        <v>11</v>
      </c>
    </row>
    <row s="65897" customFormat="1" customHeight="1" ht="11.549999999999999">
      <c r="A170" s="2198"/>
      <c r="B170" s="2847"/>
      <c r="C170" s="2847"/>
      <c r="D170" s="1562"/>
      <c r="J170" s="13495"/>
      <c r="K170" s="13495"/>
      <c r="L170" s="13495"/>
      <c r="M170" s="13495"/>
      <c r="N170" s="13495"/>
      <c r="P170" s="2371"/>
      <c r="Q170" s="2847"/>
      <c r="R170" s="2847"/>
      <c r="S170" s="2371"/>
      <c r="T170" s="2371"/>
      <c r="U170" s="2371"/>
      <c r="V170" s="2371"/>
      <c r="W170" s="2847"/>
      <c r="X170" s="2371"/>
      <c r="Y170" s="2371"/>
      <c r="Z170" s="1755"/>
      <c r="AA170" s="2371"/>
      <c r="AB170" s="2371"/>
      <c r="AC170" s="2371"/>
      <c r="AD170" s="2371"/>
      <c r="AE170" s="2371"/>
      <c r="AF170" s="2843"/>
      <c r="AG170" s="1777"/>
      <c r="AH170" s="1777"/>
      <c r="AI170" s="1777"/>
      <c r="AJ170" s="1777"/>
      <c r="AK170" s="2852">
        <v>11</v>
      </c>
    </row>
    <row s="65897" customFormat="1" customHeight="1" ht="11.549999999999999">
      <c r="A171" s="2198"/>
      <c r="B171" s="2847"/>
      <c r="C171" s="2847"/>
      <c r="D171" s="1562"/>
      <c r="J171" s="13495"/>
      <c r="K171" s="13495"/>
      <c r="L171" s="13495"/>
      <c r="M171" s="13495"/>
      <c r="N171" s="13495"/>
      <c r="P171" s="2371"/>
      <c r="Q171" s="2847"/>
      <c r="R171" s="2847"/>
      <c r="S171" s="2371"/>
      <c r="T171" s="2371"/>
      <c r="U171" s="2371"/>
      <c r="V171" s="2371"/>
      <c r="W171" s="2847"/>
      <c r="X171" s="2371"/>
      <c r="Y171" s="2371"/>
      <c r="Z171" s="1755"/>
      <c r="AA171" s="2371"/>
      <c r="AB171" s="2371"/>
      <c r="AC171" s="2371"/>
      <c r="AD171" s="2371"/>
      <c r="AE171" s="2371"/>
      <c r="AF171" s="2843"/>
      <c r="AG171" s="1777"/>
      <c r="AH171" s="1777"/>
      <c r="AI171" s="1777"/>
      <c r="AJ171" s="1777"/>
      <c r="AK171" s="2852">
        <v>11</v>
      </c>
    </row>
    <row s="65897" customFormat="1" customHeight="1" ht="11.549999999999999">
      <c r="A172" s="2198"/>
      <c r="B172" s="2847"/>
      <c r="C172" s="2847"/>
      <c r="D172" s="1562"/>
      <c r="J172" s="13495"/>
      <c r="K172" s="13495"/>
      <c r="L172" s="13495"/>
      <c r="M172" s="13495"/>
      <c r="N172" s="13495"/>
      <c r="P172" s="2371"/>
      <c r="Q172" s="2847"/>
      <c r="R172" s="2847"/>
      <c r="S172" s="2371"/>
      <c r="T172" s="2371"/>
      <c r="U172" s="2371"/>
      <c r="V172" s="2371"/>
      <c r="W172" s="2847"/>
      <c r="X172" s="2371"/>
      <c r="Y172" s="2371"/>
      <c r="Z172" s="1755"/>
      <c r="AA172" s="2371"/>
      <c r="AB172" s="2371"/>
      <c r="AC172" s="2371"/>
      <c r="AD172" s="2371"/>
      <c r="AE172" s="2371"/>
      <c r="AF172" s="2843"/>
      <c r="AG172" s="1777"/>
      <c r="AH172" s="1777"/>
      <c r="AI172" s="1777"/>
      <c r="AJ172" s="1777"/>
      <c r="AK172" s="2852">
        <v>11</v>
      </c>
    </row>
    <row s="65897" customFormat="1" customHeight="1" ht="11.549999999999999">
      <c r="A173" s="2198"/>
      <c r="B173" s="2847"/>
      <c r="C173" s="2847"/>
      <c r="D173" s="1562"/>
      <c r="J173" s="13495"/>
      <c r="K173" s="13495"/>
      <c r="L173" s="13495"/>
      <c r="M173" s="13495"/>
      <c r="N173" s="13495"/>
      <c r="P173" s="2371"/>
      <c r="Q173" s="2847"/>
      <c r="R173" s="2847"/>
      <c r="S173" s="2371"/>
      <c r="T173" s="2371"/>
      <c r="U173" s="2371"/>
      <c r="V173" s="2371"/>
      <c r="W173" s="2847"/>
      <c r="X173" s="2371"/>
      <c r="Y173" s="2371"/>
      <c r="Z173" s="1755"/>
      <c r="AA173" s="2371"/>
      <c r="AB173" s="2371"/>
      <c r="AC173" s="2371"/>
      <c r="AD173" s="2371"/>
      <c r="AE173" s="2371"/>
      <c r="AF173" s="2843"/>
      <c r="AG173" s="1777"/>
      <c r="AH173" s="1777"/>
      <c r="AI173" s="1777"/>
      <c r="AJ173" s="1777"/>
      <c r="AK173" s="2852">
        <v>11</v>
      </c>
    </row>
    <row s="65897" customFormat="1" customHeight="1" ht="11.549999999999999">
      <c r="A174" s="2198"/>
      <c r="B174" s="2847"/>
      <c r="C174" s="2847"/>
      <c r="D174" s="1562"/>
      <c r="J174" s="13495"/>
      <c r="K174" s="13495"/>
      <c r="L174" s="13495"/>
      <c r="M174" s="13495"/>
      <c r="N174" s="13495"/>
      <c r="P174" s="2371"/>
      <c r="Q174" s="2847"/>
      <c r="R174" s="2847"/>
      <c r="S174" s="2371"/>
      <c r="T174" s="2371"/>
      <c r="U174" s="2371"/>
      <c r="V174" s="2371"/>
      <c r="W174" s="2847"/>
      <c r="X174" s="2371"/>
      <c r="Y174" s="2371"/>
      <c r="Z174" s="1755"/>
      <c r="AA174" s="2371"/>
      <c r="AB174" s="2371"/>
      <c r="AC174" s="2371"/>
      <c r="AD174" s="2371"/>
      <c r="AE174" s="2371"/>
      <c r="AF174" s="2843"/>
      <c r="AG174" s="1777"/>
      <c r="AH174" s="1777"/>
      <c r="AI174" s="1777"/>
      <c r="AJ174" s="1777"/>
      <c r="AK174" s="2852">
        <v>11</v>
      </c>
    </row>
    <row s="65897" customFormat="1" customHeight="1" ht="11.549999999999999">
      <c r="A175" s="2198"/>
      <c r="B175" s="2847"/>
      <c r="C175" s="2847"/>
      <c r="D175" s="1562"/>
      <c r="J175" s="13495"/>
      <c r="K175" s="13495"/>
      <c r="L175" s="13495"/>
      <c r="M175" s="13495"/>
      <c r="N175" s="13495"/>
      <c r="P175" s="2371"/>
      <c r="Q175" s="2847"/>
      <c r="R175" s="2847"/>
      <c r="S175" s="2371"/>
      <c r="T175" s="2371"/>
      <c r="U175" s="2371"/>
      <c r="V175" s="2371"/>
      <c r="W175" s="2847"/>
      <c r="X175" s="2371"/>
      <c r="Y175" s="2371"/>
      <c r="Z175" s="1755"/>
      <c r="AA175" s="2371"/>
      <c r="AB175" s="2371"/>
      <c r="AC175" s="2371"/>
      <c r="AD175" s="2371"/>
      <c r="AE175" s="2371"/>
      <c r="AF175" s="2843"/>
      <c r="AG175" s="1777"/>
      <c r="AH175" s="1777"/>
      <c r="AI175" s="1777"/>
      <c r="AJ175" s="1777"/>
      <c r="AK175" s="2852">
        <v>11</v>
      </c>
    </row>
    <row s="65897" customFormat="1" customHeight="1" ht="11.549999999999999">
      <c r="A176" s="2198"/>
      <c r="B176" s="2847"/>
      <c r="C176" s="2847"/>
      <c r="D176" s="1562"/>
      <c r="J176" s="13495"/>
      <c r="K176" s="13495"/>
      <c r="L176" s="13495"/>
      <c r="M176" s="13495"/>
      <c r="N176" s="13495"/>
      <c r="P176" s="2371"/>
      <c r="Q176" s="2847"/>
      <c r="R176" s="2847"/>
      <c r="S176" s="2371"/>
      <c r="T176" s="2371"/>
      <c r="U176" s="2371"/>
      <c r="V176" s="2371"/>
      <c r="W176" s="2847"/>
      <c r="X176" s="2371"/>
      <c r="Y176" s="2371"/>
      <c r="Z176" s="1755"/>
      <c r="AA176" s="2371"/>
      <c r="AB176" s="2371"/>
      <c r="AC176" s="2371"/>
      <c r="AD176" s="2371"/>
      <c r="AE176" s="2371"/>
      <c r="AF176" s="2843"/>
      <c r="AG176" s="1777"/>
      <c r="AH176" s="1777"/>
      <c r="AI176" s="1777"/>
      <c r="AJ176" s="1777"/>
      <c r="AK176" s="2852">
        <v>11</v>
      </c>
    </row>
    <row s="65897" customFormat="1" customHeight="1" ht="11.549999999999999">
      <c r="A177" s="2198"/>
      <c r="B177" s="2847"/>
      <c r="C177" s="2847"/>
      <c r="D177" s="1562"/>
      <c r="J177" s="13495"/>
      <c r="K177" s="13495"/>
      <c r="L177" s="13495"/>
      <c r="M177" s="13495"/>
      <c r="N177" s="13495"/>
      <c r="P177" s="2371"/>
      <c r="Q177" s="2847"/>
      <c r="R177" s="2847"/>
      <c r="S177" s="2371"/>
      <c r="T177" s="2371"/>
      <c r="U177" s="2371"/>
      <c r="V177" s="2371"/>
      <c r="W177" s="2847"/>
      <c r="X177" s="2371"/>
      <c r="Y177" s="2371"/>
      <c r="Z177" s="1755"/>
      <c r="AA177" s="2371"/>
      <c r="AB177" s="2371"/>
      <c r="AC177" s="2371"/>
      <c r="AD177" s="2371"/>
      <c r="AE177" s="2371"/>
      <c r="AF177" s="2843"/>
      <c r="AG177" s="1777"/>
      <c r="AH177" s="1777"/>
      <c r="AI177" s="1777"/>
      <c r="AJ177" s="1777"/>
      <c r="AK177" s="2852">
        <v>11</v>
      </c>
    </row>
    <row s="65897" customFormat="1" customHeight="1" ht="11.549999999999999">
      <c r="A178" s="2198"/>
      <c r="B178" s="2847"/>
      <c r="C178" s="2847"/>
      <c r="D178" s="1562"/>
      <c r="J178" s="13495"/>
      <c r="K178" s="13495"/>
      <c r="L178" s="13495"/>
      <c r="M178" s="13495"/>
      <c r="N178" s="13495"/>
      <c r="P178" s="2371"/>
      <c r="Q178" s="2847"/>
      <c r="R178" s="2847"/>
      <c r="S178" s="2371"/>
      <c r="T178" s="2371"/>
      <c r="U178" s="2371"/>
      <c r="V178" s="2371"/>
      <c r="W178" s="2847"/>
      <c r="X178" s="2371"/>
      <c r="Y178" s="2371"/>
      <c r="Z178" s="1755"/>
      <c r="AA178" s="2371"/>
      <c r="AB178" s="2371"/>
      <c r="AC178" s="2371"/>
      <c r="AD178" s="2371"/>
      <c r="AE178" s="2371"/>
      <c r="AF178" s="2843"/>
      <c r="AG178" s="1777"/>
      <c r="AH178" s="1777"/>
      <c r="AI178" s="1777"/>
      <c r="AJ178" s="1777"/>
      <c r="AK178" s="2852">
        <v>11</v>
      </c>
    </row>
    <row s="65897" customFormat="1" customHeight="1" ht="11.549999999999999">
      <c r="A179" s="2198"/>
      <c r="B179" s="2847"/>
      <c r="C179" s="2847"/>
      <c r="D179" s="1562"/>
      <c r="J179" s="13495"/>
      <c r="K179" s="13495"/>
      <c r="L179" s="13495"/>
      <c r="M179" s="13495"/>
      <c r="N179" s="13495"/>
      <c r="P179" s="2371"/>
      <c r="Q179" s="2847"/>
      <c r="R179" s="2847"/>
      <c r="S179" s="2371"/>
      <c r="T179" s="2371"/>
      <c r="U179" s="2371"/>
      <c r="V179" s="2371"/>
      <c r="W179" s="2847"/>
      <c r="X179" s="2371"/>
      <c r="Y179" s="2371"/>
      <c r="Z179" s="1755"/>
      <c r="AA179" s="2371"/>
      <c r="AB179" s="2371"/>
      <c r="AC179" s="2371"/>
      <c r="AD179" s="2371"/>
      <c r="AE179" s="2371"/>
      <c r="AF179" s="2843"/>
      <c r="AG179" s="1777"/>
      <c r="AH179" s="1777"/>
      <c r="AI179" s="1777"/>
      <c r="AJ179" s="1777"/>
      <c r="AK179" s="2852">
        <v>11</v>
      </c>
    </row>
    <row s="65897" customFormat="1" customHeight="1" ht="11.549999999999999">
      <c r="A180" s="2198"/>
      <c r="B180" s="2847"/>
      <c r="C180" s="2847"/>
      <c r="D180" s="1562"/>
      <c r="J180" s="13495"/>
      <c r="K180" s="13495"/>
      <c r="L180" s="13495"/>
      <c r="M180" s="13495"/>
      <c r="N180" s="13495"/>
      <c r="P180" s="2371"/>
      <c r="Q180" s="2847"/>
      <c r="R180" s="2847"/>
      <c r="S180" s="2371"/>
      <c r="T180" s="2371"/>
      <c r="U180" s="2371"/>
      <c r="V180" s="2371"/>
      <c r="W180" s="2847"/>
      <c r="X180" s="2371"/>
      <c r="Y180" s="2371"/>
      <c r="Z180" s="1755"/>
      <c r="AA180" s="2371"/>
      <c r="AB180" s="2371"/>
      <c r="AC180" s="2371"/>
      <c r="AD180" s="2371"/>
      <c r="AE180" s="2371"/>
      <c r="AF180" s="2843"/>
      <c r="AG180" s="1777"/>
      <c r="AH180" s="1777"/>
      <c r="AI180" s="1777"/>
      <c r="AJ180" s="1777"/>
      <c r="AK180" s="2852">
        <v>11</v>
      </c>
    </row>
    <row s="65897" customFormat="1" customHeight="1" ht="11.549999999999999">
      <c r="A181" s="2198"/>
      <c r="B181" s="2847"/>
      <c r="C181" s="2847"/>
      <c r="D181" s="1562"/>
      <c r="J181" s="13495"/>
      <c r="K181" s="13495"/>
      <c r="L181" s="13495"/>
      <c r="M181" s="13495"/>
      <c r="N181" s="13495"/>
      <c r="P181" s="2371"/>
      <c r="Q181" s="2847"/>
      <c r="R181" s="2847"/>
      <c r="S181" s="2371"/>
      <c r="T181" s="2371"/>
      <c r="U181" s="2371"/>
      <c r="V181" s="2371"/>
      <c r="W181" s="2847"/>
      <c r="X181" s="2371"/>
      <c r="Y181" s="2371"/>
      <c r="Z181" s="1755"/>
      <c r="AA181" s="2371"/>
      <c r="AB181" s="2371"/>
      <c r="AC181" s="2371"/>
      <c r="AD181" s="2371"/>
      <c r="AE181" s="2371"/>
      <c r="AF181" s="2843"/>
      <c r="AG181" s="1777"/>
      <c r="AH181" s="1777"/>
      <c r="AI181" s="1777"/>
      <c r="AJ181" s="1777"/>
      <c r="AK181" s="2852">
        <v>11</v>
      </c>
    </row>
    <row s="65897" customFormat="1" customHeight="1" ht="11.549999999999999">
      <c r="A182" s="2198"/>
      <c r="B182" s="2847"/>
      <c r="C182" s="2847"/>
      <c r="D182" s="1562"/>
      <c r="J182" s="13495"/>
      <c r="K182" s="13495"/>
      <c r="L182" s="13495"/>
      <c r="M182" s="13495"/>
      <c r="N182" s="13495"/>
      <c r="P182" s="2371"/>
      <c r="Q182" s="2847"/>
      <c r="R182" s="2847"/>
      <c r="S182" s="2371"/>
      <c r="T182" s="2371"/>
      <c r="U182" s="2371"/>
      <c r="V182" s="2371"/>
      <c r="W182" s="2847"/>
      <c r="X182" s="2371"/>
      <c r="Y182" s="2371"/>
      <c r="Z182" s="1755"/>
      <c r="AA182" s="2371"/>
      <c r="AB182" s="2371"/>
      <c r="AC182" s="2371"/>
      <c r="AD182" s="2371"/>
      <c r="AE182" s="2371"/>
      <c r="AF182" s="2843"/>
      <c r="AG182" s="1777"/>
      <c r="AH182" s="1777"/>
      <c r="AI182" s="1777"/>
      <c r="AJ182" s="1777"/>
      <c r="AK182" s="2852">
        <v>11</v>
      </c>
    </row>
    <row s="65897" customFormat="1" customHeight="1" ht="11.549999999999999">
      <c r="A183" s="2198"/>
      <c r="B183" s="2847"/>
      <c r="C183" s="2847"/>
      <c r="D183" s="1562"/>
      <c r="J183" s="13495"/>
      <c r="K183" s="13495"/>
      <c r="L183" s="13495"/>
      <c r="M183" s="13495"/>
      <c r="N183" s="13495"/>
      <c r="P183" s="2371"/>
      <c r="Q183" s="2847"/>
      <c r="R183" s="2847"/>
      <c r="S183" s="2371"/>
      <c r="T183" s="2371"/>
      <c r="U183" s="2371"/>
      <c r="V183" s="2371"/>
      <c r="W183" s="2847"/>
      <c r="X183" s="2371"/>
      <c r="Y183" s="2371"/>
      <c r="Z183" s="1755"/>
      <c r="AA183" s="2371"/>
      <c r="AB183" s="2371"/>
      <c r="AC183" s="2371"/>
      <c r="AD183" s="2371"/>
      <c r="AE183" s="2371"/>
      <c r="AF183" s="2843"/>
      <c r="AG183" s="1777"/>
      <c r="AH183" s="1777"/>
      <c r="AI183" s="1777"/>
      <c r="AJ183" s="1777"/>
      <c r="AK183" s="2852">
        <v>11</v>
      </c>
    </row>
    <row s="65897" customFormat="1" customHeight="1" ht="11.549999999999999">
      <c r="A184" s="2198"/>
      <c r="B184" s="2847"/>
      <c r="C184" s="2847"/>
      <c r="D184" s="1562"/>
      <c r="J184" s="13495"/>
      <c r="K184" s="13495"/>
      <c r="L184" s="13495"/>
      <c r="M184" s="13495"/>
      <c r="N184" s="13495"/>
      <c r="P184" s="2371"/>
      <c r="Q184" s="2847"/>
      <c r="R184" s="2847"/>
      <c r="S184" s="2371"/>
      <c r="T184" s="2371"/>
      <c r="U184" s="2371"/>
      <c r="V184" s="2371"/>
      <c r="W184" s="2847"/>
      <c r="X184" s="2371"/>
      <c r="Y184" s="2371"/>
      <c r="Z184" s="1755"/>
      <c r="AA184" s="2371"/>
      <c r="AB184" s="2371"/>
      <c r="AC184" s="2371"/>
      <c r="AD184" s="2371"/>
      <c r="AE184" s="2371"/>
      <c r="AF184" s="2843"/>
      <c r="AG184" s="1777"/>
      <c r="AH184" s="1777"/>
      <c r="AI184" s="1777"/>
      <c r="AJ184" s="1777"/>
      <c r="AK184" s="2852">
        <v>11</v>
      </c>
    </row>
    <row s="65897" customFormat="1" customHeight="1" ht="11.549999999999999">
      <c r="A185" s="2198"/>
      <c r="B185" s="2847"/>
      <c r="C185" s="2847"/>
      <c r="D185" s="1562"/>
      <c r="J185" s="13495"/>
      <c r="K185" s="13495"/>
      <c r="L185" s="13495"/>
      <c r="M185" s="13495"/>
      <c r="N185" s="13495"/>
      <c r="P185" s="2371"/>
      <c r="Q185" s="2847"/>
      <c r="R185" s="2847"/>
      <c r="S185" s="2371"/>
      <c r="T185" s="2371"/>
      <c r="U185" s="2371"/>
      <c r="V185" s="2371"/>
      <c r="W185" s="2847"/>
      <c r="X185" s="2371"/>
      <c r="Y185" s="2371"/>
      <c r="Z185" s="1755"/>
      <c r="AA185" s="2371"/>
      <c r="AB185" s="2371"/>
      <c r="AC185" s="2371"/>
      <c r="AD185" s="2371"/>
      <c r="AE185" s="2371"/>
      <c r="AF185" s="2843"/>
      <c r="AG185" s="1777"/>
      <c r="AH185" s="1777"/>
      <c r="AI185" s="1777"/>
      <c r="AJ185" s="1777"/>
      <c r="AK185" s="2852">
        <v>11</v>
      </c>
    </row>
    <row s="65897" customFormat="1" customHeight="1" ht="11.549999999999999">
      <c r="A186" s="2198"/>
      <c r="B186" s="2847"/>
      <c r="C186" s="2847"/>
      <c r="D186" s="1562"/>
      <c r="J186" s="13495"/>
      <c r="K186" s="13495"/>
      <c r="L186" s="13495"/>
      <c r="M186" s="13495"/>
      <c r="N186" s="13495"/>
      <c r="P186" s="2371"/>
      <c r="Q186" s="2847"/>
      <c r="R186" s="2847"/>
      <c r="S186" s="2371"/>
      <c r="T186" s="2371"/>
      <c r="U186" s="2371"/>
      <c r="V186" s="2371"/>
      <c r="W186" s="2847"/>
      <c r="X186" s="2371"/>
      <c r="Y186" s="2371"/>
      <c r="Z186" s="1755"/>
      <c r="AA186" s="2371"/>
      <c r="AB186" s="2371"/>
      <c r="AC186" s="2371"/>
      <c r="AD186" s="2371"/>
      <c r="AE186" s="2371"/>
      <c r="AF186" s="2843"/>
      <c r="AG186" s="1777"/>
      <c r="AH186" s="1777"/>
      <c r="AI186" s="1777"/>
      <c r="AJ186" s="1777"/>
      <c r="AK186" s="2852">
        <v>11</v>
      </c>
    </row>
    <row s="65897" customFormat="1" customHeight="1" ht="11.549999999999999">
      <c r="A187" s="2198"/>
      <c r="B187" s="2847"/>
      <c r="C187" s="2847"/>
      <c r="D187" s="1562"/>
      <c r="J187" s="13495"/>
      <c r="K187" s="13495"/>
      <c r="L187" s="13495"/>
      <c r="M187" s="13495"/>
      <c r="N187" s="13495"/>
      <c r="P187" s="2371"/>
      <c r="Q187" s="2847"/>
      <c r="R187" s="2847"/>
      <c r="S187" s="2371"/>
      <c r="T187" s="2371"/>
      <c r="U187" s="2371"/>
      <c r="V187" s="2371"/>
      <c r="W187" s="2847"/>
      <c r="X187" s="2371"/>
      <c r="Y187" s="2371"/>
      <c r="Z187" s="1755"/>
      <c r="AA187" s="2371"/>
      <c r="AB187" s="2371"/>
      <c r="AC187" s="2371"/>
      <c r="AD187" s="2371"/>
      <c r="AE187" s="2371"/>
      <c r="AF187" s="2843"/>
      <c r="AG187" s="1777"/>
      <c r="AH187" s="1777"/>
      <c r="AI187" s="1777"/>
      <c r="AJ187" s="1777"/>
      <c r="AK187" s="2852">
        <v>11</v>
      </c>
    </row>
    <row s="65897" customFormat="1" customHeight="1" ht="11.549999999999999">
      <c r="A188" s="2198"/>
      <c r="B188" s="2847"/>
      <c r="C188" s="2847"/>
      <c r="D188" s="1562"/>
      <c r="J188" s="13495"/>
      <c r="K188" s="13495"/>
      <c r="L188" s="13495"/>
      <c r="M188" s="13495"/>
      <c r="N188" s="13495"/>
      <c r="P188" s="2371"/>
      <c r="Q188" s="2847"/>
      <c r="R188" s="2847"/>
      <c r="S188" s="2371"/>
      <c r="T188" s="2371"/>
      <c r="U188" s="2371"/>
      <c r="V188" s="2371"/>
      <c r="W188" s="2847"/>
      <c r="X188" s="2371"/>
      <c r="Y188" s="2371"/>
      <c r="Z188" s="1755"/>
      <c r="AA188" s="2371"/>
      <c r="AB188" s="2371"/>
      <c r="AC188" s="2371"/>
      <c r="AD188" s="2371"/>
      <c r="AE188" s="2371"/>
      <c r="AF188" s="2843"/>
      <c r="AG188" s="1777"/>
      <c r="AH188" s="1777"/>
      <c r="AI188" s="1777"/>
      <c r="AJ188" s="1777"/>
      <c r="AK188" s="2852">
        <v>11</v>
      </c>
    </row>
    <row s="65897" customFormat="1" customHeight="1" ht="11.549999999999999">
      <c r="A189" s="2198"/>
      <c r="B189" s="2847"/>
      <c r="C189" s="2847"/>
      <c r="D189" s="1562"/>
      <c r="J189" s="13495"/>
      <c r="K189" s="13495"/>
      <c r="L189" s="13495"/>
      <c r="M189" s="13495"/>
      <c r="N189" s="13495"/>
      <c r="P189" s="2371"/>
      <c r="Q189" s="2847"/>
      <c r="R189" s="2847"/>
      <c r="S189" s="2371"/>
      <c r="T189" s="2371"/>
      <c r="U189" s="2371"/>
      <c r="V189" s="2371"/>
      <c r="W189" s="2847"/>
      <c r="X189" s="2371"/>
      <c r="Y189" s="2371"/>
      <c r="Z189" s="1755"/>
      <c r="AA189" s="2371"/>
      <c r="AB189" s="2371"/>
      <c r="AC189" s="2371"/>
      <c r="AD189" s="2371"/>
      <c r="AE189" s="2371"/>
      <c r="AF189" s="2843"/>
      <c r="AG189" s="1777"/>
      <c r="AH189" s="1777"/>
      <c r="AI189" s="1777"/>
      <c r="AJ189" s="1777"/>
      <c r="AK189" s="2852">
        <v>11</v>
      </c>
    </row>
    <row s="65897" customFormat="1" customHeight="1" ht="11.549999999999999">
      <c r="A190" s="2198"/>
      <c r="B190" s="2847"/>
      <c r="C190" s="2847"/>
      <c r="D190" s="1562"/>
      <c r="J190" s="13495"/>
      <c r="K190" s="13495"/>
      <c r="L190" s="13495"/>
      <c r="M190" s="13495"/>
      <c r="N190" s="13495"/>
      <c r="P190" s="2371"/>
      <c r="Q190" s="2847"/>
      <c r="R190" s="2847"/>
      <c r="S190" s="2371"/>
      <c r="T190" s="2371"/>
      <c r="U190" s="2371"/>
      <c r="V190" s="2371"/>
      <c r="W190" s="2847"/>
      <c r="X190" s="2371"/>
      <c r="Y190" s="2371"/>
      <c r="Z190" s="1755"/>
      <c r="AA190" s="2371"/>
      <c r="AB190" s="2371"/>
      <c r="AC190" s="2371"/>
      <c r="AD190" s="2371"/>
      <c r="AE190" s="2371"/>
      <c r="AF190" s="2843"/>
      <c r="AG190" s="1777"/>
      <c r="AH190" s="1777"/>
      <c r="AI190" s="1777"/>
      <c r="AJ190" s="1777"/>
      <c r="AK190" s="2852">
        <v>11</v>
      </c>
    </row>
    <row s="65897" customFormat="1" customHeight="1" ht="11.549999999999999">
      <c r="A191" s="2198"/>
      <c r="B191" s="2847"/>
      <c r="C191" s="2847"/>
      <c r="D191" s="1562"/>
      <c r="J191" s="13495"/>
      <c r="K191" s="13495"/>
      <c r="L191" s="13495"/>
      <c r="M191" s="13495"/>
      <c r="N191" s="13495"/>
      <c r="P191" s="2371"/>
      <c r="Q191" s="2847"/>
      <c r="R191" s="2847"/>
      <c r="S191" s="2371"/>
      <c r="T191" s="2371"/>
      <c r="U191" s="2371"/>
      <c r="V191" s="2371"/>
      <c r="W191" s="2847"/>
      <c r="X191" s="2371"/>
      <c r="Y191" s="2371"/>
      <c r="Z191" s="1755"/>
      <c r="AA191" s="2371"/>
      <c r="AB191" s="2371"/>
      <c r="AC191" s="2371"/>
      <c r="AD191" s="2371"/>
      <c r="AE191" s="2371"/>
      <c r="AF191" s="2843"/>
      <c r="AG191" s="1777"/>
      <c r="AH191" s="1777"/>
      <c r="AI191" s="1777"/>
      <c r="AJ191" s="1777"/>
      <c r="AK191" s="2852">
        <v>11</v>
      </c>
    </row>
    <row s="65897" customFormat="1" customHeight="1" ht="11.549999999999999">
      <c r="A192" s="2198"/>
      <c r="B192" s="2847"/>
      <c r="C192" s="2847"/>
      <c r="D192" s="1562"/>
      <c r="J192" s="13495"/>
      <c r="K192" s="13495"/>
      <c r="L192" s="13495"/>
      <c r="M192" s="13495"/>
      <c r="N192" s="13495"/>
      <c r="P192" s="2371"/>
      <c r="Q192" s="2847"/>
      <c r="R192" s="2847"/>
      <c r="S192" s="2371"/>
      <c r="T192" s="2371"/>
      <c r="U192" s="2371"/>
      <c r="V192" s="2371"/>
      <c r="W192" s="2847"/>
      <c r="X192" s="2371"/>
      <c r="Y192" s="2371"/>
      <c r="Z192" s="1755"/>
      <c r="AA192" s="2371"/>
      <c r="AB192" s="2371"/>
      <c r="AC192" s="2371"/>
      <c r="AD192" s="2371"/>
      <c r="AE192" s="2371"/>
      <c r="AF192" s="2843"/>
      <c r="AG192" s="1777"/>
      <c r="AH192" s="1777"/>
      <c r="AI192" s="1777"/>
      <c r="AJ192" s="1777"/>
      <c r="AK192" s="2852">
        <v>11</v>
      </c>
    </row>
    <row s="65897" customFormat="1" customHeight="1" ht="11.549999999999999">
      <c r="A193" s="2198"/>
      <c r="B193" s="2847"/>
      <c r="C193" s="2847"/>
      <c r="D193" s="1562"/>
      <c r="J193" s="13495"/>
      <c r="K193" s="13495"/>
      <c r="L193" s="13495"/>
      <c r="M193" s="13495"/>
      <c r="N193" s="13495"/>
      <c r="P193" s="2371"/>
      <c r="Q193" s="2847"/>
      <c r="R193" s="2847"/>
      <c r="S193" s="2371"/>
      <c r="T193" s="2371"/>
      <c r="U193" s="2371"/>
      <c r="V193" s="2371"/>
      <c r="W193" s="2847"/>
      <c r="X193" s="2371"/>
      <c r="Y193" s="2371"/>
      <c r="Z193" s="1755"/>
      <c r="AA193" s="2371"/>
      <c r="AB193" s="2371"/>
      <c r="AC193" s="2371"/>
      <c r="AD193" s="2371"/>
      <c r="AE193" s="2371"/>
      <c r="AF193" s="2843"/>
      <c r="AG193" s="1777"/>
      <c r="AH193" s="1777"/>
      <c r="AI193" s="1777"/>
      <c r="AJ193" s="1777"/>
      <c r="AK193" s="2852">
        <v>11</v>
      </c>
    </row>
    <row s="65897" customFormat="1" customHeight="1" ht="11.549999999999999">
      <c r="A194" s="2198"/>
      <c r="B194" s="2847"/>
      <c r="C194" s="2847"/>
      <c r="D194" s="1562"/>
      <c r="J194" s="13495"/>
      <c r="K194" s="13495"/>
      <c r="L194" s="13495"/>
      <c r="M194" s="13495"/>
      <c r="N194" s="13495"/>
      <c r="P194" s="2371"/>
      <c r="Q194" s="2847"/>
      <c r="R194" s="2847"/>
      <c r="S194" s="2371"/>
      <c r="T194" s="2371"/>
      <c r="U194" s="2371"/>
      <c r="V194" s="2371"/>
      <c r="W194" s="2847"/>
      <c r="X194" s="2371"/>
      <c r="Y194" s="2371"/>
      <c r="Z194" s="1755"/>
      <c r="AA194" s="2371"/>
      <c r="AB194" s="2371"/>
      <c r="AC194" s="2371"/>
      <c r="AD194" s="2371"/>
      <c r="AE194" s="2371"/>
      <c r="AF194" s="2843"/>
      <c r="AG194" s="1777"/>
      <c r="AH194" s="1777"/>
      <c r="AI194" s="1777"/>
      <c r="AJ194" s="1777"/>
      <c r="AK194" s="2852">
        <v>11</v>
      </c>
    </row>
    <row s="65897" customFormat="1" customHeight="1" ht="11.549999999999999">
      <c r="A195" s="2198"/>
      <c r="B195" s="2847"/>
      <c r="C195" s="2847"/>
      <c r="D195" s="1562"/>
      <c r="J195" s="13495"/>
      <c r="K195" s="13495"/>
      <c r="L195" s="13495"/>
      <c r="M195" s="13495"/>
      <c r="N195" s="13495"/>
      <c r="P195" s="2371"/>
      <c r="Q195" s="2847"/>
      <c r="R195" s="2847"/>
      <c r="S195" s="2371"/>
      <c r="T195" s="2371"/>
      <c r="U195" s="2371"/>
      <c r="V195" s="2371"/>
      <c r="W195" s="2847"/>
      <c r="X195" s="2371"/>
      <c r="Y195" s="2371"/>
      <c r="Z195" s="1755"/>
      <c r="AA195" s="2371"/>
      <c r="AB195" s="2371"/>
      <c r="AC195" s="2371"/>
      <c r="AD195" s="2371"/>
      <c r="AE195" s="2371"/>
      <c r="AF195" s="2843"/>
      <c r="AG195" s="1777"/>
      <c r="AH195" s="1777"/>
      <c r="AI195" s="1777"/>
      <c r="AJ195" s="1777"/>
      <c r="AK195" s="2852">
        <v>11</v>
      </c>
    </row>
    <row s="65897" customFormat="1" customHeight="1" ht="11.549999999999999">
      <c r="A196" s="2198"/>
      <c r="B196" s="2847"/>
      <c r="C196" s="2847"/>
      <c r="D196" s="1562"/>
      <c r="J196" s="13495"/>
      <c r="K196" s="13495"/>
      <c r="L196" s="13495"/>
      <c r="M196" s="13495"/>
      <c r="N196" s="13495"/>
      <c r="P196" s="2371"/>
      <c r="Q196" s="2847"/>
      <c r="R196" s="2847"/>
      <c r="S196" s="2371"/>
      <c r="T196" s="2371"/>
      <c r="U196" s="2371"/>
      <c r="V196" s="2371"/>
      <c r="W196" s="2847"/>
      <c r="X196" s="2371"/>
      <c r="Y196" s="2371"/>
      <c r="Z196" s="1755"/>
      <c r="AA196" s="2371"/>
      <c r="AB196" s="2371"/>
      <c r="AC196" s="2371"/>
      <c r="AD196" s="2371"/>
      <c r="AE196" s="2371"/>
      <c r="AF196" s="2843"/>
      <c r="AG196" s="1777"/>
      <c r="AH196" s="1777"/>
      <c r="AI196" s="1777"/>
      <c r="AJ196" s="1777"/>
      <c r="AK196" s="2852">
        <v>11</v>
      </c>
    </row>
    <row s="65897" customFormat="1" customHeight="1" ht="11.549999999999999">
      <c r="A197" s="2198"/>
      <c r="B197" s="2847"/>
      <c r="C197" s="2847"/>
      <c r="D197" s="1562"/>
      <c r="J197" s="13495"/>
      <c r="K197" s="13495"/>
      <c r="L197" s="13495"/>
      <c r="M197" s="13495"/>
      <c r="N197" s="13495"/>
      <c r="P197" s="2371"/>
      <c r="Q197" s="2847"/>
      <c r="R197" s="2847"/>
      <c r="S197" s="2371"/>
      <c r="T197" s="2371"/>
      <c r="U197" s="2371"/>
      <c r="V197" s="2371"/>
      <c r="W197" s="2847"/>
      <c r="X197" s="2371"/>
      <c r="Y197" s="2371"/>
      <c r="Z197" s="1755"/>
      <c r="AA197" s="2371"/>
      <c r="AB197" s="2371"/>
      <c r="AC197" s="2371"/>
      <c r="AD197" s="2371"/>
      <c r="AE197" s="2371"/>
      <c r="AF197" s="2843"/>
      <c r="AG197" s="1777"/>
      <c r="AH197" s="1777"/>
      <c r="AI197" s="1777"/>
      <c r="AJ197" s="1777"/>
      <c r="AK197" s="2852">
        <v>11</v>
      </c>
    </row>
    <row s="65897" customFormat="1" customHeight="1" ht="11.549999999999999">
      <c r="A198" s="2198"/>
      <c r="B198" s="2847"/>
      <c r="C198" s="2847"/>
      <c r="D198" s="1562"/>
      <c r="J198" s="13495"/>
      <c r="K198" s="13495"/>
      <c r="L198" s="13495"/>
      <c r="M198" s="13495"/>
      <c r="N198" s="13495"/>
      <c r="P198" s="2371"/>
      <c r="Q198" s="2847"/>
      <c r="R198" s="2847"/>
      <c r="S198" s="2371"/>
      <c r="T198" s="2371"/>
      <c r="U198" s="2371"/>
      <c r="V198" s="2371"/>
      <c r="W198" s="2847"/>
      <c r="X198" s="2371"/>
      <c r="Y198" s="2371"/>
      <c r="Z198" s="1755"/>
      <c r="AA198" s="2371"/>
      <c r="AB198" s="2371"/>
      <c r="AC198" s="2371"/>
      <c r="AD198" s="2371"/>
      <c r="AE198" s="2371"/>
      <c r="AF198" s="2843"/>
      <c r="AG198" s="1777"/>
      <c r="AH198" s="1777"/>
      <c r="AI198" s="1777"/>
      <c r="AJ198" s="1777"/>
      <c r="AK198" s="2852">
        <v>11</v>
      </c>
    </row>
    <row s="65897" customFormat="1" customHeight="1" ht="11.549999999999999">
      <c r="A199" s="2198"/>
      <c r="B199" s="2847"/>
      <c r="C199" s="2847"/>
      <c r="D199" s="1562"/>
      <c r="J199" s="13495"/>
      <c r="K199" s="13495"/>
      <c r="L199" s="13495"/>
      <c r="M199" s="13495"/>
      <c r="N199" s="13495"/>
      <c r="P199" s="2371"/>
      <c r="Q199" s="2847"/>
      <c r="R199" s="2847"/>
      <c r="S199" s="2371"/>
      <c r="T199" s="2371"/>
      <c r="U199" s="2371"/>
      <c r="V199" s="2371"/>
      <c r="W199" s="2847"/>
      <c r="X199" s="2371"/>
      <c r="Y199" s="2371"/>
      <c r="Z199" s="1755"/>
      <c r="AA199" s="2371"/>
      <c r="AB199" s="2371"/>
      <c r="AC199" s="2371"/>
      <c r="AD199" s="2371"/>
      <c r="AE199" s="2371"/>
      <c r="AF199" s="2843"/>
      <c r="AG199" s="1777"/>
      <c r="AH199" s="1777"/>
      <c r="AI199" s="1777"/>
      <c r="AJ199" s="1777"/>
      <c r="AK199" s="2852">
        <v>11</v>
      </c>
    </row>
    <row s="65897" customFormat="1" customHeight="1" ht="11.549999999999999">
      <c r="A200" s="2198"/>
      <c r="B200" s="2847"/>
      <c r="C200" s="2847"/>
      <c r="D200" s="1562"/>
      <c r="J200" s="13495"/>
      <c r="K200" s="13495"/>
      <c r="L200" s="13495"/>
      <c r="M200" s="13495"/>
      <c r="N200" s="13495"/>
      <c r="P200" s="2371"/>
      <c r="Q200" s="2847"/>
      <c r="R200" s="2847"/>
      <c r="S200" s="2371"/>
      <c r="T200" s="2371"/>
      <c r="U200" s="2371"/>
      <c r="V200" s="2371"/>
      <c r="W200" s="2847"/>
      <c r="X200" s="2371"/>
      <c r="Y200" s="2371"/>
      <c r="Z200" s="1755"/>
      <c r="AA200" s="2371"/>
      <c r="AB200" s="2371"/>
      <c r="AC200" s="2371"/>
      <c r="AD200" s="2371"/>
      <c r="AE200" s="2371"/>
      <c r="AF200" s="2843"/>
      <c r="AG200" s="1777"/>
      <c r="AH200" s="1777"/>
      <c r="AI200" s="1777"/>
      <c r="AJ200" s="1777"/>
      <c r="AK200" s="2852">
        <v>11</v>
      </c>
    </row>
    <row s="65897" customFormat="1" customHeight="1" ht="11.549999999999999">
      <c r="A201" s="2198"/>
      <c r="B201" s="2847"/>
      <c r="C201" s="2847"/>
      <c r="D201" s="1562"/>
      <c r="J201" s="13495"/>
      <c r="K201" s="13495"/>
      <c r="L201" s="13495"/>
      <c r="M201" s="13495"/>
      <c r="N201" s="13495"/>
      <c r="P201" s="2371"/>
      <c r="Q201" s="2847"/>
      <c r="R201" s="2847"/>
      <c r="S201" s="2371"/>
      <c r="T201" s="2371"/>
      <c r="U201" s="2371"/>
      <c r="V201" s="2371"/>
      <c r="W201" s="2847"/>
      <c r="X201" s="2371"/>
      <c r="Y201" s="2371"/>
      <c r="Z201" s="1755"/>
      <c r="AA201" s="2371"/>
      <c r="AB201" s="2371"/>
      <c r="AC201" s="2371"/>
      <c r="AD201" s="2371"/>
      <c r="AE201" s="2371"/>
      <c r="AF201" s="2843"/>
      <c r="AG201" s="1777"/>
      <c r="AH201" s="1777"/>
      <c r="AI201" s="1777"/>
      <c r="AJ201" s="1777"/>
      <c r="AK201" s="2852">
        <v>11</v>
      </c>
    </row>
    <row s="65897" customFormat="1" customHeight="1" ht="11.549999999999999">
      <c r="A202" s="2198"/>
      <c r="B202" s="2847"/>
      <c r="C202" s="2847"/>
      <c r="D202" s="1562"/>
      <c r="J202" s="13495"/>
      <c r="K202" s="13495"/>
      <c r="L202" s="13495"/>
      <c r="M202" s="13495"/>
      <c r="N202" s="13495"/>
      <c r="P202" s="2371"/>
      <c r="Q202" s="2847"/>
      <c r="R202" s="2847"/>
      <c r="S202" s="2371"/>
      <c r="T202" s="2371"/>
      <c r="U202" s="2371"/>
      <c r="V202" s="2371"/>
      <c r="W202" s="2847"/>
      <c r="X202" s="2371"/>
      <c r="Y202" s="2371"/>
      <c r="Z202" s="1755"/>
      <c r="AA202" s="2371"/>
      <c r="AB202" s="2371"/>
      <c r="AC202" s="2371"/>
      <c r="AD202" s="2371"/>
      <c r="AE202" s="2371"/>
      <c r="AF202" s="2843"/>
      <c r="AG202" s="1777"/>
      <c r="AH202" s="1777"/>
      <c r="AI202" s="1777"/>
      <c r="AJ202" s="1777"/>
      <c r="AK202" s="2852">
        <v>11</v>
      </c>
    </row>
    <row s="65897" customFormat="1" customHeight="1" ht="11.549999999999999">
      <c r="A203" s="2198"/>
      <c r="B203" s="2847"/>
      <c r="C203" s="2847"/>
      <c r="D203" s="1562"/>
      <c r="J203" s="13495"/>
      <c r="K203" s="13495"/>
      <c r="L203" s="13495"/>
      <c r="M203" s="13495"/>
      <c r="N203" s="13495"/>
      <c r="P203" s="2371"/>
      <c r="Q203" s="2847"/>
      <c r="R203" s="2847"/>
      <c r="S203" s="2371"/>
      <c r="T203" s="2371"/>
      <c r="U203" s="2371"/>
      <c r="V203" s="2371"/>
      <c r="W203" s="2847"/>
      <c r="X203" s="2371"/>
      <c r="Y203" s="2371"/>
      <c r="Z203" s="1755"/>
      <c r="AA203" s="2371"/>
      <c r="AB203" s="2371"/>
      <c r="AC203" s="2371"/>
      <c r="AD203" s="2371"/>
      <c r="AE203" s="2371"/>
      <c r="AF203" s="2843"/>
      <c r="AG203" s="1777"/>
      <c r="AH203" s="1777"/>
      <c r="AI203" s="1777"/>
      <c r="AJ203" s="1777"/>
      <c r="AK203" s="2852">
        <v>11</v>
      </c>
    </row>
    <row s="65897" customFormat="1" customHeight="1" ht="11.549999999999999">
      <c r="A204" s="2198"/>
      <c r="B204" s="2847"/>
      <c r="C204" s="2847"/>
      <c r="D204" s="1562"/>
      <c r="J204" s="13495"/>
      <c r="K204" s="13495"/>
      <c r="L204" s="13495"/>
      <c r="M204" s="13495"/>
      <c r="N204" s="13495"/>
      <c r="P204" s="2371"/>
      <c r="Q204" s="2847"/>
      <c r="R204" s="2847"/>
      <c r="S204" s="2371"/>
      <c r="T204" s="2371"/>
      <c r="U204" s="2371"/>
      <c r="V204" s="2371"/>
      <c r="W204" s="2847"/>
      <c r="X204" s="2371"/>
      <c r="Y204" s="2371"/>
      <c r="Z204" s="1755"/>
      <c r="AA204" s="2371"/>
      <c r="AB204" s="2371"/>
      <c r="AC204" s="2371"/>
      <c r="AD204" s="2371"/>
      <c r="AE204" s="2371"/>
      <c r="AF204" s="2843"/>
      <c r="AG204" s="1777"/>
      <c r="AH204" s="1777"/>
      <c r="AI204" s="1777"/>
      <c r="AJ204" s="1777"/>
      <c r="AK204" s="2852">
        <v>11</v>
      </c>
    </row>
    <row customHeight="1" ht="11.549999999999999">
      <c r="J205" s="13315"/>
      <c r="K205" s="13315"/>
      <c r="L205" s="13315"/>
      <c r="M205" s="13315"/>
      <c r="N205" s="13315"/>
      <c r="AK205" s="2842">
        <v>11</v>
      </c>
    </row>
    <row customHeight="1" ht="11.549999999999999">
      <c r="J206" s="13315"/>
      <c r="K206" s="13315"/>
      <c r="L206" s="13315"/>
      <c r="M206" s="13315"/>
      <c r="N206" s="13315"/>
      <c r="AK206" s="2842">
        <v>11</v>
      </c>
    </row>
    <row customHeight="1" ht="11.549999999999999">
      <c r="J207" s="13315"/>
      <c r="K207" s="13315"/>
      <c r="L207" s="13315"/>
      <c r="M207" s="13315"/>
      <c r="N207" s="13315"/>
      <c r="AK207" s="2842">
        <v>11</v>
      </c>
    </row>
    <row customHeight="1" ht="11.549999999999999">
      <c r="A208" s="2201"/>
      <c r="B208" s="2842"/>
      <c r="D208" s="2842"/>
      <c r="J208" s="13315"/>
      <c r="K208" s="13315"/>
      <c r="L208" s="13315"/>
      <c r="M208" s="13315"/>
      <c r="N208" s="13315"/>
      <c r="P208" s="2842"/>
      <c r="S208" s="2842"/>
      <c r="T208" s="2842"/>
      <c r="U208" s="2842"/>
      <c r="V208" s="2842"/>
      <c r="X208" s="2842"/>
      <c r="Y208" s="2842"/>
      <c r="Z208" s="2842"/>
      <c r="AA208" s="2842"/>
      <c r="AB208" s="2842"/>
      <c r="AC208" s="2842"/>
      <c r="AD208" s="2842"/>
      <c r="AE208" s="2842"/>
      <c r="AF208" s="2842"/>
      <c r="AG208" s="2842"/>
      <c r="AH208" s="2842"/>
      <c r="AI208" s="2842"/>
      <c r="AJ208" s="2842"/>
      <c r="AK208" s="2842">
        <v>11</v>
      </c>
    </row>
    <row customHeight="1" ht="11.549999999999999">
      <c r="A209" s="2201"/>
      <c r="B209" s="2842"/>
      <c r="D209" s="2842"/>
      <c r="J209" s="13315"/>
      <c r="K209" s="13315"/>
      <c r="L209" s="13315"/>
      <c r="M209" s="13315"/>
      <c r="N209" s="13315"/>
      <c r="P209" s="2842"/>
      <c r="S209" s="2842"/>
      <c r="T209" s="2842"/>
      <c r="U209" s="2842"/>
      <c r="V209" s="2842"/>
      <c r="X209" s="2842"/>
      <c r="Y209" s="2842"/>
      <c r="Z209" s="2842"/>
      <c r="AA209" s="2842"/>
      <c r="AB209" s="2842"/>
      <c r="AC209" s="2842"/>
      <c r="AD209" s="2842"/>
      <c r="AE209" s="2842"/>
      <c r="AF209" s="2842"/>
      <c r="AG209" s="2842"/>
      <c r="AH209" s="2842"/>
      <c r="AI209" s="2842"/>
      <c r="AJ209" s="2842"/>
      <c r="AK209" s="2842">
        <v>11</v>
      </c>
    </row>
    <row customHeight="1" ht="11.549999999999999">
      <c r="A210" s="2201"/>
      <c r="B210" s="2842"/>
      <c r="D210" s="2842"/>
      <c r="J210" s="13315"/>
      <c r="K210" s="13315"/>
      <c r="L210" s="13315"/>
      <c r="M210" s="13315"/>
      <c r="N210" s="13315"/>
      <c r="P210" s="2842"/>
      <c r="S210" s="2842"/>
      <c r="T210" s="2842"/>
      <c r="U210" s="2842"/>
      <c r="V210" s="2842"/>
      <c r="X210" s="2842"/>
      <c r="Y210" s="2842"/>
      <c r="Z210" s="2842"/>
      <c r="AA210" s="2842"/>
      <c r="AB210" s="2842"/>
      <c r="AC210" s="2842"/>
      <c r="AD210" s="2842"/>
      <c r="AE210" s="2842"/>
      <c r="AF210" s="2842"/>
      <c r="AG210" s="2842"/>
      <c r="AH210" s="2842"/>
      <c r="AI210" s="2842"/>
      <c r="AJ210" s="2842"/>
      <c r="AK210" s="2842">
        <v>11</v>
      </c>
    </row>
    <row customHeight="1" ht="11.549999999999999">
      <c r="A211" s="2201"/>
      <c r="B211" s="2842"/>
      <c r="D211" s="2842"/>
      <c r="J211" s="13315"/>
      <c r="K211" s="13315"/>
      <c r="L211" s="13315"/>
      <c r="M211" s="13315"/>
      <c r="N211" s="13315"/>
      <c r="P211" s="2842"/>
      <c r="S211" s="2842"/>
      <c r="T211" s="2842"/>
      <c r="U211" s="2842"/>
      <c r="V211" s="2842"/>
      <c r="X211" s="2842"/>
      <c r="Y211" s="2842"/>
      <c r="Z211" s="2842"/>
      <c r="AA211" s="2842"/>
      <c r="AB211" s="2842"/>
      <c r="AC211" s="2842"/>
      <c r="AD211" s="2842"/>
      <c r="AE211" s="2842"/>
      <c r="AF211" s="2842"/>
      <c r="AG211" s="2842"/>
      <c r="AH211" s="2842"/>
      <c r="AI211" s="2842"/>
      <c r="AJ211" s="2842"/>
      <c r="AK211" s="2842">
        <v>11</v>
      </c>
    </row>
    <row customHeight="1" ht="11.549999999999999">
      <c r="A212" s="2201"/>
      <c r="B212" s="2842"/>
      <c r="D212" s="2842"/>
      <c r="J212" s="13315"/>
      <c r="K212" s="13315"/>
      <c r="L212" s="13315"/>
      <c r="M212" s="13315"/>
      <c r="N212" s="13315"/>
      <c r="P212" s="2842"/>
      <c r="S212" s="2842"/>
      <c r="T212" s="2842"/>
      <c r="U212" s="2842"/>
      <c r="V212" s="2842"/>
      <c r="X212" s="2842"/>
      <c r="Y212" s="2842"/>
      <c r="Z212" s="2842"/>
      <c r="AA212" s="2842"/>
      <c r="AB212" s="2842"/>
      <c r="AC212" s="2842"/>
      <c r="AD212" s="2842"/>
      <c r="AE212" s="2842"/>
      <c r="AF212" s="2842"/>
      <c r="AG212" s="2842"/>
      <c r="AH212" s="2842"/>
      <c r="AI212" s="2842"/>
      <c r="AJ212" s="2842"/>
      <c r="AK212" s="2842">
        <v>11</v>
      </c>
    </row>
    <row customHeight="1" ht="11.549999999999999">
      <c r="A213" s="2201"/>
      <c r="B213" s="2842"/>
      <c r="D213" s="2842"/>
      <c r="J213" s="13315"/>
      <c r="K213" s="13315"/>
      <c r="L213" s="13315"/>
      <c r="M213" s="13315"/>
      <c r="N213" s="13315"/>
      <c r="P213" s="2842"/>
      <c r="S213" s="2842"/>
      <c r="T213" s="2842"/>
      <c r="U213" s="2842"/>
      <c r="V213" s="2842"/>
      <c r="X213" s="2842"/>
      <c r="Y213" s="2842"/>
      <c r="Z213" s="2842"/>
      <c r="AA213" s="2842"/>
      <c r="AB213" s="2842"/>
      <c r="AC213" s="2842"/>
      <c r="AD213" s="2842"/>
      <c r="AE213" s="2842"/>
      <c r="AF213" s="2842"/>
      <c r="AG213" s="2842"/>
      <c r="AH213" s="2842"/>
      <c r="AI213" s="2842"/>
      <c r="AJ213" s="2842"/>
      <c r="AK213" s="2842">
        <v>11</v>
      </c>
    </row>
    <row customHeight="1" ht="11.549999999999999">
      <c r="A214" s="2201"/>
      <c r="B214" s="2842"/>
      <c r="D214" s="2842"/>
      <c r="J214" s="13315"/>
      <c r="K214" s="13315"/>
      <c r="L214" s="13315"/>
      <c r="M214" s="13315"/>
      <c r="N214" s="13315"/>
      <c r="P214" s="2842"/>
      <c r="S214" s="2842"/>
      <c r="T214" s="2842"/>
      <c r="U214" s="2842"/>
      <c r="V214" s="2842"/>
      <c r="X214" s="2842"/>
      <c r="Y214" s="2842"/>
      <c r="Z214" s="2842"/>
      <c r="AA214" s="2842"/>
      <c r="AB214" s="2842"/>
      <c r="AC214" s="2842"/>
      <c r="AD214" s="2842"/>
      <c r="AE214" s="2842"/>
      <c r="AF214" s="2842"/>
      <c r="AG214" s="2842"/>
      <c r="AH214" s="2842"/>
      <c r="AI214" s="2842"/>
      <c r="AJ214" s="2842"/>
      <c r="AK214" s="2842">
        <v>11</v>
      </c>
    </row>
    <row customHeight="1" ht="11.549999999999999">
      <c r="A215" s="2201"/>
      <c r="B215" s="2842"/>
      <c r="D215" s="2842"/>
      <c r="J215" s="13315"/>
      <c r="K215" s="13315"/>
      <c r="L215" s="13315"/>
      <c r="M215" s="13315"/>
      <c r="N215" s="13315"/>
      <c r="P215" s="2842"/>
      <c r="S215" s="2842"/>
      <c r="T215" s="2842"/>
      <c r="U215" s="2842"/>
      <c r="V215" s="2842"/>
      <c r="X215" s="2842"/>
      <c r="Y215" s="2842"/>
      <c r="Z215" s="2842"/>
      <c r="AA215" s="2842"/>
      <c r="AB215" s="2842"/>
      <c r="AC215" s="2842"/>
      <c r="AD215" s="2842"/>
      <c r="AE215" s="2842"/>
      <c r="AF215" s="2842"/>
      <c r="AG215" s="2842"/>
      <c r="AH215" s="2842"/>
      <c r="AI215" s="2842"/>
      <c r="AJ215" s="2842"/>
      <c r="AK215" s="2842">
        <v>11</v>
      </c>
    </row>
    <row customHeight="1" ht="11.549999999999999">
      <c r="A216" s="2201"/>
      <c r="B216" s="2842"/>
      <c r="D216" s="2842"/>
      <c r="J216" s="13315"/>
      <c r="K216" s="13315"/>
      <c r="L216" s="13315"/>
      <c r="M216" s="13315"/>
      <c r="N216" s="13315"/>
      <c r="P216" s="2842"/>
      <c r="S216" s="2842"/>
      <c r="T216" s="2842"/>
      <c r="U216" s="2842"/>
      <c r="V216" s="2842"/>
      <c r="X216" s="2842"/>
      <c r="Y216" s="2842"/>
      <c r="Z216" s="2842"/>
      <c r="AA216" s="2842"/>
      <c r="AB216" s="2842"/>
      <c r="AC216" s="2842"/>
      <c r="AD216" s="2842"/>
      <c r="AE216" s="2842"/>
      <c r="AF216" s="2842"/>
      <c r="AG216" s="2842"/>
      <c r="AH216" s="2842"/>
      <c r="AI216" s="2842"/>
      <c r="AJ216" s="2842"/>
      <c r="AK216" s="2842">
        <v>11</v>
      </c>
    </row>
    <row customHeight="1" ht="11.549999999999999">
      <c r="A217" s="2201"/>
      <c r="B217" s="2842"/>
      <c r="D217" s="2842"/>
      <c r="J217" s="13315"/>
      <c r="K217" s="13315"/>
      <c r="L217" s="13315"/>
      <c r="M217" s="13315"/>
      <c r="N217" s="13315"/>
      <c r="P217" s="2842"/>
      <c r="S217" s="2842"/>
      <c r="T217" s="2842"/>
      <c r="U217" s="2842"/>
      <c r="V217" s="2842"/>
      <c r="X217" s="2842"/>
      <c r="Y217" s="2842"/>
      <c r="Z217" s="2842"/>
      <c r="AA217" s="2842"/>
      <c r="AB217" s="2842"/>
      <c r="AC217" s="2842"/>
      <c r="AD217" s="2842"/>
      <c r="AE217" s="2842"/>
      <c r="AF217" s="2842"/>
      <c r="AG217" s="2842"/>
      <c r="AH217" s="2842"/>
      <c r="AI217" s="2842"/>
      <c r="AJ217" s="2842"/>
      <c r="AK217" s="2842">
        <v>11</v>
      </c>
    </row>
    <row customHeight="1" ht="11.549999999999999">
      <c r="A218" s="2201"/>
      <c r="B218" s="2842"/>
      <c r="D218" s="2842"/>
      <c r="J218" s="13315"/>
      <c r="K218" s="13315"/>
      <c r="L218" s="13315"/>
      <c r="M218" s="13315"/>
      <c r="N218" s="13315"/>
      <c r="P218" s="2842"/>
      <c r="S218" s="2842"/>
      <c r="T218" s="2842"/>
      <c r="U218" s="2842"/>
      <c r="V218" s="2842"/>
      <c r="X218" s="2842"/>
      <c r="Y218" s="2842"/>
      <c r="Z218" s="2842"/>
      <c r="AA218" s="2842"/>
      <c r="AB218" s="2842"/>
      <c r="AC218" s="2842"/>
      <c r="AD218" s="2842"/>
      <c r="AE218" s="2842"/>
      <c r="AF218" s="2842"/>
      <c r="AG218" s="2842"/>
      <c r="AH218" s="2842"/>
      <c r="AI218" s="2842"/>
      <c r="AJ218" s="2842"/>
      <c r="AK218" s="2842">
        <v>11</v>
      </c>
    </row>
    <row customHeight="1" ht="11.25" hidden="1">
      <c r="A219" s="2198" t="s">
        <v>82</v>
      </c>
      <c r="B219" s="2371">
        <v>0</v>
      </c>
      <c r="C219" s="2847">
        <v>0</v>
      </c>
      <c r="D219" s="2846">
        <v>3</v>
      </c>
      <c r="E219" s="2842">
        <v>7</v>
      </c>
      <c r="F219" s="2842">
        <v>56</v>
      </c>
      <c r="G219" s="2842">
        <v>10</v>
      </c>
      <c r="H219" s="2842">
        <v>0</v>
      </c>
      <c r="I219" s="2842">
        <v>40</v>
      </c>
      <c r="J219" s="13315">
        <v>0</v>
      </c>
      <c r="K219" s="13315">
        <v>0</v>
      </c>
      <c r="L219" s="13315">
        <v>0</v>
      </c>
      <c r="M219" s="13315">
        <v>0</v>
      </c>
      <c r="N219" s="13315">
        <v>0</v>
      </c>
      <c r="O219" s="2842">
        <v>102</v>
      </c>
      <c r="P219" s="2371">
        <v>9</v>
      </c>
      <c r="Q219" s="2847">
        <v>5</v>
      </c>
      <c r="R219" s="2847">
        <v>3</v>
      </c>
      <c r="S219" s="2371">
        <v>3</v>
      </c>
      <c r="T219" s="2371">
        <v>3</v>
      </c>
      <c r="U219" s="2371">
        <v>3</v>
      </c>
      <c r="V219" s="2371">
        <v>3</v>
      </c>
      <c r="W219" s="2847">
        <v>10</v>
      </c>
      <c r="X219" s="2371">
        <v>34</v>
      </c>
      <c r="Y219" s="2371">
        <v>9</v>
      </c>
      <c r="Z219" s="1755">
        <v>8</v>
      </c>
      <c r="AA219" s="2371">
        <v>8</v>
      </c>
      <c r="AB219" s="2371">
        <v>8</v>
      </c>
      <c r="AC219" s="2371">
        <v>8</v>
      </c>
      <c r="AD219" s="2371">
        <v>8</v>
      </c>
      <c r="AE219" s="2371">
        <v>8</v>
      </c>
      <c r="AF219" s="2843">
        <v>8</v>
      </c>
      <c r="AG219" s="2843">
        <v>8</v>
      </c>
      <c r="AH219" s="2843">
        <v>8</v>
      </c>
      <c r="AI219" s="2843">
        <v>8</v>
      </c>
      <c r="AJ219" s="2843">
        <v>8</v>
      </c>
      <c r="AK219" s="2842">
        <v>11</v>
      </c>
    </row>
  </sheetData>
  <sheetProtection formatColumns="0" formatRows="0" autoFilter="0" sort="0" insertRows="0" insertColumns="1" deleteRows="0" deleteColumns="0"/>
  <mergeCells count="7">
    <mergeCell ref="E6:I6"/>
    <mergeCell ref="E7:I7"/>
    <mergeCell ref="F10:G10"/>
    <mergeCell ref="O10:O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 type="decimal" allowBlank="1" showErrorMessage="1" errorTitle="Ошибка" error="Допускается ввод только неотрицательных чисел!" sqref="H40:N41 H2:N2 H15:N15 H17:N32 H35:N37 H46:N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N45">
      <formula1>900</formula1>
    </dataValidation>
    <dataValidation type="decimal" allowBlank="1" showErrorMessage="1" errorTitle="Ошибка" error="Допускается ввод только действительных чисел!" sqref="H38:N39">
      <formula1>-9.99999999999999E+23</formula1>
      <formula2>9.99999999999999E+23</formula2>
    </dataValidation>
    <dataValidation type="decimal" allowBlank="1" showErrorMessage="1" errorTitle="Ошибка" error="Допускается ввод только действительных чисел!" sqref="H42:N44">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80F32-612C-DA4A-D8DF-FB4A7BB18ACC}" mc:Ignorable="x14ac xr xr2 xr3">
  <sheetPr>
    <tabColor theme="9" tint="-0.25"/>
  </sheetPr>
  <dimension ref="A1:AK215"/>
  <sheetViews>
    <sheetView showGridLines="0" zoomScale="90" workbookViewId="0">
      <pane xSplit="8" ySplit="14" topLeftCell="I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65900" width="10.7109375" hidden="1" customWidth="1"/>
    <col min="2" max="2" style="66852" width="16.8515625" hidden="1" customWidth="1"/>
    <col min="3" max="3" style="65923" width="5.57421875" hidden="1" customWidth="1"/>
    <col min="4" max="4" style="66903" width="3.00390625" customWidth="1"/>
    <col min="5" max="5" style="66903" width="7.00390625" customWidth="1"/>
    <col min="6" max="6" style="66903" width="54.00390625" customWidth="1"/>
    <col min="7" max="7" style="66903" width="10.00390625" customWidth="1"/>
    <col min="8" max="8" style="66903" width="40.7109375" hidden="1" customWidth="1"/>
    <col min="9" max="9" style="66903" width="40.00390625" customWidth="1"/>
    <col min="10" max="14" style="66903" width="40.7109375" customWidth="1"/>
    <col min="15" max="15" style="66903" width="102.00390625" customWidth="1"/>
    <col min="16" max="16" style="66852" width="9.00390625" customWidth="1"/>
    <col min="17" max="17" style="65923" width="5.00390625" customWidth="1"/>
    <col min="18" max="18" style="65923" width="3.00390625" customWidth="1"/>
    <col min="19" max="22" style="66852" width="3.00390625" customWidth="1"/>
    <col min="23" max="23" style="65923" width="10.00390625" customWidth="1"/>
    <col min="24" max="24" style="66852" width="34.00390625" customWidth="1"/>
    <col min="25" max="25" style="66852" width="9.00390625" customWidth="1"/>
    <col min="26" max="26" style="65901" width="8.00390625" customWidth="1"/>
    <col min="27" max="31" style="66852" width="8.00390625" customWidth="1"/>
    <col min="32" max="36" style="67156" width="8.00390625" customWidth="1"/>
    <col min="37" max="37" style="66903" width="9.140625" hidden="1"/>
  </cols>
  <sheetData>
    <row s="66852" customFormat="1" customHeight="1" ht="22.5" hidden="1">
      <c r="A1" s="2198"/>
      <c r="C1" s="2847"/>
      <c r="D1" s="1748"/>
      <c r="H1" s="2371">
        <v>4</v>
      </c>
      <c r="I1" s="2371">
        <v>4</v>
      </c>
      <c r="J1" s="13336">
        <v>4</v>
      </c>
      <c r="K1" s="13336">
        <v>4</v>
      </c>
      <c r="L1" s="13336">
        <v>4</v>
      </c>
      <c r="M1" s="13336">
        <v>4</v>
      </c>
      <c r="N1" s="13336">
        <v>4</v>
      </c>
      <c r="Q1" s="2847"/>
      <c r="R1" s="2847"/>
      <c r="W1" s="2847"/>
      <c r="AK1" s="2371" t="s">
        <v>14</v>
      </c>
    </row>
    <row s="66852" customFormat="1" customHeight="1" ht="22.5" hidden="1">
      <c r="A2" s="2198"/>
      <c r="C2" s="2847"/>
      <c r="D2" s="1749"/>
      <c r="E2" s="2869"/>
      <c r="F2" s="1751"/>
      <c r="G2" s="2868" t="s">
        <v>570</v>
      </c>
      <c r="H2" s="1752"/>
      <c r="I2" s="1752"/>
      <c r="J2" s="13332"/>
      <c r="K2" s="13332"/>
      <c r="L2" s="13332"/>
      <c r="M2" s="13332"/>
      <c r="N2" s="13332"/>
      <c r="O2" s="1753" t="s">
        <v>573</v>
      </c>
      <c r="P2" s="1754"/>
      <c r="Q2" s="2847"/>
      <c r="R2" s="2847"/>
      <c r="W2" s="2847"/>
      <c r="Z2" s="1755"/>
      <c r="AF2" s="2843"/>
      <c r="AG2" s="2843"/>
      <c r="AH2" s="2843"/>
      <c r="AI2" s="2843"/>
      <c r="AJ2" s="2843"/>
      <c r="AK2" s="2371">
        <v>0</v>
      </c>
    </row>
    <row customHeight="1" ht="11.25" hidden="1">
      <c r="J3" s="13315"/>
      <c r="K3" s="13315"/>
      <c r="L3" s="13315"/>
      <c r="M3" s="13315"/>
      <c r="N3" s="13315"/>
      <c r="AK3" s="2842">
        <v>0</v>
      </c>
    </row>
    <row s="67156" customFormat="1" customHeight="1" ht="11.25" hidden="1">
      <c r="A4" s="2198"/>
      <c r="B4" s="2371"/>
      <c r="C4" s="2847"/>
      <c r="D4" s="1573"/>
      <c r="J4" s="13346"/>
      <c r="K4" s="13346"/>
      <c r="L4" s="13346"/>
      <c r="M4" s="13346"/>
      <c r="N4" s="13346"/>
      <c r="O4" s="2843">
        <v>4</v>
      </c>
      <c r="P4" s="2371"/>
      <c r="Q4" s="2847"/>
      <c r="R4" s="2847"/>
      <c r="S4" s="2371"/>
      <c r="T4" s="2371"/>
      <c r="U4" s="2371"/>
      <c r="V4" s="2371"/>
      <c r="W4" s="2847"/>
      <c r="X4" s="2371"/>
      <c r="Y4" s="2371"/>
      <c r="Z4" s="1755"/>
      <c r="AA4" s="2371"/>
      <c r="AB4" s="2371"/>
      <c r="AC4" s="2371"/>
      <c r="AD4" s="2371"/>
      <c r="AE4" s="2371"/>
      <c r="AK4" s="2843">
        <v>0</v>
      </c>
    </row>
    <row customHeight="1" ht="11.549999999999999">
      <c r="J5" s="13315"/>
      <c r="K5" s="13315"/>
      <c r="L5" s="13315"/>
      <c r="M5" s="13315"/>
      <c r="N5" s="13315"/>
      <c r="AK5" s="2842">
        <v>11</v>
      </c>
    </row>
    <row customHeight="1" ht="33.75">
      <c r="E6" s="3459" t="s">
        <v>932</v>
      </c>
      <c r="F6" s="3459"/>
      <c r="G6" s="3459"/>
      <c r="H6" s="3459"/>
      <c r="I6" s="3459"/>
      <c r="J6" s="13347"/>
      <c r="K6" s="13347"/>
      <c r="L6" s="13347"/>
      <c r="M6" s="13347"/>
      <c r="N6" s="13347"/>
      <c r="O6" s="1767"/>
      <c r="AK6" s="2842">
        <v>32</v>
      </c>
    </row>
    <row customHeight="1" ht="25.2">
      <c r="E7" s="3460" t="str">
        <f>IF(org=0,"Не определено",org)</f>
        <v>ПАО "ТГК-2"</v>
      </c>
      <c r="F7" s="3460"/>
      <c r="G7" s="3460"/>
      <c r="H7" s="3460"/>
      <c r="I7" s="3460"/>
      <c r="J7" s="13349"/>
      <c r="K7" s="13349"/>
      <c r="L7" s="13349"/>
      <c r="M7" s="13349"/>
      <c r="N7" s="13349"/>
      <c r="AK7" s="2842">
        <v>24</v>
      </c>
    </row>
    <row customHeight="1" ht="11.549999999999999">
      <c r="E8" s="2346"/>
      <c r="F8" s="2346"/>
      <c r="G8" s="2346"/>
      <c r="H8" s="2346"/>
      <c r="I8" s="2346"/>
      <c r="J8" s="13351" t="s">
        <v>22</v>
      </c>
      <c r="K8" s="13351" t="s">
        <v>22</v>
      </c>
      <c r="L8" s="13351" t="s">
        <v>22</v>
      </c>
      <c r="M8" s="13351" t="s">
        <v>22</v>
      </c>
      <c r="N8" s="13351" t="s">
        <v>22</v>
      </c>
      <c r="AK8" s="2842">
        <v>11</v>
      </c>
    </row>
    <row s="65923" customFormat="1" customHeight="1" ht="1.05">
      <c r="A9" s="2378"/>
      <c r="D9" s="2853"/>
      <c r="H9" s="2100"/>
      <c r="I9" s="2100" t="s">
        <v>128</v>
      </c>
      <c r="J9" s="13353" t="s">
        <v>132</v>
      </c>
      <c r="K9" s="13353" t="s">
        <v>134</v>
      </c>
      <c r="L9" s="13353" t="s">
        <v>136</v>
      </c>
      <c r="M9" s="13353" t="s">
        <v>138</v>
      </c>
      <c r="N9" s="13353" t="s">
        <v>139</v>
      </c>
      <c r="AK9" s="2847">
        <v>1</v>
      </c>
    </row>
    <row customHeight="1" ht="11.549999999999999">
      <c r="E10" s="1922"/>
      <c r="F10" s="3578" t="s">
        <v>118</v>
      </c>
      <c r="G10" s="3579"/>
      <c r="H10" s="2870" t="str">
        <f>IF(H9="","",INDEX(DIFFERENTIATION_UNMERGE_VD,MATCH(H9,DIFFERENTIATION_ID_DIFF,0)))</f>
        <v/>
      </c>
      <c r="I10" s="2870"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13358" t="str">
        <f>IF(J9="","",INDEX(DIFFERENTIATION_UNMERGE_VD,MATCH(J9,DIFFERENTIATION_ID_DIFF,0)))</f>
        <v>Производство тепловой энергии. Комбинированная выработка с уст. мощностью производства электрической энергии 25 МВт и более</v>
      </c>
      <c r="K10" s="13358" t="str">
        <f>IF(K9="","",INDEX(DIFFERENTIATION_UNMERGE_VD,MATCH(K9,DIFFERENTIATION_ID_DIFF,0)))</f>
        <v>Производство тепловой энергии. Некомбинированная выработка</v>
      </c>
      <c r="L10" s="13358" t="str">
        <f>IF(L9="","",INDEX(DIFFERENTIATION_UNMERGE_VD,MATCH(L9,DIFFERENTIATION_ID_DIFF,0)))</f>
        <v>Передача. Тепловая энергия; Сбыт. Тепловая энергия</v>
      </c>
      <c r="M10" s="13358" t="str">
        <f>IF(M9="","",INDEX(DIFFERENTIATION_UNMERGE_VD,MATCH(M9,DIFFERENTIATION_ID_DIFF,0)))</f>
        <v>Передача. Тепловая энергия; Сбыт. Тепловая энергия</v>
      </c>
      <c r="N10" s="13358" t="str">
        <f>IF(N9="","",INDEX(DIFFERENTIATION_UNMERGE_VD,MATCH(N9,DIFFERENTIATION_ID_DIFF,0)))</f>
        <v>Производство. Теплоноситель; Сбыт. Теплоноситель</v>
      </c>
      <c r="O10" s="3338" t="s">
        <v>319</v>
      </c>
      <c r="AK10" s="2842">
        <v>11</v>
      </c>
    </row>
    <row customHeight="1" ht="11.549999999999999">
      <c r="E11" s="1922"/>
      <c r="F11" s="3578" t="s">
        <v>582</v>
      </c>
      <c r="G11" s="3579"/>
      <c r="H11" s="2870" t="str">
        <f>IF(H9="","",INDEX(DIFFERENTIATION_UNMERGE_AREA,MATCH(H9,DIFFERENTIATION_ID_DIFF,0)))</f>
        <v/>
      </c>
      <c r="I11" s="2870" t="str">
        <f>IF(I9="","",INDEX(DIFFERENTIATION_UNMERGE_AREA,MATCH(I9,DIFFERENTIATION_ID_DIFF,0)))</f>
        <v>Территория 1</v>
      </c>
      <c r="J11" s="13358" t="str">
        <f>IF(J9="","",INDEX(DIFFERENTIATION_UNMERGE_AREA,MATCH(J9,DIFFERENTIATION_ID_DIFF,0)))</f>
        <v>Территория 2</v>
      </c>
      <c r="K11" s="13358" t="str">
        <f>IF(K9="","",INDEX(DIFFERENTIATION_UNMERGE_AREA,MATCH(K9,DIFFERENTIATION_ID_DIFF,0)))</f>
        <v>Территория 1</v>
      </c>
      <c r="L11" s="13358" t="str">
        <f>IF(L9="","",INDEX(DIFFERENTIATION_UNMERGE_AREA,MATCH(L9,DIFFERENTIATION_ID_DIFF,0)))</f>
        <v>Территория 1</v>
      </c>
      <c r="M11" s="13358" t="str">
        <f>IF(M9="","",INDEX(DIFFERENTIATION_UNMERGE_AREA,MATCH(M9,DIFFERENTIATION_ID_DIFF,0)))</f>
        <v>Территория 2</v>
      </c>
      <c r="N11" s="13358" t="str">
        <f>IF(N9="","",INDEX(DIFFERENTIATION_UNMERGE_AREA,MATCH(N9,DIFFERENTIATION_ID_DIFF,0)))</f>
        <v>Территория 2</v>
      </c>
      <c r="O11" s="3338"/>
      <c r="AK11" s="2842">
        <v>11</v>
      </c>
    </row>
    <row customHeight="1" ht="11.25" hidden="1">
      <c r="E12" s="2873"/>
      <c r="F12" s="3601" t="s">
        <v>583</v>
      </c>
      <c r="G12" s="3602"/>
      <c r="H12" s="2874" t="str">
        <f>IF(H9="","",INDEX(DIFFERENTIATION_UNMERGE_SYSTEM,MATCH(H9,DIFFERENTIATION_ID_DIFF,0)))</f>
        <v/>
      </c>
      <c r="I12" s="2874" t="str">
        <f>IF(I9="","",INDEX(DIFFERENTIATION_UNMERGE_SYSTEM,MATCH(I9,DIFFERENTIATION_ID_DIFF,0)))</f>
        <v>без дифференциации</v>
      </c>
      <c r="J12" s="13670" t="str">
        <f>IF(J9="","",INDEX(DIFFERENTIATION_UNMERGE_SYSTEM,MATCH(J9,DIFFERENTIATION_ID_DIFF,0)))</f>
        <v>без дифференциации</v>
      </c>
      <c r="K12" s="13670" t="str">
        <f>IF(K9="","",INDEX(DIFFERENTIATION_UNMERGE_SYSTEM,MATCH(K9,DIFFERENTIATION_ID_DIFF,0)))</f>
        <v>без дифференциации</v>
      </c>
      <c r="L12" s="13670" t="str">
        <f>IF(L9="","",INDEX(DIFFERENTIATION_UNMERGE_SYSTEM,MATCH(L9,DIFFERENTIATION_ID_DIFF,0)))</f>
        <v>без дифференциации</v>
      </c>
      <c r="M12" s="13670" t="str">
        <f>IF(M9="","",INDEX(DIFFERENTIATION_UNMERGE_SYSTEM,MATCH(M9,DIFFERENTIATION_ID_DIFF,0)))</f>
        <v>без дифференциации</v>
      </c>
      <c r="N12" s="13670" t="str">
        <f>IF(N9="","",INDEX(DIFFERENTIATION_UNMERGE_SYSTEM,MATCH(N9,DIFFERENTIATION_ID_DIFF,0)))</f>
        <v>без дифференциации</v>
      </c>
      <c r="O12" s="3338"/>
      <c r="AK12" s="2842">
        <v>0</v>
      </c>
    </row>
    <row customHeight="1" ht="11.549999999999999">
      <c r="E13" s="3580" t="s">
        <v>318</v>
      </c>
      <c r="F13" s="3581"/>
      <c r="G13" s="3581"/>
      <c r="H13" s="2867"/>
      <c r="I13" s="2867"/>
      <c r="J13" s="13362"/>
      <c r="K13" s="13362"/>
      <c r="L13" s="13362"/>
      <c r="M13" s="13362"/>
      <c r="N13" s="13362"/>
      <c r="O13" s="3338"/>
      <c r="AK13" s="2842">
        <v>11</v>
      </c>
    </row>
    <row customHeight="1" ht="24">
      <c r="E14" s="2868" t="s">
        <v>88</v>
      </c>
      <c r="F14" s="2871" t="s">
        <v>320</v>
      </c>
      <c r="G14" s="2871" t="s">
        <v>584</v>
      </c>
      <c r="H14" s="2871" t="s">
        <v>321</v>
      </c>
      <c r="I14" s="2871" t="s">
        <v>321</v>
      </c>
      <c r="J14" s="13321" t="s">
        <v>321</v>
      </c>
      <c r="K14" s="13321" t="s">
        <v>321</v>
      </c>
      <c r="L14" s="13321" t="s">
        <v>321</v>
      </c>
      <c r="M14" s="13321" t="s">
        <v>321</v>
      </c>
      <c r="N14" s="13321" t="s">
        <v>321</v>
      </c>
      <c r="O14" s="3338"/>
      <c r="AK14" s="2842">
        <v>23</v>
      </c>
    </row>
    <row customHeight="1" ht="19.95">
      <c r="D15" s="2849"/>
      <c r="E15" s="2841" t="s">
        <v>99</v>
      </c>
      <c r="F15" s="1918" t="s">
        <v>933</v>
      </c>
      <c r="G15" s="2868" t="s">
        <v>570</v>
      </c>
      <c r="H15" s="1768"/>
      <c r="I15" s="1768"/>
      <c r="J15" s="13366"/>
      <c r="K15" s="13366"/>
      <c r="L15" s="13366"/>
      <c r="M15" s="13366"/>
      <c r="N15" s="13366"/>
      <c r="O15" s="1500" t="s">
        <v>934</v>
      </c>
      <c r="P15" s="1754" t="s">
        <v>782</v>
      </c>
      <c r="AK15" s="2842">
        <v>19</v>
      </c>
    </row>
    <row customHeight="1" ht="24">
      <c r="D16" s="2849"/>
      <c r="E16" s="2841" t="s">
        <v>102</v>
      </c>
      <c r="F16" s="2876" t="s">
        <v>935</v>
      </c>
      <c r="G16" s="2868" t="s">
        <v>570</v>
      </c>
      <c r="H16" s="1769">
        <f>SUM(H17,H20:H27)</f>
        <v>0</v>
      </c>
      <c r="I16" s="1769">
        <f>SUM(I17,I20:I27)</f>
        <v>0</v>
      </c>
      <c r="J16" s="13368">
        <f>SUM(J17,J20:J27)</f>
        <v>0</v>
      </c>
      <c r="K16" s="13368">
        <f>SUM(K17,K20:K27)</f>
        <v>0</v>
      </c>
      <c r="L16" s="13368">
        <f>SUM(L17,L20:L27)</f>
        <v>0</v>
      </c>
      <c r="M16" s="13368">
        <f>SUM(M17,M20:M27)</f>
        <v>0</v>
      </c>
      <c r="N16" s="13368">
        <f>SUM(N17,N20:N27)</f>
        <v>0</v>
      </c>
      <c r="O16" s="1500" t="s">
        <v>936</v>
      </c>
      <c r="P16" s="1754" t="s">
        <v>782</v>
      </c>
      <c r="AK16" s="2842">
        <v>23</v>
      </c>
    </row>
    <row customHeight="1" ht="35.699999999999996">
      <c r="D17" s="2849"/>
      <c r="E17" s="2875" t="s">
        <v>860</v>
      </c>
      <c r="F17" s="2878" t="s">
        <v>937</v>
      </c>
      <c r="G17" s="2865" t="s">
        <v>570</v>
      </c>
      <c r="H17" s="1768"/>
      <c r="I17" s="1768"/>
      <c r="J17" s="13366"/>
      <c r="K17" s="13366"/>
      <c r="L17" s="13366"/>
      <c r="M17" s="13366"/>
      <c r="N17" s="13366"/>
      <c r="O17" s="1500" t="s">
        <v>938</v>
      </c>
      <c r="P17" s="1754"/>
      <c r="AK17" s="2842">
        <v>34</v>
      </c>
    </row>
    <row customHeight="1" ht="19.95">
      <c r="D18" s="2849"/>
      <c r="E18" s="2875" t="s">
        <v>863</v>
      </c>
      <c r="F18" s="2879" t="s">
        <v>939</v>
      </c>
      <c r="G18" s="2865" t="s">
        <v>570</v>
      </c>
      <c r="H18" s="1768"/>
      <c r="I18" s="1768"/>
      <c r="J18" s="13366"/>
      <c r="K18" s="13366"/>
      <c r="L18" s="13366"/>
      <c r="M18" s="13366"/>
      <c r="N18" s="13366"/>
      <c r="O18" s="1500"/>
      <c r="P18" s="1754"/>
      <c r="AK18" s="2842">
        <v>19</v>
      </c>
    </row>
    <row customHeight="1" ht="24">
      <c r="D19" s="2849"/>
      <c r="E19" s="2875" t="s">
        <v>866</v>
      </c>
      <c r="F19" s="2879" t="s">
        <v>940</v>
      </c>
      <c r="G19" s="2865" t="s">
        <v>570</v>
      </c>
      <c r="H19" s="1768"/>
      <c r="I19" s="1768"/>
      <c r="J19" s="13366"/>
      <c r="K19" s="13366"/>
      <c r="L19" s="13366"/>
      <c r="M19" s="13366"/>
      <c r="N19" s="13366"/>
      <c r="O19" s="1500"/>
      <c r="P19" s="1754"/>
      <c r="AK19" s="2842">
        <v>23</v>
      </c>
    </row>
    <row customHeight="1" ht="35.699999999999996">
      <c r="D20" s="2849"/>
      <c r="E20" s="2875" t="s">
        <v>325</v>
      </c>
      <c r="F20" s="2878" t="s">
        <v>941</v>
      </c>
      <c r="G20" s="2865" t="s">
        <v>570</v>
      </c>
      <c r="H20" s="1768"/>
      <c r="I20" s="1768"/>
      <c r="J20" s="13366"/>
      <c r="K20" s="13366"/>
      <c r="L20" s="13366"/>
      <c r="M20" s="13366"/>
      <c r="N20" s="13366"/>
      <c r="O20" s="1500"/>
      <c r="P20" s="1754"/>
      <c r="AK20" s="2842">
        <v>34</v>
      </c>
    </row>
    <row customHeight="1" ht="48.29999999999999">
      <c r="D21" s="2849"/>
      <c r="E21" s="2875" t="s">
        <v>328</v>
      </c>
      <c r="F21" s="2878" t="s">
        <v>942</v>
      </c>
      <c r="G21" s="2865" t="s">
        <v>570</v>
      </c>
      <c r="H21" s="1768"/>
      <c r="I21" s="1768"/>
      <c r="J21" s="13366"/>
      <c r="K21" s="13366"/>
      <c r="L21" s="13366"/>
      <c r="M21" s="13366"/>
      <c r="N21" s="13366"/>
      <c r="O21" s="1500"/>
      <c r="P21" s="1754"/>
      <c r="AK21" s="2842">
        <v>46</v>
      </c>
    </row>
    <row customHeight="1" ht="60">
      <c r="D22" s="2849"/>
      <c r="E22" s="2875" t="s">
        <v>880</v>
      </c>
      <c r="F22" s="2878" t="s">
        <v>943</v>
      </c>
      <c r="G22" s="2865" t="s">
        <v>570</v>
      </c>
      <c r="H22" s="1768"/>
      <c r="I22" s="1768"/>
      <c r="J22" s="13366"/>
      <c r="K22" s="13366"/>
      <c r="L22" s="13366"/>
      <c r="M22" s="13366"/>
      <c r="N22" s="13366"/>
      <c r="O22" s="1500"/>
      <c r="P22" s="1754"/>
      <c r="AK22" s="2842">
        <v>57</v>
      </c>
    </row>
    <row customHeight="1" ht="35.699999999999996">
      <c r="D23" s="2849"/>
      <c r="E23" s="2875" t="s">
        <v>887</v>
      </c>
      <c r="F23" s="2878" t="s">
        <v>944</v>
      </c>
      <c r="G23" s="2865" t="s">
        <v>570</v>
      </c>
      <c r="H23" s="1768"/>
      <c r="I23" s="1768"/>
      <c r="J23" s="13366"/>
      <c r="K23" s="13366"/>
      <c r="L23" s="13366"/>
      <c r="M23" s="13366"/>
      <c r="N23" s="13366"/>
      <c r="O23" s="1500"/>
      <c r="P23" s="1754"/>
      <c r="AK23" s="2842">
        <v>34</v>
      </c>
    </row>
    <row customHeight="1" ht="35.699999999999996">
      <c r="D24" s="2849"/>
      <c r="E24" s="2875" t="s">
        <v>889</v>
      </c>
      <c r="F24" s="2878" t="s">
        <v>945</v>
      </c>
      <c r="G24" s="2865" t="s">
        <v>570</v>
      </c>
      <c r="H24" s="1768"/>
      <c r="I24" s="1768"/>
      <c r="J24" s="13366"/>
      <c r="K24" s="13366"/>
      <c r="L24" s="13366"/>
      <c r="M24" s="13366"/>
      <c r="N24" s="13366"/>
      <c r="O24" s="1500"/>
      <c r="P24" s="1754"/>
      <c r="AK24" s="2842">
        <v>34</v>
      </c>
    </row>
    <row customHeight="1" ht="24">
      <c r="D25" s="2849"/>
      <c r="E25" s="2875" t="s">
        <v>891</v>
      </c>
      <c r="F25" s="2878" t="s">
        <v>946</v>
      </c>
      <c r="G25" s="2865" t="s">
        <v>570</v>
      </c>
      <c r="H25" s="1768"/>
      <c r="I25" s="1768"/>
      <c r="J25" s="13366"/>
      <c r="K25" s="13366"/>
      <c r="L25" s="13366"/>
      <c r="M25" s="13366"/>
      <c r="N25" s="13366"/>
      <c r="O25" s="1500"/>
      <c r="P25" s="1754"/>
      <c r="AK25" s="2842">
        <v>23</v>
      </c>
    </row>
    <row customHeight="1" ht="76.5">
      <c r="D26" s="2849"/>
      <c r="E26" s="2875" t="s">
        <v>893</v>
      </c>
      <c r="F26" s="2878" t="s">
        <v>947</v>
      </c>
      <c r="G26" s="2865" t="s">
        <v>570</v>
      </c>
      <c r="H26" s="1768"/>
      <c r="I26" s="1768"/>
      <c r="J26" s="13366"/>
      <c r="K26" s="13366"/>
      <c r="L26" s="13366"/>
      <c r="M26" s="13366"/>
      <c r="N26" s="13366"/>
      <c r="O26" s="1500"/>
      <c r="P26" s="1754"/>
      <c r="AK26" s="2842">
        <v>73</v>
      </c>
    </row>
    <row s="66852" customFormat="1" customHeight="1" ht="35.699999999999996">
      <c r="A27" s="2198"/>
      <c r="C27" s="2847"/>
      <c r="D27" s="2849"/>
      <c r="E27" s="2840" t="s">
        <v>897</v>
      </c>
      <c r="F27" s="2839" t="s">
        <v>948</v>
      </c>
      <c r="G27" s="2866" t="s">
        <v>570</v>
      </c>
      <c r="H27" s="1790">
        <f>SUM(H28:H29)</f>
        <v>0</v>
      </c>
      <c r="I27" s="1790">
        <f>SUM(I28:I29)</f>
        <v>0</v>
      </c>
      <c r="J27" s="13409">
        <f>SUM(J28:J29)</f>
        <v>0</v>
      </c>
      <c r="K27" s="13409">
        <f>SUM(K28:K29)</f>
        <v>0</v>
      </c>
      <c r="L27" s="13409">
        <f>SUM(L28:L29)</f>
        <v>0</v>
      </c>
      <c r="M27" s="13409">
        <f>SUM(M28:M29)</f>
        <v>0</v>
      </c>
      <c r="N27" s="13409">
        <f>SUM(N28:N29)</f>
        <v>0</v>
      </c>
      <c r="O27" s="1500" t="s">
        <v>895</v>
      </c>
      <c r="P27" s="1754"/>
      <c r="Q27" s="2847"/>
      <c r="R27" s="2847"/>
      <c r="W27" s="2847"/>
      <c r="Z27" s="1755"/>
      <c r="AF27" s="2843"/>
      <c r="AG27" s="2843"/>
      <c r="AH27" s="2843"/>
      <c r="AI27" s="2843"/>
      <c r="AJ27" s="2843"/>
      <c r="AK27" s="2371">
        <v>34</v>
      </c>
    </row>
    <row s="65923" customFormat="1" customHeight="1" ht="1.05">
      <c r="A28" s="2378"/>
      <c r="D28" s="1759"/>
      <c r="E28" s="2013" t="str">
        <f>E27&amp;".0"</f>
        <v>2.9.0</v>
      </c>
      <c r="F28" s="2202"/>
      <c r="G28" s="1762"/>
      <c r="H28" s="2203"/>
      <c r="I28" s="2203"/>
      <c r="J28" s="13412"/>
      <c r="K28" s="13412"/>
      <c r="L28" s="13412"/>
      <c r="M28" s="13412"/>
      <c r="N28" s="13412"/>
      <c r="O28" s="2204"/>
      <c r="AK28" s="2847">
        <v>1</v>
      </c>
    </row>
    <row s="66852" customFormat="1" customHeight="1" ht="19.95">
      <c r="A29" s="2198"/>
      <c r="C29" s="2847"/>
      <c r="D29" s="2844"/>
      <c r="E29" s="1781"/>
      <c r="F29" s="2877" t="s">
        <v>603</v>
      </c>
      <c r="G29" s="1783"/>
      <c r="H29" s="1784" t="s">
        <v>22</v>
      </c>
      <c r="I29" s="1784" t="s">
        <v>22</v>
      </c>
      <c r="J29" s="13695" t="s">
        <v>22</v>
      </c>
      <c r="K29" s="13696" t="s">
        <v>22</v>
      </c>
      <c r="L29" s="13697" t="s">
        <v>22</v>
      </c>
      <c r="M29" s="13698" t="s">
        <v>22</v>
      </c>
      <c r="N29" s="13699" t="s">
        <v>22</v>
      </c>
      <c r="O29" s="1512" t="s">
        <v>896</v>
      </c>
      <c r="P29" s="1754"/>
      <c r="Q29" s="2847"/>
      <c r="R29" s="2847"/>
      <c r="W29" s="2847"/>
      <c r="Z29" s="1755"/>
      <c r="AF29" s="2843"/>
      <c r="AG29" s="2843"/>
      <c r="AH29" s="2843"/>
      <c r="AI29" s="2843"/>
      <c r="AJ29" s="2843"/>
      <c r="AK29" s="2371">
        <v>19</v>
      </c>
    </row>
    <row s="67502" customFormat="1" customHeight="1" ht="76.5">
      <c r="A30" s="65900"/>
      <c r="B30" s="66852"/>
      <c r="C30" s="65923"/>
      <c r="D30" s="67332"/>
      <c r="E30" s="66060" t="s">
        <v>949</v>
      </c>
      <c r="F30" s="66143" t="s">
        <v>904</v>
      </c>
      <c r="G30" s="66281" t="s">
        <v>570</v>
      </c>
      <c r="H30" s="65720"/>
      <c r="I30" s="65720"/>
      <c r="J30" s="65720"/>
      <c r="K30" s="65720"/>
      <c r="L30" s="65720"/>
      <c r="M30" s="65720"/>
      <c r="N30" s="65720"/>
      <c r="O30" s="66869" t="s">
        <v>950</v>
      </c>
      <c r="P30" s="65876"/>
      <c r="Q30" s="65923"/>
      <c r="R30" s="65923"/>
      <c r="S30" s="66852"/>
      <c r="T30" s="66852"/>
      <c r="U30" s="66852"/>
      <c r="V30" s="66852"/>
      <c r="W30" s="65923"/>
      <c r="X30" s="66852"/>
      <c r="Y30" s="66852"/>
      <c r="Z30" s="65901"/>
      <c r="AA30" s="66852"/>
      <c r="AB30" s="66852"/>
      <c r="AC30" s="66852"/>
      <c r="AD30" s="66852"/>
      <c r="AE30" s="66852"/>
      <c r="AF30" s="67156"/>
      <c r="AG30" s="67156"/>
      <c r="AH30" s="67156"/>
      <c r="AI30" s="67156"/>
      <c r="AJ30" s="67156"/>
      <c r="AK30" s="66903">
        <v>73</v>
      </c>
    </row>
    <row s="66852" customFormat="1" customHeight="1" ht="24">
      <c r="A31" s="2198"/>
      <c r="C31" s="2847"/>
      <c r="D31" s="2849"/>
      <c r="E31" s="2875" t="s">
        <v>90</v>
      </c>
      <c r="F31" s="2872" t="s">
        <v>951</v>
      </c>
      <c r="G31" s="2865" t="s">
        <v>570</v>
      </c>
      <c r="H31" s="1768"/>
      <c r="I31" s="1768"/>
      <c r="J31" s="13366"/>
      <c r="K31" s="13366"/>
      <c r="L31" s="13366"/>
      <c r="M31" s="13366"/>
      <c r="N31" s="13366"/>
      <c r="O31" s="1500"/>
      <c r="P31" s="1754"/>
      <c r="Q31" s="2847"/>
      <c r="R31" s="2847"/>
      <c r="W31" s="2847"/>
      <c r="Z31" s="1755"/>
      <c r="AF31" s="2843"/>
      <c r="AG31" s="2843"/>
      <c r="AH31" s="2843"/>
      <c r="AI31" s="2843"/>
      <c r="AJ31" s="2843"/>
      <c r="AK31" s="2371">
        <v>23</v>
      </c>
    </row>
    <row s="66852" customFormat="1" customHeight="1" ht="35.699999999999996">
      <c r="A32" s="2198"/>
      <c r="C32" s="2847"/>
      <c r="D32" s="1786"/>
      <c r="E32" s="2875" t="s">
        <v>91</v>
      </c>
      <c r="F32" s="2872" t="s">
        <v>952</v>
      </c>
      <c r="G32" s="2865" t="s">
        <v>570</v>
      </c>
      <c r="H32" s="1768"/>
      <c r="I32" s="1768"/>
      <c r="J32" s="13366"/>
      <c r="K32" s="13366"/>
      <c r="L32" s="13366"/>
      <c r="M32" s="13366"/>
      <c r="N32" s="13366"/>
      <c r="O32" s="1500" t="s">
        <v>953</v>
      </c>
      <c r="P32" s="1754"/>
      <c r="Q32" s="2847"/>
      <c r="R32" s="2847"/>
      <c r="W32" s="2847"/>
      <c r="Z32" s="1755"/>
      <c r="AF32" s="2843"/>
      <c r="AG32" s="2843"/>
      <c r="AH32" s="2843"/>
      <c r="AI32" s="2843"/>
      <c r="AJ32" s="2843"/>
      <c r="AK32" s="2371">
        <v>34</v>
      </c>
    </row>
    <row s="66852" customFormat="1" customHeight="1" ht="24">
      <c r="A33" s="2198"/>
      <c r="C33" s="2847"/>
      <c r="D33" s="2849"/>
      <c r="E33" s="2875" t="s">
        <v>911</v>
      </c>
      <c r="F33" s="1901" t="s">
        <v>915</v>
      </c>
      <c r="G33" s="2865" t="s">
        <v>570</v>
      </c>
      <c r="H33" s="1768"/>
      <c r="I33" s="1768"/>
      <c r="J33" s="13366"/>
      <c r="K33" s="13366"/>
      <c r="L33" s="13366"/>
      <c r="M33" s="13366"/>
      <c r="N33" s="13366"/>
      <c r="O33" s="1500" t="s">
        <v>954</v>
      </c>
      <c r="P33" s="1754"/>
      <c r="Q33" s="2847"/>
      <c r="R33" s="2847"/>
      <c r="W33" s="2847"/>
      <c r="Z33" s="1755"/>
      <c r="AF33" s="2843"/>
      <c r="AG33" s="2843"/>
      <c r="AH33" s="2843"/>
      <c r="AI33" s="2843"/>
      <c r="AJ33" s="2843"/>
      <c r="AK33" s="2371">
        <v>23</v>
      </c>
    </row>
    <row s="66852" customFormat="1" customHeight="1" ht="24">
      <c r="A34" s="2198"/>
      <c r="C34" s="2847"/>
      <c r="D34" s="2849"/>
      <c r="E34" s="2875" t="s">
        <v>955</v>
      </c>
      <c r="F34" s="1901" t="s">
        <v>956</v>
      </c>
      <c r="G34" s="2865" t="s">
        <v>570</v>
      </c>
      <c r="H34" s="1768"/>
      <c r="I34" s="1768"/>
      <c r="J34" s="13366"/>
      <c r="K34" s="13366"/>
      <c r="L34" s="13366"/>
      <c r="M34" s="13366"/>
      <c r="N34" s="13366"/>
      <c r="O34" s="1500" t="s">
        <v>957</v>
      </c>
      <c r="P34" s="1754"/>
      <c r="Q34" s="2847"/>
      <c r="R34" s="2847"/>
      <c r="W34" s="2847"/>
      <c r="Z34" s="1755"/>
      <c r="AF34" s="2843"/>
      <c r="AG34" s="2843"/>
      <c r="AH34" s="2843"/>
      <c r="AI34" s="2843"/>
      <c r="AJ34" s="2843"/>
      <c r="AK34" s="2371">
        <v>23</v>
      </c>
    </row>
    <row s="66852" customFormat="1" customHeight="1" ht="24">
      <c r="A35" s="2198"/>
      <c r="C35" s="2847"/>
      <c r="D35" s="2849"/>
      <c r="E35" s="2875" t="s">
        <v>958</v>
      </c>
      <c r="F35" s="1901" t="s">
        <v>921</v>
      </c>
      <c r="G35" s="2865" t="s">
        <v>570</v>
      </c>
      <c r="H35" s="1768"/>
      <c r="I35" s="1768"/>
      <c r="J35" s="13366"/>
      <c r="K35" s="13366"/>
      <c r="L35" s="13366"/>
      <c r="M35" s="13366"/>
      <c r="N35" s="13366"/>
      <c r="O35" s="1500" t="s">
        <v>959</v>
      </c>
      <c r="P35" s="1754"/>
      <c r="Q35" s="2847"/>
      <c r="R35" s="2847"/>
      <c r="W35" s="2847"/>
      <c r="Z35" s="1755"/>
      <c r="AF35" s="2843"/>
      <c r="AG35" s="2843"/>
      <c r="AH35" s="2843"/>
      <c r="AI35" s="2843"/>
      <c r="AJ35" s="2843"/>
      <c r="AK35" s="2371">
        <v>23</v>
      </c>
    </row>
    <row s="66852" customFormat="1" customHeight="1" ht="35.699999999999996">
      <c r="A36" s="2198"/>
      <c r="C36" s="2847" t="s">
        <v>606</v>
      </c>
      <c r="D36" s="2849"/>
      <c r="E36" s="2875" t="s">
        <v>122</v>
      </c>
      <c r="F36" s="2872" t="s">
        <v>781</v>
      </c>
      <c r="G36" s="2868" t="s">
        <v>324</v>
      </c>
      <c r="H36" s="19861"/>
      <c r="I36" s="19861"/>
      <c r="J36" s="19862"/>
      <c r="K36" s="19862"/>
      <c r="L36" s="19862"/>
      <c r="M36" s="19862"/>
      <c r="N36" s="19862"/>
      <c r="O36" s="1500" t="s">
        <v>960</v>
      </c>
      <c r="P36" s="1754"/>
      <c r="Q36" s="2847"/>
      <c r="R36" s="2847"/>
      <c r="W36" s="2847"/>
      <c r="Z36" s="1755"/>
      <c r="AF36" s="2843"/>
      <c r="AG36" s="2843"/>
      <c r="AH36" s="2843"/>
      <c r="AI36" s="2843"/>
      <c r="AJ36" s="2843"/>
      <c r="AK36" s="2371">
        <v>34</v>
      </c>
    </row>
    <row s="66852" customFormat="1" customHeight="1" ht="35.699999999999996">
      <c r="A37" s="2198"/>
      <c r="C37" s="2847"/>
      <c r="D37" s="2849"/>
      <c r="E37" s="2875" t="s">
        <v>92</v>
      </c>
      <c r="F37" s="2872" t="s">
        <v>961</v>
      </c>
      <c r="G37" s="2865" t="s">
        <v>926</v>
      </c>
      <c r="H37" s="67509" t="s">
        <v>22</v>
      </c>
      <c r="I37" s="67509" t="s">
        <v>22</v>
      </c>
      <c r="J37" s="67510" t="s">
        <v>22</v>
      </c>
      <c r="K37" s="67510" t="s">
        <v>22</v>
      </c>
      <c r="L37" s="67510" t="s">
        <v>22</v>
      </c>
      <c r="M37" s="67510" t="s">
        <v>22</v>
      </c>
      <c r="N37" s="67510" t="s">
        <v>22</v>
      </c>
      <c r="O37" s="1500" t="s">
        <v>927</v>
      </c>
      <c r="P37" s="1754"/>
      <c r="Q37" s="2847"/>
      <c r="R37" s="2847"/>
      <c r="W37" s="2847"/>
      <c r="Z37" s="1755"/>
      <c r="AF37" s="2843"/>
      <c r="AG37" s="2843"/>
      <c r="AH37" s="2843"/>
      <c r="AI37" s="2843"/>
      <c r="AJ37" s="2843"/>
      <c r="AK37" s="2371">
        <v>34</v>
      </c>
    </row>
    <row s="67502" customFormat="1" customHeight="1" ht="35.699999999999996">
      <c r="A38" s="65900"/>
      <c r="B38" s="66852"/>
      <c r="C38" s="65923"/>
      <c r="D38" s="67332"/>
      <c r="E38" s="66060" t="s">
        <v>804</v>
      </c>
      <c r="F38" s="66143" t="s">
        <v>962</v>
      </c>
      <c r="G38" s="66281" t="s">
        <v>963</v>
      </c>
      <c r="H38" s="65874" t="s">
        <v>22</v>
      </c>
      <c r="I38" s="65874" t="s">
        <v>22</v>
      </c>
      <c r="J38" s="65874" t="s">
        <v>22</v>
      </c>
      <c r="K38" s="65874" t="s">
        <v>22</v>
      </c>
      <c r="L38" s="65874" t="s">
        <v>22</v>
      </c>
      <c r="M38" s="65874" t="s">
        <v>22</v>
      </c>
      <c r="N38" s="65874" t="s">
        <v>22</v>
      </c>
      <c r="O38" s="66869" t="s">
        <v>964</v>
      </c>
      <c r="P38" s="65876"/>
      <c r="Q38" s="65923"/>
      <c r="R38" s="65923"/>
      <c r="S38" s="66852"/>
      <c r="T38" s="66852"/>
      <c r="U38" s="66852"/>
      <c r="V38" s="66852"/>
      <c r="W38" s="65923"/>
      <c r="X38" s="66852"/>
      <c r="Y38" s="66852"/>
      <c r="Z38" s="65901"/>
      <c r="AA38" s="66852"/>
      <c r="AB38" s="66852"/>
      <c r="AC38" s="66852"/>
      <c r="AD38" s="66852"/>
      <c r="AE38" s="66852"/>
      <c r="AF38" s="67156"/>
      <c r="AG38" s="67156"/>
      <c r="AH38" s="67156"/>
      <c r="AI38" s="67156"/>
      <c r="AJ38" s="67156"/>
      <c r="AK38" s="66903">
        <v>34</v>
      </c>
    </row>
    <row s="67502" customFormat="1" customHeight="1" ht="48.29999999999999">
      <c r="A39" s="65900"/>
      <c r="B39" s="66852"/>
      <c r="C39" s="65923"/>
      <c r="D39" s="67332"/>
      <c r="E39" s="66060" t="s">
        <v>808</v>
      </c>
      <c r="F39" s="66143" t="s">
        <v>965</v>
      </c>
      <c r="G39" s="66281" t="s">
        <v>963</v>
      </c>
      <c r="H39" s="65874" t="s">
        <v>22</v>
      </c>
      <c r="I39" s="65874" t="s">
        <v>22</v>
      </c>
      <c r="J39" s="65874" t="s">
        <v>22</v>
      </c>
      <c r="K39" s="65874" t="s">
        <v>22</v>
      </c>
      <c r="L39" s="65874" t="s">
        <v>22</v>
      </c>
      <c r="M39" s="65874" t="s">
        <v>22</v>
      </c>
      <c r="N39" s="65874" t="s">
        <v>22</v>
      </c>
      <c r="O39" s="66869" t="s">
        <v>966</v>
      </c>
      <c r="P39" s="65876"/>
      <c r="Q39" s="65923"/>
      <c r="R39" s="65923"/>
      <c r="S39" s="66852"/>
      <c r="T39" s="66852"/>
      <c r="U39" s="66852"/>
      <c r="V39" s="66852"/>
      <c r="W39" s="65923"/>
      <c r="X39" s="66852"/>
      <c r="Y39" s="66852"/>
      <c r="Z39" s="65901"/>
      <c r="AA39" s="66852"/>
      <c r="AB39" s="66852"/>
      <c r="AC39" s="66852"/>
      <c r="AD39" s="66852"/>
      <c r="AE39" s="66852"/>
      <c r="AF39" s="67156"/>
      <c r="AG39" s="67156"/>
      <c r="AH39" s="67156"/>
      <c r="AI39" s="67156"/>
      <c r="AJ39" s="67156"/>
      <c r="AK39" s="66903">
        <v>46</v>
      </c>
    </row>
    <row s="66852" customFormat="1" customHeight="1" ht="24">
      <c r="A40" s="2198"/>
      <c r="C40" s="2847"/>
      <c r="D40" s="2849"/>
      <c r="E40" s="2875" t="s">
        <v>93</v>
      </c>
      <c r="F40" s="2872" t="s">
        <v>967</v>
      </c>
      <c r="G40" s="2865" t="s">
        <v>929</v>
      </c>
      <c r="H40" s="67509" t="s">
        <v>22</v>
      </c>
      <c r="I40" s="67509" t="s">
        <v>22</v>
      </c>
      <c r="J40" s="67510" t="s">
        <v>22</v>
      </c>
      <c r="K40" s="67510" t="s">
        <v>22</v>
      </c>
      <c r="L40" s="67510" t="s">
        <v>22</v>
      </c>
      <c r="M40" s="67510" t="s">
        <v>22</v>
      </c>
      <c r="N40" s="67510" t="s">
        <v>22</v>
      </c>
      <c r="O40" s="1500" t="s">
        <v>930</v>
      </c>
      <c r="P40" s="1754"/>
      <c r="Q40" s="2847"/>
      <c r="R40" s="2847"/>
      <c r="W40" s="2847"/>
      <c r="Z40" s="1755"/>
      <c r="AF40" s="2843"/>
      <c r="AG40" s="2843"/>
      <c r="AH40" s="2843"/>
      <c r="AI40" s="2843"/>
      <c r="AJ40" s="2843"/>
      <c r="AK40" s="2371">
        <v>23</v>
      </c>
    </row>
    <row s="67502" customFormat="1" customHeight="1" ht="35.699999999999996">
      <c r="A41" s="65900"/>
      <c r="B41" s="66852"/>
      <c r="C41" s="65923"/>
      <c r="D41" s="67332"/>
      <c r="E41" s="66060" t="s">
        <v>968</v>
      </c>
      <c r="F41" s="66143" t="s">
        <v>969</v>
      </c>
      <c r="G41" s="66281" t="s">
        <v>929</v>
      </c>
      <c r="H41" s="65874" t="s">
        <v>22</v>
      </c>
      <c r="I41" s="65874" t="s">
        <v>22</v>
      </c>
      <c r="J41" s="65874" t="s">
        <v>22</v>
      </c>
      <c r="K41" s="65874" t="s">
        <v>22</v>
      </c>
      <c r="L41" s="65874" t="s">
        <v>22</v>
      </c>
      <c r="M41" s="65874" t="s">
        <v>22</v>
      </c>
      <c r="N41" s="65874" t="s">
        <v>22</v>
      </c>
      <c r="O41" s="66869" t="s">
        <v>970</v>
      </c>
      <c r="P41" s="65876"/>
      <c r="Q41" s="65923"/>
      <c r="R41" s="65923"/>
      <c r="S41" s="66852"/>
      <c r="T41" s="66852"/>
      <c r="U41" s="66852"/>
      <c r="V41" s="66852"/>
      <c r="W41" s="65923"/>
      <c r="X41" s="66852"/>
      <c r="Y41" s="66852"/>
      <c r="Z41" s="65901"/>
      <c r="AA41" s="66852"/>
      <c r="AB41" s="66852"/>
      <c r="AC41" s="66852"/>
      <c r="AD41" s="66852"/>
      <c r="AE41" s="66852"/>
      <c r="AF41" s="67156"/>
      <c r="AG41" s="67156"/>
      <c r="AH41" s="67156"/>
      <c r="AI41" s="67156"/>
      <c r="AJ41" s="67156"/>
      <c r="AK41" s="66903">
        <v>34</v>
      </c>
    </row>
    <row s="67502" customFormat="1" customHeight="1" ht="48.29999999999999">
      <c r="A42" s="65900"/>
      <c r="B42" s="66852"/>
      <c r="C42" s="65923"/>
      <c r="D42" s="67332"/>
      <c r="E42" s="66060" t="s">
        <v>971</v>
      </c>
      <c r="F42" s="66143" t="s">
        <v>972</v>
      </c>
      <c r="G42" s="66281" t="s">
        <v>929</v>
      </c>
      <c r="H42" s="65874" t="s">
        <v>22</v>
      </c>
      <c r="I42" s="65874" t="s">
        <v>22</v>
      </c>
      <c r="J42" s="65874" t="s">
        <v>22</v>
      </c>
      <c r="K42" s="65874" t="s">
        <v>22</v>
      </c>
      <c r="L42" s="65874" t="s">
        <v>22</v>
      </c>
      <c r="M42" s="65874" t="s">
        <v>22</v>
      </c>
      <c r="N42" s="65874" t="s">
        <v>22</v>
      </c>
      <c r="O42" s="66869" t="s">
        <v>973</v>
      </c>
      <c r="P42" s="65876"/>
      <c r="Q42" s="65923"/>
      <c r="R42" s="65923"/>
      <c r="S42" s="66852"/>
      <c r="T42" s="66852"/>
      <c r="U42" s="66852"/>
      <c r="V42" s="66852"/>
      <c r="W42" s="65923"/>
      <c r="X42" s="66852"/>
      <c r="Y42" s="66852"/>
      <c r="Z42" s="65901"/>
      <c r="AA42" s="66852"/>
      <c r="AB42" s="66852"/>
      <c r="AC42" s="66852"/>
      <c r="AD42" s="66852"/>
      <c r="AE42" s="66852"/>
      <c r="AF42" s="67156"/>
      <c r="AG42" s="67156"/>
      <c r="AH42" s="67156"/>
      <c r="AI42" s="67156"/>
      <c r="AJ42" s="67156"/>
      <c r="AK42" s="66903">
        <v>46</v>
      </c>
    </row>
    <row customHeight="1" ht="11.549999999999999">
      <c r="D43" s="2849"/>
      <c r="J43" s="13315"/>
      <c r="K43" s="13315"/>
      <c r="L43" s="13315"/>
      <c r="M43" s="13315"/>
      <c r="N43" s="13315"/>
      <c r="AK43" s="2842">
        <v>11</v>
      </c>
    </row>
    <row customHeight="1" ht="27.299999999999997">
      <c r="D44" s="2849"/>
      <c r="E44" s="2464" t="s">
        <v>974</v>
      </c>
      <c r="F44" s="3496" t="s">
        <v>975</v>
      </c>
      <c r="G44" s="3496"/>
      <c r="H44" s="1580"/>
      <c r="I44" s="1580"/>
      <c r="J44" s="13493"/>
      <c r="K44" s="13493"/>
      <c r="L44" s="13493"/>
      <c r="M44" s="13493"/>
      <c r="N44" s="13493"/>
      <c r="O44" s="1580"/>
      <c r="AK44" s="2842">
        <v>26</v>
      </c>
    </row>
    <row s="65897" customFormat="1" customHeight="1" ht="39.75">
      <c r="A45" s="2198"/>
      <c r="B45" s="2847"/>
      <c r="C45" s="2847"/>
      <c r="D45" s="1562"/>
      <c r="F45" s="3496" t="s">
        <v>976</v>
      </c>
      <c r="G45" s="3496"/>
      <c r="H45" s="1580"/>
      <c r="I45" s="1580"/>
      <c r="J45" s="13493"/>
      <c r="K45" s="13493"/>
      <c r="L45" s="13493"/>
      <c r="M45" s="13493"/>
      <c r="N45" s="13493"/>
      <c r="O45" s="1580"/>
      <c r="P45" s="2371"/>
      <c r="Q45" s="2847"/>
      <c r="R45" s="2847"/>
      <c r="S45" s="2371"/>
      <c r="T45" s="2371"/>
      <c r="U45" s="2371"/>
      <c r="V45" s="2371"/>
      <c r="W45" s="2847"/>
      <c r="X45" s="2371"/>
      <c r="Y45" s="2371"/>
      <c r="Z45" s="1755"/>
      <c r="AA45" s="2371"/>
      <c r="AB45" s="2371"/>
      <c r="AC45" s="2371"/>
      <c r="AD45" s="2371"/>
      <c r="AE45" s="2371"/>
      <c r="AF45" s="2843"/>
      <c r="AG45" s="1777"/>
      <c r="AH45" s="1777"/>
      <c r="AI45" s="1777"/>
      <c r="AJ45" s="1777"/>
      <c r="AK45" s="2852">
        <v>38</v>
      </c>
    </row>
    <row s="65897" customFormat="1" customHeight="1" ht="11.549999999999999">
      <c r="A46" s="2198"/>
      <c r="B46" s="2847"/>
      <c r="C46" s="2847"/>
      <c r="D46" s="1562"/>
      <c r="J46" s="13495"/>
      <c r="K46" s="13495"/>
      <c r="L46" s="13495"/>
      <c r="M46" s="13495"/>
      <c r="N46" s="13495"/>
      <c r="P46" s="2371"/>
      <c r="Q46" s="2847"/>
      <c r="R46" s="2847"/>
      <c r="S46" s="2371"/>
      <c r="T46" s="2371"/>
      <c r="U46" s="2371"/>
      <c r="V46" s="2371"/>
      <c r="W46" s="2847"/>
      <c r="X46" s="2371"/>
      <c r="Y46" s="2371"/>
      <c r="Z46" s="1755"/>
      <c r="AA46" s="2371"/>
      <c r="AB46" s="2371"/>
      <c r="AC46" s="2371"/>
      <c r="AD46" s="2371"/>
      <c r="AE46" s="2371"/>
      <c r="AF46" s="2843"/>
      <c r="AG46" s="1777"/>
      <c r="AH46" s="1777"/>
      <c r="AI46" s="1777"/>
      <c r="AJ46" s="1777"/>
      <c r="AK46" s="2852">
        <v>11</v>
      </c>
    </row>
    <row s="65897" customFormat="1" customHeight="1" ht="11.549999999999999">
      <c r="A47" s="2198"/>
      <c r="B47" s="2847"/>
      <c r="C47" s="2847"/>
      <c r="D47" s="1562"/>
      <c r="J47" s="13495"/>
      <c r="K47" s="13495"/>
      <c r="L47" s="13495"/>
      <c r="M47" s="13495"/>
      <c r="N47" s="13495"/>
      <c r="P47" s="2371"/>
      <c r="Q47" s="2847"/>
      <c r="R47" s="2847"/>
      <c r="S47" s="2371"/>
      <c r="T47" s="2371"/>
      <c r="U47" s="2371"/>
      <c r="V47" s="2371"/>
      <c r="W47" s="2847"/>
      <c r="X47" s="2371"/>
      <c r="Y47" s="2371"/>
      <c r="Z47" s="1755"/>
      <c r="AA47" s="2371"/>
      <c r="AB47" s="2371"/>
      <c r="AC47" s="2371"/>
      <c r="AD47" s="2371"/>
      <c r="AE47" s="2371"/>
      <c r="AF47" s="2843"/>
      <c r="AG47" s="1777"/>
      <c r="AH47" s="1777"/>
      <c r="AI47" s="1777"/>
      <c r="AJ47" s="1777"/>
      <c r="AK47" s="2852">
        <v>11</v>
      </c>
    </row>
    <row s="65897" customFormat="1" customHeight="1" ht="11.549999999999999">
      <c r="A48" s="2198"/>
      <c r="B48" s="2847"/>
      <c r="C48" s="2847"/>
      <c r="D48" s="1562"/>
      <c r="H48" s="1777"/>
      <c r="I48" s="1777"/>
      <c r="J48" s="13496"/>
      <c r="K48" s="13496"/>
      <c r="L48" s="13496"/>
      <c r="M48" s="13496"/>
      <c r="N48" s="13496"/>
      <c r="P48" s="2371"/>
      <c r="Q48" s="2847"/>
      <c r="R48" s="2847"/>
      <c r="S48" s="2371"/>
      <c r="T48" s="2371"/>
      <c r="U48" s="2371"/>
      <c r="V48" s="2371"/>
      <c r="W48" s="2847"/>
      <c r="X48" s="2371"/>
      <c r="Y48" s="2371"/>
      <c r="Z48" s="1755"/>
      <c r="AA48" s="2371"/>
      <c r="AB48" s="2371"/>
      <c r="AC48" s="2371"/>
      <c r="AD48" s="2371"/>
      <c r="AE48" s="2371"/>
      <c r="AF48" s="2843"/>
      <c r="AG48" s="1777"/>
      <c r="AH48" s="1777"/>
      <c r="AI48" s="1777"/>
      <c r="AJ48" s="1777"/>
      <c r="AK48" s="2852">
        <v>11</v>
      </c>
    </row>
    <row s="65897" customFormat="1" customHeight="1" ht="11.549999999999999">
      <c r="A49" s="2198"/>
      <c r="B49" s="2847"/>
      <c r="C49" s="2847"/>
      <c r="D49" s="1562"/>
      <c r="J49" s="13495"/>
      <c r="K49" s="13495"/>
      <c r="L49" s="13495"/>
      <c r="M49" s="13495"/>
      <c r="N49" s="13495"/>
      <c r="P49" s="2371"/>
      <c r="Q49" s="2847"/>
      <c r="R49" s="2847"/>
      <c r="S49" s="2371"/>
      <c r="T49" s="2371"/>
      <c r="U49" s="2371"/>
      <c r="V49" s="2371"/>
      <c r="W49" s="2847"/>
      <c r="X49" s="2371"/>
      <c r="Y49" s="2371"/>
      <c r="Z49" s="1755"/>
      <c r="AA49" s="2371"/>
      <c r="AB49" s="2371"/>
      <c r="AC49" s="2371"/>
      <c r="AD49" s="2371"/>
      <c r="AE49" s="2371"/>
      <c r="AF49" s="2843"/>
      <c r="AG49" s="1777"/>
      <c r="AH49" s="1777"/>
      <c r="AI49" s="1777"/>
      <c r="AJ49" s="1777"/>
      <c r="AK49" s="2852">
        <v>11</v>
      </c>
    </row>
    <row s="65897" customFormat="1" customHeight="1" ht="11.549999999999999">
      <c r="A50" s="2198"/>
      <c r="B50" s="2847"/>
      <c r="C50" s="2847"/>
      <c r="D50" s="1562"/>
      <c r="J50" s="13495"/>
      <c r="K50" s="13495"/>
      <c r="L50" s="13495"/>
      <c r="M50" s="13495"/>
      <c r="N50" s="13495"/>
      <c r="P50" s="2371"/>
      <c r="Q50" s="2847"/>
      <c r="R50" s="2847"/>
      <c r="S50" s="2371"/>
      <c r="T50" s="2371"/>
      <c r="U50" s="2371"/>
      <c r="V50" s="2371"/>
      <c r="W50" s="2847"/>
      <c r="X50" s="2371"/>
      <c r="Y50" s="2371"/>
      <c r="Z50" s="1755"/>
      <c r="AA50" s="2371"/>
      <c r="AB50" s="2371"/>
      <c r="AC50" s="2371"/>
      <c r="AD50" s="2371"/>
      <c r="AE50" s="2371"/>
      <c r="AF50" s="2843"/>
      <c r="AG50" s="1777"/>
      <c r="AH50" s="1777"/>
      <c r="AI50" s="1777"/>
      <c r="AJ50" s="1777"/>
      <c r="AK50" s="2852">
        <v>11</v>
      </c>
    </row>
    <row s="65897" customFormat="1" customHeight="1" ht="11.549999999999999">
      <c r="A51" s="2198"/>
      <c r="B51" s="2847"/>
      <c r="C51" s="2847"/>
      <c r="D51" s="1562"/>
      <c r="J51" s="13495"/>
      <c r="K51" s="13495"/>
      <c r="L51" s="13495"/>
      <c r="M51" s="13495"/>
      <c r="N51" s="13495"/>
      <c r="P51" s="2371"/>
      <c r="Q51" s="2847"/>
      <c r="R51" s="2847"/>
      <c r="S51" s="2371"/>
      <c r="T51" s="2371"/>
      <c r="U51" s="2371"/>
      <c r="V51" s="2371"/>
      <c r="W51" s="2847"/>
      <c r="X51" s="2371"/>
      <c r="Y51" s="2371"/>
      <c r="Z51" s="1755"/>
      <c r="AA51" s="2371"/>
      <c r="AB51" s="2371"/>
      <c r="AC51" s="2371"/>
      <c r="AD51" s="2371"/>
      <c r="AE51" s="2371"/>
      <c r="AF51" s="2843"/>
      <c r="AG51" s="1777"/>
      <c r="AH51" s="1777"/>
      <c r="AI51" s="1777"/>
      <c r="AJ51" s="1777"/>
      <c r="AK51" s="2852">
        <v>11</v>
      </c>
    </row>
    <row s="65897" customFormat="1" customHeight="1" ht="11.549999999999999">
      <c r="A52" s="2198"/>
      <c r="B52" s="2847"/>
      <c r="C52" s="2847"/>
      <c r="D52" s="1562"/>
      <c r="J52" s="13495"/>
      <c r="K52" s="13495"/>
      <c r="L52" s="13495"/>
      <c r="M52" s="13495"/>
      <c r="N52" s="13495"/>
      <c r="P52" s="2371"/>
      <c r="Q52" s="2847"/>
      <c r="R52" s="2847"/>
      <c r="S52" s="2371"/>
      <c r="T52" s="2371"/>
      <c r="U52" s="2371"/>
      <c r="V52" s="2371"/>
      <c r="W52" s="2847"/>
      <c r="X52" s="2371"/>
      <c r="Y52" s="2371"/>
      <c r="Z52" s="1755"/>
      <c r="AA52" s="2371"/>
      <c r="AB52" s="2371"/>
      <c r="AC52" s="2371"/>
      <c r="AD52" s="2371"/>
      <c r="AE52" s="2371"/>
      <c r="AF52" s="2843"/>
      <c r="AG52" s="1777"/>
      <c r="AH52" s="1777"/>
      <c r="AI52" s="1777"/>
      <c r="AJ52" s="1777"/>
      <c r="AK52" s="2852">
        <v>11</v>
      </c>
    </row>
    <row s="65897" customFormat="1" customHeight="1" ht="11.549999999999999">
      <c r="A53" s="2198"/>
      <c r="B53" s="2847"/>
      <c r="C53" s="2847"/>
      <c r="D53" s="1562"/>
      <c r="J53" s="13495"/>
      <c r="K53" s="13495"/>
      <c r="L53" s="13495"/>
      <c r="M53" s="13495"/>
      <c r="N53" s="13495"/>
      <c r="P53" s="2371"/>
      <c r="Q53" s="2847"/>
      <c r="R53" s="2847"/>
      <c r="S53" s="2371"/>
      <c r="T53" s="2371"/>
      <c r="U53" s="2371"/>
      <c r="V53" s="2371"/>
      <c r="W53" s="2847"/>
      <c r="X53" s="2371"/>
      <c r="Y53" s="2371"/>
      <c r="Z53" s="1755"/>
      <c r="AA53" s="2371"/>
      <c r="AB53" s="2371"/>
      <c r="AC53" s="2371"/>
      <c r="AD53" s="2371"/>
      <c r="AE53" s="2371"/>
      <c r="AF53" s="2843"/>
      <c r="AG53" s="1777"/>
      <c r="AH53" s="1777"/>
      <c r="AI53" s="1777"/>
      <c r="AJ53" s="1777"/>
      <c r="AK53" s="2852">
        <v>11</v>
      </c>
    </row>
    <row s="65897" customFormat="1" customHeight="1" ht="11.549999999999999">
      <c r="A54" s="2198"/>
      <c r="B54" s="2847"/>
      <c r="C54" s="2847"/>
      <c r="D54" s="1562"/>
      <c r="J54" s="13495"/>
      <c r="K54" s="13495"/>
      <c r="L54" s="13495"/>
      <c r="M54" s="13495"/>
      <c r="N54" s="13495"/>
      <c r="P54" s="2371"/>
      <c r="Q54" s="2847"/>
      <c r="R54" s="2847"/>
      <c r="S54" s="2371"/>
      <c r="T54" s="2371"/>
      <c r="U54" s="2371"/>
      <c r="V54" s="2371"/>
      <c r="W54" s="2847"/>
      <c r="X54" s="2371"/>
      <c r="Y54" s="2371"/>
      <c r="Z54" s="1755"/>
      <c r="AA54" s="2371"/>
      <c r="AB54" s="2371"/>
      <c r="AC54" s="2371"/>
      <c r="AD54" s="2371"/>
      <c r="AE54" s="2371"/>
      <c r="AF54" s="2843"/>
      <c r="AG54" s="1777"/>
      <c r="AH54" s="1777"/>
      <c r="AI54" s="1777"/>
      <c r="AJ54" s="1777"/>
      <c r="AK54" s="2852">
        <v>11</v>
      </c>
    </row>
    <row s="65897" customFormat="1" customHeight="1" ht="11.549999999999999">
      <c r="A55" s="2198"/>
      <c r="B55" s="2847"/>
      <c r="C55" s="2847"/>
      <c r="D55" s="1562"/>
      <c r="J55" s="13495"/>
      <c r="K55" s="13495"/>
      <c r="L55" s="13495"/>
      <c r="M55" s="13495"/>
      <c r="N55" s="13495"/>
      <c r="P55" s="2371"/>
      <c r="Q55" s="2847"/>
      <c r="R55" s="2847"/>
      <c r="S55" s="2371"/>
      <c r="T55" s="2371"/>
      <c r="U55" s="2371"/>
      <c r="V55" s="2371"/>
      <c r="W55" s="2847"/>
      <c r="X55" s="2371"/>
      <c r="Y55" s="2371"/>
      <c r="Z55" s="1755"/>
      <c r="AA55" s="2371"/>
      <c r="AB55" s="2371"/>
      <c r="AC55" s="2371"/>
      <c r="AD55" s="2371"/>
      <c r="AE55" s="2371"/>
      <c r="AF55" s="2843"/>
      <c r="AG55" s="1777"/>
      <c r="AH55" s="1777"/>
      <c r="AI55" s="1777"/>
      <c r="AJ55" s="1777"/>
      <c r="AK55" s="2852">
        <v>11</v>
      </c>
    </row>
    <row s="65897" customFormat="1" customHeight="1" ht="11.549999999999999">
      <c r="A56" s="2198"/>
      <c r="B56" s="2847"/>
      <c r="C56" s="2847"/>
      <c r="D56" s="1562"/>
      <c r="J56" s="13495"/>
      <c r="K56" s="13495"/>
      <c r="L56" s="13495"/>
      <c r="M56" s="13495"/>
      <c r="N56" s="13495"/>
      <c r="P56" s="2371"/>
      <c r="Q56" s="2847"/>
      <c r="R56" s="2847"/>
      <c r="S56" s="2371"/>
      <c r="T56" s="2371"/>
      <c r="U56" s="2371"/>
      <c r="V56" s="2371"/>
      <c r="W56" s="2847"/>
      <c r="X56" s="2371"/>
      <c r="Y56" s="2371"/>
      <c r="Z56" s="1755"/>
      <c r="AA56" s="2371"/>
      <c r="AB56" s="2371"/>
      <c r="AC56" s="2371"/>
      <c r="AD56" s="2371"/>
      <c r="AE56" s="2371"/>
      <c r="AF56" s="2843"/>
      <c r="AG56" s="1777"/>
      <c r="AH56" s="1777"/>
      <c r="AI56" s="1777"/>
      <c r="AJ56" s="1777"/>
      <c r="AK56" s="2852">
        <v>11</v>
      </c>
    </row>
    <row s="65897" customFormat="1" customHeight="1" ht="11.549999999999999">
      <c r="A57" s="2198"/>
      <c r="B57" s="2847"/>
      <c r="C57" s="2847"/>
      <c r="D57" s="1562"/>
      <c r="J57" s="13495"/>
      <c r="K57" s="13495"/>
      <c r="L57" s="13495"/>
      <c r="M57" s="13495"/>
      <c r="N57" s="13495"/>
      <c r="P57" s="2371"/>
      <c r="Q57" s="2847"/>
      <c r="R57" s="2847"/>
      <c r="S57" s="2371"/>
      <c r="T57" s="2371"/>
      <c r="U57" s="2371"/>
      <c r="V57" s="2371"/>
      <c r="W57" s="2847"/>
      <c r="X57" s="2371"/>
      <c r="Y57" s="2371"/>
      <c r="Z57" s="1755"/>
      <c r="AA57" s="2371"/>
      <c r="AB57" s="2371"/>
      <c r="AC57" s="2371"/>
      <c r="AD57" s="2371"/>
      <c r="AE57" s="2371"/>
      <c r="AF57" s="2843"/>
      <c r="AG57" s="1777"/>
      <c r="AH57" s="1777"/>
      <c r="AI57" s="1777"/>
      <c r="AJ57" s="1777"/>
      <c r="AK57" s="2852">
        <v>11</v>
      </c>
    </row>
    <row s="65897" customFormat="1" customHeight="1" ht="11.549999999999999">
      <c r="A58" s="2198"/>
      <c r="B58" s="2847"/>
      <c r="C58" s="2847"/>
      <c r="D58" s="1562"/>
      <c r="J58" s="13495"/>
      <c r="K58" s="13495"/>
      <c r="L58" s="13495"/>
      <c r="M58" s="13495"/>
      <c r="N58" s="13495"/>
      <c r="P58" s="2371"/>
      <c r="Q58" s="2847"/>
      <c r="R58" s="2847"/>
      <c r="S58" s="2371"/>
      <c r="T58" s="2371"/>
      <c r="U58" s="2371"/>
      <c r="V58" s="2371"/>
      <c r="W58" s="2847"/>
      <c r="X58" s="2371"/>
      <c r="Y58" s="2371"/>
      <c r="Z58" s="1755"/>
      <c r="AA58" s="2371"/>
      <c r="AB58" s="2371"/>
      <c r="AC58" s="2371"/>
      <c r="AD58" s="2371"/>
      <c r="AE58" s="2371"/>
      <c r="AF58" s="2843"/>
      <c r="AG58" s="1777"/>
      <c r="AH58" s="1777"/>
      <c r="AI58" s="1777"/>
      <c r="AJ58" s="1777"/>
      <c r="AK58" s="2852">
        <v>11</v>
      </c>
    </row>
    <row s="65897" customFormat="1" customHeight="1" ht="11.549999999999999">
      <c r="A59" s="2198"/>
      <c r="B59" s="2847"/>
      <c r="C59" s="2847"/>
      <c r="D59" s="1562"/>
      <c r="J59" s="13495"/>
      <c r="K59" s="13495"/>
      <c r="L59" s="13495"/>
      <c r="M59" s="13495"/>
      <c r="N59" s="13495"/>
      <c r="P59" s="2371"/>
      <c r="Q59" s="2847"/>
      <c r="R59" s="2847"/>
      <c r="S59" s="2371"/>
      <c r="T59" s="2371"/>
      <c r="U59" s="2371"/>
      <c r="V59" s="2371"/>
      <c r="W59" s="2847"/>
      <c r="X59" s="2371"/>
      <c r="Y59" s="2371"/>
      <c r="Z59" s="1755"/>
      <c r="AA59" s="2371"/>
      <c r="AB59" s="2371"/>
      <c r="AC59" s="2371"/>
      <c r="AD59" s="2371"/>
      <c r="AE59" s="2371"/>
      <c r="AF59" s="2843"/>
      <c r="AG59" s="1777"/>
      <c r="AH59" s="1777"/>
      <c r="AI59" s="1777"/>
      <c r="AJ59" s="1777"/>
      <c r="AK59" s="2852">
        <v>11</v>
      </c>
    </row>
    <row s="65897" customFormat="1" customHeight="1" ht="11.549999999999999">
      <c r="A60" s="2198"/>
      <c r="B60" s="2847"/>
      <c r="C60" s="2847"/>
      <c r="D60" s="1562"/>
      <c r="J60" s="13495"/>
      <c r="K60" s="13495"/>
      <c r="L60" s="13495"/>
      <c r="M60" s="13495"/>
      <c r="N60" s="13495"/>
      <c r="P60" s="2371"/>
      <c r="Q60" s="2847"/>
      <c r="R60" s="2847"/>
      <c r="S60" s="2371"/>
      <c r="T60" s="2371"/>
      <c r="U60" s="2371"/>
      <c r="V60" s="2371"/>
      <c r="W60" s="2847"/>
      <c r="X60" s="2371"/>
      <c r="Y60" s="2371"/>
      <c r="Z60" s="1755"/>
      <c r="AA60" s="2371"/>
      <c r="AB60" s="2371"/>
      <c r="AC60" s="2371"/>
      <c r="AD60" s="2371"/>
      <c r="AE60" s="2371"/>
      <c r="AF60" s="2843"/>
      <c r="AG60" s="1777"/>
      <c r="AH60" s="1777"/>
      <c r="AI60" s="1777"/>
      <c r="AJ60" s="1777"/>
      <c r="AK60" s="2852">
        <v>11</v>
      </c>
    </row>
    <row s="65897" customFormat="1" customHeight="1" ht="11.549999999999999">
      <c r="A61" s="2198"/>
      <c r="B61" s="2847"/>
      <c r="C61" s="2847"/>
      <c r="D61" s="1562"/>
      <c r="J61" s="13495"/>
      <c r="K61" s="13495"/>
      <c r="L61" s="13495"/>
      <c r="M61" s="13495"/>
      <c r="N61" s="13495"/>
      <c r="P61" s="2371"/>
      <c r="Q61" s="2847"/>
      <c r="R61" s="2847"/>
      <c r="S61" s="2371"/>
      <c r="T61" s="2371"/>
      <c r="U61" s="2371"/>
      <c r="V61" s="2371"/>
      <c r="W61" s="2847"/>
      <c r="X61" s="2371"/>
      <c r="Y61" s="2371"/>
      <c r="Z61" s="1755"/>
      <c r="AA61" s="2371"/>
      <c r="AB61" s="2371"/>
      <c r="AC61" s="2371"/>
      <c r="AD61" s="2371"/>
      <c r="AE61" s="2371"/>
      <c r="AF61" s="2843"/>
      <c r="AG61" s="1777"/>
      <c r="AH61" s="1777"/>
      <c r="AI61" s="1777"/>
      <c r="AJ61" s="1777"/>
      <c r="AK61" s="2852">
        <v>11</v>
      </c>
    </row>
    <row s="65897" customFormat="1" customHeight="1" ht="11.549999999999999">
      <c r="A62" s="2198"/>
      <c r="B62" s="2847"/>
      <c r="C62" s="2847"/>
      <c r="D62" s="1562"/>
      <c r="J62" s="13495"/>
      <c r="K62" s="13495"/>
      <c r="L62" s="13495"/>
      <c r="M62" s="13495"/>
      <c r="N62" s="13495"/>
      <c r="P62" s="2371"/>
      <c r="Q62" s="2847"/>
      <c r="R62" s="2847"/>
      <c r="S62" s="2371"/>
      <c r="T62" s="2371"/>
      <c r="U62" s="2371"/>
      <c r="V62" s="2371"/>
      <c r="W62" s="2847"/>
      <c r="X62" s="2371"/>
      <c r="Y62" s="2371"/>
      <c r="Z62" s="1755"/>
      <c r="AA62" s="2371"/>
      <c r="AB62" s="2371"/>
      <c r="AC62" s="2371"/>
      <c r="AD62" s="2371"/>
      <c r="AE62" s="2371"/>
      <c r="AF62" s="2843"/>
      <c r="AG62" s="1777"/>
      <c r="AH62" s="1777"/>
      <c r="AI62" s="1777"/>
      <c r="AJ62" s="1777"/>
      <c r="AK62" s="2852">
        <v>11</v>
      </c>
    </row>
    <row s="65897" customFormat="1" customHeight="1" ht="11.549999999999999">
      <c r="A63" s="2198"/>
      <c r="B63" s="2847"/>
      <c r="C63" s="2847"/>
      <c r="D63" s="1562"/>
      <c r="J63" s="13495"/>
      <c r="K63" s="13495"/>
      <c r="L63" s="13495"/>
      <c r="M63" s="13495"/>
      <c r="N63" s="13495"/>
      <c r="P63" s="2371"/>
      <c r="Q63" s="2847"/>
      <c r="R63" s="2847"/>
      <c r="S63" s="2371"/>
      <c r="T63" s="2371"/>
      <c r="U63" s="2371"/>
      <c r="V63" s="2371"/>
      <c r="W63" s="2847"/>
      <c r="X63" s="2371"/>
      <c r="Y63" s="2371"/>
      <c r="Z63" s="1755"/>
      <c r="AA63" s="2371"/>
      <c r="AB63" s="2371"/>
      <c r="AC63" s="2371"/>
      <c r="AD63" s="2371"/>
      <c r="AE63" s="2371"/>
      <c r="AF63" s="2843"/>
      <c r="AG63" s="1777"/>
      <c r="AH63" s="1777"/>
      <c r="AI63" s="1777"/>
      <c r="AJ63" s="1777"/>
      <c r="AK63" s="2852">
        <v>11</v>
      </c>
    </row>
    <row s="65897" customFormat="1" customHeight="1" ht="11.549999999999999">
      <c r="A64" s="2198"/>
      <c r="B64" s="2847"/>
      <c r="C64" s="2847"/>
      <c r="D64" s="1562"/>
      <c r="J64" s="13495"/>
      <c r="K64" s="13495"/>
      <c r="L64" s="13495"/>
      <c r="M64" s="13495"/>
      <c r="N64" s="13495"/>
      <c r="P64" s="2371"/>
      <c r="Q64" s="2847"/>
      <c r="R64" s="2847"/>
      <c r="S64" s="2371"/>
      <c r="T64" s="2371"/>
      <c r="U64" s="2371"/>
      <c r="V64" s="2371"/>
      <c r="W64" s="2847"/>
      <c r="X64" s="2371"/>
      <c r="Y64" s="2371"/>
      <c r="Z64" s="1755"/>
      <c r="AA64" s="2371"/>
      <c r="AB64" s="2371"/>
      <c r="AC64" s="2371"/>
      <c r="AD64" s="2371"/>
      <c r="AE64" s="2371"/>
      <c r="AF64" s="2843"/>
      <c r="AG64" s="1777"/>
      <c r="AH64" s="1777"/>
      <c r="AI64" s="1777"/>
      <c r="AJ64" s="1777"/>
      <c r="AK64" s="2852">
        <v>11</v>
      </c>
    </row>
    <row s="65897" customFormat="1" customHeight="1" ht="11.549999999999999">
      <c r="A65" s="2198"/>
      <c r="B65" s="2847"/>
      <c r="C65" s="2847"/>
      <c r="D65" s="1562"/>
      <c r="J65" s="13495"/>
      <c r="K65" s="13495"/>
      <c r="L65" s="13495"/>
      <c r="M65" s="13495"/>
      <c r="N65" s="13495"/>
      <c r="P65" s="2371"/>
      <c r="Q65" s="2847"/>
      <c r="R65" s="2847"/>
      <c r="S65" s="2371"/>
      <c r="T65" s="2371"/>
      <c r="U65" s="2371"/>
      <c r="V65" s="2371"/>
      <c r="W65" s="2847"/>
      <c r="X65" s="2371"/>
      <c r="Y65" s="2371"/>
      <c r="Z65" s="1755"/>
      <c r="AA65" s="2371"/>
      <c r="AB65" s="2371"/>
      <c r="AC65" s="2371"/>
      <c r="AD65" s="2371"/>
      <c r="AE65" s="2371"/>
      <c r="AF65" s="2843"/>
      <c r="AG65" s="1777"/>
      <c r="AH65" s="1777"/>
      <c r="AI65" s="1777"/>
      <c r="AJ65" s="1777"/>
      <c r="AK65" s="2852">
        <v>11</v>
      </c>
    </row>
    <row s="65897" customFormat="1" customHeight="1" ht="11.549999999999999">
      <c r="A66" s="2198"/>
      <c r="B66" s="2847"/>
      <c r="C66" s="2847"/>
      <c r="D66" s="1562"/>
      <c r="J66" s="13495"/>
      <c r="K66" s="13495"/>
      <c r="L66" s="13495"/>
      <c r="M66" s="13495"/>
      <c r="N66" s="13495"/>
      <c r="P66" s="2371"/>
      <c r="Q66" s="2847"/>
      <c r="R66" s="2847"/>
      <c r="S66" s="2371"/>
      <c r="T66" s="2371"/>
      <c r="U66" s="2371"/>
      <c r="V66" s="2371"/>
      <c r="W66" s="2847"/>
      <c r="X66" s="2371"/>
      <c r="Y66" s="2371"/>
      <c r="Z66" s="1755"/>
      <c r="AA66" s="2371"/>
      <c r="AB66" s="2371"/>
      <c r="AC66" s="2371"/>
      <c r="AD66" s="2371"/>
      <c r="AE66" s="2371"/>
      <c r="AF66" s="2843"/>
      <c r="AG66" s="1777"/>
      <c r="AH66" s="1777"/>
      <c r="AI66" s="1777"/>
      <c r="AJ66" s="1777"/>
      <c r="AK66" s="2852">
        <v>11</v>
      </c>
    </row>
    <row s="65897" customFormat="1" customHeight="1" ht="11.549999999999999">
      <c r="A67" s="2198"/>
      <c r="B67" s="2847"/>
      <c r="C67" s="2847"/>
      <c r="D67" s="1562"/>
      <c r="J67" s="13495"/>
      <c r="K67" s="13495"/>
      <c r="L67" s="13495"/>
      <c r="M67" s="13495"/>
      <c r="N67" s="13495"/>
      <c r="P67" s="2371"/>
      <c r="Q67" s="2847"/>
      <c r="R67" s="2847"/>
      <c r="S67" s="2371"/>
      <c r="T67" s="2371"/>
      <c r="U67" s="2371"/>
      <c r="V67" s="2371"/>
      <c r="W67" s="2847"/>
      <c r="X67" s="2371"/>
      <c r="Y67" s="2371"/>
      <c r="Z67" s="1755"/>
      <c r="AA67" s="2371"/>
      <c r="AB67" s="2371"/>
      <c r="AC67" s="2371"/>
      <c r="AD67" s="2371"/>
      <c r="AE67" s="2371"/>
      <c r="AF67" s="2843"/>
      <c r="AG67" s="1777"/>
      <c r="AH67" s="1777"/>
      <c r="AI67" s="1777"/>
      <c r="AJ67" s="1777"/>
      <c r="AK67" s="2852">
        <v>11</v>
      </c>
    </row>
    <row s="65897" customFormat="1" customHeight="1" ht="11.549999999999999">
      <c r="A68" s="2198"/>
      <c r="B68" s="2847"/>
      <c r="C68" s="2847"/>
      <c r="D68" s="1562"/>
      <c r="J68" s="13495"/>
      <c r="K68" s="13495"/>
      <c r="L68" s="13495"/>
      <c r="M68" s="13495"/>
      <c r="N68" s="13495"/>
      <c r="P68" s="2371"/>
      <c r="Q68" s="2847"/>
      <c r="R68" s="2847"/>
      <c r="S68" s="2371"/>
      <c r="T68" s="2371"/>
      <c r="U68" s="2371"/>
      <c r="V68" s="2371"/>
      <c r="W68" s="2847"/>
      <c r="X68" s="2371"/>
      <c r="Y68" s="2371"/>
      <c r="Z68" s="1755"/>
      <c r="AA68" s="2371"/>
      <c r="AB68" s="2371"/>
      <c r="AC68" s="2371"/>
      <c r="AD68" s="2371"/>
      <c r="AE68" s="2371"/>
      <c r="AF68" s="2843"/>
      <c r="AG68" s="1777"/>
      <c r="AH68" s="1777"/>
      <c r="AI68" s="1777"/>
      <c r="AJ68" s="1777"/>
      <c r="AK68" s="2852">
        <v>11</v>
      </c>
    </row>
    <row s="65897" customFormat="1" customHeight="1" ht="11.549999999999999">
      <c r="A69" s="2198"/>
      <c r="B69" s="2847"/>
      <c r="C69" s="2847"/>
      <c r="D69" s="1562"/>
      <c r="J69" s="13495"/>
      <c r="K69" s="13495"/>
      <c r="L69" s="13495"/>
      <c r="M69" s="13495"/>
      <c r="N69" s="13495"/>
      <c r="P69" s="2371"/>
      <c r="Q69" s="2847"/>
      <c r="R69" s="2847"/>
      <c r="S69" s="2371"/>
      <c r="T69" s="2371"/>
      <c r="U69" s="2371"/>
      <c r="V69" s="2371"/>
      <c r="W69" s="2847"/>
      <c r="X69" s="2371"/>
      <c r="Y69" s="2371"/>
      <c r="Z69" s="1755"/>
      <c r="AA69" s="2371"/>
      <c r="AB69" s="2371"/>
      <c r="AC69" s="2371"/>
      <c r="AD69" s="2371"/>
      <c r="AE69" s="2371"/>
      <c r="AF69" s="2843"/>
      <c r="AG69" s="1777"/>
      <c r="AH69" s="1777"/>
      <c r="AI69" s="1777"/>
      <c r="AJ69" s="1777"/>
      <c r="AK69" s="2852">
        <v>11</v>
      </c>
    </row>
    <row s="65897" customFormat="1" customHeight="1" ht="11.549999999999999">
      <c r="A70" s="2198"/>
      <c r="B70" s="2847"/>
      <c r="C70" s="2847"/>
      <c r="D70" s="1562"/>
      <c r="J70" s="13495"/>
      <c r="K70" s="13495"/>
      <c r="L70" s="13495"/>
      <c r="M70" s="13495"/>
      <c r="N70" s="13495"/>
      <c r="P70" s="2371"/>
      <c r="Q70" s="2847"/>
      <c r="R70" s="2847"/>
      <c r="S70" s="2371"/>
      <c r="T70" s="2371"/>
      <c r="U70" s="2371"/>
      <c r="V70" s="2371"/>
      <c r="W70" s="2847"/>
      <c r="X70" s="2371"/>
      <c r="Y70" s="2371"/>
      <c r="Z70" s="1755"/>
      <c r="AA70" s="2371"/>
      <c r="AB70" s="2371"/>
      <c r="AC70" s="2371"/>
      <c r="AD70" s="2371"/>
      <c r="AE70" s="2371"/>
      <c r="AF70" s="2843"/>
      <c r="AG70" s="1777"/>
      <c r="AH70" s="1777"/>
      <c r="AI70" s="1777"/>
      <c r="AJ70" s="1777"/>
      <c r="AK70" s="2852">
        <v>11</v>
      </c>
    </row>
    <row s="65897" customFormat="1" customHeight="1" ht="11.549999999999999">
      <c r="A71" s="2198"/>
      <c r="B71" s="2847"/>
      <c r="C71" s="2847"/>
      <c r="D71" s="1562"/>
      <c r="J71" s="13495"/>
      <c r="K71" s="13495"/>
      <c r="L71" s="13495"/>
      <c r="M71" s="13495"/>
      <c r="N71" s="13495"/>
      <c r="P71" s="2371"/>
      <c r="Q71" s="2847"/>
      <c r="R71" s="2847"/>
      <c r="S71" s="2371"/>
      <c r="T71" s="2371"/>
      <c r="U71" s="2371"/>
      <c r="V71" s="2371"/>
      <c r="W71" s="2847"/>
      <c r="X71" s="2371"/>
      <c r="Y71" s="2371"/>
      <c r="Z71" s="1755"/>
      <c r="AA71" s="2371"/>
      <c r="AB71" s="2371"/>
      <c r="AC71" s="2371"/>
      <c r="AD71" s="2371"/>
      <c r="AE71" s="2371"/>
      <c r="AF71" s="2843"/>
      <c r="AG71" s="1777"/>
      <c r="AH71" s="1777"/>
      <c r="AI71" s="1777"/>
      <c r="AJ71" s="1777"/>
      <c r="AK71" s="2852">
        <v>11</v>
      </c>
    </row>
    <row s="65897" customFormat="1" customHeight="1" ht="11.549999999999999">
      <c r="A72" s="2198"/>
      <c r="B72" s="2847"/>
      <c r="C72" s="2847"/>
      <c r="D72" s="1562"/>
      <c r="J72" s="13495"/>
      <c r="K72" s="13495"/>
      <c r="L72" s="13495"/>
      <c r="M72" s="13495"/>
      <c r="N72" s="13495"/>
      <c r="P72" s="2371"/>
      <c r="Q72" s="2847"/>
      <c r="R72" s="2847"/>
      <c r="S72" s="2371"/>
      <c r="T72" s="2371"/>
      <c r="U72" s="2371"/>
      <c r="V72" s="2371"/>
      <c r="W72" s="2847"/>
      <c r="X72" s="2371"/>
      <c r="Y72" s="2371"/>
      <c r="Z72" s="1755"/>
      <c r="AA72" s="2371"/>
      <c r="AB72" s="2371"/>
      <c r="AC72" s="2371"/>
      <c r="AD72" s="2371"/>
      <c r="AE72" s="2371"/>
      <c r="AF72" s="2843"/>
      <c r="AG72" s="1777"/>
      <c r="AH72" s="1777"/>
      <c r="AI72" s="1777"/>
      <c r="AJ72" s="1777"/>
      <c r="AK72" s="2852">
        <v>11</v>
      </c>
    </row>
    <row s="65897" customFormat="1" customHeight="1" ht="11.549999999999999">
      <c r="A73" s="2198"/>
      <c r="B73" s="2847"/>
      <c r="C73" s="2847"/>
      <c r="D73" s="1562"/>
      <c r="J73" s="13495"/>
      <c r="K73" s="13495"/>
      <c r="L73" s="13495"/>
      <c r="M73" s="13495"/>
      <c r="N73" s="13495"/>
      <c r="P73" s="2371"/>
      <c r="Q73" s="2847"/>
      <c r="R73" s="2847"/>
      <c r="S73" s="2371"/>
      <c r="T73" s="2371"/>
      <c r="U73" s="2371"/>
      <c r="V73" s="2371"/>
      <c r="W73" s="2847"/>
      <c r="X73" s="2371"/>
      <c r="Y73" s="2371"/>
      <c r="Z73" s="1755"/>
      <c r="AA73" s="2371"/>
      <c r="AB73" s="2371"/>
      <c r="AC73" s="2371"/>
      <c r="AD73" s="2371"/>
      <c r="AE73" s="2371"/>
      <c r="AF73" s="2843"/>
      <c r="AG73" s="1777"/>
      <c r="AH73" s="1777"/>
      <c r="AI73" s="1777"/>
      <c r="AJ73" s="1777"/>
      <c r="AK73" s="2852">
        <v>11</v>
      </c>
    </row>
    <row s="65897" customFormat="1" customHeight="1" ht="11.549999999999999">
      <c r="A74" s="2198"/>
      <c r="B74" s="2847"/>
      <c r="C74" s="2847"/>
      <c r="D74" s="1562"/>
      <c r="J74" s="13495"/>
      <c r="K74" s="13495"/>
      <c r="L74" s="13495"/>
      <c r="M74" s="13495"/>
      <c r="N74" s="13495"/>
      <c r="P74" s="2371"/>
      <c r="Q74" s="2847"/>
      <c r="R74" s="2847"/>
      <c r="S74" s="2371"/>
      <c r="T74" s="2371"/>
      <c r="U74" s="2371"/>
      <c r="V74" s="2371"/>
      <c r="W74" s="2847"/>
      <c r="X74" s="2371"/>
      <c r="Y74" s="2371"/>
      <c r="Z74" s="1755"/>
      <c r="AA74" s="2371"/>
      <c r="AB74" s="2371"/>
      <c r="AC74" s="2371"/>
      <c r="AD74" s="2371"/>
      <c r="AE74" s="2371"/>
      <c r="AF74" s="2843"/>
      <c r="AG74" s="1777"/>
      <c r="AH74" s="1777"/>
      <c r="AI74" s="1777"/>
      <c r="AJ74" s="1777"/>
      <c r="AK74" s="2852">
        <v>11</v>
      </c>
    </row>
    <row s="65897" customFormat="1" customHeight="1" ht="11.549999999999999">
      <c r="A75" s="2198"/>
      <c r="B75" s="2847"/>
      <c r="C75" s="2847"/>
      <c r="D75" s="1562"/>
      <c r="J75" s="13495"/>
      <c r="K75" s="13495"/>
      <c r="L75" s="13495"/>
      <c r="M75" s="13495"/>
      <c r="N75" s="13495"/>
      <c r="P75" s="2371"/>
      <c r="Q75" s="2847"/>
      <c r="R75" s="2847"/>
      <c r="S75" s="2371"/>
      <c r="T75" s="2371"/>
      <c r="U75" s="2371"/>
      <c r="V75" s="2371"/>
      <c r="W75" s="2847"/>
      <c r="X75" s="2371"/>
      <c r="Y75" s="2371"/>
      <c r="Z75" s="1755"/>
      <c r="AA75" s="2371"/>
      <c r="AB75" s="2371"/>
      <c r="AC75" s="2371"/>
      <c r="AD75" s="2371"/>
      <c r="AE75" s="2371"/>
      <c r="AF75" s="2843"/>
      <c r="AG75" s="1777"/>
      <c r="AH75" s="1777"/>
      <c r="AI75" s="1777"/>
      <c r="AJ75" s="1777"/>
      <c r="AK75" s="2852">
        <v>11</v>
      </c>
    </row>
    <row s="65897" customFormat="1" customHeight="1" ht="11.549999999999999">
      <c r="A76" s="2198"/>
      <c r="B76" s="2847"/>
      <c r="C76" s="2847"/>
      <c r="D76" s="1562"/>
      <c r="J76" s="13495"/>
      <c r="K76" s="13495"/>
      <c r="L76" s="13495"/>
      <c r="M76" s="13495"/>
      <c r="N76" s="13495"/>
      <c r="P76" s="2371"/>
      <c r="Q76" s="2847"/>
      <c r="R76" s="2847"/>
      <c r="S76" s="2371"/>
      <c r="T76" s="2371"/>
      <c r="U76" s="2371"/>
      <c r="V76" s="2371"/>
      <c r="W76" s="2847"/>
      <c r="X76" s="2371"/>
      <c r="Y76" s="2371"/>
      <c r="Z76" s="1755"/>
      <c r="AA76" s="2371"/>
      <c r="AB76" s="2371"/>
      <c r="AC76" s="2371"/>
      <c r="AD76" s="2371"/>
      <c r="AE76" s="2371"/>
      <c r="AF76" s="2843"/>
      <c r="AG76" s="1777"/>
      <c r="AH76" s="1777"/>
      <c r="AI76" s="1777"/>
      <c r="AJ76" s="1777"/>
      <c r="AK76" s="2852">
        <v>11</v>
      </c>
    </row>
    <row s="65897" customFormat="1" customHeight="1" ht="11.549999999999999">
      <c r="A77" s="2198"/>
      <c r="B77" s="2847"/>
      <c r="C77" s="2847"/>
      <c r="D77" s="1562"/>
      <c r="J77" s="13495"/>
      <c r="K77" s="13495"/>
      <c r="L77" s="13495"/>
      <c r="M77" s="13495"/>
      <c r="N77" s="13495"/>
      <c r="P77" s="2371"/>
      <c r="Q77" s="2847"/>
      <c r="R77" s="2847"/>
      <c r="S77" s="2371"/>
      <c r="T77" s="2371"/>
      <c r="U77" s="2371"/>
      <c r="V77" s="2371"/>
      <c r="W77" s="2847"/>
      <c r="X77" s="2371"/>
      <c r="Y77" s="2371"/>
      <c r="Z77" s="1755"/>
      <c r="AA77" s="2371"/>
      <c r="AB77" s="2371"/>
      <c r="AC77" s="2371"/>
      <c r="AD77" s="2371"/>
      <c r="AE77" s="2371"/>
      <c r="AF77" s="2843"/>
      <c r="AG77" s="1777"/>
      <c r="AH77" s="1777"/>
      <c r="AI77" s="1777"/>
      <c r="AJ77" s="1777"/>
      <c r="AK77" s="2852">
        <v>11</v>
      </c>
    </row>
    <row s="65897" customFormat="1" customHeight="1" ht="11.549999999999999">
      <c r="A78" s="2198"/>
      <c r="B78" s="2847"/>
      <c r="C78" s="2847"/>
      <c r="D78" s="1562"/>
      <c r="J78" s="13495"/>
      <c r="K78" s="13495"/>
      <c r="L78" s="13495"/>
      <c r="M78" s="13495"/>
      <c r="N78" s="13495"/>
      <c r="P78" s="2371"/>
      <c r="Q78" s="2847"/>
      <c r="R78" s="2847"/>
      <c r="S78" s="2371"/>
      <c r="T78" s="2371"/>
      <c r="U78" s="2371"/>
      <c r="V78" s="2371"/>
      <c r="W78" s="2847"/>
      <c r="X78" s="2371"/>
      <c r="Y78" s="2371"/>
      <c r="Z78" s="1755"/>
      <c r="AA78" s="2371"/>
      <c r="AB78" s="2371"/>
      <c r="AC78" s="2371"/>
      <c r="AD78" s="2371"/>
      <c r="AE78" s="2371"/>
      <c r="AF78" s="2843"/>
      <c r="AG78" s="1777"/>
      <c r="AH78" s="1777"/>
      <c r="AI78" s="1777"/>
      <c r="AJ78" s="1777"/>
      <c r="AK78" s="2852">
        <v>11</v>
      </c>
    </row>
    <row s="65897" customFormat="1" customHeight="1" ht="11.549999999999999">
      <c r="A79" s="2198"/>
      <c r="B79" s="2847"/>
      <c r="C79" s="2847"/>
      <c r="D79" s="1562"/>
      <c r="J79" s="13495"/>
      <c r="K79" s="13495"/>
      <c r="L79" s="13495"/>
      <c r="M79" s="13495"/>
      <c r="N79" s="13495"/>
      <c r="P79" s="2371"/>
      <c r="Q79" s="2847"/>
      <c r="R79" s="2847"/>
      <c r="S79" s="2371"/>
      <c r="T79" s="2371"/>
      <c r="U79" s="2371"/>
      <c r="V79" s="2371"/>
      <c r="W79" s="2847"/>
      <c r="X79" s="2371"/>
      <c r="Y79" s="2371"/>
      <c r="Z79" s="1755"/>
      <c r="AA79" s="2371"/>
      <c r="AB79" s="2371"/>
      <c r="AC79" s="2371"/>
      <c r="AD79" s="2371"/>
      <c r="AE79" s="2371"/>
      <c r="AF79" s="2843"/>
      <c r="AG79" s="1777"/>
      <c r="AH79" s="1777"/>
      <c r="AI79" s="1777"/>
      <c r="AJ79" s="1777"/>
      <c r="AK79" s="2852">
        <v>11</v>
      </c>
    </row>
    <row s="65897" customFormat="1" customHeight="1" ht="11.549999999999999">
      <c r="A80" s="2198"/>
      <c r="B80" s="2847"/>
      <c r="C80" s="2847"/>
      <c r="D80" s="1562"/>
      <c r="J80" s="13495"/>
      <c r="K80" s="13495"/>
      <c r="L80" s="13495"/>
      <c r="M80" s="13495"/>
      <c r="N80" s="13495"/>
      <c r="P80" s="2371"/>
      <c r="Q80" s="2847"/>
      <c r="R80" s="2847"/>
      <c r="S80" s="2371"/>
      <c r="T80" s="2371"/>
      <c r="U80" s="2371"/>
      <c r="V80" s="2371"/>
      <c r="W80" s="2847"/>
      <c r="X80" s="2371"/>
      <c r="Y80" s="2371"/>
      <c r="Z80" s="1755"/>
      <c r="AA80" s="2371"/>
      <c r="AB80" s="2371"/>
      <c r="AC80" s="2371"/>
      <c r="AD80" s="2371"/>
      <c r="AE80" s="2371"/>
      <c r="AF80" s="2843"/>
      <c r="AG80" s="1777"/>
      <c r="AH80" s="1777"/>
      <c r="AI80" s="1777"/>
      <c r="AJ80" s="1777"/>
      <c r="AK80" s="2852">
        <v>11</v>
      </c>
    </row>
    <row s="65897" customFormat="1" customHeight="1" ht="11.549999999999999">
      <c r="A81" s="2198"/>
      <c r="B81" s="2847"/>
      <c r="C81" s="2847"/>
      <c r="D81" s="1562"/>
      <c r="J81" s="13495"/>
      <c r="K81" s="13495"/>
      <c r="L81" s="13495"/>
      <c r="M81" s="13495"/>
      <c r="N81" s="13495"/>
      <c r="P81" s="2371"/>
      <c r="Q81" s="2847"/>
      <c r="R81" s="2847"/>
      <c r="S81" s="2371"/>
      <c r="T81" s="2371"/>
      <c r="U81" s="2371"/>
      <c r="V81" s="2371"/>
      <c r="W81" s="2847"/>
      <c r="X81" s="2371"/>
      <c r="Y81" s="2371"/>
      <c r="Z81" s="1755"/>
      <c r="AA81" s="2371"/>
      <c r="AB81" s="2371"/>
      <c r="AC81" s="2371"/>
      <c r="AD81" s="2371"/>
      <c r="AE81" s="2371"/>
      <c r="AF81" s="2843"/>
      <c r="AG81" s="1777"/>
      <c r="AH81" s="1777"/>
      <c r="AI81" s="1777"/>
      <c r="AJ81" s="1777"/>
      <c r="AK81" s="2852">
        <v>11</v>
      </c>
    </row>
    <row s="65897" customFormat="1" customHeight="1" ht="11.549999999999999">
      <c r="A82" s="2198"/>
      <c r="B82" s="2847"/>
      <c r="C82" s="2847"/>
      <c r="D82" s="1562"/>
      <c r="J82" s="13495"/>
      <c r="K82" s="13495"/>
      <c r="L82" s="13495"/>
      <c r="M82" s="13495"/>
      <c r="N82" s="13495"/>
      <c r="P82" s="2371"/>
      <c r="Q82" s="2847"/>
      <c r="R82" s="2847"/>
      <c r="S82" s="2371"/>
      <c r="T82" s="2371"/>
      <c r="U82" s="2371"/>
      <c r="V82" s="2371"/>
      <c r="W82" s="2847"/>
      <c r="X82" s="2371"/>
      <c r="Y82" s="2371"/>
      <c r="Z82" s="1755"/>
      <c r="AA82" s="2371"/>
      <c r="AB82" s="2371"/>
      <c r="AC82" s="2371"/>
      <c r="AD82" s="2371"/>
      <c r="AE82" s="2371"/>
      <c r="AF82" s="2843"/>
      <c r="AG82" s="1777"/>
      <c r="AH82" s="1777"/>
      <c r="AI82" s="1777"/>
      <c r="AJ82" s="1777"/>
      <c r="AK82" s="2852">
        <v>11</v>
      </c>
    </row>
    <row s="65897" customFormat="1" customHeight="1" ht="11.549999999999999">
      <c r="A83" s="2198"/>
      <c r="B83" s="2847"/>
      <c r="C83" s="2847"/>
      <c r="D83" s="1562"/>
      <c r="J83" s="13495"/>
      <c r="K83" s="13495"/>
      <c r="L83" s="13495"/>
      <c r="M83" s="13495"/>
      <c r="N83" s="13495"/>
      <c r="P83" s="2371"/>
      <c r="Q83" s="2847"/>
      <c r="R83" s="2847"/>
      <c r="S83" s="2371"/>
      <c r="T83" s="2371"/>
      <c r="U83" s="2371"/>
      <c r="V83" s="2371"/>
      <c r="W83" s="2847"/>
      <c r="X83" s="2371"/>
      <c r="Y83" s="2371"/>
      <c r="Z83" s="1755"/>
      <c r="AA83" s="2371"/>
      <c r="AB83" s="2371"/>
      <c r="AC83" s="2371"/>
      <c r="AD83" s="2371"/>
      <c r="AE83" s="2371"/>
      <c r="AF83" s="2843"/>
      <c r="AG83" s="1777"/>
      <c r="AH83" s="1777"/>
      <c r="AI83" s="1777"/>
      <c r="AJ83" s="1777"/>
      <c r="AK83" s="2852">
        <v>11</v>
      </c>
    </row>
    <row s="65897" customFormat="1" customHeight="1" ht="11.549999999999999">
      <c r="A84" s="2198"/>
      <c r="B84" s="2847"/>
      <c r="C84" s="2847"/>
      <c r="D84" s="1562"/>
      <c r="J84" s="13495"/>
      <c r="K84" s="13495"/>
      <c r="L84" s="13495"/>
      <c r="M84" s="13495"/>
      <c r="N84" s="13495"/>
      <c r="P84" s="2371"/>
      <c r="Q84" s="2847"/>
      <c r="R84" s="2847"/>
      <c r="S84" s="2371"/>
      <c r="T84" s="2371"/>
      <c r="U84" s="2371"/>
      <c r="V84" s="2371"/>
      <c r="W84" s="2847"/>
      <c r="X84" s="2371"/>
      <c r="Y84" s="2371"/>
      <c r="Z84" s="1755"/>
      <c r="AA84" s="2371"/>
      <c r="AB84" s="2371"/>
      <c r="AC84" s="2371"/>
      <c r="AD84" s="2371"/>
      <c r="AE84" s="2371"/>
      <c r="AF84" s="2843"/>
      <c r="AG84" s="1777"/>
      <c r="AH84" s="1777"/>
      <c r="AI84" s="1777"/>
      <c r="AJ84" s="1777"/>
      <c r="AK84" s="2852">
        <v>11</v>
      </c>
    </row>
    <row s="65897" customFormat="1" customHeight="1" ht="11.549999999999999">
      <c r="A85" s="2198"/>
      <c r="B85" s="2847"/>
      <c r="C85" s="2847"/>
      <c r="D85" s="1562"/>
      <c r="J85" s="13495"/>
      <c r="K85" s="13495"/>
      <c r="L85" s="13495"/>
      <c r="M85" s="13495"/>
      <c r="N85" s="13495"/>
      <c r="P85" s="2371"/>
      <c r="Q85" s="2847"/>
      <c r="R85" s="2847"/>
      <c r="S85" s="2371"/>
      <c r="T85" s="2371"/>
      <c r="U85" s="2371"/>
      <c r="V85" s="2371"/>
      <c r="W85" s="2847"/>
      <c r="X85" s="2371"/>
      <c r="Y85" s="2371"/>
      <c r="Z85" s="1755"/>
      <c r="AA85" s="2371"/>
      <c r="AB85" s="2371"/>
      <c r="AC85" s="2371"/>
      <c r="AD85" s="2371"/>
      <c r="AE85" s="2371"/>
      <c r="AF85" s="2843"/>
      <c r="AG85" s="1777"/>
      <c r="AH85" s="1777"/>
      <c r="AI85" s="1777"/>
      <c r="AJ85" s="1777"/>
      <c r="AK85" s="2852">
        <v>11</v>
      </c>
    </row>
    <row s="65897" customFormat="1" customHeight="1" ht="11.549999999999999">
      <c r="A86" s="2198"/>
      <c r="B86" s="2847"/>
      <c r="C86" s="2847"/>
      <c r="D86" s="1562"/>
      <c r="J86" s="13495"/>
      <c r="K86" s="13495"/>
      <c r="L86" s="13495"/>
      <c r="M86" s="13495"/>
      <c r="N86" s="13495"/>
      <c r="P86" s="2371"/>
      <c r="Q86" s="2847"/>
      <c r="R86" s="2847"/>
      <c r="S86" s="2371"/>
      <c r="T86" s="2371"/>
      <c r="U86" s="2371"/>
      <c r="V86" s="2371"/>
      <c r="W86" s="2847"/>
      <c r="X86" s="2371"/>
      <c r="Y86" s="2371"/>
      <c r="Z86" s="1755"/>
      <c r="AA86" s="2371"/>
      <c r="AB86" s="2371"/>
      <c r="AC86" s="2371"/>
      <c r="AD86" s="2371"/>
      <c r="AE86" s="2371"/>
      <c r="AF86" s="2843"/>
      <c r="AG86" s="1777"/>
      <c r="AH86" s="1777"/>
      <c r="AI86" s="1777"/>
      <c r="AJ86" s="1777"/>
      <c r="AK86" s="2852">
        <v>11</v>
      </c>
    </row>
    <row s="65897" customFormat="1" customHeight="1" ht="11.549999999999999">
      <c r="A87" s="2198"/>
      <c r="B87" s="2847"/>
      <c r="C87" s="2847"/>
      <c r="D87" s="1562"/>
      <c r="J87" s="13495"/>
      <c r="K87" s="13495"/>
      <c r="L87" s="13495"/>
      <c r="M87" s="13495"/>
      <c r="N87" s="13495"/>
      <c r="P87" s="2371"/>
      <c r="Q87" s="2847"/>
      <c r="R87" s="2847"/>
      <c r="S87" s="2371"/>
      <c r="T87" s="2371"/>
      <c r="U87" s="2371"/>
      <c r="V87" s="2371"/>
      <c r="W87" s="2847"/>
      <c r="X87" s="2371"/>
      <c r="Y87" s="2371"/>
      <c r="Z87" s="1755"/>
      <c r="AA87" s="2371"/>
      <c r="AB87" s="2371"/>
      <c r="AC87" s="2371"/>
      <c r="AD87" s="2371"/>
      <c r="AE87" s="2371"/>
      <c r="AF87" s="2843"/>
      <c r="AG87" s="1777"/>
      <c r="AH87" s="1777"/>
      <c r="AI87" s="1777"/>
      <c r="AJ87" s="1777"/>
      <c r="AK87" s="2852">
        <v>11</v>
      </c>
    </row>
    <row s="65897" customFormat="1" customHeight="1" ht="11.549999999999999">
      <c r="A88" s="2198"/>
      <c r="B88" s="2847"/>
      <c r="C88" s="2847"/>
      <c r="D88" s="1562"/>
      <c r="J88" s="13495"/>
      <c r="K88" s="13495"/>
      <c r="L88" s="13495"/>
      <c r="M88" s="13495"/>
      <c r="N88" s="13495"/>
      <c r="P88" s="2371"/>
      <c r="Q88" s="2847"/>
      <c r="R88" s="2847"/>
      <c r="S88" s="2371"/>
      <c r="T88" s="2371"/>
      <c r="U88" s="2371"/>
      <c r="V88" s="2371"/>
      <c r="W88" s="2847"/>
      <c r="X88" s="2371"/>
      <c r="Y88" s="2371"/>
      <c r="Z88" s="1755"/>
      <c r="AA88" s="2371"/>
      <c r="AB88" s="2371"/>
      <c r="AC88" s="2371"/>
      <c r="AD88" s="2371"/>
      <c r="AE88" s="2371"/>
      <c r="AF88" s="2843"/>
      <c r="AG88" s="1777"/>
      <c r="AH88" s="1777"/>
      <c r="AI88" s="1777"/>
      <c r="AJ88" s="1777"/>
      <c r="AK88" s="2852">
        <v>11</v>
      </c>
    </row>
    <row s="65897" customFormat="1" customHeight="1" ht="11.549999999999999">
      <c r="A89" s="2198"/>
      <c r="B89" s="2847"/>
      <c r="C89" s="2847"/>
      <c r="D89" s="1562"/>
      <c r="J89" s="13495"/>
      <c r="K89" s="13495"/>
      <c r="L89" s="13495"/>
      <c r="M89" s="13495"/>
      <c r="N89" s="13495"/>
      <c r="P89" s="2371"/>
      <c r="Q89" s="2847"/>
      <c r="R89" s="2847"/>
      <c r="S89" s="2371"/>
      <c r="T89" s="2371"/>
      <c r="U89" s="2371"/>
      <c r="V89" s="2371"/>
      <c r="W89" s="2847"/>
      <c r="X89" s="2371"/>
      <c r="Y89" s="2371"/>
      <c r="Z89" s="1755"/>
      <c r="AA89" s="2371"/>
      <c r="AB89" s="2371"/>
      <c r="AC89" s="2371"/>
      <c r="AD89" s="2371"/>
      <c r="AE89" s="2371"/>
      <c r="AF89" s="2843"/>
      <c r="AG89" s="1777"/>
      <c r="AH89" s="1777"/>
      <c r="AI89" s="1777"/>
      <c r="AJ89" s="1777"/>
      <c r="AK89" s="2852">
        <v>11</v>
      </c>
    </row>
    <row s="65897" customFormat="1" customHeight="1" ht="11.549999999999999">
      <c r="A90" s="2198"/>
      <c r="B90" s="2847"/>
      <c r="C90" s="2847"/>
      <c r="D90" s="1562"/>
      <c r="J90" s="13495"/>
      <c r="K90" s="13495"/>
      <c r="L90" s="13495"/>
      <c r="M90" s="13495"/>
      <c r="N90" s="13495"/>
      <c r="P90" s="2371"/>
      <c r="Q90" s="2847"/>
      <c r="R90" s="2847"/>
      <c r="S90" s="2371"/>
      <c r="T90" s="2371"/>
      <c r="U90" s="2371"/>
      <c r="V90" s="2371"/>
      <c r="W90" s="2847"/>
      <c r="X90" s="2371"/>
      <c r="Y90" s="2371"/>
      <c r="Z90" s="1755"/>
      <c r="AA90" s="2371"/>
      <c r="AB90" s="2371"/>
      <c r="AC90" s="2371"/>
      <c r="AD90" s="2371"/>
      <c r="AE90" s="2371"/>
      <c r="AF90" s="2843"/>
      <c r="AG90" s="1777"/>
      <c r="AH90" s="1777"/>
      <c r="AI90" s="1777"/>
      <c r="AJ90" s="1777"/>
      <c r="AK90" s="2852">
        <v>11</v>
      </c>
    </row>
    <row s="65897" customFormat="1" customHeight="1" ht="11.549999999999999">
      <c r="A91" s="2198"/>
      <c r="B91" s="2847"/>
      <c r="C91" s="2847"/>
      <c r="D91" s="1562"/>
      <c r="J91" s="13495"/>
      <c r="K91" s="13495"/>
      <c r="L91" s="13495"/>
      <c r="M91" s="13495"/>
      <c r="N91" s="13495"/>
      <c r="P91" s="2371"/>
      <c r="Q91" s="2847"/>
      <c r="R91" s="2847"/>
      <c r="S91" s="2371"/>
      <c r="T91" s="2371"/>
      <c r="U91" s="2371"/>
      <c r="V91" s="2371"/>
      <c r="W91" s="2847"/>
      <c r="X91" s="2371"/>
      <c r="Y91" s="2371"/>
      <c r="Z91" s="1755"/>
      <c r="AA91" s="2371"/>
      <c r="AB91" s="2371"/>
      <c r="AC91" s="2371"/>
      <c r="AD91" s="2371"/>
      <c r="AE91" s="2371"/>
      <c r="AF91" s="2843"/>
      <c r="AG91" s="1777"/>
      <c r="AH91" s="1777"/>
      <c r="AI91" s="1777"/>
      <c r="AJ91" s="1777"/>
      <c r="AK91" s="2852">
        <v>11</v>
      </c>
    </row>
    <row s="65897" customFormat="1" customHeight="1" ht="11.549999999999999">
      <c r="A92" s="2198"/>
      <c r="B92" s="2847"/>
      <c r="C92" s="2847"/>
      <c r="D92" s="1562"/>
      <c r="J92" s="13495"/>
      <c r="K92" s="13495"/>
      <c r="L92" s="13495"/>
      <c r="M92" s="13495"/>
      <c r="N92" s="13495"/>
      <c r="P92" s="2371"/>
      <c r="Q92" s="2847"/>
      <c r="R92" s="2847"/>
      <c r="S92" s="2371"/>
      <c r="T92" s="2371"/>
      <c r="U92" s="2371"/>
      <c r="V92" s="2371"/>
      <c r="W92" s="2847"/>
      <c r="X92" s="2371"/>
      <c r="Y92" s="2371"/>
      <c r="Z92" s="1755"/>
      <c r="AA92" s="2371"/>
      <c r="AB92" s="2371"/>
      <c r="AC92" s="2371"/>
      <c r="AD92" s="2371"/>
      <c r="AE92" s="2371"/>
      <c r="AF92" s="2843"/>
      <c r="AG92" s="1777"/>
      <c r="AH92" s="1777"/>
      <c r="AI92" s="1777"/>
      <c r="AJ92" s="1777"/>
      <c r="AK92" s="2852">
        <v>11</v>
      </c>
    </row>
    <row s="65897" customFormat="1" customHeight="1" ht="11.549999999999999">
      <c r="A93" s="2198"/>
      <c r="B93" s="2847"/>
      <c r="C93" s="2847"/>
      <c r="D93" s="1562"/>
      <c r="J93" s="13495"/>
      <c r="K93" s="13495"/>
      <c r="L93" s="13495"/>
      <c r="M93" s="13495"/>
      <c r="N93" s="13495"/>
      <c r="P93" s="2371"/>
      <c r="Q93" s="2847"/>
      <c r="R93" s="2847"/>
      <c r="S93" s="2371"/>
      <c r="T93" s="2371"/>
      <c r="U93" s="2371"/>
      <c r="V93" s="2371"/>
      <c r="W93" s="2847"/>
      <c r="X93" s="2371"/>
      <c r="Y93" s="2371"/>
      <c r="Z93" s="1755"/>
      <c r="AA93" s="2371"/>
      <c r="AB93" s="2371"/>
      <c r="AC93" s="2371"/>
      <c r="AD93" s="2371"/>
      <c r="AE93" s="2371"/>
      <c r="AF93" s="2843"/>
      <c r="AG93" s="1777"/>
      <c r="AH93" s="1777"/>
      <c r="AI93" s="1777"/>
      <c r="AJ93" s="1777"/>
      <c r="AK93" s="2852">
        <v>11</v>
      </c>
    </row>
    <row s="65897" customFormat="1" customHeight="1" ht="11.549999999999999">
      <c r="A94" s="2198"/>
      <c r="B94" s="2847"/>
      <c r="C94" s="2847"/>
      <c r="D94" s="1562"/>
      <c r="J94" s="13495"/>
      <c r="K94" s="13495"/>
      <c r="L94" s="13495"/>
      <c r="M94" s="13495"/>
      <c r="N94" s="13495"/>
      <c r="P94" s="2371"/>
      <c r="Q94" s="2847"/>
      <c r="R94" s="2847"/>
      <c r="S94" s="2371"/>
      <c r="T94" s="2371"/>
      <c r="U94" s="2371"/>
      <c r="V94" s="2371"/>
      <c r="W94" s="2847"/>
      <c r="X94" s="2371"/>
      <c r="Y94" s="2371"/>
      <c r="Z94" s="1755"/>
      <c r="AA94" s="2371"/>
      <c r="AB94" s="2371"/>
      <c r="AC94" s="2371"/>
      <c r="AD94" s="2371"/>
      <c r="AE94" s="2371"/>
      <c r="AF94" s="2843"/>
      <c r="AG94" s="1777"/>
      <c r="AH94" s="1777"/>
      <c r="AI94" s="1777"/>
      <c r="AJ94" s="1777"/>
      <c r="AK94" s="2852">
        <v>11</v>
      </c>
    </row>
    <row s="65897" customFormat="1" customHeight="1" ht="11.549999999999999">
      <c r="A95" s="2198"/>
      <c r="B95" s="2847"/>
      <c r="C95" s="2847"/>
      <c r="D95" s="1562"/>
      <c r="J95" s="13495"/>
      <c r="K95" s="13495"/>
      <c r="L95" s="13495"/>
      <c r="M95" s="13495"/>
      <c r="N95" s="13495"/>
      <c r="P95" s="2371"/>
      <c r="Q95" s="2847"/>
      <c r="R95" s="2847"/>
      <c r="S95" s="2371"/>
      <c r="T95" s="2371"/>
      <c r="U95" s="2371"/>
      <c r="V95" s="2371"/>
      <c r="W95" s="2847"/>
      <c r="X95" s="2371"/>
      <c r="Y95" s="2371"/>
      <c r="Z95" s="1755"/>
      <c r="AA95" s="2371"/>
      <c r="AB95" s="2371"/>
      <c r="AC95" s="2371"/>
      <c r="AD95" s="2371"/>
      <c r="AE95" s="2371"/>
      <c r="AF95" s="2843"/>
      <c r="AG95" s="1777"/>
      <c r="AH95" s="1777"/>
      <c r="AI95" s="1777"/>
      <c r="AJ95" s="1777"/>
      <c r="AK95" s="2852">
        <v>11</v>
      </c>
    </row>
    <row s="65897" customFormat="1" customHeight="1" ht="11.549999999999999">
      <c r="A96" s="2198"/>
      <c r="B96" s="2847"/>
      <c r="C96" s="2847"/>
      <c r="D96" s="1562"/>
      <c r="J96" s="13495"/>
      <c r="K96" s="13495"/>
      <c r="L96" s="13495"/>
      <c r="M96" s="13495"/>
      <c r="N96" s="13495"/>
      <c r="P96" s="2371"/>
      <c r="Q96" s="2847"/>
      <c r="R96" s="2847"/>
      <c r="S96" s="2371"/>
      <c r="T96" s="2371"/>
      <c r="U96" s="2371"/>
      <c r="V96" s="2371"/>
      <c r="W96" s="2847"/>
      <c r="X96" s="2371"/>
      <c r="Y96" s="2371"/>
      <c r="Z96" s="1755"/>
      <c r="AA96" s="2371"/>
      <c r="AB96" s="2371"/>
      <c r="AC96" s="2371"/>
      <c r="AD96" s="2371"/>
      <c r="AE96" s="2371"/>
      <c r="AF96" s="2843"/>
      <c r="AG96" s="1777"/>
      <c r="AH96" s="1777"/>
      <c r="AI96" s="1777"/>
      <c r="AJ96" s="1777"/>
      <c r="AK96" s="2852">
        <v>11</v>
      </c>
    </row>
    <row s="65897" customFormat="1" customHeight="1" ht="11.549999999999999">
      <c r="A97" s="2198"/>
      <c r="B97" s="2847"/>
      <c r="C97" s="2847"/>
      <c r="D97" s="1562"/>
      <c r="J97" s="13495"/>
      <c r="K97" s="13495"/>
      <c r="L97" s="13495"/>
      <c r="M97" s="13495"/>
      <c r="N97" s="13495"/>
      <c r="P97" s="2371"/>
      <c r="Q97" s="2847"/>
      <c r="R97" s="2847"/>
      <c r="S97" s="2371"/>
      <c r="T97" s="2371"/>
      <c r="U97" s="2371"/>
      <c r="V97" s="2371"/>
      <c r="W97" s="2847"/>
      <c r="X97" s="2371"/>
      <c r="Y97" s="2371"/>
      <c r="Z97" s="1755"/>
      <c r="AA97" s="2371"/>
      <c r="AB97" s="2371"/>
      <c r="AC97" s="2371"/>
      <c r="AD97" s="2371"/>
      <c r="AE97" s="2371"/>
      <c r="AF97" s="2843"/>
      <c r="AG97" s="1777"/>
      <c r="AH97" s="1777"/>
      <c r="AI97" s="1777"/>
      <c r="AJ97" s="1777"/>
      <c r="AK97" s="2852">
        <v>11</v>
      </c>
    </row>
    <row s="65897" customFormat="1" customHeight="1" ht="11.549999999999999">
      <c r="A98" s="2198"/>
      <c r="B98" s="2847"/>
      <c r="C98" s="2847"/>
      <c r="D98" s="1562"/>
      <c r="J98" s="13495"/>
      <c r="K98" s="13495"/>
      <c r="L98" s="13495"/>
      <c r="M98" s="13495"/>
      <c r="N98" s="13495"/>
      <c r="P98" s="2371"/>
      <c r="Q98" s="2847"/>
      <c r="R98" s="2847"/>
      <c r="S98" s="2371"/>
      <c r="T98" s="2371"/>
      <c r="U98" s="2371"/>
      <c r="V98" s="2371"/>
      <c r="W98" s="2847"/>
      <c r="X98" s="2371"/>
      <c r="Y98" s="2371"/>
      <c r="Z98" s="1755"/>
      <c r="AA98" s="2371"/>
      <c r="AB98" s="2371"/>
      <c r="AC98" s="2371"/>
      <c r="AD98" s="2371"/>
      <c r="AE98" s="2371"/>
      <c r="AF98" s="2843"/>
      <c r="AG98" s="1777"/>
      <c r="AH98" s="1777"/>
      <c r="AI98" s="1777"/>
      <c r="AJ98" s="1777"/>
      <c r="AK98" s="2852">
        <v>11</v>
      </c>
    </row>
    <row s="65897" customFormat="1" customHeight="1" ht="11.549999999999999">
      <c r="A99" s="2198"/>
      <c r="B99" s="2847"/>
      <c r="C99" s="2847"/>
      <c r="D99" s="1562"/>
      <c r="J99" s="13495"/>
      <c r="K99" s="13495"/>
      <c r="L99" s="13495"/>
      <c r="M99" s="13495"/>
      <c r="N99" s="13495"/>
      <c r="P99" s="2371"/>
      <c r="Q99" s="2847"/>
      <c r="R99" s="2847"/>
      <c r="S99" s="2371"/>
      <c r="T99" s="2371"/>
      <c r="U99" s="2371"/>
      <c r="V99" s="2371"/>
      <c r="W99" s="2847"/>
      <c r="X99" s="2371"/>
      <c r="Y99" s="2371"/>
      <c r="Z99" s="1755"/>
      <c r="AA99" s="2371"/>
      <c r="AB99" s="2371"/>
      <c r="AC99" s="2371"/>
      <c r="AD99" s="2371"/>
      <c r="AE99" s="2371"/>
      <c r="AF99" s="2843"/>
      <c r="AG99" s="1777"/>
      <c r="AH99" s="1777"/>
      <c r="AI99" s="1777"/>
      <c r="AJ99" s="1777"/>
      <c r="AK99" s="2852">
        <v>11</v>
      </c>
    </row>
    <row s="65897" customFormat="1" customHeight="1" ht="11.549999999999999">
      <c r="A100" s="2198"/>
      <c r="B100" s="2847"/>
      <c r="C100" s="2847"/>
      <c r="D100" s="1562"/>
      <c r="J100" s="13495"/>
      <c r="K100" s="13495"/>
      <c r="L100" s="13495"/>
      <c r="M100" s="13495"/>
      <c r="N100" s="13495"/>
      <c r="P100" s="2371"/>
      <c r="Q100" s="2847"/>
      <c r="R100" s="2847"/>
      <c r="S100" s="2371"/>
      <c r="T100" s="2371"/>
      <c r="U100" s="2371"/>
      <c r="V100" s="2371"/>
      <c r="W100" s="2847"/>
      <c r="X100" s="2371"/>
      <c r="Y100" s="2371"/>
      <c r="Z100" s="1755"/>
      <c r="AA100" s="2371"/>
      <c r="AB100" s="2371"/>
      <c r="AC100" s="2371"/>
      <c r="AD100" s="2371"/>
      <c r="AE100" s="2371"/>
      <c r="AF100" s="2843"/>
      <c r="AG100" s="1777"/>
      <c r="AH100" s="1777"/>
      <c r="AI100" s="1777"/>
      <c r="AJ100" s="1777"/>
      <c r="AK100" s="2852">
        <v>11</v>
      </c>
    </row>
    <row s="65897" customFormat="1" customHeight="1" ht="11.549999999999999">
      <c r="A101" s="2198"/>
      <c r="B101" s="2847"/>
      <c r="C101" s="2847"/>
      <c r="D101" s="1562"/>
      <c r="J101" s="13495"/>
      <c r="K101" s="13495"/>
      <c r="L101" s="13495"/>
      <c r="M101" s="13495"/>
      <c r="N101" s="13495"/>
      <c r="P101" s="2371"/>
      <c r="Q101" s="2847"/>
      <c r="R101" s="2847"/>
      <c r="S101" s="2371"/>
      <c r="T101" s="2371"/>
      <c r="U101" s="2371"/>
      <c r="V101" s="2371"/>
      <c r="W101" s="2847"/>
      <c r="X101" s="2371"/>
      <c r="Y101" s="2371"/>
      <c r="Z101" s="1755"/>
      <c r="AA101" s="2371"/>
      <c r="AB101" s="2371"/>
      <c r="AC101" s="2371"/>
      <c r="AD101" s="2371"/>
      <c r="AE101" s="2371"/>
      <c r="AF101" s="2843"/>
      <c r="AG101" s="1777"/>
      <c r="AH101" s="1777"/>
      <c r="AI101" s="1777"/>
      <c r="AJ101" s="1777"/>
      <c r="AK101" s="2852">
        <v>11</v>
      </c>
    </row>
    <row s="65897" customFormat="1" customHeight="1" ht="11.549999999999999">
      <c r="A102" s="2198"/>
      <c r="B102" s="2847"/>
      <c r="C102" s="2847"/>
      <c r="D102" s="1562"/>
      <c r="J102" s="13495"/>
      <c r="K102" s="13495"/>
      <c r="L102" s="13495"/>
      <c r="M102" s="13495"/>
      <c r="N102" s="13495"/>
      <c r="P102" s="2371"/>
      <c r="Q102" s="2847"/>
      <c r="R102" s="2847"/>
      <c r="S102" s="2371"/>
      <c r="T102" s="2371"/>
      <c r="U102" s="2371"/>
      <c r="V102" s="2371"/>
      <c r="W102" s="2847"/>
      <c r="X102" s="2371"/>
      <c r="Y102" s="2371"/>
      <c r="Z102" s="1755"/>
      <c r="AA102" s="2371"/>
      <c r="AB102" s="2371"/>
      <c r="AC102" s="2371"/>
      <c r="AD102" s="2371"/>
      <c r="AE102" s="2371"/>
      <c r="AF102" s="2843"/>
      <c r="AG102" s="1777"/>
      <c r="AH102" s="1777"/>
      <c r="AI102" s="1777"/>
      <c r="AJ102" s="1777"/>
      <c r="AK102" s="2852">
        <v>11</v>
      </c>
    </row>
    <row s="65897" customFormat="1" customHeight="1" ht="11.549999999999999">
      <c r="A103" s="2198"/>
      <c r="B103" s="2847"/>
      <c r="C103" s="2847"/>
      <c r="D103" s="1562"/>
      <c r="J103" s="13495"/>
      <c r="K103" s="13495"/>
      <c r="L103" s="13495"/>
      <c r="M103" s="13495"/>
      <c r="N103" s="13495"/>
      <c r="P103" s="2371"/>
      <c r="Q103" s="2847"/>
      <c r="R103" s="2847"/>
      <c r="S103" s="2371"/>
      <c r="T103" s="2371"/>
      <c r="U103" s="2371"/>
      <c r="V103" s="2371"/>
      <c r="W103" s="2847"/>
      <c r="X103" s="2371"/>
      <c r="Y103" s="2371"/>
      <c r="Z103" s="1755"/>
      <c r="AA103" s="2371"/>
      <c r="AB103" s="2371"/>
      <c r="AC103" s="2371"/>
      <c r="AD103" s="2371"/>
      <c r="AE103" s="2371"/>
      <c r="AF103" s="2843"/>
      <c r="AG103" s="1777"/>
      <c r="AH103" s="1777"/>
      <c r="AI103" s="1777"/>
      <c r="AJ103" s="1777"/>
      <c r="AK103" s="2852">
        <v>11</v>
      </c>
    </row>
    <row s="65897" customFormat="1" customHeight="1" ht="11.549999999999999">
      <c r="A104" s="2198"/>
      <c r="B104" s="2847"/>
      <c r="C104" s="2847"/>
      <c r="D104" s="1562"/>
      <c r="J104" s="13495"/>
      <c r="K104" s="13495"/>
      <c r="L104" s="13495"/>
      <c r="M104" s="13495"/>
      <c r="N104" s="13495"/>
      <c r="P104" s="2371"/>
      <c r="Q104" s="2847"/>
      <c r="R104" s="2847"/>
      <c r="S104" s="2371"/>
      <c r="T104" s="2371"/>
      <c r="U104" s="2371"/>
      <c r="V104" s="2371"/>
      <c r="W104" s="2847"/>
      <c r="X104" s="2371"/>
      <c r="Y104" s="2371"/>
      <c r="Z104" s="1755"/>
      <c r="AA104" s="2371"/>
      <c r="AB104" s="2371"/>
      <c r="AC104" s="2371"/>
      <c r="AD104" s="2371"/>
      <c r="AE104" s="2371"/>
      <c r="AF104" s="2843"/>
      <c r="AG104" s="1777"/>
      <c r="AH104" s="1777"/>
      <c r="AI104" s="1777"/>
      <c r="AJ104" s="1777"/>
      <c r="AK104" s="2852">
        <v>11</v>
      </c>
    </row>
    <row s="65897" customFormat="1" customHeight="1" ht="11.549999999999999">
      <c r="A105" s="2198"/>
      <c r="B105" s="2847"/>
      <c r="C105" s="2847"/>
      <c r="D105" s="1562"/>
      <c r="J105" s="13495"/>
      <c r="K105" s="13495"/>
      <c r="L105" s="13495"/>
      <c r="M105" s="13495"/>
      <c r="N105" s="13495"/>
      <c r="P105" s="2371"/>
      <c r="Q105" s="2847"/>
      <c r="R105" s="2847"/>
      <c r="S105" s="2371"/>
      <c r="T105" s="2371"/>
      <c r="U105" s="2371"/>
      <c r="V105" s="2371"/>
      <c r="W105" s="2847"/>
      <c r="X105" s="2371"/>
      <c r="Y105" s="2371"/>
      <c r="Z105" s="1755"/>
      <c r="AA105" s="2371"/>
      <c r="AB105" s="2371"/>
      <c r="AC105" s="2371"/>
      <c r="AD105" s="2371"/>
      <c r="AE105" s="2371"/>
      <c r="AF105" s="2843"/>
      <c r="AG105" s="1777"/>
      <c r="AH105" s="1777"/>
      <c r="AI105" s="1777"/>
      <c r="AJ105" s="1777"/>
      <c r="AK105" s="2852">
        <v>11</v>
      </c>
    </row>
    <row s="65897" customFormat="1" customHeight="1" ht="11.549999999999999">
      <c r="A106" s="2198"/>
      <c r="B106" s="2847"/>
      <c r="C106" s="2847"/>
      <c r="D106" s="1562"/>
      <c r="J106" s="13495"/>
      <c r="K106" s="13495"/>
      <c r="L106" s="13495"/>
      <c r="M106" s="13495"/>
      <c r="N106" s="13495"/>
      <c r="P106" s="2371"/>
      <c r="Q106" s="2847"/>
      <c r="R106" s="2847"/>
      <c r="S106" s="2371"/>
      <c r="T106" s="2371"/>
      <c r="U106" s="2371"/>
      <c r="V106" s="2371"/>
      <c r="W106" s="2847"/>
      <c r="X106" s="2371"/>
      <c r="Y106" s="2371"/>
      <c r="Z106" s="1755"/>
      <c r="AA106" s="2371"/>
      <c r="AB106" s="2371"/>
      <c r="AC106" s="2371"/>
      <c r="AD106" s="2371"/>
      <c r="AE106" s="2371"/>
      <c r="AF106" s="2843"/>
      <c r="AG106" s="1777"/>
      <c r="AH106" s="1777"/>
      <c r="AI106" s="1777"/>
      <c r="AJ106" s="1777"/>
      <c r="AK106" s="2852">
        <v>11</v>
      </c>
    </row>
    <row s="65897" customFormat="1" customHeight="1" ht="11.549999999999999">
      <c r="A107" s="2198"/>
      <c r="B107" s="2847"/>
      <c r="C107" s="2847"/>
      <c r="D107" s="1562"/>
      <c r="J107" s="13495"/>
      <c r="K107" s="13495"/>
      <c r="L107" s="13495"/>
      <c r="M107" s="13495"/>
      <c r="N107" s="13495"/>
      <c r="P107" s="2371"/>
      <c r="Q107" s="2847"/>
      <c r="R107" s="2847"/>
      <c r="S107" s="2371"/>
      <c r="T107" s="2371"/>
      <c r="U107" s="2371"/>
      <c r="V107" s="2371"/>
      <c r="W107" s="2847"/>
      <c r="X107" s="2371"/>
      <c r="Y107" s="2371"/>
      <c r="Z107" s="1755"/>
      <c r="AA107" s="2371"/>
      <c r="AB107" s="2371"/>
      <c r="AC107" s="2371"/>
      <c r="AD107" s="2371"/>
      <c r="AE107" s="2371"/>
      <c r="AF107" s="2843"/>
      <c r="AG107" s="1777"/>
      <c r="AH107" s="1777"/>
      <c r="AI107" s="1777"/>
      <c r="AJ107" s="1777"/>
      <c r="AK107" s="2852">
        <v>11</v>
      </c>
    </row>
    <row s="65897" customFormat="1" customHeight="1" ht="11.549999999999999">
      <c r="A108" s="2198"/>
      <c r="B108" s="2847"/>
      <c r="C108" s="2847"/>
      <c r="D108" s="1562"/>
      <c r="J108" s="13495"/>
      <c r="K108" s="13495"/>
      <c r="L108" s="13495"/>
      <c r="M108" s="13495"/>
      <c r="N108" s="13495"/>
      <c r="P108" s="2371"/>
      <c r="Q108" s="2847"/>
      <c r="R108" s="2847"/>
      <c r="S108" s="2371"/>
      <c r="T108" s="2371"/>
      <c r="U108" s="2371"/>
      <c r="V108" s="2371"/>
      <c r="W108" s="2847"/>
      <c r="X108" s="2371"/>
      <c r="Y108" s="2371"/>
      <c r="Z108" s="1755"/>
      <c r="AA108" s="2371"/>
      <c r="AB108" s="2371"/>
      <c r="AC108" s="2371"/>
      <c r="AD108" s="2371"/>
      <c r="AE108" s="2371"/>
      <c r="AF108" s="2843"/>
      <c r="AG108" s="1777"/>
      <c r="AH108" s="1777"/>
      <c r="AI108" s="1777"/>
      <c r="AJ108" s="1777"/>
      <c r="AK108" s="2852">
        <v>11</v>
      </c>
    </row>
    <row s="65897" customFormat="1" customHeight="1" ht="11.549999999999999">
      <c r="A109" s="2198"/>
      <c r="B109" s="2847"/>
      <c r="C109" s="2847"/>
      <c r="D109" s="1562"/>
      <c r="J109" s="13495"/>
      <c r="K109" s="13495"/>
      <c r="L109" s="13495"/>
      <c r="M109" s="13495"/>
      <c r="N109" s="13495"/>
      <c r="P109" s="2371"/>
      <c r="Q109" s="2847"/>
      <c r="R109" s="2847"/>
      <c r="S109" s="2371"/>
      <c r="T109" s="2371"/>
      <c r="U109" s="2371"/>
      <c r="V109" s="2371"/>
      <c r="W109" s="2847"/>
      <c r="X109" s="2371"/>
      <c r="Y109" s="2371"/>
      <c r="Z109" s="1755"/>
      <c r="AA109" s="2371"/>
      <c r="AB109" s="2371"/>
      <c r="AC109" s="2371"/>
      <c r="AD109" s="2371"/>
      <c r="AE109" s="2371"/>
      <c r="AF109" s="2843"/>
      <c r="AG109" s="1777"/>
      <c r="AH109" s="1777"/>
      <c r="AI109" s="1777"/>
      <c r="AJ109" s="1777"/>
      <c r="AK109" s="2852">
        <v>11</v>
      </c>
    </row>
    <row s="65897" customFormat="1" customHeight="1" ht="11.549999999999999">
      <c r="A110" s="2198"/>
      <c r="B110" s="2847"/>
      <c r="C110" s="2847"/>
      <c r="D110" s="1562"/>
      <c r="J110" s="13495"/>
      <c r="K110" s="13495"/>
      <c r="L110" s="13495"/>
      <c r="M110" s="13495"/>
      <c r="N110" s="13495"/>
      <c r="P110" s="2371"/>
      <c r="Q110" s="2847"/>
      <c r="R110" s="2847"/>
      <c r="S110" s="2371"/>
      <c r="T110" s="2371"/>
      <c r="U110" s="2371"/>
      <c r="V110" s="2371"/>
      <c r="W110" s="2847"/>
      <c r="X110" s="2371"/>
      <c r="Y110" s="2371"/>
      <c r="Z110" s="1755"/>
      <c r="AA110" s="2371"/>
      <c r="AB110" s="2371"/>
      <c r="AC110" s="2371"/>
      <c r="AD110" s="2371"/>
      <c r="AE110" s="2371"/>
      <c r="AF110" s="2843"/>
      <c r="AG110" s="1777"/>
      <c r="AH110" s="1777"/>
      <c r="AI110" s="1777"/>
      <c r="AJ110" s="1777"/>
      <c r="AK110" s="2852">
        <v>11</v>
      </c>
    </row>
    <row s="65897" customFormat="1" customHeight="1" ht="11.549999999999999">
      <c r="A111" s="2198"/>
      <c r="B111" s="2847"/>
      <c r="C111" s="2847"/>
      <c r="D111" s="1562"/>
      <c r="J111" s="13495"/>
      <c r="K111" s="13495"/>
      <c r="L111" s="13495"/>
      <c r="M111" s="13495"/>
      <c r="N111" s="13495"/>
      <c r="P111" s="2371"/>
      <c r="Q111" s="2847"/>
      <c r="R111" s="2847"/>
      <c r="S111" s="2371"/>
      <c r="T111" s="2371"/>
      <c r="U111" s="2371"/>
      <c r="V111" s="2371"/>
      <c r="W111" s="2847"/>
      <c r="X111" s="2371"/>
      <c r="Y111" s="2371"/>
      <c r="Z111" s="1755"/>
      <c r="AA111" s="2371"/>
      <c r="AB111" s="2371"/>
      <c r="AC111" s="2371"/>
      <c r="AD111" s="2371"/>
      <c r="AE111" s="2371"/>
      <c r="AF111" s="2843"/>
      <c r="AG111" s="1777"/>
      <c r="AH111" s="1777"/>
      <c r="AI111" s="1777"/>
      <c r="AJ111" s="1777"/>
      <c r="AK111" s="2852">
        <v>11</v>
      </c>
    </row>
    <row s="65897" customFormat="1" customHeight="1" ht="11.549999999999999">
      <c r="A112" s="2198"/>
      <c r="B112" s="2847"/>
      <c r="C112" s="2847"/>
      <c r="D112" s="1562"/>
      <c r="J112" s="13495"/>
      <c r="K112" s="13495"/>
      <c r="L112" s="13495"/>
      <c r="M112" s="13495"/>
      <c r="N112" s="13495"/>
      <c r="P112" s="2371"/>
      <c r="Q112" s="2847"/>
      <c r="R112" s="2847"/>
      <c r="S112" s="2371"/>
      <c r="T112" s="2371"/>
      <c r="U112" s="2371"/>
      <c r="V112" s="2371"/>
      <c r="W112" s="2847"/>
      <c r="X112" s="2371"/>
      <c r="Y112" s="2371"/>
      <c r="Z112" s="1755"/>
      <c r="AA112" s="2371"/>
      <c r="AB112" s="2371"/>
      <c r="AC112" s="2371"/>
      <c r="AD112" s="2371"/>
      <c r="AE112" s="2371"/>
      <c r="AF112" s="2843"/>
      <c r="AG112" s="1777"/>
      <c r="AH112" s="1777"/>
      <c r="AI112" s="1777"/>
      <c r="AJ112" s="1777"/>
      <c r="AK112" s="2852">
        <v>11</v>
      </c>
    </row>
    <row s="65897" customFormat="1" customHeight="1" ht="11.549999999999999">
      <c r="A113" s="2198"/>
      <c r="B113" s="2847"/>
      <c r="C113" s="2847"/>
      <c r="D113" s="1562"/>
      <c r="J113" s="13495"/>
      <c r="K113" s="13495"/>
      <c r="L113" s="13495"/>
      <c r="M113" s="13495"/>
      <c r="N113" s="13495"/>
      <c r="P113" s="2371"/>
      <c r="Q113" s="2847"/>
      <c r="R113" s="2847"/>
      <c r="S113" s="2371"/>
      <c r="T113" s="2371"/>
      <c r="U113" s="2371"/>
      <c r="V113" s="2371"/>
      <c r="W113" s="2847"/>
      <c r="X113" s="2371"/>
      <c r="Y113" s="2371"/>
      <c r="Z113" s="1755"/>
      <c r="AA113" s="2371"/>
      <c r="AB113" s="2371"/>
      <c r="AC113" s="2371"/>
      <c r="AD113" s="2371"/>
      <c r="AE113" s="2371"/>
      <c r="AF113" s="2843"/>
      <c r="AG113" s="1777"/>
      <c r="AH113" s="1777"/>
      <c r="AI113" s="1777"/>
      <c r="AJ113" s="1777"/>
      <c r="AK113" s="2852">
        <v>11</v>
      </c>
    </row>
    <row s="65897" customFormat="1" customHeight="1" ht="11.549999999999999">
      <c r="A114" s="2198"/>
      <c r="B114" s="2847"/>
      <c r="C114" s="2847"/>
      <c r="D114" s="1562"/>
      <c r="J114" s="13495"/>
      <c r="K114" s="13495"/>
      <c r="L114" s="13495"/>
      <c r="M114" s="13495"/>
      <c r="N114" s="13495"/>
      <c r="P114" s="2371"/>
      <c r="Q114" s="2847"/>
      <c r="R114" s="2847"/>
      <c r="S114" s="2371"/>
      <c r="T114" s="2371"/>
      <c r="U114" s="2371"/>
      <c r="V114" s="2371"/>
      <c r="W114" s="2847"/>
      <c r="X114" s="2371"/>
      <c r="Y114" s="2371"/>
      <c r="Z114" s="1755"/>
      <c r="AA114" s="2371"/>
      <c r="AB114" s="2371"/>
      <c r="AC114" s="2371"/>
      <c r="AD114" s="2371"/>
      <c r="AE114" s="2371"/>
      <c r="AF114" s="2843"/>
      <c r="AG114" s="1777"/>
      <c r="AH114" s="1777"/>
      <c r="AI114" s="1777"/>
      <c r="AJ114" s="1777"/>
      <c r="AK114" s="2852">
        <v>11</v>
      </c>
    </row>
    <row s="65897" customFormat="1" customHeight="1" ht="11.549999999999999">
      <c r="A115" s="2198"/>
      <c r="B115" s="2847"/>
      <c r="C115" s="2847"/>
      <c r="D115" s="1562"/>
      <c r="J115" s="13495"/>
      <c r="K115" s="13495"/>
      <c r="L115" s="13495"/>
      <c r="M115" s="13495"/>
      <c r="N115" s="13495"/>
      <c r="P115" s="2371"/>
      <c r="Q115" s="2847"/>
      <c r="R115" s="2847"/>
      <c r="S115" s="2371"/>
      <c r="T115" s="2371"/>
      <c r="U115" s="2371"/>
      <c r="V115" s="2371"/>
      <c r="W115" s="2847"/>
      <c r="X115" s="2371"/>
      <c r="Y115" s="2371"/>
      <c r="Z115" s="1755"/>
      <c r="AA115" s="2371"/>
      <c r="AB115" s="2371"/>
      <c r="AC115" s="2371"/>
      <c r="AD115" s="2371"/>
      <c r="AE115" s="2371"/>
      <c r="AF115" s="2843"/>
      <c r="AG115" s="1777"/>
      <c r="AH115" s="1777"/>
      <c r="AI115" s="1777"/>
      <c r="AJ115" s="1777"/>
      <c r="AK115" s="2852">
        <v>11</v>
      </c>
    </row>
    <row s="65897" customFormat="1" customHeight="1" ht="11.549999999999999">
      <c r="A116" s="2198"/>
      <c r="B116" s="2847"/>
      <c r="C116" s="2847"/>
      <c r="D116" s="1562"/>
      <c r="J116" s="13495"/>
      <c r="K116" s="13495"/>
      <c r="L116" s="13495"/>
      <c r="M116" s="13495"/>
      <c r="N116" s="13495"/>
      <c r="P116" s="2371"/>
      <c r="Q116" s="2847"/>
      <c r="R116" s="2847"/>
      <c r="S116" s="2371"/>
      <c r="T116" s="2371"/>
      <c r="U116" s="2371"/>
      <c r="V116" s="2371"/>
      <c r="W116" s="2847"/>
      <c r="X116" s="2371"/>
      <c r="Y116" s="2371"/>
      <c r="Z116" s="1755"/>
      <c r="AA116" s="2371"/>
      <c r="AB116" s="2371"/>
      <c r="AC116" s="2371"/>
      <c r="AD116" s="2371"/>
      <c r="AE116" s="2371"/>
      <c r="AF116" s="2843"/>
      <c r="AG116" s="1777"/>
      <c r="AH116" s="1777"/>
      <c r="AI116" s="1777"/>
      <c r="AJ116" s="1777"/>
      <c r="AK116" s="2852">
        <v>11</v>
      </c>
    </row>
    <row s="65897" customFormat="1" customHeight="1" ht="11.549999999999999">
      <c r="A117" s="2198"/>
      <c r="B117" s="2847"/>
      <c r="C117" s="2847"/>
      <c r="D117" s="1562"/>
      <c r="J117" s="13495"/>
      <c r="K117" s="13495"/>
      <c r="L117" s="13495"/>
      <c r="M117" s="13495"/>
      <c r="N117" s="13495"/>
      <c r="P117" s="2371"/>
      <c r="Q117" s="2847"/>
      <c r="R117" s="2847"/>
      <c r="S117" s="2371"/>
      <c r="T117" s="2371"/>
      <c r="U117" s="2371"/>
      <c r="V117" s="2371"/>
      <c r="W117" s="2847"/>
      <c r="X117" s="2371"/>
      <c r="Y117" s="2371"/>
      <c r="Z117" s="1755"/>
      <c r="AA117" s="2371"/>
      <c r="AB117" s="2371"/>
      <c r="AC117" s="2371"/>
      <c r="AD117" s="2371"/>
      <c r="AE117" s="2371"/>
      <c r="AF117" s="2843"/>
      <c r="AG117" s="1777"/>
      <c r="AH117" s="1777"/>
      <c r="AI117" s="1777"/>
      <c r="AJ117" s="1777"/>
      <c r="AK117" s="2852">
        <v>11</v>
      </c>
    </row>
    <row s="65897" customFormat="1" customHeight="1" ht="11.549999999999999">
      <c r="A118" s="2198"/>
      <c r="B118" s="2847"/>
      <c r="C118" s="2847"/>
      <c r="D118" s="1562"/>
      <c r="J118" s="13495"/>
      <c r="K118" s="13495"/>
      <c r="L118" s="13495"/>
      <c r="M118" s="13495"/>
      <c r="N118" s="13495"/>
      <c r="P118" s="2371"/>
      <c r="Q118" s="2847"/>
      <c r="R118" s="2847"/>
      <c r="S118" s="2371"/>
      <c r="T118" s="2371"/>
      <c r="U118" s="2371"/>
      <c r="V118" s="2371"/>
      <c r="W118" s="2847"/>
      <c r="X118" s="2371"/>
      <c r="Y118" s="2371"/>
      <c r="Z118" s="1755"/>
      <c r="AA118" s="2371"/>
      <c r="AB118" s="2371"/>
      <c r="AC118" s="2371"/>
      <c r="AD118" s="2371"/>
      <c r="AE118" s="2371"/>
      <c r="AF118" s="2843"/>
      <c r="AG118" s="1777"/>
      <c r="AH118" s="1777"/>
      <c r="AI118" s="1777"/>
      <c r="AJ118" s="1777"/>
      <c r="AK118" s="2852">
        <v>11</v>
      </c>
    </row>
    <row s="65897" customFormat="1" customHeight="1" ht="11.549999999999999">
      <c r="A119" s="2198"/>
      <c r="B119" s="2847"/>
      <c r="C119" s="2847"/>
      <c r="D119" s="1562"/>
      <c r="J119" s="13495"/>
      <c r="K119" s="13495"/>
      <c r="L119" s="13495"/>
      <c r="M119" s="13495"/>
      <c r="N119" s="13495"/>
      <c r="P119" s="2371"/>
      <c r="Q119" s="2847"/>
      <c r="R119" s="2847"/>
      <c r="S119" s="2371"/>
      <c r="T119" s="2371"/>
      <c r="U119" s="2371"/>
      <c r="V119" s="2371"/>
      <c r="W119" s="2847"/>
      <c r="X119" s="2371"/>
      <c r="Y119" s="2371"/>
      <c r="Z119" s="1755"/>
      <c r="AA119" s="2371"/>
      <c r="AB119" s="2371"/>
      <c r="AC119" s="2371"/>
      <c r="AD119" s="2371"/>
      <c r="AE119" s="2371"/>
      <c r="AF119" s="2843"/>
      <c r="AG119" s="1777"/>
      <c r="AH119" s="1777"/>
      <c r="AI119" s="1777"/>
      <c r="AJ119" s="1777"/>
      <c r="AK119" s="2852">
        <v>11</v>
      </c>
    </row>
    <row s="65897" customFormat="1" customHeight="1" ht="11.549999999999999">
      <c r="A120" s="2198"/>
      <c r="B120" s="2847"/>
      <c r="C120" s="2847"/>
      <c r="D120" s="1562"/>
      <c r="J120" s="13495"/>
      <c r="K120" s="13495"/>
      <c r="L120" s="13495"/>
      <c r="M120" s="13495"/>
      <c r="N120" s="13495"/>
      <c r="P120" s="2371"/>
      <c r="Q120" s="2847"/>
      <c r="R120" s="2847"/>
      <c r="S120" s="2371"/>
      <c r="T120" s="2371"/>
      <c r="U120" s="2371"/>
      <c r="V120" s="2371"/>
      <c r="W120" s="2847"/>
      <c r="X120" s="2371"/>
      <c r="Y120" s="2371"/>
      <c r="Z120" s="1755"/>
      <c r="AA120" s="2371"/>
      <c r="AB120" s="2371"/>
      <c r="AC120" s="2371"/>
      <c r="AD120" s="2371"/>
      <c r="AE120" s="2371"/>
      <c r="AF120" s="2843"/>
      <c r="AG120" s="1777"/>
      <c r="AH120" s="1777"/>
      <c r="AI120" s="1777"/>
      <c r="AJ120" s="1777"/>
      <c r="AK120" s="2852">
        <v>11</v>
      </c>
    </row>
    <row s="65897" customFormat="1" customHeight="1" ht="11.549999999999999">
      <c r="A121" s="2198"/>
      <c r="B121" s="2847"/>
      <c r="C121" s="2847"/>
      <c r="D121" s="1562"/>
      <c r="J121" s="13495"/>
      <c r="K121" s="13495"/>
      <c r="L121" s="13495"/>
      <c r="M121" s="13495"/>
      <c r="N121" s="13495"/>
      <c r="P121" s="2371"/>
      <c r="Q121" s="2847"/>
      <c r="R121" s="2847"/>
      <c r="S121" s="2371"/>
      <c r="T121" s="2371"/>
      <c r="U121" s="2371"/>
      <c r="V121" s="2371"/>
      <c r="W121" s="2847"/>
      <c r="X121" s="2371"/>
      <c r="Y121" s="2371"/>
      <c r="Z121" s="1755"/>
      <c r="AA121" s="2371"/>
      <c r="AB121" s="2371"/>
      <c r="AC121" s="2371"/>
      <c r="AD121" s="2371"/>
      <c r="AE121" s="2371"/>
      <c r="AF121" s="2843"/>
      <c r="AG121" s="1777"/>
      <c r="AH121" s="1777"/>
      <c r="AI121" s="1777"/>
      <c r="AJ121" s="1777"/>
      <c r="AK121" s="2852">
        <v>11</v>
      </c>
    </row>
    <row s="65897" customFormat="1" customHeight="1" ht="11.549999999999999">
      <c r="A122" s="2198"/>
      <c r="B122" s="2847"/>
      <c r="C122" s="2847"/>
      <c r="D122" s="1562"/>
      <c r="J122" s="13495"/>
      <c r="K122" s="13495"/>
      <c r="L122" s="13495"/>
      <c r="M122" s="13495"/>
      <c r="N122" s="13495"/>
      <c r="P122" s="2371"/>
      <c r="Q122" s="2847"/>
      <c r="R122" s="2847"/>
      <c r="S122" s="2371"/>
      <c r="T122" s="2371"/>
      <c r="U122" s="2371"/>
      <c r="V122" s="2371"/>
      <c r="W122" s="2847"/>
      <c r="X122" s="2371"/>
      <c r="Y122" s="2371"/>
      <c r="Z122" s="1755"/>
      <c r="AA122" s="2371"/>
      <c r="AB122" s="2371"/>
      <c r="AC122" s="2371"/>
      <c r="AD122" s="2371"/>
      <c r="AE122" s="2371"/>
      <c r="AF122" s="2843"/>
      <c r="AG122" s="1777"/>
      <c r="AH122" s="1777"/>
      <c r="AI122" s="1777"/>
      <c r="AJ122" s="1777"/>
      <c r="AK122" s="2852">
        <v>11</v>
      </c>
    </row>
    <row s="65897" customFormat="1" customHeight="1" ht="11.549999999999999">
      <c r="A123" s="2198"/>
      <c r="B123" s="2847"/>
      <c r="C123" s="2847"/>
      <c r="D123" s="1562"/>
      <c r="J123" s="13495"/>
      <c r="K123" s="13495"/>
      <c r="L123" s="13495"/>
      <c r="M123" s="13495"/>
      <c r="N123" s="13495"/>
      <c r="P123" s="2371"/>
      <c r="Q123" s="2847"/>
      <c r="R123" s="2847"/>
      <c r="S123" s="2371"/>
      <c r="T123" s="2371"/>
      <c r="U123" s="2371"/>
      <c r="V123" s="2371"/>
      <c r="W123" s="2847"/>
      <c r="X123" s="2371"/>
      <c r="Y123" s="2371"/>
      <c r="Z123" s="1755"/>
      <c r="AA123" s="2371"/>
      <c r="AB123" s="2371"/>
      <c r="AC123" s="2371"/>
      <c r="AD123" s="2371"/>
      <c r="AE123" s="2371"/>
      <c r="AF123" s="2843"/>
      <c r="AG123" s="1777"/>
      <c r="AH123" s="1777"/>
      <c r="AI123" s="1777"/>
      <c r="AJ123" s="1777"/>
      <c r="AK123" s="2852">
        <v>11</v>
      </c>
    </row>
    <row s="65897" customFormat="1" customHeight="1" ht="11.549999999999999">
      <c r="A124" s="2198"/>
      <c r="B124" s="2847"/>
      <c r="C124" s="2847"/>
      <c r="D124" s="1562"/>
      <c r="J124" s="13495"/>
      <c r="K124" s="13495"/>
      <c r="L124" s="13495"/>
      <c r="M124" s="13495"/>
      <c r="N124" s="13495"/>
      <c r="P124" s="2371"/>
      <c r="Q124" s="2847"/>
      <c r="R124" s="2847"/>
      <c r="S124" s="2371"/>
      <c r="T124" s="2371"/>
      <c r="U124" s="2371"/>
      <c r="V124" s="2371"/>
      <c r="W124" s="2847"/>
      <c r="X124" s="2371"/>
      <c r="Y124" s="2371"/>
      <c r="Z124" s="1755"/>
      <c r="AA124" s="2371"/>
      <c r="AB124" s="2371"/>
      <c r="AC124" s="2371"/>
      <c r="AD124" s="2371"/>
      <c r="AE124" s="2371"/>
      <c r="AF124" s="2843"/>
      <c r="AG124" s="1777"/>
      <c r="AH124" s="1777"/>
      <c r="AI124" s="1777"/>
      <c r="AJ124" s="1777"/>
      <c r="AK124" s="2852">
        <v>11</v>
      </c>
    </row>
    <row s="65897" customFormat="1" customHeight="1" ht="11.549999999999999">
      <c r="A125" s="2198"/>
      <c r="B125" s="2847"/>
      <c r="C125" s="2847"/>
      <c r="D125" s="1562"/>
      <c r="J125" s="13495"/>
      <c r="K125" s="13495"/>
      <c r="L125" s="13495"/>
      <c r="M125" s="13495"/>
      <c r="N125" s="13495"/>
      <c r="P125" s="2371"/>
      <c r="Q125" s="2847"/>
      <c r="R125" s="2847"/>
      <c r="S125" s="2371"/>
      <c r="T125" s="2371"/>
      <c r="U125" s="2371"/>
      <c r="V125" s="2371"/>
      <c r="W125" s="2847"/>
      <c r="X125" s="2371"/>
      <c r="Y125" s="2371"/>
      <c r="Z125" s="1755"/>
      <c r="AA125" s="2371"/>
      <c r="AB125" s="2371"/>
      <c r="AC125" s="2371"/>
      <c r="AD125" s="2371"/>
      <c r="AE125" s="2371"/>
      <c r="AF125" s="2843"/>
      <c r="AG125" s="1777"/>
      <c r="AH125" s="1777"/>
      <c r="AI125" s="1777"/>
      <c r="AJ125" s="1777"/>
      <c r="AK125" s="2852">
        <v>11</v>
      </c>
    </row>
    <row s="65897" customFormat="1" customHeight="1" ht="11.549999999999999">
      <c r="A126" s="2198"/>
      <c r="B126" s="2847"/>
      <c r="C126" s="2847"/>
      <c r="D126" s="1562"/>
      <c r="J126" s="13495"/>
      <c r="K126" s="13495"/>
      <c r="L126" s="13495"/>
      <c r="M126" s="13495"/>
      <c r="N126" s="13495"/>
      <c r="P126" s="2371"/>
      <c r="Q126" s="2847"/>
      <c r="R126" s="2847"/>
      <c r="S126" s="2371"/>
      <c r="T126" s="2371"/>
      <c r="U126" s="2371"/>
      <c r="V126" s="2371"/>
      <c r="W126" s="2847"/>
      <c r="X126" s="2371"/>
      <c r="Y126" s="2371"/>
      <c r="Z126" s="1755"/>
      <c r="AA126" s="2371"/>
      <c r="AB126" s="2371"/>
      <c r="AC126" s="2371"/>
      <c r="AD126" s="2371"/>
      <c r="AE126" s="2371"/>
      <c r="AF126" s="2843"/>
      <c r="AG126" s="1777"/>
      <c r="AH126" s="1777"/>
      <c r="AI126" s="1777"/>
      <c r="AJ126" s="1777"/>
      <c r="AK126" s="2852">
        <v>11</v>
      </c>
    </row>
    <row s="65897" customFormat="1" customHeight="1" ht="11.549999999999999">
      <c r="A127" s="2198"/>
      <c r="B127" s="2847"/>
      <c r="C127" s="2847"/>
      <c r="D127" s="1562"/>
      <c r="J127" s="13495"/>
      <c r="K127" s="13495"/>
      <c r="L127" s="13495"/>
      <c r="M127" s="13495"/>
      <c r="N127" s="13495"/>
      <c r="P127" s="2371"/>
      <c r="Q127" s="2847"/>
      <c r="R127" s="2847"/>
      <c r="S127" s="2371"/>
      <c r="T127" s="2371"/>
      <c r="U127" s="2371"/>
      <c r="V127" s="2371"/>
      <c r="W127" s="2847"/>
      <c r="X127" s="2371"/>
      <c r="Y127" s="2371"/>
      <c r="Z127" s="1755"/>
      <c r="AA127" s="2371"/>
      <c r="AB127" s="2371"/>
      <c r="AC127" s="2371"/>
      <c r="AD127" s="2371"/>
      <c r="AE127" s="2371"/>
      <c r="AF127" s="2843"/>
      <c r="AG127" s="1777"/>
      <c r="AH127" s="1777"/>
      <c r="AI127" s="1777"/>
      <c r="AJ127" s="1777"/>
      <c r="AK127" s="2852">
        <v>11</v>
      </c>
    </row>
    <row s="65897" customFormat="1" customHeight="1" ht="11.549999999999999">
      <c r="A128" s="2198"/>
      <c r="B128" s="2847"/>
      <c r="C128" s="2847"/>
      <c r="D128" s="1562"/>
      <c r="J128" s="13495"/>
      <c r="K128" s="13495"/>
      <c r="L128" s="13495"/>
      <c r="M128" s="13495"/>
      <c r="N128" s="13495"/>
      <c r="P128" s="2371"/>
      <c r="Q128" s="2847"/>
      <c r="R128" s="2847"/>
      <c r="S128" s="2371"/>
      <c r="T128" s="2371"/>
      <c r="U128" s="2371"/>
      <c r="V128" s="2371"/>
      <c r="W128" s="2847"/>
      <c r="X128" s="2371"/>
      <c r="Y128" s="2371"/>
      <c r="Z128" s="1755"/>
      <c r="AA128" s="2371"/>
      <c r="AB128" s="2371"/>
      <c r="AC128" s="2371"/>
      <c r="AD128" s="2371"/>
      <c r="AE128" s="2371"/>
      <c r="AF128" s="2843"/>
      <c r="AG128" s="1777"/>
      <c r="AH128" s="1777"/>
      <c r="AI128" s="1777"/>
      <c r="AJ128" s="1777"/>
      <c r="AK128" s="2852">
        <v>11</v>
      </c>
    </row>
    <row s="65897" customFormat="1" customHeight="1" ht="11.549999999999999">
      <c r="A129" s="2198"/>
      <c r="B129" s="2847"/>
      <c r="C129" s="2847"/>
      <c r="D129" s="1562"/>
      <c r="J129" s="13495"/>
      <c r="K129" s="13495"/>
      <c r="L129" s="13495"/>
      <c r="M129" s="13495"/>
      <c r="N129" s="13495"/>
      <c r="P129" s="2371"/>
      <c r="Q129" s="2847"/>
      <c r="R129" s="2847"/>
      <c r="S129" s="2371"/>
      <c r="T129" s="2371"/>
      <c r="U129" s="2371"/>
      <c r="V129" s="2371"/>
      <c r="W129" s="2847"/>
      <c r="X129" s="2371"/>
      <c r="Y129" s="2371"/>
      <c r="Z129" s="1755"/>
      <c r="AA129" s="2371"/>
      <c r="AB129" s="2371"/>
      <c r="AC129" s="2371"/>
      <c r="AD129" s="2371"/>
      <c r="AE129" s="2371"/>
      <c r="AF129" s="2843"/>
      <c r="AG129" s="1777"/>
      <c r="AH129" s="1777"/>
      <c r="AI129" s="1777"/>
      <c r="AJ129" s="1777"/>
      <c r="AK129" s="2852">
        <v>11</v>
      </c>
    </row>
    <row s="65897" customFormat="1" customHeight="1" ht="11.549999999999999">
      <c r="A130" s="2198"/>
      <c r="B130" s="2847"/>
      <c r="C130" s="2847"/>
      <c r="D130" s="1562"/>
      <c r="J130" s="13495"/>
      <c r="K130" s="13495"/>
      <c r="L130" s="13495"/>
      <c r="M130" s="13495"/>
      <c r="N130" s="13495"/>
      <c r="P130" s="2371"/>
      <c r="Q130" s="2847"/>
      <c r="R130" s="2847"/>
      <c r="S130" s="2371"/>
      <c r="T130" s="2371"/>
      <c r="U130" s="2371"/>
      <c r="V130" s="2371"/>
      <c r="W130" s="2847"/>
      <c r="X130" s="2371"/>
      <c r="Y130" s="2371"/>
      <c r="Z130" s="1755"/>
      <c r="AA130" s="2371"/>
      <c r="AB130" s="2371"/>
      <c r="AC130" s="2371"/>
      <c r="AD130" s="2371"/>
      <c r="AE130" s="2371"/>
      <c r="AF130" s="2843"/>
      <c r="AG130" s="1777"/>
      <c r="AH130" s="1777"/>
      <c r="AI130" s="1777"/>
      <c r="AJ130" s="1777"/>
      <c r="AK130" s="2852">
        <v>11</v>
      </c>
    </row>
    <row s="65897" customFormat="1" customHeight="1" ht="11.549999999999999">
      <c r="A131" s="2198"/>
      <c r="B131" s="2847"/>
      <c r="C131" s="2847"/>
      <c r="D131" s="1562"/>
      <c r="J131" s="13495"/>
      <c r="K131" s="13495"/>
      <c r="L131" s="13495"/>
      <c r="M131" s="13495"/>
      <c r="N131" s="13495"/>
      <c r="P131" s="2371"/>
      <c r="Q131" s="2847"/>
      <c r="R131" s="2847"/>
      <c r="S131" s="2371"/>
      <c r="T131" s="2371"/>
      <c r="U131" s="2371"/>
      <c r="V131" s="2371"/>
      <c r="W131" s="2847"/>
      <c r="X131" s="2371"/>
      <c r="Y131" s="2371"/>
      <c r="Z131" s="1755"/>
      <c r="AA131" s="2371"/>
      <c r="AB131" s="2371"/>
      <c r="AC131" s="2371"/>
      <c r="AD131" s="2371"/>
      <c r="AE131" s="2371"/>
      <c r="AF131" s="2843"/>
      <c r="AG131" s="1777"/>
      <c r="AH131" s="1777"/>
      <c r="AI131" s="1777"/>
      <c r="AJ131" s="1777"/>
      <c r="AK131" s="2852">
        <v>11</v>
      </c>
    </row>
    <row s="65897" customFormat="1" customHeight="1" ht="11.549999999999999">
      <c r="A132" s="2198"/>
      <c r="B132" s="2847"/>
      <c r="C132" s="2847"/>
      <c r="D132" s="1562"/>
      <c r="J132" s="13495"/>
      <c r="K132" s="13495"/>
      <c r="L132" s="13495"/>
      <c r="M132" s="13495"/>
      <c r="N132" s="13495"/>
      <c r="P132" s="2371"/>
      <c r="Q132" s="2847"/>
      <c r="R132" s="2847"/>
      <c r="S132" s="2371"/>
      <c r="T132" s="2371"/>
      <c r="U132" s="2371"/>
      <c r="V132" s="2371"/>
      <c r="W132" s="2847"/>
      <c r="X132" s="2371"/>
      <c r="Y132" s="2371"/>
      <c r="Z132" s="1755"/>
      <c r="AA132" s="2371"/>
      <c r="AB132" s="2371"/>
      <c r="AC132" s="2371"/>
      <c r="AD132" s="2371"/>
      <c r="AE132" s="2371"/>
      <c r="AF132" s="2843"/>
      <c r="AG132" s="1777"/>
      <c r="AH132" s="1777"/>
      <c r="AI132" s="1777"/>
      <c r="AJ132" s="1777"/>
      <c r="AK132" s="2852">
        <v>11</v>
      </c>
    </row>
    <row s="65897" customFormat="1" customHeight="1" ht="11.549999999999999">
      <c r="A133" s="2198"/>
      <c r="B133" s="2847"/>
      <c r="C133" s="2847"/>
      <c r="D133" s="1562"/>
      <c r="J133" s="13495"/>
      <c r="K133" s="13495"/>
      <c r="L133" s="13495"/>
      <c r="M133" s="13495"/>
      <c r="N133" s="13495"/>
      <c r="P133" s="2371"/>
      <c r="Q133" s="2847"/>
      <c r="R133" s="2847"/>
      <c r="S133" s="2371"/>
      <c r="T133" s="2371"/>
      <c r="U133" s="2371"/>
      <c r="V133" s="2371"/>
      <c r="W133" s="2847"/>
      <c r="X133" s="2371"/>
      <c r="Y133" s="2371"/>
      <c r="Z133" s="1755"/>
      <c r="AA133" s="2371"/>
      <c r="AB133" s="2371"/>
      <c r="AC133" s="2371"/>
      <c r="AD133" s="2371"/>
      <c r="AE133" s="2371"/>
      <c r="AF133" s="2843"/>
      <c r="AG133" s="1777"/>
      <c r="AH133" s="1777"/>
      <c r="AI133" s="1777"/>
      <c r="AJ133" s="1777"/>
      <c r="AK133" s="2852">
        <v>11</v>
      </c>
    </row>
    <row s="65897" customFormat="1" customHeight="1" ht="11.549999999999999">
      <c r="A134" s="2198"/>
      <c r="B134" s="2847"/>
      <c r="C134" s="2847"/>
      <c r="D134" s="1562"/>
      <c r="J134" s="13495"/>
      <c r="K134" s="13495"/>
      <c r="L134" s="13495"/>
      <c r="M134" s="13495"/>
      <c r="N134" s="13495"/>
      <c r="P134" s="2371"/>
      <c r="Q134" s="2847"/>
      <c r="R134" s="2847"/>
      <c r="S134" s="2371"/>
      <c r="T134" s="2371"/>
      <c r="U134" s="2371"/>
      <c r="V134" s="2371"/>
      <c r="W134" s="2847"/>
      <c r="X134" s="2371"/>
      <c r="Y134" s="2371"/>
      <c r="Z134" s="1755"/>
      <c r="AA134" s="2371"/>
      <c r="AB134" s="2371"/>
      <c r="AC134" s="2371"/>
      <c r="AD134" s="2371"/>
      <c r="AE134" s="2371"/>
      <c r="AF134" s="2843"/>
      <c r="AG134" s="1777"/>
      <c r="AH134" s="1777"/>
      <c r="AI134" s="1777"/>
      <c r="AJ134" s="1777"/>
      <c r="AK134" s="2852">
        <v>11</v>
      </c>
    </row>
    <row s="65897" customFormat="1" customHeight="1" ht="11.549999999999999">
      <c r="A135" s="2198"/>
      <c r="B135" s="2847"/>
      <c r="C135" s="2847"/>
      <c r="D135" s="1562"/>
      <c r="J135" s="13495"/>
      <c r="K135" s="13495"/>
      <c r="L135" s="13495"/>
      <c r="M135" s="13495"/>
      <c r="N135" s="13495"/>
      <c r="P135" s="2371"/>
      <c r="Q135" s="2847"/>
      <c r="R135" s="2847"/>
      <c r="S135" s="2371"/>
      <c r="T135" s="2371"/>
      <c r="U135" s="2371"/>
      <c r="V135" s="2371"/>
      <c r="W135" s="2847"/>
      <c r="X135" s="2371"/>
      <c r="Y135" s="2371"/>
      <c r="Z135" s="1755"/>
      <c r="AA135" s="2371"/>
      <c r="AB135" s="2371"/>
      <c r="AC135" s="2371"/>
      <c r="AD135" s="2371"/>
      <c r="AE135" s="2371"/>
      <c r="AF135" s="2843"/>
      <c r="AG135" s="1777"/>
      <c r="AH135" s="1777"/>
      <c r="AI135" s="1777"/>
      <c r="AJ135" s="1777"/>
      <c r="AK135" s="2852">
        <v>11</v>
      </c>
    </row>
    <row s="65897" customFormat="1" customHeight="1" ht="11.549999999999999">
      <c r="A136" s="2198"/>
      <c r="B136" s="2847"/>
      <c r="C136" s="2847"/>
      <c r="D136" s="1562"/>
      <c r="J136" s="13495"/>
      <c r="K136" s="13495"/>
      <c r="L136" s="13495"/>
      <c r="M136" s="13495"/>
      <c r="N136" s="13495"/>
      <c r="P136" s="2371"/>
      <c r="Q136" s="2847"/>
      <c r="R136" s="2847"/>
      <c r="S136" s="2371"/>
      <c r="T136" s="2371"/>
      <c r="U136" s="2371"/>
      <c r="V136" s="2371"/>
      <c r="W136" s="2847"/>
      <c r="X136" s="2371"/>
      <c r="Y136" s="2371"/>
      <c r="Z136" s="1755"/>
      <c r="AA136" s="2371"/>
      <c r="AB136" s="2371"/>
      <c r="AC136" s="2371"/>
      <c r="AD136" s="2371"/>
      <c r="AE136" s="2371"/>
      <c r="AF136" s="2843"/>
      <c r="AG136" s="1777"/>
      <c r="AH136" s="1777"/>
      <c r="AI136" s="1777"/>
      <c r="AJ136" s="1777"/>
      <c r="AK136" s="2852">
        <v>11</v>
      </c>
    </row>
    <row s="65897" customFormat="1" customHeight="1" ht="11.549999999999999">
      <c r="A137" s="2198"/>
      <c r="B137" s="2847"/>
      <c r="C137" s="2847"/>
      <c r="D137" s="1562"/>
      <c r="J137" s="13495"/>
      <c r="K137" s="13495"/>
      <c r="L137" s="13495"/>
      <c r="M137" s="13495"/>
      <c r="N137" s="13495"/>
      <c r="P137" s="2371"/>
      <c r="Q137" s="2847"/>
      <c r="R137" s="2847"/>
      <c r="S137" s="2371"/>
      <c r="T137" s="2371"/>
      <c r="U137" s="2371"/>
      <c r="V137" s="2371"/>
      <c r="W137" s="2847"/>
      <c r="X137" s="2371"/>
      <c r="Y137" s="2371"/>
      <c r="Z137" s="1755"/>
      <c r="AA137" s="2371"/>
      <c r="AB137" s="2371"/>
      <c r="AC137" s="2371"/>
      <c r="AD137" s="2371"/>
      <c r="AE137" s="2371"/>
      <c r="AF137" s="2843"/>
      <c r="AG137" s="1777"/>
      <c r="AH137" s="1777"/>
      <c r="AI137" s="1777"/>
      <c r="AJ137" s="1777"/>
      <c r="AK137" s="2852">
        <v>11</v>
      </c>
    </row>
    <row s="65897" customFormat="1" customHeight="1" ht="11.549999999999999">
      <c r="A138" s="2198"/>
      <c r="B138" s="2847"/>
      <c r="C138" s="2847"/>
      <c r="D138" s="1562"/>
      <c r="J138" s="13495"/>
      <c r="K138" s="13495"/>
      <c r="L138" s="13495"/>
      <c r="M138" s="13495"/>
      <c r="N138" s="13495"/>
      <c r="P138" s="2371"/>
      <c r="Q138" s="2847"/>
      <c r="R138" s="2847"/>
      <c r="S138" s="2371"/>
      <c r="T138" s="2371"/>
      <c r="U138" s="2371"/>
      <c r="V138" s="2371"/>
      <c r="W138" s="2847"/>
      <c r="X138" s="2371"/>
      <c r="Y138" s="2371"/>
      <c r="Z138" s="1755"/>
      <c r="AA138" s="2371"/>
      <c r="AB138" s="2371"/>
      <c r="AC138" s="2371"/>
      <c r="AD138" s="2371"/>
      <c r="AE138" s="2371"/>
      <c r="AF138" s="2843"/>
      <c r="AG138" s="1777"/>
      <c r="AH138" s="1777"/>
      <c r="AI138" s="1777"/>
      <c r="AJ138" s="1777"/>
      <c r="AK138" s="2852">
        <v>11</v>
      </c>
    </row>
    <row s="65897" customFormat="1" customHeight="1" ht="11.549999999999999">
      <c r="A139" s="2198"/>
      <c r="B139" s="2847"/>
      <c r="C139" s="2847"/>
      <c r="D139" s="1562"/>
      <c r="J139" s="13495"/>
      <c r="K139" s="13495"/>
      <c r="L139" s="13495"/>
      <c r="M139" s="13495"/>
      <c r="N139" s="13495"/>
      <c r="P139" s="2371"/>
      <c r="Q139" s="2847"/>
      <c r="R139" s="2847"/>
      <c r="S139" s="2371"/>
      <c r="T139" s="2371"/>
      <c r="U139" s="2371"/>
      <c r="V139" s="2371"/>
      <c r="W139" s="2847"/>
      <c r="X139" s="2371"/>
      <c r="Y139" s="2371"/>
      <c r="Z139" s="1755"/>
      <c r="AA139" s="2371"/>
      <c r="AB139" s="2371"/>
      <c r="AC139" s="2371"/>
      <c r="AD139" s="2371"/>
      <c r="AE139" s="2371"/>
      <c r="AF139" s="2843"/>
      <c r="AG139" s="1777"/>
      <c r="AH139" s="1777"/>
      <c r="AI139" s="1777"/>
      <c r="AJ139" s="1777"/>
      <c r="AK139" s="2852">
        <v>11</v>
      </c>
    </row>
    <row s="65897" customFormat="1" customHeight="1" ht="11.549999999999999">
      <c r="A140" s="2198"/>
      <c r="B140" s="2847"/>
      <c r="C140" s="2847"/>
      <c r="D140" s="1562"/>
      <c r="J140" s="13495"/>
      <c r="K140" s="13495"/>
      <c r="L140" s="13495"/>
      <c r="M140" s="13495"/>
      <c r="N140" s="13495"/>
      <c r="P140" s="2371"/>
      <c r="Q140" s="2847"/>
      <c r="R140" s="2847"/>
      <c r="S140" s="2371"/>
      <c r="T140" s="2371"/>
      <c r="U140" s="2371"/>
      <c r="V140" s="2371"/>
      <c r="W140" s="2847"/>
      <c r="X140" s="2371"/>
      <c r="Y140" s="2371"/>
      <c r="Z140" s="1755"/>
      <c r="AA140" s="2371"/>
      <c r="AB140" s="2371"/>
      <c r="AC140" s="2371"/>
      <c r="AD140" s="2371"/>
      <c r="AE140" s="2371"/>
      <c r="AF140" s="2843"/>
      <c r="AG140" s="1777"/>
      <c r="AH140" s="1777"/>
      <c r="AI140" s="1777"/>
      <c r="AJ140" s="1777"/>
      <c r="AK140" s="2852">
        <v>11</v>
      </c>
    </row>
    <row s="65897" customFormat="1" customHeight="1" ht="11.549999999999999">
      <c r="A141" s="2198"/>
      <c r="B141" s="2847"/>
      <c r="C141" s="2847"/>
      <c r="D141" s="1562"/>
      <c r="J141" s="13495"/>
      <c r="K141" s="13495"/>
      <c r="L141" s="13495"/>
      <c r="M141" s="13495"/>
      <c r="N141" s="13495"/>
      <c r="P141" s="2371"/>
      <c r="Q141" s="2847"/>
      <c r="R141" s="2847"/>
      <c r="S141" s="2371"/>
      <c r="T141" s="2371"/>
      <c r="U141" s="2371"/>
      <c r="V141" s="2371"/>
      <c r="W141" s="2847"/>
      <c r="X141" s="2371"/>
      <c r="Y141" s="2371"/>
      <c r="Z141" s="1755"/>
      <c r="AA141" s="2371"/>
      <c r="AB141" s="2371"/>
      <c r="AC141" s="2371"/>
      <c r="AD141" s="2371"/>
      <c r="AE141" s="2371"/>
      <c r="AF141" s="2843"/>
      <c r="AG141" s="1777"/>
      <c r="AH141" s="1777"/>
      <c r="AI141" s="1777"/>
      <c r="AJ141" s="1777"/>
      <c r="AK141" s="2852">
        <v>11</v>
      </c>
    </row>
    <row s="65897" customFormat="1" customHeight="1" ht="11.549999999999999">
      <c r="A142" s="2198"/>
      <c r="B142" s="2847"/>
      <c r="C142" s="2847"/>
      <c r="D142" s="1562"/>
      <c r="J142" s="13495"/>
      <c r="K142" s="13495"/>
      <c r="L142" s="13495"/>
      <c r="M142" s="13495"/>
      <c r="N142" s="13495"/>
      <c r="P142" s="2371"/>
      <c r="Q142" s="2847"/>
      <c r="R142" s="2847"/>
      <c r="S142" s="2371"/>
      <c r="T142" s="2371"/>
      <c r="U142" s="2371"/>
      <c r="V142" s="2371"/>
      <c r="W142" s="2847"/>
      <c r="X142" s="2371"/>
      <c r="Y142" s="2371"/>
      <c r="Z142" s="1755"/>
      <c r="AA142" s="2371"/>
      <c r="AB142" s="2371"/>
      <c r="AC142" s="2371"/>
      <c r="AD142" s="2371"/>
      <c r="AE142" s="2371"/>
      <c r="AF142" s="2843"/>
      <c r="AG142" s="1777"/>
      <c r="AH142" s="1777"/>
      <c r="AI142" s="1777"/>
      <c r="AJ142" s="1777"/>
      <c r="AK142" s="2852">
        <v>11</v>
      </c>
    </row>
    <row s="65897" customFormat="1" customHeight="1" ht="11.549999999999999">
      <c r="A143" s="2198"/>
      <c r="B143" s="2847"/>
      <c r="C143" s="2847"/>
      <c r="D143" s="1562"/>
      <c r="J143" s="13495"/>
      <c r="K143" s="13495"/>
      <c r="L143" s="13495"/>
      <c r="M143" s="13495"/>
      <c r="N143" s="13495"/>
      <c r="P143" s="2371"/>
      <c r="Q143" s="2847"/>
      <c r="R143" s="2847"/>
      <c r="S143" s="2371"/>
      <c r="T143" s="2371"/>
      <c r="U143" s="2371"/>
      <c r="V143" s="2371"/>
      <c r="W143" s="2847"/>
      <c r="X143" s="2371"/>
      <c r="Y143" s="2371"/>
      <c r="Z143" s="1755"/>
      <c r="AA143" s="2371"/>
      <c r="AB143" s="2371"/>
      <c r="AC143" s="2371"/>
      <c r="AD143" s="2371"/>
      <c r="AE143" s="2371"/>
      <c r="AF143" s="2843"/>
      <c r="AG143" s="1777"/>
      <c r="AH143" s="1777"/>
      <c r="AI143" s="1777"/>
      <c r="AJ143" s="1777"/>
      <c r="AK143" s="2852">
        <v>11</v>
      </c>
    </row>
    <row s="65897" customFormat="1" customHeight="1" ht="11.549999999999999">
      <c r="A144" s="2198"/>
      <c r="B144" s="2847"/>
      <c r="C144" s="2847"/>
      <c r="D144" s="1562"/>
      <c r="J144" s="13495"/>
      <c r="K144" s="13495"/>
      <c r="L144" s="13495"/>
      <c r="M144" s="13495"/>
      <c r="N144" s="13495"/>
      <c r="P144" s="2371"/>
      <c r="Q144" s="2847"/>
      <c r="R144" s="2847"/>
      <c r="S144" s="2371"/>
      <c r="T144" s="2371"/>
      <c r="U144" s="2371"/>
      <c r="V144" s="2371"/>
      <c r="W144" s="2847"/>
      <c r="X144" s="2371"/>
      <c r="Y144" s="2371"/>
      <c r="Z144" s="1755"/>
      <c r="AA144" s="2371"/>
      <c r="AB144" s="2371"/>
      <c r="AC144" s="2371"/>
      <c r="AD144" s="2371"/>
      <c r="AE144" s="2371"/>
      <c r="AF144" s="2843"/>
      <c r="AG144" s="1777"/>
      <c r="AH144" s="1777"/>
      <c r="AI144" s="1777"/>
      <c r="AJ144" s="1777"/>
      <c r="AK144" s="2852">
        <v>11</v>
      </c>
    </row>
    <row s="65897" customFormat="1" customHeight="1" ht="11.549999999999999">
      <c r="A145" s="2198"/>
      <c r="B145" s="2847"/>
      <c r="C145" s="2847"/>
      <c r="D145" s="1562"/>
      <c r="J145" s="13495"/>
      <c r="K145" s="13495"/>
      <c r="L145" s="13495"/>
      <c r="M145" s="13495"/>
      <c r="N145" s="13495"/>
      <c r="P145" s="2371"/>
      <c r="Q145" s="2847"/>
      <c r="R145" s="2847"/>
      <c r="S145" s="2371"/>
      <c r="T145" s="2371"/>
      <c r="U145" s="2371"/>
      <c r="V145" s="2371"/>
      <c r="W145" s="2847"/>
      <c r="X145" s="2371"/>
      <c r="Y145" s="2371"/>
      <c r="Z145" s="1755"/>
      <c r="AA145" s="2371"/>
      <c r="AB145" s="2371"/>
      <c r="AC145" s="2371"/>
      <c r="AD145" s="2371"/>
      <c r="AE145" s="2371"/>
      <c r="AF145" s="2843"/>
      <c r="AG145" s="1777"/>
      <c r="AH145" s="1777"/>
      <c r="AI145" s="1777"/>
      <c r="AJ145" s="1777"/>
      <c r="AK145" s="2852">
        <v>11</v>
      </c>
    </row>
    <row s="65897" customFormat="1" customHeight="1" ht="11.549999999999999">
      <c r="A146" s="2198"/>
      <c r="B146" s="2847"/>
      <c r="C146" s="2847"/>
      <c r="D146" s="1562"/>
      <c r="J146" s="13495"/>
      <c r="K146" s="13495"/>
      <c r="L146" s="13495"/>
      <c r="M146" s="13495"/>
      <c r="N146" s="13495"/>
      <c r="P146" s="2371"/>
      <c r="Q146" s="2847"/>
      <c r="R146" s="2847"/>
      <c r="S146" s="2371"/>
      <c r="T146" s="2371"/>
      <c r="U146" s="2371"/>
      <c r="V146" s="2371"/>
      <c r="W146" s="2847"/>
      <c r="X146" s="2371"/>
      <c r="Y146" s="2371"/>
      <c r="Z146" s="1755"/>
      <c r="AA146" s="2371"/>
      <c r="AB146" s="2371"/>
      <c r="AC146" s="2371"/>
      <c r="AD146" s="2371"/>
      <c r="AE146" s="2371"/>
      <c r="AF146" s="2843"/>
      <c r="AG146" s="1777"/>
      <c r="AH146" s="1777"/>
      <c r="AI146" s="1777"/>
      <c r="AJ146" s="1777"/>
      <c r="AK146" s="2852">
        <v>11</v>
      </c>
    </row>
    <row s="65897" customFormat="1" customHeight="1" ht="11.549999999999999">
      <c r="A147" s="2198"/>
      <c r="B147" s="2847"/>
      <c r="C147" s="2847"/>
      <c r="D147" s="1562"/>
      <c r="J147" s="13495"/>
      <c r="K147" s="13495"/>
      <c r="L147" s="13495"/>
      <c r="M147" s="13495"/>
      <c r="N147" s="13495"/>
      <c r="P147" s="2371"/>
      <c r="Q147" s="2847"/>
      <c r="R147" s="2847"/>
      <c r="S147" s="2371"/>
      <c r="T147" s="2371"/>
      <c r="U147" s="2371"/>
      <c r="V147" s="2371"/>
      <c r="W147" s="2847"/>
      <c r="X147" s="2371"/>
      <c r="Y147" s="2371"/>
      <c r="Z147" s="1755"/>
      <c r="AA147" s="2371"/>
      <c r="AB147" s="2371"/>
      <c r="AC147" s="2371"/>
      <c r="AD147" s="2371"/>
      <c r="AE147" s="2371"/>
      <c r="AF147" s="2843"/>
      <c r="AG147" s="1777"/>
      <c r="AH147" s="1777"/>
      <c r="AI147" s="1777"/>
      <c r="AJ147" s="1777"/>
      <c r="AK147" s="2852">
        <v>11</v>
      </c>
    </row>
    <row s="65897" customFormat="1" customHeight="1" ht="11.549999999999999">
      <c r="A148" s="2198"/>
      <c r="B148" s="2847"/>
      <c r="C148" s="2847"/>
      <c r="D148" s="1562"/>
      <c r="J148" s="13495"/>
      <c r="K148" s="13495"/>
      <c r="L148" s="13495"/>
      <c r="M148" s="13495"/>
      <c r="N148" s="13495"/>
      <c r="P148" s="2371"/>
      <c r="Q148" s="2847"/>
      <c r="R148" s="2847"/>
      <c r="S148" s="2371"/>
      <c r="T148" s="2371"/>
      <c r="U148" s="2371"/>
      <c r="V148" s="2371"/>
      <c r="W148" s="2847"/>
      <c r="X148" s="2371"/>
      <c r="Y148" s="2371"/>
      <c r="Z148" s="1755"/>
      <c r="AA148" s="2371"/>
      <c r="AB148" s="2371"/>
      <c r="AC148" s="2371"/>
      <c r="AD148" s="2371"/>
      <c r="AE148" s="2371"/>
      <c r="AF148" s="2843"/>
      <c r="AG148" s="1777"/>
      <c r="AH148" s="1777"/>
      <c r="AI148" s="1777"/>
      <c r="AJ148" s="1777"/>
      <c r="AK148" s="2852">
        <v>11</v>
      </c>
    </row>
    <row s="65897" customFormat="1" customHeight="1" ht="11.549999999999999">
      <c r="A149" s="2198"/>
      <c r="B149" s="2847"/>
      <c r="C149" s="2847"/>
      <c r="D149" s="1562"/>
      <c r="J149" s="13495"/>
      <c r="K149" s="13495"/>
      <c r="L149" s="13495"/>
      <c r="M149" s="13495"/>
      <c r="N149" s="13495"/>
      <c r="P149" s="2371"/>
      <c r="Q149" s="2847"/>
      <c r="R149" s="2847"/>
      <c r="S149" s="2371"/>
      <c r="T149" s="2371"/>
      <c r="U149" s="2371"/>
      <c r="V149" s="2371"/>
      <c r="W149" s="2847"/>
      <c r="X149" s="2371"/>
      <c r="Y149" s="2371"/>
      <c r="Z149" s="1755"/>
      <c r="AA149" s="2371"/>
      <c r="AB149" s="2371"/>
      <c r="AC149" s="2371"/>
      <c r="AD149" s="2371"/>
      <c r="AE149" s="2371"/>
      <c r="AF149" s="2843"/>
      <c r="AG149" s="1777"/>
      <c r="AH149" s="1777"/>
      <c r="AI149" s="1777"/>
      <c r="AJ149" s="1777"/>
      <c r="AK149" s="2852">
        <v>11</v>
      </c>
    </row>
    <row s="65897" customFormat="1" customHeight="1" ht="11.549999999999999">
      <c r="A150" s="2198"/>
      <c r="B150" s="2847"/>
      <c r="C150" s="2847"/>
      <c r="D150" s="1562"/>
      <c r="J150" s="13495"/>
      <c r="K150" s="13495"/>
      <c r="L150" s="13495"/>
      <c r="M150" s="13495"/>
      <c r="N150" s="13495"/>
      <c r="P150" s="2371"/>
      <c r="Q150" s="2847"/>
      <c r="R150" s="2847"/>
      <c r="S150" s="2371"/>
      <c r="T150" s="2371"/>
      <c r="U150" s="2371"/>
      <c r="V150" s="2371"/>
      <c r="W150" s="2847"/>
      <c r="X150" s="2371"/>
      <c r="Y150" s="2371"/>
      <c r="Z150" s="1755"/>
      <c r="AA150" s="2371"/>
      <c r="AB150" s="2371"/>
      <c r="AC150" s="2371"/>
      <c r="AD150" s="2371"/>
      <c r="AE150" s="2371"/>
      <c r="AF150" s="2843"/>
      <c r="AG150" s="1777"/>
      <c r="AH150" s="1777"/>
      <c r="AI150" s="1777"/>
      <c r="AJ150" s="1777"/>
      <c r="AK150" s="2852">
        <v>11</v>
      </c>
    </row>
    <row s="65897" customFormat="1" customHeight="1" ht="11.549999999999999">
      <c r="A151" s="2198"/>
      <c r="B151" s="2847"/>
      <c r="C151" s="2847"/>
      <c r="D151" s="1562"/>
      <c r="J151" s="13495"/>
      <c r="K151" s="13495"/>
      <c r="L151" s="13495"/>
      <c r="M151" s="13495"/>
      <c r="N151" s="13495"/>
      <c r="P151" s="2371"/>
      <c r="Q151" s="2847"/>
      <c r="R151" s="2847"/>
      <c r="S151" s="2371"/>
      <c r="T151" s="2371"/>
      <c r="U151" s="2371"/>
      <c r="V151" s="2371"/>
      <c r="W151" s="2847"/>
      <c r="X151" s="2371"/>
      <c r="Y151" s="2371"/>
      <c r="Z151" s="1755"/>
      <c r="AA151" s="2371"/>
      <c r="AB151" s="2371"/>
      <c r="AC151" s="2371"/>
      <c r="AD151" s="2371"/>
      <c r="AE151" s="2371"/>
      <c r="AF151" s="2843"/>
      <c r="AG151" s="1777"/>
      <c r="AH151" s="1777"/>
      <c r="AI151" s="1777"/>
      <c r="AJ151" s="1777"/>
      <c r="AK151" s="2852">
        <v>11</v>
      </c>
    </row>
    <row s="65897" customFormat="1" customHeight="1" ht="11.549999999999999">
      <c r="A152" s="2198"/>
      <c r="B152" s="2847"/>
      <c r="C152" s="2847"/>
      <c r="D152" s="1562"/>
      <c r="J152" s="13495"/>
      <c r="K152" s="13495"/>
      <c r="L152" s="13495"/>
      <c r="M152" s="13495"/>
      <c r="N152" s="13495"/>
      <c r="P152" s="2371"/>
      <c r="Q152" s="2847"/>
      <c r="R152" s="2847"/>
      <c r="S152" s="2371"/>
      <c r="T152" s="2371"/>
      <c r="U152" s="2371"/>
      <c r="V152" s="2371"/>
      <c r="W152" s="2847"/>
      <c r="X152" s="2371"/>
      <c r="Y152" s="2371"/>
      <c r="Z152" s="1755"/>
      <c r="AA152" s="2371"/>
      <c r="AB152" s="2371"/>
      <c r="AC152" s="2371"/>
      <c r="AD152" s="2371"/>
      <c r="AE152" s="2371"/>
      <c r="AF152" s="2843"/>
      <c r="AG152" s="1777"/>
      <c r="AH152" s="1777"/>
      <c r="AI152" s="1777"/>
      <c r="AJ152" s="1777"/>
      <c r="AK152" s="2852">
        <v>11</v>
      </c>
    </row>
    <row s="65897" customFormat="1" customHeight="1" ht="11.549999999999999">
      <c r="A153" s="2198"/>
      <c r="B153" s="2847"/>
      <c r="C153" s="2847"/>
      <c r="D153" s="1562"/>
      <c r="J153" s="13495"/>
      <c r="K153" s="13495"/>
      <c r="L153" s="13495"/>
      <c r="M153" s="13495"/>
      <c r="N153" s="13495"/>
      <c r="P153" s="2371"/>
      <c r="Q153" s="2847"/>
      <c r="R153" s="2847"/>
      <c r="S153" s="2371"/>
      <c r="T153" s="2371"/>
      <c r="U153" s="2371"/>
      <c r="V153" s="2371"/>
      <c r="W153" s="2847"/>
      <c r="X153" s="2371"/>
      <c r="Y153" s="2371"/>
      <c r="Z153" s="1755"/>
      <c r="AA153" s="2371"/>
      <c r="AB153" s="2371"/>
      <c r="AC153" s="2371"/>
      <c r="AD153" s="2371"/>
      <c r="AE153" s="2371"/>
      <c r="AF153" s="2843"/>
      <c r="AG153" s="1777"/>
      <c r="AH153" s="1777"/>
      <c r="AI153" s="1777"/>
      <c r="AJ153" s="1777"/>
      <c r="AK153" s="2852">
        <v>11</v>
      </c>
    </row>
    <row s="65897" customFormat="1" customHeight="1" ht="11.549999999999999">
      <c r="A154" s="2198"/>
      <c r="B154" s="2847"/>
      <c r="C154" s="2847"/>
      <c r="D154" s="1562"/>
      <c r="J154" s="13495"/>
      <c r="K154" s="13495"/>
      <c r="L154" s="13495"/>
      <c r="M154" s="13495"/>
      <c r="N154" s="13495"/>
      <c r="P154" s="2371"/>
      <c r="Q154" s="2847"/>
      <c r="R154" s="2847"/>
      <c r="S154" s="2371"/>
      <c r="T154" s="2371"/>
      <c r="U154" s="2371"/>
      <c r="V154" s="2371"/>
      <c r="W154" s="2847"/>
      <c r="X154" s="2371"/>
      <c r="Y154" s="2371"/>
      <c r="Z154" s="1755"/>
      <c r="AA154" s="2371"/>
      <c r="AB154" s="2371"/>
      <c r="AC154" s="2371"/>
      <c r="AD154" s="2371"/>
      <c r="AE154" s="2371"/>
      <c r="AF154" s="2843"/>
      <c r="AG154" s="1777"/>
      <c r="AH154" s="1777"/>
      <c r="AI154" s="1777"/>
      <c r="AJ154" s="1777"/>
      <c r="AK154" s="2852">
        <v>11</v>
      </c>
    </row>
    <row s="65897" customFormat="1" customHeight="1" ht="11.549999999999999">
      <c r="A155" s="2198"/>
      <c r="B155" s="2847"/>
      <c r="C155" s="2847"/>
      <c r="D155" s="1562"/>
      <c r="J155" s="13495"/>
      <c r="K155" s="13495"/>
      <c r="L155" s="13495"/>
      <c r="M155" s="13495"/>
      <c r="N155" s="13495"/>
      <c r="P155" s="2371"/>
      <c r="Q155" s="2847"/>
      <c r="R155" s="2847"/>
      <c r="S155" s="2371"/>
      <c r="T155" s="2371"/>
      <c r="U155" s="2371"/>
      <c r="V155" s="2371"/>
      <c r="W155" s="2847"/>
      <c r="X155" s="2371"/>
      <c r="Y155" s="2371"/>
      <c r="Z155" s="1755"/>
      <c r="AA155" s="2371"/>
      <c r="AB155" s="2371"/>
      <c r="AC155" s="2371"/>
      <c r="AD155" s="2371"/>
      <c r="AE155" s="2371"/>
      <c r="AF155" s="2843"/>
      <c r="AG155" s="1777"/>
      <c r="AH155" s="1777"/>
      <c r="AI155" s="1777"/>
      <c r="AJ155" s="1777"/>
      <c r="AK155" s="2852">
        <v>11</v>
      </c>
    </row>
    <row s="65897" customFormat="1" customHeight="1" ht="11.549999999999999">
      <c r="A156" s="2198"/>
      <c r="B156" s="2847"/>
      <c r="C156" s="2847"/>
      <c r="D156" s="1562"/>
      <c r="J156" s="13495"/>
      <c r="K156" s="13495"/>
      <c r="L156" s="13495"/>
      <c r="M156" s="13495"/>
      <c r="N156" s="13495"/>
      <c r="P156" s="2371"/>
      <c r="Q156" s="2847"/>
      <c r="R156" s="2847"/>
      <c r="S156" s="2371"/>
      <c r="T156" s="2371"/>
      <c r="U156" s="2371"/>
      <c r="V156" s="2371"/>
      <c r="W156" s="2847"/>
      <c r="X156" s="2371"/>
      <c r="Y156" s="2371"/>
      <c r="Z156" s="1755"/>
      <c r="AA156" s="2371"/>
      <c r="AB156" s="2371"/>
      <c r="AC156" s="2371"/>
      <c r="AD156" s="2371"/>
      <c r="AE156" s="2371"/>
      <c r="AF156" s="2843"/>
      <c r="AG156" s="1777"/>
      <c r="AH156" s="1777"/>
      <c r="AI156" s="1777"/>
      <c r="AJ156" s="1777"/>
      <c r="AK156" s="2852">
        <v>11</v>
      </c>
    </row>
    <row s="65897" customFormat="1" customHeight="1" ht="11.549999999999999">
      <c r="A157" s="2198"/>
      <c r="B157" s="2847"/>
      <c r="C157" s="2847"/>
      <c r="D157" s="1562"/>
      <c r="J157" s="13495"/>
      <c r="K157" s="13495"/>
      <c r="L157" s="13495"/>
      <c r="M157" s="13495"/>
      <c r="N157" s="13495"/>
      <c r="P157" s="2371"/>
      <c r="Q157" s="2847"/>
      <c r="R157" s="2847"/>
      <c r="S157" s="2371"/>
      <c r="T157" s="2371"/>
      <c r="U157" s="2371"/>
      <c r="V157" s="2371"/>
      <c r="W157" s="2847"/>
      <c r="X157" s="2371"/>
      <c r="Y157" s="2371"/>
      <c r="Z157" s="1755"/>
      <c r="AA157" s="2371"/>
      <c r="AB157" s="2371"/>
      <c r="AC157" s="2371"/>
      <c r="AD157" s="2371"/>
      <c r="AE157" s="2371"/>
      <c r="AF157" s="2843"/>
      <c r="AG157" s="1777"/>
      <c r="AH157" s="1777"/>
      <c r="AI157" s="1777"/>
      <c r="AJ157" s="1777"/>
      <c r="AK157" s="2852">
        <v>11</v>
      </c>
    </row>
    <row s="65897" customFormat="1" customHeight="1" ht="11.549999999999999">
      <c r="A158" s="2198"/>
      <c r="B158" s="2847"/>
      <c r="C158" s="2847"/>
      <c r="D158" s="1562"/>
      <c r="J158" s="13495"/>
      <c r="K158" s="13495"/>
      <c r="L158" s="13495"/>
      <c r="M158" s="13495"/>
      <c r="N158" s="13495"/>
      <c r="P158" s="2371"/>
      <c r="Q158" s="2847"/>
      <c r="R158" s="2847"/>
      <c r="S158" s="2371"/>
      <c r="T158" s="2371"/>
      <c r="U158" s="2371"/>
      <c r="V158" s="2371"/>
      <c r="W158" s="2847"/>
      <c r="X158" s="2371"/>
      <c r="Y158" s="2371"/>
      <c r="Z158" s="1755"/>
      <c r="AA158" s="2371"/>
      <c r="AB158" s="2371"/>
      <c r="AC158" s="2371"/>
      <c r="AD158" s="2371"/>
      <c r="AE158" s="2371"/>
      <c r="AF158" s="2843"/>
      <c r="AG158" s="1777"/>
      <c r="AH158" s="1777"/>
      <c r="AI158" s="1777"/>
      <c r="AJ158" s="1777"/>
      <c r="AK158" s="2852">
        <v>11</v>
      </c>
    </row>
    <row s="65897" customFormat="1" customHeight="1" ht="11.549999999999999">
      <c r="A159" s="2198"/>
      <c r="B159" s="2847"/>
      <c r="C159" s="2847"/>
      <c r="D159" s="1562"/>
      <c r="J159" s="13495"/>
      <c r="K159" s="13495"/>
      <c r="L159" s="13495"/>
      <c r="M159" s="13495"/>
      <c r="N159" s="13495"/>
      <c r="P159" s="2371"/>
      <c r="Q159" s="2847"/>
      <c r="R159" s="2847"/>
      <c r="S159" s="2371"/>
      <c r="T159" s="2371"/>
      <c r="U159" s="2371"/>
      <c r="V159" s="2371"/>
      <c r="W159" s="2847"/>
      <c r="X159" s="2371"/>
      <c r="Y159" s="2371"/>
      <c r="Z159" s="1755"/>
      <c r="AA159" s="2371"/>
      <c r="AB159" s="2371"/>
      <c r="AC159" s="2371"/>
      <c r="AD159" s="2371"/>
      <c r="AE159" s="2371"/>
      <c r="AF159" s="2843"/>
      <c r="AG159" s="1777"/>
      <c r="AH159" s="1777"/>
      <c r="AI159" s="1777"/>
      <c r="AJ159" s="1777"/>
      <c r="AK159" s="2852">
        <v>11</v>
      </c>
    </row>
    <row s="65897" customFormat="1" customHeight="1" ht="11.549999999999999">
      <c r="A160" s="2198"/>
      <c r="B160" s="2847"/>
      <c r="C160" s="2847"/>
      <c r="D160" s="1562"/>
      <c r="J160" s="13495"/>
      <c r="K160" s="13495"/>
      <c r="L160" s="13495"/>
      <c r="M160" s="13495"/>
      <c r="N160" s="13495"/>
      <c r="P160" s="2371"/>
      <c r="Q160" s="2847"/>
      <c r="R160" s="2847"/>
      <c r="S160" s="2371"/>
      <c r="T160" s="2371"/>
      <c r="U160" s="2371"/>
      <c r="V160" s="2371"/>
      <c r="W160" s="2847"/>
      <c r="X160" s="2371"/>
      <c r="Y160" s="2371"/>
      <c r="Z160" s="1755"/>
      <c r="AA160" s="2371"/>
      <c r="AB160" s="2371"/>
      <c r="AC160" s="2371"/>
      <c r="AD160" s="2371"/>
      <c r="AE160" s="2371"/>
      <c r="AF160" s="2843"/>
      <c r="AG160" s="1777"/>
      <c r="AH160" s="1777"/>
      <c r="AI160" s="1777"/>
      <c r="AJ160" s="1777"/>
      <c r="AK160" s="2852">
        <v>11</v>
      </c>
    </row>
    <row s="65897" customFormat="1" customHeight="1" ht="11.549999999999999">
      <c r="A161" s="2198"/>
      <c r="B161" s="2847"/>
      <c r="C161" s="2847"/>
      <c r="D161" s="1562"/>
      <c r="J161" s="13495"/>
      <c r="K161" s="13495"/>
      <c r="L161" s="13495"/>
      <c r="M161" s="13495"/>
      <c r="N161" s="13495"/>
      <c r="P161" s="2371"/>
      <c r="Q161" s="2847"/>
      <c r="R161" s="2847"/>
      <c r="S161" s="2371"/>
      <c r="T161" s="2371"/>
      <c r="U161" s="2371"/>
      <c r="V161" s="2371"/>
      <c r="W161" s="2847"/>
      <c r="X161" s="2371"/>
      <c r="Y161" s="2371"/>
      <c r="Z161" s="1755"/>
      <c r="AA161" s="2371"/>
      <c r="AB161" s="2371"/>
      <c r="AC161" s="2371"/>
      <c r="AD161" s="2371"/>
      <c r="AE161" s="2371"/>
      <c r="AF161" s="2843"/>
      <c r="AG161" s="1777"/>
      <c r="AH161" s="1777"/>
      <c r="AI161" s="1777"/>
      <c r="AJ161" s="1777"/>
      <c r="AK161" s="2852">
        <v>11</v>
      </c>
    </row>
    <row s="65897" customFormat="1" customHeight="1" ht="11.549999999999999">
      <c r="A162" s="2198"/>
      <c r="B162" s="2847"/>
      <c r="C162" s="2847"/>
      <c r="D162" s="1562"/>
      <c r="J162" s="13495"/>
      <c r="K162" s="13495"/>
      <c r="L162" s="13495"/>
      <c r="M162" s="13495"/>
      <c r="N162" s="13495"/>
      <c r="P162" s="2371"/>
      <c r="Q162" s="2847"/>
      <c r="R162" s="2847"/>
      <c r="S162" s="2371"/>
      <c r="T162" s="2371"/>
      <c r="U162" s="2371"/>
      <c r="V162" s="2371"/>
      <c r="W162" s="2847"/>
      <c r="X162" s="2371"/>
      <c r="Y162" s="2371"/>
      <c r="Z162" s="1755"/>
      <c r="AA162" s="2371"/>
      <c r="AB162" s="2371"/>
      <c r="AC162" s="2371"/>
      <c r="AD162" s="2371"/>
      <c r="AE162" s="2371"/>
      <c r="AF162" s="2843"/>
      <c r="AG162" s="1777"/>
      <c r="AH162" s="1777"/>
      <c r="AI162" s="1777"/>
      <c r="AJ162" s="1777"/>
      <c r="AK162" s="2852">
        <v>11</v>
      </c>
    </row>
    <row s="65897" customFormat="1" customHeight="1" ht="11.549999999999999">
      <c r="A163" s="2198"/>
      <c r="B163" s="2847"/>
      <c r="C163" s="2847"/>
      <c r="D163" s="1562"/>
      <c r="J163" s="13495"/>
      <c r="K163" s="13495"/>
      <c r="L163" s="13495"/>
      <c r="M163" s="13495"/>
      <c r="N163" s="13495"/>
      <c r="P163" s="2371"/>
      <c r="Q163" s="2847"/>
      <c r="R163" s="2847"/>
      <c r="S163" s="2371"/>
      <c r="T163" s="2371"/>
      <c r="U163" s="2371"/>
      <c r="V163" s="2371"/>
      <c r="W163" s="2847"/>
      <c r="X163" s="2371"/>
      <c r="Y163" s="2371"/>
      <c r="Z163" s="1755"/>
      <c r="AA163" s="2371"/>
      <c r="AB163" s="2371"/>
      <c r="AC163" s="2371"/>
      <c r="AD163" s="2371"/>
      <c r="AE163" s="2371"/>
      <c r="AF163" s="2843"/>
      <c r="AG163" s="1777"/>
      <c r="AH163" s="1777"/>
      <c r="AI163" s="1777"/>
      <c r="AJ163" s="1777"/>
      <c r="AK163" s="2852">
        <v>11</v>
      </c>
    </row>
    <row s="65897" customFormat="1" customHeight="1" ht="11.549999999999999">
      <c r="A164" s="2198"/>
      <c r="B164" s="2847"/>
      <c r="C164" s="2847"/>
      <c r="D164" s="1562"/>
      <c r="J164" s="13495"/>
      <c r="K164" s="13495"/>
      <c r="L164" s="13495"/>
      <c r="M164" s="13495"/>
      <c r="N164" s="13495"/>
      <c r="P164" s="2371"/>
      <c r="Q164" s="2847"/>
      <c r="R164" s="2847"/>
      <c r="S164" s="2371"/>
      <c r="T164" s="2371"/>
      <c r="U164" s="2371"/>
      <c r="V164" s="2371"/>
      <c r="W164" s="2847"/>
      <c r="X164" s="2371"/>
      <c r="Y164" s="2371"/>
      <c r="Z164" s="1755"/>
      <c r="AA164" s="2371"/>
      <c r="AB164" s="2371"/>
      <c r="AC164" s="2371"/>
      <c r="AD164" s="2371"/>
      <c r="AE164" s="2371"/>
      <c r="AF164" s="2843"/>
      <c r="AG164" s="1777"/>
      <c r="AH164" s="1777"/>
      <c r="AI164" s="1777"/>
      <c r="AJ164" s="1777"/>
      <c r="AK164" s="2852">
        <v>11</v>
      </c>
    </row>
    <row s="65897" customFormat="1" customHeight="1" ht="11.549999999999999">
      <c r="A165" s="2198"/>
      <c r="B165" s="2847"/>
      <c r="C165" s="2847"/>
      <c r="D165" s="1562"/>
      <c r="J165" s="13495"/>
      <c r="K165" s="13495"/>
      <c r="L165" s="13495"/>
      <c r="M165" s="13495"/>
      <c r="N165" s="13495"/>
      <c r="P165" s="2371"/>
      <c r="Q165" s="2847"/>
      <c r="R165" s="2847"/>
      <c r="S165" s="2371"/>
      <c r="T165" s="2371"/>
      <c r="U165" s="2371"/>
      <c r="V165" s="2371"/>
      <c r="W165" s="2847"/>
      <c r="X165" s="2371"/>
      <c r="Y165" s="2371"/>
      <c r="Z165" s="1755"/>
      <c r="AA165" s="2371"/>
      <c r="AB165" s="2371"/>
      <c r="AC165" s="2371"/>
      <c r="AD165" s="2371"/>
      <c r="AE165" s="2371"/>
      <c r="AF165" s="2843"/>
      <c r="AG165" s="1777"/>
      <c r="AH165" s="1777"/>
      <c r="AI165" s="1777"/>
      <c r="AJ165" s="1777"/>
      <c r="AK165" s="2852">
        <v>11</v>
      </c>
    </row>
    <row s="65897" customFormat="1" customHeight="1" ht="11.549999999999999">
      <c r="A166" s="2198"/>
      <c r="B166" s="2847"/>
      <c r="C166" s="2847"/>
      <c r="D166" s="1562"/>
      <c r="J166" s="13495"/>
      <c r="K166" s="13495"/>
      <c r="L166" s="13495"/>
      <c r="M166" s="13495"/>
      <c r="N166" s="13495"/>
      <c r="P166" s="2371"/>
      <c r="Q166" s="2847"/>
      <c r="R166" s="2847"/>
      <c r="S166" s="2371"/>
      <c r="T166" s="2371"/>
      <c r="U166" s="2371"/>
      <c r="V166" s="2371"/>
      <c r="W166" s="2847"/>
      <c r="X166" s="2371"/>
      <c r="Y166" s="2371"/>
      <c r="Z166" s="1755"/>
      <c r="AA166" s="2371"/>
      <c r="AB166" s="2371"/>
      <c r="AC166" s="2371"/>
      <c r="AD166" s="2371"/>
      <c r="AE166" s="2371"/>
      <c r="AF166" s="2843"/>
      <c r="AG166" s="1777"/>
      <c r="AH166" s="1777"/>
      <c r="AI166" s="1777"/>
      <c r="AJ166" s="1777"/>
      <c r="AK166" s="2852">
        <v>11</v>
      </c>
    </row>
    <row s="65897" customFormat="1" customHeight="1" ht="11.549999999999999">
      <c r="A167" s="2198"/>
      <c r="B167" s="2847"/>
      <c r="C167" s="2847"/>
      <c r="D167" s="1562"/>
      <c r="J167" s="13495"/>
      <c r="K167" s="13495"/>
      <c r="L167" s="13495"/>
      <c r="M167" s="13495"/>
      <c r="N167" s="13495"/>
      <c r="P167" s="2371"/>
      <c r="Q167" s="2847"/>
      <c r="R167" s="2847"/>
      <c r="S167" s="2371"/>
      <c r="T167" s="2371"/>
      <c r="U167" s="2371"/>
      <c r="V167" s="2371"/>
      <c r="W167" s="2847"/>
      <c r="X167" s="2371"/>
      <c r="Y167" s="2371"/>
      <c r="Z167" s="1755"/>
      <c r="AA167" s="2371"/>
      <c r="AB167" s="2371"/>
      <c r="AC167" s="2371"/>
      <c r="AD167" s="2371"/>
      <c r="AE167" s="2371"/>
      <c r="AF167" s="2843"/>
      <c r="AG167" s="1777"/>
      <c r="AH167" s="1777"/>
      <c r="AI167" s="1777"/>
      <c r="AJ167" s="1777"/>
      <c r="AK167" s="2852">
        <v>11</v>
      </c>
    </row>
    <row s="65897" customFormat="1" customHeight="1" ht="11.549999999999999">
      <c r="A168" s="2198"/>
      <c r="B168" s="2847"/>
      <c r="C168" s="2847"/>
      <c r="D168" s="1562"/>
      <c r="J168" s="13495"/>
      <c r="K168" s="13495"/>
      <c r="L168" s="13495"/>
      <c r="M168" s="13495"/>
      <c r="N168" s="13495"/>
      <c r="P168" s="2371"/>
      <c r="Q168" s="2847"/>
      <c r="R168" s="2847"/>
      <c r="S168" s="2371"/>
      <c r="T168" s="2371"/>
      <c r="U168" s="2371"/>
      <c r="V168" s="2371"/>
      <c r="W168" s="2847"/>
      <c r="X168" s="2371"/>
      <c r="Y168" s="2371"/>
      <c r="Z168" s="1755"/>
      <c r="AA168" s="2371"/>
      <c r="AB168" s="2371"/>
      <c r="AC168" s="2371"/>
      <c r="AD168" s="2371"/>
      <c r="AE168" s="2371"/>
      <c r="AF168" s="2843"/>
      <c r="AG168" s="1777"/>
      <c r="AH168" s="1777"/>
      <c r="AI168" s="1777"/>
      <c r="AJ168" s="1777"/>
      <c r="AK168" s="2852">
        <v>11</v>
      </c>
    </row>
    <row s="65897" customFormat="1" customHeight="1" ht="11.549999999999999">
      <c r="A169" s="2198"/>
      <c r="B169" s="2847"/>
      <c r="C169" s="2847"/>
      <c r="D169" s="1562"/>
      <c r="J169" s="13495"/>
      <c r="K169" s="13495"/>
      <c r="L169" s="13495"/>
      <c r="M169" s="13495"/>
      <c r="N169" s="13495"/>
      <c r="P169" s="2371"/>
      <c r="Q169" s="2847"/>
      <c r="R169" s="2847"/>
      <c r="S169" s="2371"/>
      <c r="T169" s="2371"/>
      <c r="U169" s="2371"/>
      <c r="V169" s="2371"/>
      <c r="W169" s="2847"/>
      <c r="X169" s="2371"/>
      <c r="Y169" s="2371"/>
      <c r="Z169" s="1755"/>
      <c r="AA169" s="2371"/>
      <c r="AB169" s="2371"/>
      <c r="AC169" s="2371"/>
      <c r="AD169" s="2371"/>
      <c r="AE169" s="2371"/>
      <c r="AF169" s="2843"/>
      <c r="AG169" s="1777"/>
      <c r="AH169" s="1777"/>
      <c r="AI169" s="1777"/>
      <c r="AJ169" s="1777"/>
      <c r="AK169" s="2852">
        <v>11</v>
      </c>
    </row>
    <row s="65897" customFormat="1" customHeight="1" ht="11.549999999999999">
      <c r="A170" s="2198"/>
      <c r="B170" s="2847"/>
      <c r="C170" s="2847"/>
      <c r="D170" s="1562"/>
      <c r="J170" s="13495"/>
      <c r="K170" s="13495"/>
      <c r="L170" s="13495"/>
      <c r="M170" s="13495"/>
      <c r="N170" s="13495"/>
      <c r="P170" s="2371"/>
      <c r="Q170" s="2847"/>
      <c r="R170" s="2847"/>
      <c r="S170" s="2371"/>
      <c r="T170" s="2371"/>
      <c r="U170" s="2371"/>
      <c r="V170" s="2371"/>
      <c r="W170" s="2847"/>
      <c r="X170" s="2371"/>
      <c r="Y170" s="2371"/>
      <c r="Z170" s="1755"/>
      <c r="AA170" s="2371"/>
      <c r="AB170" s="2371"/>
      <c r="AC170" s="2371"/>
      <c r="AD170" s="2371"/>
      <c r="AE170" s="2371"/>
      <c r="AF170" s="2843"/>
      <c r="AG170" s="1777"/>
      <c r="AH170" s="1777"/>
      <c r="AI170" s="1777"/>
      <c r="AJ170" s="1777"/>
      <c r="AK170" s="2852">
        <v>11</v>
      </c>
    </row>
    <row s="65897" customFormat="1" customHeight="1" ht="11.549999999999999">
      <c r="A171" s="2198"/>
      <c r="B171" s="2847"/>
      <c r="C171" s="2847"/>
      <c r="D171" s="1562"/>
      <c r="J171" s="13495"/>
      <c r="K171" s="13495"/>
      <c r="L171" s="13495"/>
      <c r="M171" s="13495"/>
      <c r="N171" s="13495"/>
      <c r="P171" s="2371"/>
      <c r="Q171" s="2847"/>
      <c r="R171" s="2847"/>
      <c r="S171" s="2371"/>
      <c r="T171" s="2371"/>
      <c r="U171" s="2371"/>
      <c r="V171" s="2371"/>
      <c r="W171" s="2847"/>
      <c r="X171" s="2371"/>
      <c r="Y171" s="2371"/>
      <c r="Z171" s="1755"/>
      <c r="AA171" s="2371"/>
      <c r="AB171" s="2371"/>
      <c r="AC171" s="2371"/>
      <c r="AD171" s="2371"/>
      <c r="AE171" s="2371"/>
      <c r="AF171" s="2843"/>
      <c r="AG171" s="1777"/>
      <c r="AH171" s="1777"/>
      <c r="AI171" s="1777"/>
      <c r="AJ171" s="1777"/>
      <c r="AK171" s="2852">
        <v>11</v>
      </c>
    </row>
    <row s="65897" customFormat="1" customHeight="1" ht="11.549999999999999">
      <c r="A172" s="2198"/>
      <c r="B172" s="2847"/>
      <c r="C172" s="2847"/>
      <c r="D172" s="1562"/>
      <c r="J172" s="13495"/>
      <c r="K172" s="13495"/>
      <c r="L172" s="13495"/>
      <c r="M172" s="13495"/>
      <c r="N172" s="13495"/>
      <c r="P172" s="2371"/>
      <c r="Q172" s="2847"/>
      <c r="R172" s="2847"/>
      <c r="S172" s="2371"/>
      <c r="T172" s="2371"/>
      <c r="U172" s="2371"/>
      <c r="V172" s="2371"/>
      <c r="W172" s="2847"/>
      <c r="X172" s="2371"/>
      <c r="Y172" s="2371"/>
      <c r="Z172" s="1755"/>
      <c r="AA172" s="2371"/>
      <c r="AB172" s="2371"/>
      <c r="AC172" s="2371"/>
      <c r="AD172" s="2371"/>
      <c r="AE172" s="2371"/>
      <c r="AF172" s="2843"/>
      <c r="AG172" s="1777"/>
      <c r="AH172" s="1777"/>
      <c r="AI172" s="1777"/>
      <c r="AJ172" s="1777"/>
      <c r="AK172" s="2852">
        <v>11</v>
      </c>
    </row>
    <row s="65897" customFormat="1" customHeight="1" ht="11.549999999999999">
      <c r="A173" s="2198"/>
      <c r="B173" s="2847"/>
      <c r="C173" s="2847"/>
      <c r="D173" s="1562"/>
      <c r="J173" s="13495"/>
      <c r="K173" s="13495"/>
      <c r="L173" s="13495"/>
      <c r="M173" s="13495"/>
      <c r="N173" s="13495"/>
      <c r="P173" s="2371"/>
      <c r="Q173" s="2847"/>
      <c r="R173" s="2847"/>
      <c r="S173" s="2371"/>
      <c r="T173" s="2371"/>
      <c r="U173" s="2371"/>
      <c r="V173" s="2371"/>
      <c r="W173" s="2847"/>
      <c r="X173" s="2371"/>
      <c r="Y173" s="2371"/>
      <c r="Z173" s="1755"/>
      <c r="AA173" s="2371"/>
      <c r="AB173" s="2371"/>
      <c r="AC173" s="2371"/>
      <c r="AD173" s="2371"/>
      <c r="AE173" s="2371"/>
      <c r="AF173" s="2843"/>
      <c r="AG173" s="1777"/>
      <c r="AH173" s="1777"/>
      <c r="AI173" s="1777"/>
      <c r="AJ173" s="1777"/>
      <c r="AK173" s="2852">
        <v>11</v>
      </c>
    </row>
    <row s="65897" customFormat="1" customHeight="1" ht="11.549999999999999">
      <c r="A174" s="2198"/>
      <c r="B174" s="2847"/>
      <c r="C174" s="2847"/>
      <c r="D174" s="1562"/>
      <c r="J174" s="13495"/>
      <c r="K174" s="13495"/>
      <c r="L174" s="13495"/>
      <c r="M174" s="13495"/>
      <c r="N174" s="13495"/>
      <c r="P174" s="2371"/>
      <c r="Q174" s="2847"/>
      <c r="R174" s="2847"/>
      <c r="S174" s="2371"/>
      <c r="T174" s="2371"/>
      <c r="U174" s="2371"/>
      <c r="V174" s="2371"/>
      <c r="W174" s="2847"/>
      <c r="X174" s="2371"/>
      <c r="Y174" s="2371"/>
      <c r="Z174" s="1755"/>
      <c r="AA174" s="2371"/>
      <c r="AB174" s="2371"/>
      <c r="AC174" s="2371"/>
      <c r="AD174" s="2371"/>
      <c r="AE174" s="2371"/>
      <c r="AF174" s="2843"/>
      <c r="AG174" s="1777"/>
      <c r="AH174" s="1777"/>
      <c r="AI174" s="1777"/>
      <c r="AJ174" s="1777"/>
      <c r="AK174" s="2852">
        <v>11</v>
      </c>
    </row>
    <row s="65897" customFormat="1" customHeight="1" ht="11.549999999999999">
      <c r="A175" s="2198"/>
      <c r="B175" s="2847"/>
      <c r="C175" s="2847"/>
      <c r="D175" s="1562"/>
      <c r="J175" s="13495"/>
      <c r="K175" s="13495"/>
      <c r="L175" s="13495"/>
      <c r="M175" s="13495"/>
      <c r="N175" s="13495"/>
      <c r="P175" s="2371"/>
      <c r="Q175" s="2847"/>
      <c r="R175" s="2847"/>
      <c r="S175" s="2371"/>
      <c r="T175" s="2371"/>
      <c r="U175" s="2371"/>
      <c r="V175" s="2371"/>
      <c r="W175" s="2847"/>
      <c r="X175" s="2371"/>
      <c r="Y175" s="2371"/>
      <c r="Z175" s="1755"/>
      <c r="AA175" s="2371"/>
      <c r="AB175" s="2371"/>
      <c r="AC175" s="2371"/>
      <c r="AD175" s="2371"/>
      <c r="AE175" s="2371"/>
      <c r="AF175" s="2843"/>
      <c r="AG175" s="1777"/>
      <c r="AH175" s="1777"/>
      <c r="AI175" s="1777"/>
      <c r="AJ175" s="1777"/>
      <c r="AK175" s="2852">
        <v>11</v>
      </c>
    </row>
    <row s="65897" customFormat="1" customHeight="1" ht="11.549999999999999">
      <c r="A176" s="2198"/>
      <c r="B176" s="2847"/>
      <c r="C176" s="2847"/>
      <c r="D176" s="1562"/>
      <c r="J176" s="13495"/>
      <c r="K176" s="13495"/>
      <c r="L176" s="13495"/>
      <c r="M176" s="13495"/>
      <c r="N176" s="13495"/>
      <c r="P176" s="2371"/>
      <c r="Q176" s="2847"/>
      <c r="R176" s="2847"/>
      <c r="S176" s="2371"/>
      <c r="T176" s="2371"/>
      <c r="U176" s="2371"/>
      <c r="V176" s="2371"/>
      <c r="W176" s="2847"/>
      <c r="X176" s="2371"/>
      <c r="Y176" s="2371"/>
      <c r="Z176" s="1755"/>
      <c r="AA176" s="2371"/>
      <c r="AB176" s="2371"/>
      <c r="AC176" s="2371"/>
      <c r="AD176" s="2371"/>
      <c r="AE176" s="2371"/>
      <c r="AF176" s="2843"/>
      <c r="AG176" s="1777"/>
      <c r="AH176" s="1777"/>
      <c r="AI176" s="1777"/>
      <c r="AJ176" s="1777"/>
      <c r="AK176" s="2852">
        <v>11</v>
      </c>
    </row>
    <row s="65897" customFormat="1" customHeight="1" ht="11.549999999999999">
      <c r="A177" s="2198"/>
      <c r="B177" s="2847"/>
      <c r="C177" s="2847"/>
      <c r="D177" s="1562"/>
      <c r="J177" s="13495"/>
      <c r="K177" s="13495"/>
      <c r="L177" s="13495"/>
      <c r="M177" s="13495"/>
      <c r="N177" s="13495"/>
      <c r="P177" s="2371"/>
      <c r="Q177" s="2847"/>
      <c r="R177" s="2847"/>
      <c r="S177" s="2371"/>
      <c r="T177" s="2371"/>
      <c r="U177" s="2371"/>
      <c r="V177" s="2371"/>
      <c r="W177" s="2847"/>
      <c r="X177" s="2371"/>
      <c r="Y177" s="2371"/>
      <c r="Z177" s="1755"/>
      <c r="AA177" s="2371"/>
      <c r="AB177" s="2371"/>
      <c r="AC177" s="2371"/>
      <c r="AD177" s="2371"/>
      <c r="AE177" s="2371"/>
      <c r="AF177" s="2843"/>
      <c r="AG177" s="1777"/>
      <c r="AH177" s="1777"/>
      <c r="AI177" s="1777"/>
      <c r="AJ177" s="1777"/>
      <c r="AK177" s="2852">
        <v>11</v>
      </c>
    </row>
    <row s="65897" customFormat="1" customHeight="1" ht="11.549999999999999">
      <c r="A178" s="2198"/>
      <c r="B178" s="2847"/>
      <c r="C178" s="2847"/>
      <c r="D178" s="1562"/>
      <c r="J178" s="13495"/>
      <c r="K178" s="13495"/>
      <c r="L178" s="13495"/>
      <c r="M178" s="13495"/>
      <c r="N178" s="13495"/>
      <c r="P178" s="2371"/>
      <c r="Q178" s="2847"/>
      <c r="R178" s="2847"/>
      <c r="S178" s="2371"/>
      <c r="T178" s="2371"/>
      <c r="U178" s="2371"/>
      <c r="V178" s="2371"/>
      <c r="W178" s="2847"/>
      <c r="X178" s="2371"/>
      <c r="Y178" s="2371"/>
      <c r="Z178" s="1755"/>
      <c r="AA178" s="2371"/>
      <c r="AB178" s="2371"/>
      <c r="AC178" s="2371"/>
      <c r="AD178" s="2371"/>
      <c r="AE178" s="2371"/>
      <c r="AF178" s="2843"/>
      <c r="AG178" s="1777"/>
      <c r="AH178" s="1777"/>
      <c r="AI178" s="1777"/>
      <c r="AJ178" s="1777"/>
      <c r="AK178" s="2852">
        <v>11</v>
      </c>
    </row>
    <row s="65897" customFormat="1" customHeight="1" ht="11.549999999999999">
      <c r="A179" s="2198"/>
      <c r="B179" s="2847"/>
      <c r="C179" s="2847"/>
      <c r="D179" s="1562"/>
      <c r="J179" s="13495"/>
      <c r="K179" s="13495"/>
      <c r="L179" s="13495"/>
      <c r="M179" s="13495"/>
      <c r="N179" s="13495"/>
      <c r="P179" s="2371"/>
      <c r="Q179" s="2847"/>
      <c r="R179" s="2847"/>
      <c r="S179" s="2371"/>
      <c r="T179" s="2371"/>
      <c r="U179" s="2371"/>
      <c r="V179" s="2371"/>
      <c r="W179" s="2847"/>
      <c r="X179" s="2371"/>
      <c r="Y179" s="2371"/>
      <c r="Z179" s="1755"/>
      <c r="AA179" s="2371"/>
      <c r="AB179" s="2371"/>
      <c r="AC179" s="2371"/>
      <c r="AD179" s="2371"/>
      <c r="AE179" s="2371"/>
      <c r="AF179" s="2843"/>
      <c r="AG179" s="1777"/>
      <c r="AH179" s="1777"/>
      <c r="AI179" s="1777"/>
      <c r="AJ179" s="1777"/>
      <c r="AK179" s="2852">
        <v>11</v>
      </c>
    </row>
    <row s="65897" customFormat="1" customHeight="1" ht="11.549999999999999">
      <c r="A180" s="2198"/>
      <c r="B180" s="2847"/>
      <c r="C180" s="2847"/>
      <c r="D180" s="1562"/>
      <c r="J180" s="13495"/>
      <c r="K180" s="13495"/>
      <c r="L180" s="13495"/>
      <c r="M180" s="13495"/>
      <c r="N180" s="13495"/>
      <c r="P180" s="2371"/>
      <c r="Q180" s="2847"/>
      <c r="R180" s="2847"/>
      <c r="S180" s="2371"/>
      <c r="T180" s="2371"/>
      <c r="U180" s="2371"/>
      <c r="V180" s="2371"/>
      <c r="W180" s="2847"/>
      <c r="X180" s="2371"/>
      <c r="Y180" s="2371"/>
      <c r="Z180" s="1755"/>
      <c r="AA180" s="2371"/>
      <c r="AB180" s="2371"/>
      <c r="AC180" s="2371"/>
      <c r="AD180" s="2371"/>
      <c r="AE180" s="2371"/>
      <c r="AF180" s="2843"/>
      <c r="AG180" s="1777"/>
      <c r="AH180" s="1777"/>
      <c r="AI180" s="1777"/>
      <c r="AJ180" s="1777"/>
      <c r="AK180" s="2852">
        <v>11</v>
      </c>
    </row>
    <row s="65897" customFormat="1" customHeight="1" ht="11.549999999999999">
      <c r="A181" s="2198"/>
      <c r="B181" s="2847"/>
      <c r="C181" s="2847"/>
      <c r="D181" s="1562"/>
      <c r="J181" s="13495"/>
      <c r="K181" s="13495"/>
      <c r="L181" s="13495"/>
      <c r="M181" s="13495"/>
      <c r="N181" s="13495"/>
      <c r="P181" s="2371"/>
      <c r="Q181" s="2847"/>
      <c r="R181" s="2847"/>
      <c r="S181" s="2371"/>
      <c r="T181" s="2371"/>
      <c r="U181" s="2371"/>
      <c r="V181" s="2371"/>
      <c r="W181" s="2847"/>
      <c r="X181" s="2371"/>
      <c r="Y181" s="2371"/>
      <c r="Z181" s="1755"/>
      <c r="AA181" s="2371"/>
      <c r="AB181" s="2371"/>
      <c r="AC181" s="2371"/>
      <c r="AD181" s="2371"/>
      <c r="AE181" s="2371"/>
      <c r="AF181" s="2843"/>
      <c r="AG181" s="1777"/>
      <c r="AH181" s="1777"/>
      <c r="AI181" s="1777"/>
      <c r="AJ181" s="1777"/>
      <c r="AK181" s="2852">
        <v>11</v>
      </c>
    </row>
    <row s="65897" customFormat="1" customHeight="1" ht="11.549999999999999">
      <c r="A182" s="2198"/>
      <c r="B182" s="2847"/>
      <c r="C182" s="2847"/>
      <c r="D182" s="1562"/>
      <c r="J182" s="13495"/>
      <c r="K182" s="13495"/>
      <c r="L182" s="13495"/>
      <c r="M182" s="13495"/>
      <c r="N182" s="13495"/>
      <c r="P182" s="2371"/>
      <c r="Q182" s="2847"/>
      <c r="R182" s="2847"/>
      <c r="S182" s="2371"/>
      <c r="T182" s="2371"/>
      <c r="U182" s="2371"/>
      <c r="V182" s="2371"/>
      <c r="W182" s="2847"/>
      <c r="X182" s="2371"/>
      <c r="Y182" s="2371"/>
      <c r="Z182" s="1755"/>
      <c r="AA182" s="2371"/>
      <c r="AB182" s="2371"/>
      <c r="AC182" s="2371"/>
      <c r="AD182" s="2371"/>
      <c r="AE182" s="2371"/>
      <c r="AF182" s="2843"/>
      <c r="AG182" s="1777"/>
      <c r="AH182" s="1777"/>
      <c r="AI182" s="1777"/>
      <c r="AJ182" s="1777"/>
      <c r="AK182" s="2852">
        <v>11</v>
      </c>
    </row>
    <row s="65897" customFormat="1" customHeight="1" ht="11.549999999999999">
      <c r="A183" s="2198"/>
      <c r="B183" s="2847"/>
      <c r="C183" s="2847"/>
      <c r="D183" s="1562"/>
      <c r="J183" s="13495"/>
      <c r="K183" s="13495"/>
      <c r="L183" s="13495"/>
      <c r="M183" s="13495"/>
      <c r="N183" s="13495"/>
      <c r="P183" s="2371"/>
      <c r="Q183" s="2847"/>
      <c r="R183" s="2847"/>
      <c r="S183" s="2371"/>
      <c r="T183" s="2371"/>
      <c r="U183" s="2371"/>
      <c r="V183" s="2371"/>
      <c r="W183" s="2847"/>
      <c r="X183" s="2371"/>
      <c r="Y183" s="2371"/>
      <c r="Z183" s="1755"/>
      <c r="AA183" s="2371"/>
      <c r="AB183" s="2371"/>
      <c r="AC183" s="2371"/>
      <c r="AD183" s="2371"/>
      <c r="AE183" s="2371"/>
      <c r="AF183" s="2843"/>
      <c r="AG183" s="1777"/>
      <c r="AH183" s="1777"/>
      <c r="AI183" s="1777"/>
      <c r="AJ183" s="1777"/>
      <c r="AK183" s="2852">
        <v>11</v>
      </c>
    </row>
    <row s="65897" customFormat="1" customHeight="1" ht="11.549999999999999">
      <c r="A184" s="2198"/>
      <c r="B184" s="2847"/>
      <c r="C184" s="2847"/>
      <c r="D184" s="1562"/>
      <c r="J184" s="13495"/>
      <c r="K184" s="13495"/>
      <c r="L184" s="13495"/>
      <c r="M184" s="13495"/>
      <c r="N184" s="13495"/>
      <c r="P184" s="2371"/>
      <c r="Q184" s="2847"/>
      <c r="R184" s="2847"/>
      <c r="S184" s="2371"/>
      <c r="T184" s="2371"/>
      <c r="U184" s="2371"/>
      <c r="V184" s="2371"/>
      <c r="W184" s="2847"/>
      <c r="X184" s="2371"/>
      <c r="Y184" s="2371"/>
      <c r="Z184" s="1755"/>
      <c r="AA184" s="2371"/>
      <c r="AB184" s="2371"/>
      <c r="AC184" s="2371"/>
      <c r="AD184" s="2371"/>
      <c r="AE184" s="2371"/>
      <c r="AF184" s="2843"/>
      <c r="AG184" s="1777"/>
      <c r="AH184" s="1777"/>
      <c r="AI184" s="1777"/>
      <c r="AJ184" s="1777"/>
      <c r="AK184" s="2852">
        <v>11</v>
      </c>
    </row>
    <row s="65897" customFormat="1" customHeight="1" ht="11.549999999999999">
      <c r="A185" s="2198"/>
      <c r="B185" s="2847"/>
      <c r="C185" s="2847"/>
      <c r="D185" s="1562"/>
      <c r="J185" s="13495"/>
      <c r="K185" s="13495"/>
      <c r="L185" s="13495"/>
      <c r="M185" s="13495"/>
      <c r="N185" s="13495"/>
      <c r="P185" s="2371"/>
      <c r="Q185" s="2847"/>
      <c r="R185" s="2847"/>
      <c r="S185" s="2371"/>
      <c r="T185" s="2371"/>
      <c r="U185" s="2371"/>
      <c r="V185" s="2371"/>
      <c r="W185" s="2847"/>
      <c r="X185" s="2371"/>
      <c r="Y185" s="2371"/>
      <c r="Z185" s="1755"/>
      <c r="AA185" s="2371"/>
      <c r="AB185" s="2371"/>
      <c r="AC185" s="2371"/>
      <c r="AD185" s="2371"/>
      <c r="AE185" s="2371"/>
      <c r="AF185" s="2843"/>
      <c r="AG185" s="1777"/>
      <c r="AH185" s="1777"/>
      <c r="AI185" s="1777"/>
      <c r="AJ185" s="1777"/>
      <c r="AK185" s="2852">
        <v>11</v>
      </c>
    </row>
    <row s="65897" customFormat="1" customHeight="1" ht="11.549999999999999">
      <c r="A186" s="2198"/>
      <c r="B186" s="2847"/>
      <c r="C186" s="2847"/>
      <c r="D186" s="1562"/>
      <c r="J186" s="13495"/>
      <c r="K186" s="13495"/>
      <c r="L186" s="13495"/>
      <c r="M186" s="13495"/>
      <c r="N186" s="13495"/>
      <c r="P186" s="2371"/>
      <c r="Q186" s="2847"/>
      <c r="R186" s="2847"/>
      <c r="S186" s="2371"/>
      <c r="T186" s="2371"/>
      <c r="U186" s="2371"/>
      <c r="V186" s="2371"/>
      <c r="W186" s="2847"/>
      <c r="X186" s="2371"/>
      <c r="Y186" s="2371"/>
      <c r="Z186" s="1755"/>
      <c r="AA186" s="2371"/>
      <c r="AB186" s="2371"/>
      <c r="AC186" s="2371"/>
      <c r="AD186" s="2371"/>
      <c r="AE186" s="2371"/>
      <c r="AF186" s="2843"/>
      <c r="AG186" s="1777"/>
      <c r="AH186" s="1777"/>
      <c r="AI186" s="1777"/>
      <c r="AJ186" s="1777"/>
      <c r="AK186" s="2852">
        <v>11</v>
      </c>
    </row>
    <row s="65897" customFormat="1" customHeight="1" ht="11.549999999999999">
      <c r="A187" s="2198"/>
      <c r="B187" s="2847"/>
      <c r="C187" s="2847"/>
      <c r="D187" s="1562"/>
      <c r="J187" s="13495"/>
      <c r="K187" s="13495"/>
      <c r="L187" s="13495"/>
      <c r="M187" s="13495"/>
      <c r="N187" s="13495"/>
      <c r="P187" s="2371"/>
      <c r="Q187" s="2847"/>
      <c r="R187" s="2847"/>
      <c r="S187" s="2371"/>
      <c r="T187" s="2371"/>
      <c r="U187" s="2371"/>
      <c r="V187" s="2371"/>
      <c r="W187" s="2847"/>
      <c r="X187" s="2371"/>
      <c r="Y187" s="2371"/>
      <c r="Z187" s="1755"/>
      <c r="AA187" s="2371"/>
      <c r="AB187" s="2371"/>
      <c r="AC187" s="2371"/>
      <c r="AD187" s="2371"/>
      <c r="AE187" s="2371"/>
      <c r="AF187" s="2843"/>
      <c r="AG187" s="1777"/>
      <c r="AH187" s="1777"/>
      <c r="AI187" s="1777"/>
      <c r="AJ187" s="1777"/>
      <c r="AK187" s="2852">
        <v>11</v>
      </c>
    </row>
    <row s="65897" customFormat="1" customHeight="1" ht="11.549999999999999">
      <c r="A188" s="2198"/>
      <c r="B188" s="2847"/>
      <c r="C188" s="2847"/>
      <c r="D188" s="1562"/>
      <c r="J188" s="13495"/>
      <c r="K188" s="13495"/>
      <c r="L188" s="13495"/>
      <c r="M188" s="13495"/>
      <c r="N188" s="13495"/>
      <c r="P188" s="2371"/>
      <c r="Q188" s="2847"/>
      <c r="R188" s="2847"/>
      <c r="S188" s="2371"/>
      <c r="T188" s="2371"/>
      <c r="U188" s="2371"/>
      <c r="V188" s="2371"/>
      <c r="W188" s="2847"/>
      <c r="X188" s="2371"/>
      <c r="Y188" s="2371"/>
      <c r="Z188" s="1755"/>
      <c r="AA188" s="2371"/>
      <c r="AB188" s="2371"/>
      <c r="AC188" s="2371"/>
      <c r="AD188" s="2371"/>
      <c r="AE188" s="2371"/>
      <c r="AF188" s="2843"/>
      <c r="AG188" s="1777"/>
      <c r="AH188" s="1777"/>
      <c r="AI188" s="1777"/>
      <c r="AJ188" s="1777"/>
      <c r="AK188" s="2852">
        <v>11</v>
      </c>
    </row>
    <row s="65897" customFormat="1" customHeight="1" ht="11.549999999999999">
      <c r="A189" s="2198"/>
      <c r="B189" s="2847"/>
      <c r="C189" s="2847"/>
      <c r="D189" s="1562"/>
      <c r="J189" s="13495"/>
      <c r="K189" s="13495"/>
      <c r="L189" s="13495"/>
      <c r="M189" s="13495"/>
      <c r="N189" s="13495"/>
      <c r="P189" s="2371"/>
      <c r="Q189" s="2847"/>
      <c r="R189" s="2847"/>
      <c r="S189" s="2371"/>
      <c r="T189" s="2371"/>
      <c r="U189" s="2371"/>
      <c r="V189" s="2371"/>
      <c r="W189" s="2847"/>
      <c r="X189" s="2371"/>
      <c r="Y189" s="2371"/>
      <c r="Z189" s="1755"/>
      <c r="AA189" s="2371"/>
      <c r="AB189" s="2371"/>
      <c r="AC189" s="2371"/>
      <c r="AD189" s="2371"/>
      <c r="AE189" s="2371"/>
      <c r="AF189" s="2843"/>
      <c r="AG189" s="1777"/>
      <c r="AH189" s="1777"/>
      <c r="AI189" s="1777"/>
      <c r="AJ189" s="1777"/>
      <c r="AK189" s="2852">
        <v>11</v>
      </c>
    </row>
    <row s="65897" customFormat="1" customHeight="1" ht="11.549999999999999">
      <c r="A190" s="2198"/>
      <c r="B190" s="2847"/>
      <c r="C190" s="2847"/>
      <c r="D190" s="1562"/>
      <c r="J190" s="13495"/>
      <c r="K190" s="13495"/>
      <c r="L190" s="13495"/>
      <c r="M190" s="13495"/>
      <c r="N190" s="13495"/>
      <c r="P190" s="2371"/>
      <c r="Q190" s="2847"/>
      <c r="R190" s="2847"/>
      <c r="S190" s="2371"/>
      <c r="T190" s="2371"/>
      <c r="U190" s="2371"/>
      <c r="V190" s="2371"/>
      <c r="W190" s="2847"/>
      <c r="X190" s="2371"/>
      <c r="Y190" s="2371"/>
      <c r="Z190" s="1755"/>
      <c r="AA190" s="2371"/>
      <c r="AB190" s="2371"/>
      <c r="AC190" s="2371"/>
      <c r="AD190" s="2371"/>
      <c r="AE190" s="2371"/>
      <c r="AF190" s="2843"/>
      <c r="AG190" s="1777"/>
      <c r="AH190" s="1777"/>
      <c r="AI190" s="1777"/>
      <c r="AJ190" s="1777"/>
      <c r="AK190" s="2852">
        <v>11</v>
      </c>
    </row>
    <row s="65897" customFormat="1" customHeight="1" ht="11.549999999999999">
      <c r="A191" s="2198"/>
      <c r="B191" s="2847"/>
      <c r="C191" s="2847"/>
      <c r="D191" s="1562"/>
      <c r="J191" s="13495"/>
      <c r="K191" s="13495"/>
      <c r="L191" s="13495"/>
      <c r="M191" s="13495"/>
      <c r="N191" s="13495"/>
      <c r="P191" s="2371"/>
      <c r="Q191" s="2847"/>
      <c r="R191" s="2847"/>
      <c r="S191" s="2371"/>
      <c r="T191" s="2371"/>
      <c r="U191" s="2371"/>
      <c r="V191" s="2371"/>
      <c r="W191" s="2847"/>
      <c r="X191" s="2371"/>
      <c r="Y191" s="2371"/>
      <c r="Z191" s="1755"/>
      <c r="AA191" s="2371"/>
      <c r="AB191" s="2371"/>
      <c r="AC191" s="2371"/>
      <c r="AD191" s="2371"/>
      <c r="AE191" s="2371"/>
      <c r="AF191" s="2843"/>
      <c r="AG191" s="1777"/>
      <c r="AH191" s="1777"/>
      <c r="AI191" s="1777"/>
      <c r="AJ191" s="1777"/>
      <c r="AK191" s="2852">
        <v>11</v>
      </c>
    </row>
    <row s="65897" customFormat="1" customHeight="1" ht="11.549999999999999">
      <c r="A192" s="2198"/>
      <c r="B192" s="2847"/>
      <c r="C192" s="2847"/>
      <c r="D192" s="1562"/>
      <c r="J192" s="13495"/>
      <c r="K192" s="13495"/>
      <c r="L192" s="13495"/>
      <c r="M192" s="13495"/>
      <c r="N192" s="13495"/>
      <c r="P192" s="2371"/>
      <c r="Q192" s="2847"/>
      <c r="R192" s="2847"/>
      <c r="S192" s="2371"/>
      <c r="T192" s="2371"/>
      <c r="U192" s="2371"/>
      <c r="V192" s="2371"/>
      <c r="W192" s="2847"/>
      <c r="X192" s="2371"/>
      <c r="Y192" s="2371"/>
      <c r="Z192" s="1755"/>
      <c r="AA192" s="2371"/>
      <c r="AB192" s="2371"/>
      <c r="AC192" s="2371"/>
      <c r="AD192" s="2371"/>
      <c r="AE192" s="2371"/>
      <c r="AF192" s="2843"/>
      <c r="AG192" s="1777"/>
      <c r="AH192" s="1777"/>
      <c r="AI192" s="1777"/>
      <c r="AJ192" s="1777"/>
      <c r="AK192" s="2852">
        <v>11</v>
      </c>
    </row>
    <row s="65897" customFormat="1" customHeight="1" ht="11.549999999999999">
      <c r="A193" s="2198"/>
      <c r="B193" s="2847"/>
      <c r="C193" s="2847"/>
      <c r="D193" s="1562"/>
      <c r="J193" s="13495"/>
      <c r="K193" s="13495"/>
      <c r="L193" s="13495"/>
      <c r="M193" s="13495"/>
      <c r="N193" s="13495"/>
      <c r="P193" s="2371"/>
      <c r="Q193" s="2847"/>
      <c r="R193" s="2847"/>
      <c r="S193" s="2371"/>
      <c r="T193" s="2371"/>
      <c r="U193" s="2371"/>
      <c r="V193" s="2371"/>
      <c r="W193" s="2847"/>
      <c r="X193" s="2371"/>
      <c r="Y193" s="2371"/>
      <c r="Z193" s="1755"/>
      <c r="AA193" s="2371"/>
      <c r="AB193" s="2371"/>
      <c r="AC193" s="2371"/>
      <c r="AD193" s="2371"/>
      <c r="AE193" s="2371"/>
      <c r="AF193" s="2843"/>
      <c r="AG193" s="1777"/>
      <c r="AH193" s="1777"/>
      <c r="AI193" s="1777"/>
      <c r="AJ193" s="1777"/>
      <c r="AK193" s="2852">
        <v>11</v>
      </c>
    </row>
    <row s="65897" customFormat="1" customHeight="1" ht="11.549999999999999">
      <c r="A194" s="2198"/>
      <c r="B194" s="2847"/>
      <c r="C194" s="2847"/>
      <c r="D194" s="1562"/>
      <c r="J194" s="13495"/>
      <c r="K194" s="13495"/>
      <c r="L194" s="13495"/>
      <c r="M194" s="13495"/>
      <c r="N194" s="13495"/>
      <c r="P194" s="2371"/>
      <c r="Q194" s="2847"/>
      <c r="R194" s="2847"/>
      <c r="S194" s="2371"/>
      <c r="T194" s="2371"/>
      <c r="U194" s="2371"/>
      <c r="V194" s="2371"/>
      <c r="W194" s="2847"/>
      <c r="X194" s="2371"/>
      <c r="Y194" s="2371"/>
      <c r="Z194" s="1755"/>
      <c r="AA194" s="2371"/>
      <c r="AB194" s="2371"/>
      <c r="AC194" s="2371"/>
      <c r="AD194" s="2371"/>
      <c r="AE194" s="2371"/>
      <c r="AF194" s="2843"/>
      <c r="AG194" s="1777"/>
      <c r="AH194" s="1777"/>
      <c r="AI194" s="1777"/>
      <c r="AJ194" s="1777"/>
      <c r="AK194" s="2852">
        <v>11</v>
      </c>
    </row>
    <row s="65897" customFormat="1" customHeight="1" ht="11.549999999999999">
      <c r="A195" s="2198"/>
      <c r="B195" s="2847"/>
      <c r="C195" s="2847"/>
      <c r="D195" s="1562"/>
      <c r="J195" s="13495"/>
      <c r="K195" s="13495"/>
      <c r="L195" s="13495"/>
      <c r="M195" s="13495"/>
      <c r="N195" s="13495"/>
      <c r="P195" s="2371"/>
      <c r="Q195" s="2847"/>
      <c r="R195" s="2847"/>
      <c r="S195" s="2371"/>
      <c r="T195" s="2371"/>
      <c r="U195" s="2371"/>
      <c r="V195" s="2371"/>
      <c r="W195" s="2847"/>
      <c r="X195" s="2371"/>
      <c r="Y195" s="2371"/>
      <c r="Z195" s="1755"/>
      <c r="AA195" s="2371"/>
      <c r="AB195" s="2371"/>
      <c r="AC195" s="2371"/>
      <c r="AD195" s="2371"/>
      <c r="AE195" s="2371"/>
      <c r="AF195" s="2843"/>
      <c r="AG195" s="1777"/>
      <c r="AH195" s="1777"/>
      <c r="AI195" s="1777"/>
      <c r="AJ195" s="1777"/>
      <c r="AK195" s="2852">
        <v>11</v>
      </c>
    </row>
    <row s="65897" customFormat="1" customHeight="1" ht="11.549999999999999">
      <c r="A196" s="2198"/>
      <c r="B196" s="2847"/>
      <c r="C196" s="2847"/>
      <c r="D196" s="1562"/>
      <c r="J196" s="13495"/>
      <c r="K196" s="13495"/>
      <c r="L196" s="13495"/>
      <c r="M196" s="13495"/>
      <c r="N196" s="13495"/>
      <c r="P196" s="2371"/>
      <c r="Q196" s="2847"/>
      <c r="R196" s="2847"/>
      <c r="S196" s="2371"/>
      <c r="T196" s="2371"/>
      <c r="U196" s="2371"/>
      <c r="V196" s="2371"/>
      <c r="W196" s="2847"/>
      <c r="X196" s="2371"/>
      <c r="Y196" s="2371"/>
      <c r="Z196" s="1755"/>
      <c r="AA196" s="2371"/>
      <c r="AB196" s="2371"/>
      <c r="AC196" s="2371"/>
      <c r="AD196" s="2371"/>
      <c r="AE196" s="2371"/>
      <c r="AF196" s="2843"/>
      <c r="AG196" s="1777"/>
      <c r="AH196" s="1777"/>
      <c r="AI196" s="1777"/>
      <c r="AJ196" s="1777"/>
      <c r="AK196" s="2852">
        <v>11</v>
      </c>
    </row>
    <row s="65897" customFormat="1" customHeight="1" ht="11.549999999999999">
      <c r="A197" s="2198"/>
      <c r="B197" s="2847"/>
      <c r="C197" s="2847"/>
      <c r="D197" s="1562"/>
      <c r="J197" s="13495"/>
      <c r="K197" s="13495"/>
      <c r="L197" s="13495"/>
      <c r="M197" s="13495"/>
      <c r="N197" s="13495"/>
      <c r="P197" s="2371"/>
      <c r="Q197" s="2847"/>
      <c r="R197" s="2847"/>
      <c r="S197" s="2371"/>
      <c r="T197" s="2371"/>
      <c r="U197" s="2371"/>
      <c r="V197" s="2371"/>
      <c r="W197" s="2847"/>
      <c r="X197" s="2371"/>
      <c r="Y197" s="2371"/>
      <c r="Z197" s="1755"/>
      <c r="AA197" s="2371"/>
      <c r="AB197" s="2371"/>
      <c r="AC197" s="2371"/>
      <c r="AD197" s="2371"/>
      <c r="AE197" s="2371"/>
      <c r="AF197" s="2843"/>
      <c r="AG197" s="1777"/>
      <c r="AH197" s="1777"/>
      <c r="AI197" s="1777"/>
      <c r="AJ197" s="1777"/>
      <c r="AK197" s="2852">
        <v>11</v>
      </c>
    </row>
    <row s="65897" customFormat="1" customHeight="1" ht="11.549999999999999">
      <c r="A198" s="2198"/>
      <c r="B198" s="2847"/>
      <c r="C198" s="2847"/>
      <c r="D198" s="1562"/>
      <c r="J198" s="13495"/>
      <c r="K198" s="13495"/>
      <c r="L198" s="13495"/>
      <c r="M198" s="13495"/>
      <c r="N198" s="13495"/>
      <c r="P198" s="2371"/>
      <c r="Q198" s="2847"/>
      <c r="R198" s="2847"/>
      <c r="S198" s="2371"/>
      <c r="T198" s="2371"/>
      <c r="U198" s="2371"/>
      <c r="V198" s="2371"/>
      <c r="W198" s="2847"/>
      <c r="X198" s="2371"/>
      <c r="Y198" s="2371"/>
      <c r="Z198" s="1755"/>
      <c r="AA198" s="2371"/>
      <c r="AB198" s="2371"/>
      <c r="AC198" s="2371"/>
      <c r="AD198" s="2371"/>
      <c r="AE198" s="2371"/>
      <c r="AF198" s="2843"/>
      <c r="AG198" s="1777"/>
      <c r="AH198" s="1777"/>
      <c r="AI198" s="1777"/>
      <c r="AJ198" s="1777"/>
      <c r="AK198" s="2852">
        <v>11</v>
      </c>
    </row>
    <row s="65897" customFormat="1" customHeight="1" ht="11.549999999999999">
      <c r="A199" s="2198"/>
      <c r="B199" s="2847"/>
      <c r="C199" s="2847"/>
      <c r="D199" s="1562"/>
      <c r="J199" s="13495"/>
      <c r="K199" s="13495"/>
      <c r="L199" s="13495"/>
      <c r="M199" s="13495"/>
      <c r="N199" s="13495"/>
      <c r="P199" s="2371"/>
      <c r="Q199" s="2847"/>
      <c r="R199" s="2847"/>
      <c r="S199" s="2371"/>
      <c r="T199" s="2371"/>
      <c r="U199" s="2371"/>
      <c r="V199" s="2371"/>
      <c r="W199" s="2847"/>
      <c r="X199" s="2371"/>
      <c r="Y199" s="2371"/>
      <c r="Z199" s="1755"/>
      <c r="AA199" s="2371"/>
      <c r="AB199" s="2371"/>
      <c r="AC199" s="2371"/>
      <c r="AD199" s="2371"/>
      <c r="AE199" s="2371"/>
      <c r="AF199" s="2843"/>
      <c r="AG199" s="1777"/>
      <c r="AH199" s="1777"/>
      <c r="AI199" s="1777"/>
      <c r="AJ199" s="1777"/>
      <c r="AK199" s="2852">
        <v>11</v>
      </c>
    </row>
    <row s="65897" customFormat="1" customHeight="1" ht="11.549999999999999">
      <c r="A200" s="2198"/>
      <c r="B200" s="2847"/>
      <c r="C200" s="2847"/>
      <c r="D200" s="1562"/>
      <c r="J200" s="13495"/>
      <c r="K200" s="13495"/>
      <c r="L200" s="13495"/>
      <c r="M200" s="13495"/>
      <c r="N200" s="13495"/>
      <c r="P200" s="2371"/>
      <c r="Q200" s="2847"/>
      <c r="R200" s="2847"/>
      <c r="S200" s="2371"/>
      <c r="T200" s="2371"/>
      <c r="U200" s="2371"/>
      <c r="V200" s="2371"/>
      <c r="W200" s="2847"/>
      <c r="X200" s="2371"/>
      <c r="Y200" s="2371"/>
      <c r="Z200" s="1755"/>
      <c r="AA200" s="2371"/>
      <c r="AB200" s="2371"/>
      <c r="AC200" s="2371"/>
      <c r="AD200" s="2371"/>
      <c r="AE200" s="2371"/>
      <c r="AF200" s="2843"/>
      <c r="AG200" s="1777"/>
      <c r="AH200" s="1777"/>
      <c r="AI200" s="1777"/>
      <c r="AJ200" s="1777"/>
      <c r="AK200" s="2852">
        <v>11</v>
      </c>
    </row>
    <row customHeight="1" ht="11.549999999999999">
      <c r="J201" s="13315"/>
      <c r="K201" s="13315"/>
      <c r="L201" s="13315"/>
      <c r="M201" s="13315"/>
      <c r="N201" s="13315"/>
      <c r="AK201" s="2842">
        <v>11</v>
      </c>
    </row>
    <row customHeight="1" ht="11.549999999999999">
      <c r="J202" s="13315"/>
      <c r="K202" s="13315"/>
      <c r="L202" s="13315"/>
      <c r="M202" s="13315"/>
      <c r="N202" s="13315"/>
      <c r="AK202" s="2842">
        <v>11</v>
      </c>
    </row>
    <row customHeight="1" ht="11.549999999999999">
      <c r="J203" s="13315"/>
      <c r="K203" s="13315"/>
      <c r="L203" s="13315"/>
      <c r="M203" s="13315"/>
      <c r="N203" s="13315"/>
      <c r="AK203" s="2842">
        <v>11</v>
      </c>
    </row>
    <row customHeight="1" ht="11.549999999999999">
      <c r="A204" s="2201"/>
      <c r="B204" s="2842"/>
      <c r="D204" s="2842"/>
      <c r="J204" s="13315"/>
      <c r="K204" s="13315"/>
      <c r="L204" s="13315"/>
      <c r="M204" s="13315"/>
      <c r="N204" s="13315"/>
      <c r="P204" s="2842"/>
      <c r="S204" s="2842"/>
      <c r="T204" s="2842"/>
      <c r="U204" s="2842"/>
      <c r="V204" s="2842"/>
      <c r="X204" s="2842"/>
      <c r="Y204" s="2842"/>
      <c r="Z204" s="2842"/>
      <c r="AA204" s="2842"/>
      <c r="AB204" s="2842"/>
      <c r="AC204" s="2842"/>
      <c r="AD204" s="2842"/>
      <c r="AE204" s="2842"/>
      <c r="AF204" s="2842"/>
      <c r="AG204" s="2842"/>
      <c r="AH204" s="2842"/>
      <c r="AI204" s="2842"/>
      <c r="AJ204" s="2842"/>
      <c r="AK204" s="2842">
        <v>11</v>
      </c>
    </row>
    <row customHeight="1" ht="11.549999999999999">
      <c r="A205" s="2201"/>
      <c r="B205" s="2842"/>
      <c r="D205" s="2842"/>
      <c r="J205" s="13315"/>
      <c r="K205" s="13315"/>
      <c r="L205" s="13315"/>
      <c r="M205" s="13315"/>
      <c r="N205" s="13315"/>
      <c r="P205" s="2842"/>
      <c r="S205" s="2842"/>
      <c r="T205" s="2842"/>
      <c r="U205" s="2842"/>
      <c r="V205" s="2842"/>
      <c r="X205" s="2842"/>
      <c r="Y205" s="2842"/>
      <c r="Z205" s="2842"/>
      <c r="AA205" s="2842"/>
      <c r="AB205" s="2842"/>
      <c r="AC205" s="2842"/>
      <c r="AD205" s="2842"/>
      <c r="AE205" s="2842"/>
      <c r="AF205" s="2842"/>
      <c r="AG205" s="2842"/>
      <c r="AH205" s="2842"/>
      <c r="AI205" s="2842"/>
      <c r="AJ205" s="2842"/>
      <c r="AK205" s="2842">
        <v>11</v>
      </c>
    </row>
    <row customHeight="1" ht="11.549999999999999">
      <c r="A206" s="2201"/>
      <c r="B206" s="2842"/>
      <c r="D206" s="2842"/>
      <c r="J206" s="13315"/>
      <c r="K206" s="13315"/>
      <c r="L206" s="13315"/>
      <c r="M206" s="13315"/>
      <c r="N206" s="13315"/>
      <c r="P206" s="2842"/>
      <c r="S206" s="2842"/>
      <c r="T206" s="2842"/>
      <c r="U206" s="2842"/>
      <c r="V206" s="2842"/>
      <c r="X206" s="2842"/>
      <c r="Y206" s="2842"/>
      <c r="Z206" s="2842"/>
      <c r="AA206" s="2842"/>
      <c r="AB206" s="2842"/>
      <c r="AC206" s="2842"/>
      <c r="AD206" s="2842"/>
      <c r="AE206" s="2842"/>
      <c r="AF206" s="2842"/>
      <c r="AG206" s="2842"/>
      <c r="AH206" s="2842"/>
      <c r="AI206" s="2842"/>
      <c r="AJ206" s="2842"/>
      <c r="AK206" s="2842">
        <v>11</v>
      </c>
    </row>
    <row customHeight="1" ht="11.549999999999999">
      <c r="A207" s="2201"/>
      <c r="B207" s="2842"/>
      <c r="D207" s="2842"/>
      <c r="J207" s="13315"/>
      <c r="K207" s="13315"/>
      <c r="L207" s="13315"/>
      <c r="M207" s="13315"/>
      <c r="N207" s="13315"/>
      <c r="P207" s="2842"/>
      <c r="S207" s="2842"/>
      <c r="T207" s="2842"/>
      <c r="U207" s="2842"/>
      <c r="V207" s="2842"/>
      <c r="X207" s="2842"/>
      <c r="Y207" s="2842"/>
      <c r="Z207" s="2842"/>
      <c r="AA207" s="2842"/>
      <c r="AB207" s="2842"/>
      <c r="AC207" s="2842"/>
      <c r="AD207" s="2842"/>
      <c r="AE207" s="2842"/>
      <c r="AF207" s="2842"/>
      <c r="AG207" s="2842"/>
      <c r="AH207" s="2842"/>
      <c r="AI207" s="2842"/>
      <c r="AJ207" s="2842"/>
      <c r="AK207" s="2842">
        <v>11</v>
      </c>
    </row>
    <row customHeight="1" ht="11.549999999999999">
      <c r="A208" s="2201"/>
      <c r="B208" s="2842"/>
      <c r="D208" s="2842"/>
      <c r="J208" s="13315"/>
      <c r="K208" s="13315"/>
      <c r="L208" s="13315"/>
      <c r="M208" s="13315"/>
      <c r="N208" s="13315"/>
      <c r="P208" s="2842"/>
      <c r="S208" s="2842"/>
      <c r="T208" s="2842"/>
      <c r="U208" s="2842"/>
      <c r="V208" s="2842"/>
      <c r="X208" s="2842"/>
      <c r="Y208" s="2842"/>
      <c r="Z208" s="2842"/>
      <c r="AA208" s="2842"/>
      <c r="AB208" s="2842"/>
      <c r="AC208" s="2842"/>
      <c r="AD208" s="2842"/>
      <c r="AE208" s="2842"/>
      <c r="AF208" s="2842"/>
      <c r="AG208" s="2842"/>
      <c r="AH208" s="2842"/>
      <c r="AI208" s="2842"/>
      <c r="AJ208" s="2842"/>
      <c r="AK208" s="2842">
        <v>11</v>
      </c>
    </row>
    <row customHeight="1" ht="11.549999999999999">
      <c r="A209" s="2201"/>
      <c r="B209" s="2842"/>
      <c r="D209" s="2842"/>
      <c r="J209" s="13315"/>
      <c r="K209" s="13315"/>
      <c r="L209" s="13315"/>
      <c r="M209" s="13315"/>
      <c r="N209" s="13315"/>
      <c r="P209" s="2842"/>
      <c r="S209" s="2842"/>
      <c r="T209" s="2842"/>
      <c r="U209" s="2842"/>
      <c r="V209" s="2842"/>
      <c r="X209" s="2842"/>
      <c r="Y209" s="2842"/>
      <c r="Z209" s="2842"/>
      <c r="AA209" s="2842"/>
      <c r="AB209" s="2842"/>
      <c r="AC209" s="2842"/>
      <c r="AD209" s="2842"/>
      <c r="AE209" s="2842"/>
      <c r="AF209" s="2842"/>
      <c r="AG209" s="2842"/>
      <c r="AH209" s="2842"/>
      <c r="AI209" s="2842"/>
      <c r="AJ209" s="2842"/>
      <c r="AK209" s="2842">
        <v>11</v>
      </c>
    </row>
    <row customHeight="1" ht="11.549999999999999">
      <c r="A210" s="2201"/>
      <c r="B210" s="2842"/>
      <c r="D210" s="2842"/>
      <c r="J210" s="13315"/>
      <c r="K210" s="13315"/>
      <c r="L210" s="13315"/>
      <c r="M210" s="13315"/>
      <c r="N210" s="13315"/>
      <c r="P210" s="2842"/>
      <c r="S210" s="2842"/>
      <c r="T210" s="2842"/>
      <c r="U210" s="2842"/>
      <c r="V210" s="2842"/>
      <c r="X210" s="2842"/>
      <c r="Y210" s="2842"/>
      <c r="Z210" s="2842"/>
      <c r="AA210" s="2842"/>
      <c r="AB210" s="2842"/>
      <c r="AC210" s="2842"/>
      <c r="AD210" s="2842"/>
      <c r="AE210" s="2842"/>
      <c r="AF210" s="2842"/>
      <c r="AG210" s="2842"/>
      <c r="AH210" s="2842"/>
      <c r="AI210" s="2842"/>
      <c r="AJ210" s="2842"/>
      <c r="AK210" s="2842">
        <v>11</v>
      </c>
    </row>
    <row customHeight="1" ht="11.549999999999999">
      <c r="A211" s="2201"/>
      <c r="B211" s="2842"/>
      <c r="D211" s="2842"/>
      <c r="J211" s="13315"/>
      <c r="K211" s="13315"/>
      <c r="L211" s="13315"/>
      <c r="M211" s="13315"/>
      <c r="N211" s="13315"/>
      <c r="P211" s="2842"/>
      <c r="S211" s="2842"/>
      <c r="T211" s="2842"/>
      <c r="U211" s="2842"/>
      <c r="V211" s="2842"/>
      <c r="X211" s="2842"/>
      <c r="Y211" s="2842"/>
      <c r="Z211" s="2842"/>
      <c r="AA211" s="2842"/>
      <c r="AB211" s="2842"/>
      <c r="AC211" s="2842"/>
      <c r="AD211" s="2842"/>
      <c r="AE211" s="2842"/>
      <c r="AF211" s="2842"/>
      <c r="AG211" s="2842"/>
      <c r="AH211" s="2842"/>
      <c r="AI211" s="2842"/>
      <c r="AJ211" s="2842"/>
      <c r="AK211" s="2842">
        <v>11</v>
      </c>
    </row>
    <row customHeight="1" ht="11.549999999999999">
      <c r="A212" s="2201"/>
      <c r="B212" s="2842"/>
      <c r="D212" s="2842"/>
      <c r="J212" s="13315"/>
      <c r="K212" s="13315"/>
      <c r="L212" s="13315"/>
      <c r="M212" s="13315"/>
      <c r="N212" s="13315"/>
      <c r="P212" s="2842"/>
      <c r="S212" s="2842"/>
      <c r="T212" s="2842"/>
      <c r="U212" s="2842"/>
      <c r="V212" s="2842"/>
      <c r="X212" s="2842"/>
      <c r="Y212" s="2842"/>
      <c r="Z212" s="2842"/>
      <c r="AA212" s="2842"/>
      <c r="AB212" s="2842"/>
      <c r="AC212" s="2842"/>
      <c r="AD212" s="2842"/>
      <c r="AE212" s="2842"/>
      <c r="AF212" s="2842"/>
      <c r="AG212" s="2842"/>
      <c r="AH212" s="2842"/>
      <c r="AI212" s="2842"/>
      <c r="AJ212" s="2842"/>
      <c r="AK212" s="2842">
        <v>11</v>
      </c>
    </row>
    <row customHeight="1" ht="11.549999999999999">
      <c r="A213" s="2201"/>
      <c r="B213" s="2842"/>
      <c r="D213" s="2842"/>
      <c r="J213" s="13315"/>
      <c r="K213" s="13315"/>
      <c r="L213" s="13315"/>
      <c r="M213" s="13315"/>
      <c r="N213" s="13315"/>
      <c r="P213" s="2842"/>
      <c r="S213" s="2842"/>
      <c r="T213" s="2842"/>
      <c r="U213" s="2842"/>
      <c r="V213" s="2842"/>
      <c r="X213" s="2842"/>
      <c r="Y213" s="2842"/>
      <c r="Z213" s="2842"/>
      <c r="AA213" s="2842"/>
      <c r="AB213" s="2842"/>
      <c r="AC213" s="2842"/>
      <c r="AD213" s="2842"/>
      <c r="AE213" s="2842"/>
      <c r="AF213" s="2842"/>
      <c r="AG213" s="2842"/>
      <c r="AH213" s="2842"/>
      <c r="AI213" s="2842"/>
      <c r="AJ213" s="2842"/>
      <c r="AK213" s="2842">
        <v>11</v>
      </c>
    </row>
    <row customHeight="1" ht="11.549999999999999">
      <c r="A214" s="2201"/>
      <c r="B214" s="2842"/>
      <c r="D214" s="2842"/>
      <c r="J214" s="13315"/>
      <c r="K214" s="13315"/>
      <c r="L214" s="13315"/>
      <c r="M214" s="13315"/>
      <c r="N214" s="13315"/>
      <c r="P214" s="2842"/>
      <c r="S214" s="2842"/>
      <c r="T214" s="2842"/>
      <c r="U214" s="2842"/>
      <c r="V214" s="2842"/>
      <c r="X214" s="2842"/>
      <c r="Y214" s="2842"/>
      <c r="Z214" s="2842"/>
      <c r="AA214" s="2842"/>
      <c r="AB214" s="2842"/>
      <c r="AC214" s="2842"/>
      <c r="AD214" s="2842"/>
      <c r="AE214" s="2842"/>
      <c r="AF214" s="2842"/>
      <c r="AG214" s="2842"/>
      <c r="AH214" s="2842"/>
      <c r="AI214" s="2842"/>
      <c r="AJ214" s="2842"/>
      <c r="AK214" s="2842">
        <v>11</v>
      </c>
    </row>
    <row customHeight="1" ht="11.25" hidden="1">
      <c r="A215" s="2198" t="s">
        <v>82</v>
      </c>
      <c r="B215" s="2371">
        <v>0</v>
      </c>
      <c r="C215" s="2847">
        <v>0</v>
      </c>
      <c r="D215" s="2846">
        <v>3</v>
      </c>
      <c r="E215" s="2842">
        <v>7</v>
      </c>
      <c r="F215" s="2842">
        <v>54</v>
      </c>
      <c r="G215" s="2842">
        <v>10</v>
      </c>
      <c r="H215" s="2842">
        <v>0</v>
      </c>
      <c r="I215" s="2842">
        <v>40</v>
      </c>
      <c r="J215" s="13315">
        <v>0</v>
      </c>
      <c r="K215" s="13315">
        <v>0</v>
      </c>
      <c r="L215" s="13315">
        <v>0</v>
      </c>
      <c r="M215" s="13315">
        <v>0</v>
      </c>
      <c r="N215" s="13315">
        <v>0</v>
      </c>
      <c r="O215" s="2842">
        <v>102</v>
      </c>
      <c r="P215" s="2371">
        <v>9</v>
      </c>
      <c r="Q215" s="2847">
        <v>5</v>
      </c>
      <c r="R215" s="2847">
        <v>3</v>
      </c>
      <c r="S215" s="2371">
        <v>3</v>
      </c>
      <c r="T215" s="2371">
        <v>3</v>
      </c>
      <c r="U215" s="2371">
        <v>3</v>
      </c>
      <c r="V215" s="2371">
        <v>3</v>
      </c>
      <c r="W215" s="2847">
        <v>10</v>
      </c>
      <c r="X215" s="2371">
        <v>34</v>
      </c>
      <c r="Y215" s="2371">
        <v>9</v>
      </c>
      <c r="Z215" s="1755">
        <v>8</v>
      </c>
      <c r="AA215" s="2371">
        <v>8</v>
      </c>
      <c r="AB215" s="2371">
        <v>8</v>
      </c>
      <c r="AC215" s="2371">
        <v>8</v>
      </c>
      <c r="AD215" s="2371">
        <v>8</v>
      </c>
      <c r="AE215" s="2371">
        <v>8</v>
      </c>
      <c r="AF215" s="2843">
        <v>8</v>
      </c>
      <c r="AG215" s="2843">
        <v>8</v>
      </c>
      <c r="AH215" s="2843">
        <v>8</v>
      </c>
      <c r="AI215" s="2843">
        <v>8</v>
      </c>
      <c r="AJ215" s="2843">
        <v>8</v>
      </c>
      <c r="AK215" s="2842">
        <v>11</v>
      </c>
    </row>
  </sheetData>
  <sheetProtection formatColumns="0" formatRows="0" autoFilter="0" sort="0" insertRows="0" insertColumns="1" deleteRows="0" deleteColumns="0"/>
  <mergeCells count="9">
    <mergeCell ref="F45:G45"/>
    <mergeCell ref="E6:I6"/>
    <mergeCell ref="E7:I7"/>
    <mergeCell ref="F10:G10"/>
    <mergeCell ref="O10:O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N35">
      <formula1>-9.99999999999999E+37</formula1>
      <formula2>9.99999999999999E+37</formula2>
    </dataValidation>
    <dataValidation type="decimal" allowBlank="1" showErrorMessage="1" errorTitle="Ошибка" error="Допускается ввод только действительных чисел!" sqref="H31:N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N36">
      <formula1>900</formula1>
    </dataValidation>
    <dataValidation type="decimal" allowBlank="1" showErrorMessage="1" errorTitle="Ошибка" error="Допускается ввод только неотрицательных чисел!" sqref="H32:N32 H2:N2 H15:N15 H17:N27 H37:N42 H30 I30 J30 K30 L30 M30 N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5B63B-0D1C-E443-AE61-277FD599DDF9}" mc:Ignorable="x14ac xr xr2 xr3">
  <sheetPr>
    <tabColor theme="9" tint="-0.25"/>
  </sheetPr>
  <dimension ref="A1:AH102"/>
  <sheetViews>
    <sheetView showGridLines="0" zoomScale="80" workbookViewId="0">
      <pane xSplit="8" ySplit="11" topLeftCell="I33" activePane="bottomRight" state="frozen"/>
      <selection pane="bottomLeft" activeCell="A12" sqref="A12"/>
      <selection pane="topRight" activeCell="I1" sqref="I1"/>
      <selection pane="bottomRight" activeCell="Q29" sqref="Q29"/>
    </sheetView>
  </sheetViews>
  <sheetFormatPr defaultColWidth="10.57421875" customHeight="1" defaultRowHeight="11.25"/>
  <cols>
    <col min="1" max="1" style="66327" width="9.140625" hidden="1" customWidth="1"/>
    <col min="2" max="2" style="65923" width="3.57421875" hidden="1" customWidth="1"/>
    <col min="3" max="3" style="66903" width="3.00390625" customWidth="1"/>
    <col min="4" max="4" style="66903" width="7.00390625" customWidth="1"/>
    <col min="5" max="5" style="66903" width="69.00390625" customWidth="1"/>
    <col min="6" max="6" style="66903" width="10.00390625" customWidth="1"/>
    <col min="7" max="8" style="66903" width="44.00390625" hidden="1" customWidth="1"/>
    <col min="9" max="10" style="66903" width="43.00390625" customWidth="1"/>
    <col min="11" max="11" style="66903" width="11.421875" customWidth="1"/>
    <col min="12" max="12" style="66903" width="12.8515625" customWidth="1"/>
    <col min="13" max="13" style="66903" width="14.00390625" customWidth="1"/>
    <col min="14" max="14" style="66903" width="12.00390625" customWidth="1"/>
    <col min="15" max="15" style="66903" width="11.00390625" customWidth="1"/>
    <col min="16" max="16" style="66903" width="11.421875" customWidth="1"/>
    <col min="17" max="17" style="66903" width="13.00390625" customWidth="1"/>
    <col min="18" max="18" style="66903" width="13.28125" customWidth="1"/>
    <col min="19" max="19" style="66903" width="16.28125" customWidth="1"/>
    <col min="20" max="20" style="66903" width="13.8515625" customWidth="1"/>
    <col min="21" max="21" style="66903" width="73.00390625" customWidth="1"/>
    <col min="22" max="22" style="66903" width="3.00390625" customWidth="1"/>
    <col min="23" max="33" style="66903" width="10.00390625" customWidth="1"/>
    <col min="34" max="34" style="66903" width="10.57421875" hidden="1"/>
  </cols>
  <sheetData>
    <row s="66852" customFormat="1" customHeight="1" ht="22.5" hidden="1">
      <c r="A1" s="1747"/>
      <c r="B1" s="1722"/>
      <c r="G1" s="1628">
        <v>4</v>
      </c>
      <c r="I1" s="1628">
        <v>4</v>
      </c>
      <c r="K1" s="13336">
        <v>4</v>
      </c>
      <c r="L1" s="13336"/>
      <c r="M1" s="13336">
        <v>4</v>
      </c>
      <c r="N1" s="13336"/>
      <c r="O1" s="13336">
        <v>4</v>
      </c>
      <c r="P1" s="13336"/>
      <c r="Q1" s="13336">
        <v>4</v>
      </c>
      <c r="R1" s="13336"/>
      <c r="S1" s="13336">
        <v>4</v>
      </c>
      <c r="T1" s="13336"/>
      <c r="U1" s="1628">
        <v>5</v>
      </c>
      <c r="AH1" s="1628" t="s">
        <v>14</v>
      </c>
    </row>
    <row customHeight="1" ht="3">
      <c r="K2" s="13315"/>
      <c r="L2" s="13315"/>
      <c r="M2" s="13315"/>
      <c r="N2" s="13315"/>
      <c r="O2" s="13315"/>
      <c r="P2" s="13315"/>
      <c r="Q2" s="13315"/>
      <c r="R2" s="13315"/>
      <c r="S2" s="13315"/>
      <c r="T2" s="13315"/>
      <c r="AH2" s="1716">
        <v>3</v>
      </c>
    </row>
    <row customHeight="1" ht="78.75">
      <c r="D3" s="344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3450"/>
      <c r="F3" s="3451"/>
      <c r="K3" s="13315"/>
      <c r="L3" s="13315"/>
      <c r="M3" s="13315"/>
      <c r="N3" s="13315"/>
      <c r="O3" s="13315"/>
      <c r="P3" s="13315"/>
      <c r="Q3" s="13315"/>
      <c r="R3" s="13315"/>
      <c r="S3" s="13315"/>
      <c r="T3" s="13315"/>
      <c r="AH3" s="1716">
        <v>75</v>
      </c>
    </row>
    <row s="66903" customFormat="1" customHeight="1" ht="21">
      <c r="A4" s="2162"/>
      <c r="B4" s="1722"/>
      <c r="D4" s="3425" t="str">
        <f>IF(org=0,"Не определено",org)</f>
        <v>ПАО "ТГК-2"</v>
      </c>
      <c r="E4" s="3426"/>
      <c r="F4" s="3427"/>
      <c r="K4" s="13315"/>
      <c r="L4" s="13315"/>
      <c r="M4" s="13315"/>
      <c r="N4" s="13315"/>
      <c r="O4" s="13315"/>
      <c r="P4" s="13315"/>
      <c r="Q4" s="13315"/>
      <c r="R4" s="13315"/>
      <c r="S4" s="13315"/>
      <c r="T4" s="13315"/>
      <c r="AH4" s="1969">
        <v>20</v>
      </c>
    </row>
    <row customHeight="1" ht="11.549999999999999">
      <c r="C5" s="1720"/>
      <c r="D5" s="1799"/>
      <c r="E5" s="1799"/>
      <c r="F5" s="1799"/>
      <c r="G5" s="1799"/>
      <c r="H5" s="1963"/>
      <c r="I5" s="1799"/>
      <c r="J5" s="1963"/>
      <c r="K5" s="13315"/>
      <c r="L5" s="13704"/>
      <c r="M5" s="13315"/>
      <c r="N5" s="13704"/>
      <c r="O5" s="13315"/>
      <c r="P5" s="13704"/>
      <c r="Q5" s="13315"/>
      <c r="R5" s="13704"/>
      <c r="S5" s="13315"/>
      <c r="T5" s="13704"/>
      <c r="U5" s="1799"/>
      <c r="AH5" s="1716">
        <v>11</v>
      </c>
    </row>
    <row customHeight="1" ht="1.05">
      <c r="C6" s="1720"/>
      <c r="D6" s="1720"/>
      <c r="E6" s="1733"/>
      <c r="F6" s="1825"/>
      <c r="G6" s="2233"/>
      <c r="H6" s="2233"/>
      <c r="I6" s="2233" t="s">
        <v>128</v>
      </c>
      <c r="J6" s="2233"/>
      <c r="K6" s="13706" t="s">
        <v>132</v>
      </c>
      <c r="L6" s="13706"/>
      <c r="M6" s="13706" t="s">
        <v>134</v>
      </c>
      <c r="N6" s="13706"/>
      <c r="O6" s="13706" t="s">
        <v>136</v>
      </c>
      <c r="P6" s="13706"/>
      <c r="Q6" s="13706" t="s">
        <v>138</v>
      </c>
      <c r="R6" s="13706"/>
      <c r="S6" s="13706" t="s">
        <v>139</v>
      </c>
      <c r="T6" s="13706"/>
      <c r="AH6" s="1716">
        <v>1</v>
      </c>
    </row>
    <row customHeight="1" ht="60">
      <c r="D7" s="1922"/>
      <c r="E7" s="3578" t="s">
        <v>118</v>
      </c>
      <c r="F7" s="3579"/>
      <c r="G7" s="3604" t="str">
        <f>IF(G6="","",INDEX(DIFFERENTIATION_UNMERGE_VD,MATCH(G6,DIFFERENTIATION_ID_DIFF,0)))</f>
        <v/>
      </c>
      <c r="H7" s="3605"/>
      <c r="I7" s="3604"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3605"/>
      <c r="K7" s="13358" t="str">
        <f>IF(K6="","",INDEX(DIFFERENTIATION_UNMERGE_VD,MATCH(K6,DIFFERENTIATION_ID_DIFF,0)))</f>
        <v>Производство тепловой энергии. Комбинированная выработка с уст. мощностью производства электрической энергии 25 МВт и более</v>
      </c>
      <c r="L7" s="13709"/>
      <c r="M7" s="13358" t="str">
        <f>IF(M6="","",INDEX(DIFFERENTIATION_UNMERGE_VD,MATCH(M6,DIFFERENTIATION_ID_DIFF,0)))</f>
        <v>Производство тепловой энергии. Некомбинированная выработка</v>
      </c>
      <c r="N7" s="13709"/>
      <c r="O7" s="13358" t="str">
        <f>IF(O6="","",INDEX(DIFFERENTIATION_UNMERGE_VD,MATCH(O6,DIFFERENTIATION_ID_DIFF,0)))</f>
        <v>Передача. Тепловая энергия; Сбыт. Тепловая энергия</v>
      </c>
      <c r="P7" s="13709"/>
      <c r="Q7" s="13358" t="str">
        <f>IF(Q6="","",INDEX(DIFFERENTIATION_UNMERGE_VD,MATCH(Q6,DIFFERENTIATION_ID_DIFF,0)))</f>
        <v>Передача. Тепловая энергия; Сбыт. Тепловая энергия</v>
      </c>
      <c r="R7" s="13709"/>
      <c r="S7" s="13358" t="str">
        <f>IF(S6="","",INDEX(DIFFERENTIATION_UNMERGE_VD,MATCH(S6,DIFFERENTIATION_ID_DIFF,0)))</f>
        <v>Производство. Теплоноситель; Сбыт. Теплоноситель</v>
      </c>
      <c r="T7" s="13709"/>
      <c r="U7" s="3386"/>
      <c r="V7" s="1720"/>
      <c r="AH7" s="1716">
        <v>11</v>
      </c>
    </row>
    <row customHeight="1" ht="11.549999999999999">
      <c r="A8" s="1915"/>
      <c r="D8" s="1922"/>
      <c r="E8" s="3578" t="s">
        <v>582</v>
      </c>
      <c r="F8" s="3579"/>
      <c r="G8" s="3604" t="str">
        <f>IF(G6="","",INDEX(DIFFERENTIATION_UNMERGE_AREA,MATCH(G6,DIFFERENTIATION_ID_DIFF,0)))</f>
        <v/>
      </c>
      <c r="H8" s="3605"/>
      <c r="I8" s="3604" t="str">
        <f>IF(I6="","",INDEX(DIFFERENTIATION_UNMERGE_AREA,MATCH(I6,DIFFERENTIATION_ID_DIFF,0)))</f>
        <v>Территория 1</v>
      </c>
      <c r="J8" s="3605"/>
      <c r="K8" s="13358" t="str">
        <f>IF(K6="","",INDEX(DIFFERENTIATION_UNMERGE_AREA,MATCH(K6,DIFFERENTIATION_ID_DIFF,0)))</f>
        <v>Территория 2</v>
      </c>
      <c r="L8" s="13709"/>
      <c r="M8" s="13358" t="str">
        <f>IF(M6="","",INDEX(DIFFERENTIATION_UNMERGE_AREA,MATCH(M6,DIFFERENTIATION_ID_DIFF,0)))</f>
        <v>Территория 1</v>
      </c>
      <c r="N8" s="13709"/>
      <c r="O8" s="13358" t="str">
        <f>IF(O6="","",INDEX(DIFFERENTIATION_UNMERGE_AREA,MATCH(O6,DIFFERENTIATION_ID_DIFF,0)))</f>
        <v>Территория 1</v>
      </c>
      <c r="P8" s="13709"/>
      <c r="Q8" s="13358" t="str">
        <f>IF(Q6="","",INDEX(DIFFERENTIATION_UNMERGE_AREA,MATCH(Q6,DIFFERENTIATION_ID_DIFF,0)))</f>
        <v>Территория 2</v>
      </c>
      <c r="R8" s="13709"/>
      <c r="S8" s="13358" t="str">
        <f>IF(S6="","",INDEX(DIFFERENTIATION_UNMERGE_AREA,MATCH(S6,DIFFERENTIATION_ID_DIFF,0)))</f>
        <v>Территория 2</v>
      </c>
      <c r="T8" s="13709"/>
      <c r="U8" s="3410"/>
      <c r="V8" s="1720"/>
      <c r="AH8" s="1716">
        <v>11</v>
      </c>
    </row>
    <row customHeight="1" ht="11.549999999999999">
      <c r="A9" s="1915"/>
      <c r="D9" s="1922"/>
      <c r="E9" s="3578" t="s">
        <v>583</v>
      </c>
      <c r="F9" s="3579"/>
      <c r="G9" s="3604" t="str">
        <f>IF(G6="","",INDEX(DIFFERENTIATION_UNMERGE_SYSTEM,MATCH(G6,DIFFERENTIATION_ID_DIFF,0)))</f>
        <v/>
      </c>
      <c r="H9" s="3605"/>
      <c r="I9" s="3604" t="str">
        <f>IF(I6="","",INDEX(DIFFERENTIATION_UNMERGE_SYSTEM,MATCH(I6,DIFFERENTIATION_ID_DIFF,0)))</f>
        <v>без дифференциации</v>
      </c>
      <c r="J9" s="3605"/>
      <c r="K9" s="13358" t="str">
        <f>IF(K6="","",INDEX(DIFFERENTIATION_UNMERGE_SYSTEM,MATCH(K6,DIFFERENTIATION_ID_DIFF,0)))</f>
        <v>без дифференциации</v>
      </c>
      <c r="L9" s="13709"/>
      <c r="M9" s="13358" t="str">
        <f>IF(M6="","",INDEX(DIFFERENTIATION_UNMERGE_SYSTEM,MATCH(M6,DIFFERENTIATION_ID_DIFF,0)))</f>
        <v>без дифференциации</v>
      </c>
      <c r="N9" s="13709"/>
      <c r="O9" s="13358" t="str">
        <f>IF(O6="","",INDEX(DIFFERENTIATION_UNMERGE_SYSTEM,MATCH(O6,DIFFERENTIATION_ID_DIFF,0)))</f>
        <v>без дифференциации</v>
      </c>
      <c r="P9" s="13709"/>
      <c r="Q9" s="13358" t="str">
        <f>IF(Q6="","",INDEX(DIFFERENTIATION_UNMERGE_SYSTEM,MATCH(Q6,DIFFERENTIATION_ID_DIFF,0)))</f>
        <v>без дифференциации</v>
      </c>
      <c r="R9" s="13709"/>
      <c r="S9" s="13358" t="str">
        <f>IF(S6="","",INDEX(DIFFERENTIATION_UNMERGE_SYSTEM,MATCH(S6,DIFFERENTIATION_ID_DIFF,0)))</f>
        <v>без дифференциации</v>
      </c>
      <c r="T9" s="13709"/>
      <c r="U9" s="3410"/>
      <c r="V9" s="1720"/>
      <c r="AH9" s="1716">
        <v>11</v>
      </c>
    </row>
    <row s="66903" customFormat="1" customHeight="1" ht="11.549999999999999">
      <c r="A10" s="2232"/>
      <c r="B10" s="1722"/>
      <c r="D10" s="3312" t="s">
        <v>318</v>
      </c>
      <c r="E10" s="3313"/>
      <c r="F10" s="3313"/>
      <c r="G10" s="3313"/>
      <c r="H10" s="3313"/>
      <c r="I10" s="3313"/>
      <c r="J10" s="3314"/>
      <c r="K10" s="13712"/>
      <c r="L10" s="13712"/>
      <c r="M10" s="13712"/>
      <c r="N10" s="13712"/>
      <c r="O10" s="13712"/>
      <c r="P10" s="13712"/>
      <c r="Q10" s="13712"/>
      <c r="R10" s="13712"/>
      <c r="S10" s="13712"/>
      <c r="T10" s="13712"/>
      <c r="U10" s="3410"/>
      <c r="V10" s="1720"/>
      <c r="AH10" s="1969">
        <v>11</v>
      </c>
    </row>
    <row s="66903" customFormat="1" customHeight="1" ht="24">
      <c r="A11" s="3596"/>
      <c r="B11" s="3596"/>
      <c r="C11" s="1868"/>
      <c r="D11" s="1914" t="s">
        <v>88</v>
      </c>
      <c r="E11" s="1916" t="s">
        <v>977</v>
      </c>
      <c r="F11" s="1916" t="s">
        <v>584</v>
      </c>
      <c r="G11" s="1676" t="s">
        <v>321</v>
      </c>
      <c r="H11" s="1676" t="s">
        <v>408</v>
      </c>
      <c r="I11" s="2018" t="s">
        <v>321</v>
      </c>
      <c r="J11" s="2019" t="s">
        <v>408</v>
      </c>
      <c r="K11" s="13321" t="s">
        <v>321</v>
      </c>
      <c r="L11" s="13321" t="s">
        <v>408</v>
      </c>
      <c r="M11" s="13321" t="s">
        <v>321</v>
      </c>
      <c r="N11" s="13321" t="s">
        <v>408</v>
      </c>
      <c r="O11" s="13321" t="s">
        <v>321</v>
      </c>
      <c r="P11" s="13321" t="s">
        <v>408</v>
      </c>
      <c r="Q11" s="13321" t="s">
        <v>321</v>
      </c>
      <c r="R11" s="13321" t="s">
        <v>408</v>
      </c>
      <c r="S11" s="13321" t="s">
        <v>321</v>
      </c>
      <c r="T11" s="13321" t="s">
        <v>408</v>
      </c>
      <c r="U11" s="3443"/>
      <c r="V11" s="1869"/>
      <c r="AH11" s="1720">
        <v>23</v>
      </c>
    </row>
    <row s="65923" customFormat="1" customHeight="1" ht="10.5">
      <c r="A12" s="2163"/>
      <c r="D12" s="2236" t="s">
        <v>99</v>
      </c>
      <c r="E12" s="2236" t="s">
        <v>102</v>
      </c>
      <c r="F12" s="2236" t="s">
        <v>90</v>
      </c>
      <c r="G12" s="2237" t="str">
        <f>G1&amp;".1"</f>
        <v>4.1</v>
      </c>
      <c r="H12" s="2237" t="str">
        <f>G1&amp;".2"</f>
        <v>4.2</v>
      </c>
      <c r="I12" s="2237" t="str">
        <f>I1&amp;".1"</f>
        <v>4.1</v>
      </c>
      <c r="J12" s="2237" t="str">
        <f>I1&amp;".2"</f>
        <v>4.2</v>
      </c>
      <c r="K12" s="13721" t="str">
        <f>K1&amp;".1"</f>
        <v>4.1</v>
      </c>
      <c r="L12" s="13721" t="str">
        <f>K1&amp;".2"</f>
        <v>4.2</v>
      </c>
      <c r="M12" s="13721" t="str">
        <f>M1&amp;".1"</f>
        <v>4.1</v>
      </c>
      <c r="N12" s="13721" t="str">
        <f>M1&amp;".2"</f>
        <v>4.2</v>
      </c>
      <c r="O12" s="13721" t="str">
        <f>O1&amp;".1"</f>
        <v>4.1</v>
      </c>
      <c r="P12" s="13721" t="str">
        <f>O1&amp;".2"</f>
        <v>4.2</v>
      </c>
      <c r="Q12" s="13721" t="str">
        <f>Q1&amp;".1"</f>
        <v>4.1</v>
      </c>
      <c r="R12" s="13721" t="str">
        <f>Q1&amp;".2"</f>
        <v>4.2</v>
      </c>
      <c r="S12" s="13721" t="str">
        <f>S1&amp;".1"</f>
        <v>4.1</v>
      </c>
      <c r="T12" s="13721" t="str">
        <f>S1&amp;".2"</f>
        <v>4.2</v>
      </c>
      <c r="U12" s="2237"/>
      <c r="AH12" s="1722">
        <v>10</v>
      </c>
    </row>
    <row customHeight="1" ht="22.5">
      <c r="A13" s="3603" t="s">
        <v>978</v>
      </c>
      <c r="D13" s="2164" t="s">
        <v>99</v>
      </c>
      <c r="E13" s="1490" t="s">
        <v>979</v>
      </c>
      <c r="F13" s="1871" t="s">
        <v>980</v>
      </c>
      <c r="G13" s="1768"/>
      <c r="H13" s="1872"/>
      <c r="I13" s="1768">
        <v>0</v>
      </c>
      <c r="J13" s="1872"/>
      <c r="K13" s="13366">
        <v>0</v>
      </c>
      <c r="L13" s="13608"/>
      <c r="M13" s="13366">
        <v>0</v>
      </c>
      <c r="N13" s="13608"/>
      <c r="O13" s="13366">
        <v>0.008</v>
      </c>
      <c r="P13" s="13608"/>
      <c r="Q13" s="13366">
        <v>0</v>
      </c>
      <c r="R13" s="13608"/>
      <c r="S13" s="13366">
        <v>0</v>
      </c>
      <c r="T13" s="13608"/>
      <c r="U13" s="1500" t="s">
        <v>981</v>
      </c>
      <c r="V13" s="1931"/>
      <c r="AH13" s="1716">
        <v>0</v>
      </c>
    </row>
    <row customHeight="1" ht="22.5">
      <c r="A14" s="3603"/>
      <c r="D14" s="1750" t="s">
        <v>102</v>
      </c>
      <c r="E14" s="1490" t="s">
        <v>982</v>
      </c>
      <c r="F14" s="1871" t="s">
        <v>983</v>
      </c>
      <c r="G14" s="1768"/>
      <c r="H14" s="1873"/>
      <c r="I14" s="1768">
        <v>3</v>
      </c>
      <c r="J14" s="1873"/>
      <c r="K14" s="13366">
        <v>14</v>
      </c>
      <c r="L14" s="13608"/>
      <c r="M14" s="13366">
        <v>0</v>
      </c>
      <c r="N14" s="13608"/>
      <c r="O14" s="13366">
        <v>0</v>
      </c>
      <c r="P14" s="13608"/>
      <c r="Q14" s="13366">
        <v>0</v>
      </c>
      <c r="R14" s="13608"/>
      <c r="S14" s="13366">
        <v>0</v>
      </c>
      <c r="T14" s="13608"/>
      <c r="U14" s="1500" t="s">
        <v>984</v>
      </c>
      <c r="V14" s="1931"/>
      <c r="AH14" s="1716">
        <v>0</v>
      </c>
    </row>
    <row s="66903" customFormat="1" customHeight="1" ht="67.5">
      <c r="A15" s="3603"/>
      <c r="B15" s="1722"/>
      <c r="D15" s="2164" t="s">
        <v>90</v>
      </c>
      <c r="E15" s="1918" t="s">
        <v>985</v>
      </c>
      <c r="F15" s="2161" t="s">
        <v>324</v>
      </c>
      <c r="G15" s="2161" t="s">
        <v>324</v>
      </c>
      <c r="H15" s="1317"/>
      <c r="I15" s="2161" t="s">
        <v>324</v>
      </c>
      <c r="J15" s="1317"/>
      <c r="K15" s="13321" t="s">
        <v>324</v>
      </c>
      <c r="L15" s="13731"/>
      <c r="M15" s="13321" t="s">
        <v>324</v>
      </c>
      <c r="N15" s="13731"/>
      <c r="O15" s="13321" t="s">
        <v>324</v>
      </c>
      <c r="P15" s="13731"/>
      <c r="Q15" s="13321" t="s">
        <v>324</v>
      </c>
      <c r="R15" s="13731"/>
      <c r="S15" s="13321" t="s">
        <v>324</v>
      </c>
      <c r="T15" s="13731"/>
      <c r="U15" s="1500" t="s">
        <v>986</v>
      </c>
      <c r="V15" s="1931"/>
      <c r="AH15" s="1969">
        <v>0</v>
      </c>
    </row>
    <row s="66903" customFormat="1" customHeight="1" ht="22.5">
      <c r="A16" s="3603"/>
      <c r="B16" s="1722"/>
      <c r="D16" s="2164" t="s">
        <v>342</v>
      </c>
      <c r="E16" s="2165" t="s">
        <v>987</v>
      </c>
      <c r="F16" s="2161" t="s">
        <v>988</v>
      </c>
      <c r="G16" s="2028"/>
      <c r="H16" s="1317"/>
      <c r="I16" s="2028"/>
      <c r="J16" s="1317"/>
      <c r="K16" s="13733"/>
      <c r="L16" s="13731"/>
      <c r="M16" s="13733"/>
      <c r="N16" s="13731"/>
      <c r="O16" s="13733"/>
      <c r="P16" s="13731"/>
      <c r="Q16" s="13733"/>
      <c r="R16" s="13731"/>
      <c r="S16" s="13733"/>
      <c r="T16" s="13731"/>
      <c r="U16" s="1500"/>
      <c r="V16" s="1931"/>
      <c r="AH16" s="1969">
        <v>0</v>
      </c>
    </row>
    <row s="66903" customFormat="1" customHeight="1" ht="22.5">
      <c r="A17" s="3603"/>
      <c r="B17" s="1722"/>
      <c r="D17" s="2164" t="s">
        <v>350</v>
      </c>
      <c r="E17" s="2165" t="s">
        <v>989</v>
      </c>
      <c r="F17" s="2161" t="s">
        <v>990</v>
      </c>
      <c r="G17" s="2028"/>
      <c r="H17" s="1317"/>
      <c r="I17" s="2028"/>
      <c r="J17" s="1317"/>
      <c r="K17" s="13733"/>
      <c r="L17" s="13731"/>
      <c r="M17" s="13733"/>
      <c r="N17" s="13731"/>
      <c r="O17" s="13733"/>
      <c r="P17" s="13731"/>
      <c r="Q17" s="13733"/>
      <c r="R17" s="13731"/>
      <c r="S17" s="13733"/>
      <c r="T17" s="13731"/>
      <c r="U17" s="1500"/>
      <c r="V17" s="1931"/>
      <c r="AH17" s="1969">
        <v>0</v>
      </c>
    </row>
    <row s="66903" customFormat="1" customHeight="1" ht="33.75">
      <c r="A18" s="3603"/>
      <c r="B18" s="1722"/>
      <c r="D18" s="2164" t="s">
        <v>352</v>
      </c>
      <c r="E18" s="2165" t="s">
        <v>991</v>
      </c>
      <c r="F18" s="2161" t="s">
        <v>595</v>
      </c>
      <c r="G18" s="1891"/>
      <c r="H18" s="1317"/>
      <c r="I18" s="1891"/>
      <c r="J18" s="1317"/>
      <c r="K18" s="13735"/>
      <c r="L18" s="13731"/>
      <c r="M18" s="13735"/>
      <c r="N18" s="13731"/>
      <c r="O18" s="13735"/>
      <c r="P18" s="13731"/>
      <c r="Q18" s="13735"/>
      <c r="R18" s="13731"/>
      <c r="S18" s="13735"/>
      <c r="T18" s="13731"/>
      <c r="U18" s="1500"/>
      <c r="V18" s="1931"/>
      <c r="AH18" s="1969">
        <v>0</v>
      </c>
    </row>
    <row customHeight="1" ht="112.5">
      <c r="A19" s="3603"/>
      <c r="D19" s="2164" t="s">
        <v>91</v>
      </c>
      <c r="E19" s="1490" t="s">
        <v>992</v>
      </c>
      <c r="F19" s="1871" t="s">
        <v>564</v>
      </c>
      <c r="G19" s="1874"/>
      <c r="H19" s="1873"/>
      <c r="I19" s="60009" t="s">
        <v>993</v>
      </c>
      <c r="J19" s="1873"/>
      <c r="K19" s="56926" t="s">
        <v>993</v>
      </c>
      <c r="L19" s="13608"/>
      <c r="M19" s="56926" t="s">
        <v>993</v>
      </c>
      <c r="N19" s="13608"/>
      <c r="O19" s="60009" t="s">
        <v>993</v>
      </c>
      <c r="P19" s="13608"/>
      <c r="Q19" s="41537" t="s">
        <v>993</v>
      </c>
      <c r="R19" s="13608"/>
      <c r="S19" s="26117" t="s">
        <v>993</v>
      </c>
      <c r="T19" s="13608"/>
      <c r="U19" s="1500" t="s">
        <v>994</v>
      </c>
      <c r="V19" s="1931"/>
      <c r="AH19" s="1716">
        <v>0</v>
      </c>
    </row>
    <row s="66903" customFormat="1" customHeight="1" ht="18.75">
      <c r="A20" s="3603"/>
      <c r="C20" s="2167"/>
      <c r="D20" s="2164" t="s">
        <v>911</v>
      </c>
      <c r="E20" s="2165" t="s">
        <v>995</v>
      </c>
      <c r="F20" s="2161" t="s">
        <v>324</v>
      </c>
      <c r="G20" s="2161" t="s">
        <v>324</v>
      </c>
      <c r="H20" s="2160" t="s">
        <v>324</v>
      </c>
      <c r="I20" s="2161" t="s">
        <v>324</v>
      </c>
      <c r="J20" s="2160" t="s">
        <v>324</v>
      </c>
      <c r="K20" s="13321" t="s">
        <v>324</v>
      </c>
      <c r="L20" s="13741" t="s">
        <v>324</v>
      </c>
      <c r="M20" s="13321" t="s">
        <v>324</v>
      </c>
      <c r="N20" s="13741" t="s">
        <v>324</v>
      </c>
      <c r="O20" s="13321" t="s">
        <v>324</v>
      </c>
      <c r="P20" s="13741" t="s">
        <v>324</v>
      </c>
      <c r="Q20" s="13321" t="s">
        <v>324</v>
      </c>
      <c r="R20" s="13741" t="s">
        <v>324</v>
      </c>
      <c r="S20" s="13321" t="s">
        <v>324</v>
      </c>
      <c r="T20" s="13741" t="s">
        <v>324</v>
      </c>
      <c r="U20" s="2159"/>
      <c r="V20" s="1931"/>
      <c r="AG20" s="1886"/>
      <c r="AH20" s="1969">
        <v>0</v>
      </c>
    </row>
    <row s="66903" customFormat="1" customHeight="1" ht="33.75">
      <c r="A21" s="3603"/>
      <c r="C21" s="2167"/>
      <c r="D21" s="2164" t="s">
        <v>914</v>
      </c>
      <c r="E21" s="1787" t="s">
        <v>996</v>
      </c>
      <c r="F21" s="2161" t="s">
        <v>997</v>
      </c>
      <c r="G21" s="1891"/>
      <c r="H21" s="67511"/>
      <c r="I21" s="1891"/>
      <c r="J21" s="67511"/>
      <c r="K21" s="13735"/>
      <c r="L21" s="67512"/>
      <c r="M21" s="13735"/>
      <c r="N21" s="67512"/>
      <c r="O21" s="13735"/>
      <c r="P21" s="67512"/>
      <c r="Q21" s="13735"/>
      <c r="R21" s="67512"/>
      <c r="S21" s="13735"/>
      <c r="T21" s="67512"/>
      <c r="U21" s="2159"/>
      <c r="V21" s="1931"/>
      <c r="AG21" s="1886"/>
      <c r="AH21" s="1969">
        <v>0</v>
      </c>
    </row>
    <row s="66903" customFormat="1" customHeight="1" ht="33.75">
      <c r="A22" s="3603"/>
      <c r="C22" s="2167"/>
      <c r="D22" s="2164" t="s">
        <v>917</v>
      </c>
      <c r="E22" s="1787" t="s">
        <v>998</v>
      </c>
      <c r="F22" s="2161" t="s">
        <v>999</v>
      </c>
      <c r="G22" s="1891"/>
      <c r="H22" s="67511"/>
      <c r="I22" s="1891"/>
      <c r="J22" s="67511"/>
      <c r="K22" s="13735"/>
      <c r="L22" s="67512"/>
      <c r="M22" s="13735"/>
      <c r="N22" s="67512"/>
      <c r="O22" s="13735"/>
      <c r="P22" s="67512"/>
      <c r="Q22" s="13735"/>
      <c r="R22" s="67512"/>
      <c r="S22" s="13735"/>
      <c r="T22" s="67512"/>
      <c r="U22" s="2159"/>
      <c r="V22" s="1931"/>
      <c r="AG22" s="1886"/>
      <c r="AH22" s="1969">
        <v>0</v>
      </c>
    </row>
    <row s="66903" customFormat="1" customHeight="1" ht="30">
      <c r="A23" s="3603"/>
      <c r="C23" s="2167"/>
      <c r="D23" s="2164" t="s">
        <v>955</v>
      </c>
      <c r="E23" s="2165" t="s">
        <v>1000</v>
      </c>
      <c r="F23" s="2161" t="s">
        <v>324</v>
      </c>
      <c r="G23" s="2161" t="s">
        <v>324</v>
      </c>
      <c r="H23" s="2160" t="s">
        <v>324</v>
      </c>
      <c r="I23" s="2161" t="s">
        <v>324</v>
      </c>
      <c r="J23" s="2160" t="s">
        <v>324</v>
      </c>
      <c r="K23" s="13321" t="s">
        <v>324</v>
      </c>
      <c r="L23" s="13741" t="s">
        <v>324</v>
      </c>
      <c r="M23" s="13321" t="s">
        <v>324</v>
      </c>
      <c r="N23" s="13741" t="s">
        <v>324</v>
      </c>
      <c r="O23" s="13321" t="s">
        <v>324</v>
      </c>
      <c r="P23" s="13741" t="s">
        <v>324</v>
      </c>
      <c r="Q23" s="13321" t="s">
        <v>324</v>
      </c>
      <c r="R23" s="13741" t="s">
        <v>324</v>
      </c>
      <c r="S23" s="13321" t="s">
        <v>324</v>
      </c>
      <c r="T23" s="13741" t="s">
        <v>324</v>
      </c>
      <c r="U23" s="2159"/>
      <c r="V23" s="1931"/>
      <c r="AG23" s="1886"/>
      <c r="AH23" s="1969">
        <v>0</v>
      </c>
    </row>
    <row s="66903" customFormat="1" customHeight="1" ht="34.5">
      <c r="A24" s="3603"/>
      <c r="C24" s="2167"/>
      <c r="D24" s="2164" t="s">
        <v>1001</v>
      </c>
      <c r="E24" s="1787" t="s">
        <v>1002</v>
      </c>
      <c r="F24" s="2161" t="s">
        <v>1003</v>
      </c>
      <c r="G24" s="1891"/>
      <c r="H24" s="67513"/>
      <c r="I24" s="1891"/>
      <c r="J24" s="67514"/>
      <c r="K24" s="13735"/>
      <c r="L24" s="67515"/>
      <c r="M24" s="13735"/>
      <c r="N24" s="67516"/>
      <c r="O24" s="13735"/>
      <c r="P24" s="67516"/>
      <c r="Q24" s="13735"/>
      <c r="R24" s="67516"/>
      <c r="S24" s="13735"/>
      <c r="T24" s="67516"/>
      <c r="U24" s="2159"/>
      <c r="V24" s="1931"/>
      <c r="AG24" s="1886"/>
      <c r="AH24" s="1969">
        <v>0</v>
      </c>
    </row>
    <row s="66903" customFormat="1" customHeight="1" ht="60">
      <c r="A25" s="3603"/>
      <c r="C25" s="2167"/>
      <c r="D25" s="2164" t="s">
        <v>1004</v>
      </c>
      <c r="E25" s="1787" t="s">
        <v>1005</v>
      </c>
      <c r="F25" s="2161" t="s">
        <v>324</v>
      </c>
      <c r="G25" s="2161" t="s">
        <v>324</v>
      </c>
      <c r="H25" s="2160" t="s">
        <v>324</v>
      </c>
      <c r="I25" s="2161" t="s">
        <v>324</v>
      </c>
      <c r="J25" s="2160" t="s">
        <v>324</v>
      </c>
      <c r="K25" s="13321" t="s">
        <v>324</v>
      </c>
      <c r="L25" s="13741" t="s">
        <v>324</v>
      </c>
      <c r="M25" s="13321" t="s">
        <v>324</v>
      </c>
      <c r="N25" s="13741" t="s">
        <v>324</v>
      </c>
      <c r="O25" s="13321" t="s">
        <v>324</v>
      </c>
      <c r="P25" s="13741" t="s">
        <v>324</v>
      </c>
      <c r="Q25" s="13321" t="s">
        <v>324</v>
      </c>
      <c r="R25" s="13741" t="s">
        <v>324</v>
      </c>
      <c r="S25" s="13321" t="s">
        <v>324</v>
      </c>
      <c r="T25" s="13741" t="s">
        <v>324</v>
      </c>
      <c r="U25" s="2159"/>
      <c r="V25" s="1931"/>
      <c r="AG25" s="1886"/>
      <c r="AH25" s="1969">
        <v>0</v>
      </c>
    </row>
    <row s="66903" customFormat="1" customHeight="1" ht="18.75">
      <c r="A26" s="3603"/>
      <c r="C26" s="2167"/>
      <c r="D26" s="2164" t="s">
        <v>1006</v>
      </c>
      <c r="E26" s="1764" t="s">
        <v>1007</v>
      </c>
      <c r="F26" s="2161" t="s">
        <v>1008</v>
      </c>
      <c r="G26" s="1891"/>
      <c r="H26" s="1897"/>
      <c r="I26" s="1891"/>
      <c r="J26" s="1897"/>
      <c r="K26" s="13735"/>
      <c r="L26" s="13750"/>
      <c r="M26" s="13735"/>
      <c r="N26" s="13750"/>
      <c r="O26" s="13735">
        <v>3.34</v>
      </c>
      <c r="P26" s="13750"/>
      <c r="Q26" s="13735">
        <v>3.26</v>
      </c>
      <c r="R26" s="13750"/>
      <c r="S26" s="13735"/>
      <c r="T26" s="13750"/>
      <c r="U26" s="2159"/>
      <c r="V26" s="1931"/>
      <c r="AG26" s="1886"/>
      <c r="AH26" s="1969">
        <v>0</v>
      </c>
    </row>
    <row s="66903" customFormat="1" customHeight="1" ht="18.75">
      <c r="A27" s="3603"/>
      <c r="C27" s="2167"/>
      <c r="D27" s="2164" t="s">
        <v>1009</v>
      </c>
      <c r="E27" s="1764" t="s">
        <v>1010</v>
      </c>
      <c r="F27" s="2161" t="s">
        <v>1011</v>
      </c>
      <c r="G27" s="1891"/>
      <c r="H27" s="1897"/>
      <c r="I27" s="1891"/>
      <c r="J27" s="1897"/>
      <c r="K27" s="13735"/>
      <c r="L27" s="13750"/>
      <c r="M27" s="13735"/>
      <c r="N27" s="13750"/>
      <c r="O27" s="13735">
        <v>8.97</v>
      </c>
      <c r="P27" s="13750"/>
      <c r="Q27" s="13735">
        <v>10.41</v>
      </c>
      <c r="R27" s="13750"/>
      <c r="S27" s="13735"/>
      <c r="T27" s="13750"/>
      <c r="U27" s="2159"/>
      <c r="V27" s="1931"/>
      <c r="AG27" s="1886"/>
      <c r="AH27" s="1969">
        <v>0</v>
      </c>
    </row>
    <row s="66903" customFormat="1" customHeight="1" ht="33.75">
      <c r="A28" s="3603"/>
      <c r="C28" s="2167"/>
      <c r="D28" s="2164" t="s">
        <v>1012</v>
      </c>
      <c r="E28" s="1787" t="s">
        <v>1013</v>
      </c>
      <c r="F28" s="2161" t="s">
        <v>324</v>
      </c>
      <c r="G28" s="2161" t="s">
        <v>324</v>
      </c>
      <c r="H28" s="2160" t="s">
        <v>324</v>
      </c>
      <c r="I28" s="2161" t="s">
        <v>324</v>
      </c>
      <c r="J28" s="2160" t="s">
        <v>324</v>
      </c>
      <c r="K28" s="13321" t="s">
        <v>324</v>
      </c>
      <c r="L28" s="13741" t="s">
        <v>324</v>
      </c>
      <c r="M28" s="13321" t="s">
        <v>324</v>
      </c>
      <c r="N28" s="13741" t="s">
        <v>324</v>
      </c>
      <c r="O28" s="13321" t="s">
        <v>324</v>
      </c>
      <c r="P28" s="13741" t="s">
        <v>324</v>
      </c>
      <c r="Q28" s="13321" t="s">
        <v>324</v>
      </c>
      <c r="R28" s="13741" t="s">
        <v>324</v>
      </c>
      <c r="S28" s="13321" t="s">
        <v>324</v>
      </c>
      <c r="T28" s="13741" t="s">
        <v>324</v>
      </c>
      <c r="U28" s="2159"/>
      <c r="V28" s="1931"/>
      <c r="AG28" s="1886"/>
      <c r="AH28" s="1969">
        <v>0</v>
      </c>
    </row>
    <row s="66903" customFormat="1" customHeight="1" ht="33">
      <c r="A29" s="3603"/>
      <c r="C29" s="2167"/>
      <c r="D29" s="2164" t="s">
        <v>1014</v>
      </c>
      <c r="E29" s="1764" t="s">
        <v>1007</v>
      </c>
      <c r="F29" s="2161" t="s">
        <v>1015</v>
      </c>
      <c r="G29" s="1891"/>
      <c r="H29" s="1897"/>
      <c r="I29" s="1891"/>
      <c r="J29" s="1897"/>
      <c r="K29" s="13735"/>
      <c r="L29" s="13750"/>
      <c r="M29" s="13735"/>
      <c r="N29" s="13750"/>
      <c r="O29" s="13735">
        <v>435144</v>
      </c>
      <c r="P29" s="13750"/>
      <c r="Q29" s="13735">
        <v>395161</v>
      </c>
      <c r="R29" s="13750"/>
      <c r="S29" s="13735"/>
      <c r="T29" s="13750"/>
      <c r="U29" s="2159"/>
      <c r="V29" s="1931"/>
      <c r="AG29" s="1886"/>
      <c r="AH29" s="1969">
        <v>0</v>
      </c>
    </row>
    <row s="66903" customFormat="1" customHeight="1" ht="15.75">
      <c r="A30" s="3603"/>
      <c r="C30" s="2167"/>
      <c r="D30" s="2164" t="s">
        <v>1016</v>
      </c>
      <c r="E30" s="1764" t="s">
        <v>1017</v>
      </c>
      <c r="F30" s="2161" t="s">
        <v>1018</v>
      </c>
      <c r="G30" s="1891"/>
      <c r="H30" s="1897"/>
      <c r="I30" s="1891"/>
      <c r="J30" s="1897"/>
      <c r="K30" s="13735"/>
      <c r="L30" s="13750"/>
      <c r="M30" s="13735"/>
      <c r="N30" s="13750"/>
      <c r="O30" s="13735">
        <v>1168754</v>
      </c>
      <c r="P30" s="13750"/>
      <c r="Q30" s="13735">
        <v>1261922</v>
      </c>
      <c r="R30" s="13750"/>
      <c r="S30" s="13735"/>
      <c r="T30" s="13750"/>
      <c r="U30" s="2159"/>
      <c r="V30" s="1931"/>
      <c r="AG30" s="1886"/>
      <c r="AH30" s="1969">
        <v>0</v>
      </c>
    </row>
    <row customHeight="1" ht="54">
      <c r="A31" s="3603"/>
      <c r="D31" s="2164" t="s">
        <v>122</v>
      </c>
      <c r="E31" s="1490" t="s">
        <v>1019</v>
      </c>
      <c r="F31" s="1871" t="s">
        <v>576</v>
      </c>
      <c r="G31" s="1768"/>
      <c r="H31" s="1873"/>
      <c r="I31" s="1768">
        <v>0</v>
      </c>
      <c r="J31" s="1873"/>
      <c r="K31" s="13366">
        <v>0</v>
      </c>
      <c r="L31" s="13608"/>
      <c r="M31" s="13366">
        <v>0</v>
      </c>
      <c r="N31" s="13608"/>
      <c r="O31" s="13366">
        <v>100</v>
      </c>
      <c r="P31" s="13608"/>
      <c r="Q31" s="13366">
        <v>100</v>
      </c>
      <c r="R31" s="13608"/>
      <c r="S31" s="13366">
        <v>0</v>
      </c>
      <c r="T31" s="13608"/>
      <c r="U31" s="1500" t="s">
        <v>1020</v>
      </c>
      <c r="V31" s="1931"/>
      <c r="AH31" s="1716">
        <v>0</v>
      </c>
    </row>
    <row customHeight="1" ht="39">
      <c r="A32" s="3603"/>
      <c r="D32" s="2164" t="s">
        <v>92</v>
      </c>
      <c r="E32" s="1490" t="s">
        <v>1021</v>
      </c>
      <c r="F32" s="1750" t="s">
        <v>990</v>
      </c>
      <c r="G32" s="1768"/>
      <c r="H32" s="1873"/>
      <c r="I32" s="1768">
        <v>0</v>
      </c>
      <c r="J32" s="1873"/>
      <c r="K32" s="13366">
        <v>0</v>
      </c>
      <c r="L32" s="13608"/>
      <c r="M32" s="13366">
        <v>0</v>
      </c>
      <c r="N32" s="13608"/>
      <c r="O32" s="13366">
        <v>20</v>
      </c>
      <c r="P32" s="13608"/>
      <c r="Q32" s="13366">
        <v>20</v>
      </c>
      <c r="R32" s="13608"/>
      <c r="S32" s="13366">
        <v>0</v>
      </c>
      <c r="T32" s="13608"/>
      <c r="U32" s="1500" t="s">
        <v>1022</v>
      </c>
      <c r="V32" s="1931"/>
      <c r="AH32" s="1716">
        <v>0</v>
      </c>
    </row>
    <row customHeight="1" ht="11.25">
      <c r="A33" s="3603"/>
      <c r="E33" s="1875"/>
      <c r="F33" s="1392"/>
      <c r="G33" s="1392"/>
      <c r="H33" s="1392"/>
      <c r="I33" s="1392"/>
      <c r="J33" s="1392"/>
      <c r="K33" s="13751"/>
      <c r="L33" s="13751"/>
      <c r="M33" s="13751"/>
      <c r="N33" s="13751"/>
      <c r="O33" s="13751"/>
      <c r="P33" s="13751"/>
      <c r="Q33" s="13751"/>
      <c r="R33" s="13751"/>
      <c r="S33" s="13751"/>
      <c r="T33" s="13751"/>
      <c r="U33" s="1392"/>
      <c r="AH33" s="1716">
        <v>0</v>
      </c>
    </row>
    <row customHeight="1" ht="12.75">
      <c r="A34" s="3603"/>
      <c r="D34" s="1276">
        <v>1</v>
      </c>
      <c r="E34" s="1546" t="s">
        <v>1023</v>
      </c>
      <c r="K34" s="13315"/>
      <c r="L34" s="13315"/>
      <c r="M34" s="13315"/>
      <c r="N34" s="13315"/>
      <c r="O34" s="13315"/>
      <c r="P34" s="13315"/>
      <c r="Q34" s="13315"/>
      <c r="R34" s="13315"/>
      <c r="S34" s="13315"/>
      <c r="T34" s="13315"/>
      <c r="AH34" s="1716">
        <v>0</v>
      </c>
    </row>
    <row customHeight="1" ht="11.25">
      <c r="A35" s="3603"/>
      <c r="D35" s="1580"/>
      <c r="E35" s="1546" t="s">
        <v>1024</v>
      </c>
      <c r="K35" s="13315"/>
      <c r="L35" s="13315"/>
      <c r="M35" s="13315"/>
      <c r="N35" s="13315"/>
      <c r="O35" s="13315"/>
      <c r="P35" s="13315"/>
      <c r="Q35" s="13315"/>
      <c r="R35" s="13315"/>
      <c r="S35" s="13315"/>
      <c r="T35" s="13315"/>
      <c r="AH35" s="1716">
        <v>0</v>
      </c>
    </row>
    <row s="66903" customFormat="1" customHeight="1" ht="11.549999999999999">
      <c r="A36" s="2244"/>
      <c r="B36" s="1729"/>
      <c r="D36" s="2245"/>
      <c r="E36" s="2246"/>
      <c r="K36" s="13315"/>
      <c r="L36" s="13315"/>
      <c r="M36" s="13315"/>
      <c r="N36" s="13315"/>
      <c r="O36" s="13315"/>
      <c r="P36" s="13315"/>
      <c r="Q36" s="13315"/>
      <c r="R36" s="13315"/>
      <c r="S36" s="13315"/>
      <c r="T36" s="13315"/>
      <c r="AH36" s="1720">
        <v>11</v>
      </c>
    </row>
    <row s="66903" customFormat="1" customHeight="1" ht="22.5" hidden="1">
      <c r="A37" s="3603" t="s">
        <v>1025</v>
      </c>
      <c r="B37" s="1722"/>
      <c r="D37" s="2164">
        <v>1</v>
      </c>
      <c r="E37" s="1918" t="s">
        <v>1026</v>
      </c>
      <c r="F37" s="1871" t="s">
        <v>980</v>
      </c>
      <c r="G37" s="1768"/>
      <c r="H37" s="1730"/>
      <c r="I37" s="1768"/>
      <c r="J37" s="1730"/>
      <c r="K37" s="13366"/>
      <c r="L37" s="13757"/>
      <c r="M37" s="13366"/>
      <c r="N37" s="13757"/>
      <c r="O37" s="13366"/>
      <c r="P37" s="13757"/>
      <c r="Q37" s="13366"/>
      <c r="R37" s="13757"/>
      <c r="S37" s="13366"/>
      <c r="T37" s="13757"/>
      <c r="U37" s="1500" t="s">
        <v>1027</v>
      </c>
      <c r="AH37" s="1969">
        <v>0</v>
      </c>
    </row>
    <row s="66903" customFormat="1" customHeight="1" ht="22.5" hidden="1">
      <c r="A38" s="3603"/>
      <c r="B38" s="1722"/>
      <c r="D38" s="1880" t="s">
        <v>102</v>
      </c>
      <c r="E38" s="2243" t="s">
        <v>1028</v>
      </c>
      <c r="F38" s="2247" t="s">
        <v>564</v>
      </c>
      <c r="G38" s="2247" t="s">
        <v>564</v>
      </c>
      <c r="H38" s="2241"/>
      <c r="I38" s="2247" t="s">
        <v>564</v>
      </c>
      <c r="J38" s="2241"/>
      <c r="K38" s="13762" t="s">
        <v>564</v>
      </c>
      <c r="L38" s="13763"/>
      <c r="M38" s="13762" t="s">
        <v>564</v>
      </c>
      <c r="N38" s="13763"/>
      <c r="O38" s="13762" t="s">
        <v>564</v>
      </c>
      <c r="P38" s="13763"/>
      <c r="Q38" s="13762" t="s">
        <v>564</v>
      </c>
      <c r="R38" s="13763"/>
      <c r="S38" s="13762" t="s">
        <v>564</v>
      </c>
      <c r="T38" s="13763"/>
      <c r="U38" s="2242"/>
      <c r="AH38" s="1969">
        <v>0</v>
      </c>
    </row>
    <row s="66903" customFormat="1" customHeight="1" ht="33.75" hidden="1">
      <c r="A39" s="3603"/>
      <c r="B39" s="1722"/>
      <c r="D39" s="1876" t="s">
        <v>863</v>
      </c>
      <c r="E39" s="1934" t="s">
        <v>1029</v>
      </c>
      <c r="F39" s="1871" t="s">
        <v>1030</v>
      </c>
      <c r="G39" s="1879"/>
      <c r="H39" s="2234"/>
      <c r="I39" s="1879"/>
      <c r="J39" s="2234"/>
      <c r="K39" s="13768"/>
      <c r="L39" s="13769"/>
      <c r="M39" s="13768"/>
      <c r="N39" s="13769"/>
      <c r="O39" s="13768"/>
      <c r="P39" s="13769"/>
      <c r="Q39" s="13768"/>
      <c r="R39" s="13769"/>
      <c r="S39" s="13768"/>
      <c r="T39" s="13769"/>
      <c r="U39" s="1500" t="s">
        <v>1031</v>
      </c>
      <c r="AH39" s="1969">
        <v>0</v>
      </c>
    </row>
    <row s="66903" customFormat="1" customHeight="1" ht="33.75" hidden="1">
      <c r="A40" s="3603"/>
      <c r="B40" s="1722"/>
      <c r="D40" s="1876" t="s">
        <v>866</v>
      </c>
      <c r="E40" s="1934" t="s">
        <v>1032</v>
      </c>
      <c r="F40" s="2238" t="s">
        <v>1033</v>
      </c>
      <c r="G40" s="1952"/>
      <c r="H40" s="2234"/>
      <c r="I40" s="1952"/>
      <c r="J40" s="2234"/>
      <c r="K40" s="13772"/>
      <c r="L40" s="13769"/>
      <c r="M40" s="13772"/>
      <c r="N40" s="13769"/>
      <c r="O40" s="13772"/>
      <c r="P40" s="13769"/>
      <c r="Q40" s="13772"/>
      <c r="R40" s="13769"/>
      <c r="S40" s="13772"/>
      <c r="T40" s="13769"/>
      <c r="U40" s="1500" t="s">
        <v>1034</v>
      </c>
      <c r="AH40" s="1969">
        <v>0</v>
      </c>
    </row>
    <row s="66903" customFormat="1" customHeight="1" ht="22.5" hidden="1">
      <c r="A41" s="3603"/>
      <c r="B41" s="1722"/>
      <c r="D41" s="1876" t="s">
        <v>90</v>
      </c>
      <c r="E41" s="1933" t="s">
        <v>1035</v>
      </c>
      <c r="F41" s="1871" t="s">
        <v>564</v>
      </c>
      <c r="G41" s="1871" t="s">
        <v>564</v>
      </c>
      <c r="H41" s="2235"/>
      <c r="I41" s="1871" t="s">
        <v>564</v>
      </c>
      <c r="J41" s="2235"/>
      <c r="K41" s="13775" t="s">
        <v>564</v>
      </c>
      <c r="L41" s="13776"/>
      <c r="M41" s="13775" t="s">
        <v>564</v>
      </c>
      <c r="N41" s="13776"/>
      <c r="O41" s="13775" t="s">
        <v>564</v>
      </c>
      <c r="P41" s="13776"/>
      <c r="Q41" s="13775" t="s">
        <v>564</v>
      </c>
      <c r="R41" s="13776"/>
      <c r="S41" s="13775" t="s">
        <v>564</v>
      </c>
      <c r="T41" s="13776"/>
      <c r="U41" s="1513"/>
      <c r="AH41" s="1969">
        <v>0</v>
      </c>
    </row>
    <row s="66903" customFormat="1" customHeight="1" ht="45" hidden="1">
      <c r="A42" s="3603"/>
      <c r="B42" s="1722"/>
      <c r="D42" s="1876" t="s">
        <v>342</v>
      </c>
      <c r="E42" s="1934" t="s">
        <v>1036</v>
      </c>
      <c r="F42" s="1871" t="s">
        <v>576</v>
      </c>
      <c r="G42" s="1768"/>
      <c r="H42" s="2235"/>
      <c r="I42" s="1768"/>
      <c r="J42" s="2235"/>
      <c r="K42" s="13366"/>
      <c r="L42" s="13776"/>
      <c r="M42" s="13366"/>
      <c r="N42" s="13776"/>
      <c r="O42" s="13366"/>
      <c r="P42" s="13776"/>
      <c r="Q42" s="13366"/>
      <c r="R42" s="13776"/>
      <c r="S42" s="13366"/>
      <c r="T42" s="13776"/>
      <c r="U42" s="1513" t="s">
        <v>1037</v>
      </c>
      <c r="AH42" s="1969">
        <v>0</v>
      </c>
    </row>
    <row s="66903" customFormat="1" customHeight="1" ht="45" hidden="1">
      <c r="A43" s="3603"/>
      <c r="B43" s="1722"/>
      <c r="D43" s="1876" t="s">
        <v>350</v>
      </c>
      <c r="E43" s="1878" t="s">
        <v>1038</v>
      </c>
      <c r="F43" s="2239" t="s">
        <v>576</v>
      </c>
      <c r="G43" s="1953"/>
      <c r="H43" s="2234"/>
      <c r="I43" s="1953"/>
      <c r="J43" s="2234"/>
      <c r="K43" s="13779"/>
      <c r="L43" s="13769"/>
      <c r="M43" s="13779"/>
      <c r="N43" s="13769"/>
      <c r="O43" s="13779"/>
      <c r="P43" s="13769"/>
      <c r="Q43" s="13779"/>
      <c r="R43" s="13769"/>
      <c r="S43" s="13779"/>
      <c r="T43" s="13769"/>
      <c r="U43" s="1513" t="s">
        <v>1039</v>
      </c>
      <c r="AH43" s="1969">
        <v>0</v>
      </c>
    </row>
    <row s="66903" customFormat="1" customHeight="1" ht="11.25" hidden="1">
      <c r="A44" s="3603"/>
      <c r="B44" s="1722"/>
      <c r="D44" s="1876" t="s">
        <v>91</v>
      </c>
      <c r="E44" s="1877" t="s">
        <v>1040</v>
      </c>
      <c r="F44" s="1871" t="s">
        <v>1030</v>
      </c>
      <c r="G44" s="1879"/>
      <c r="H44" s="2234"/>
      <c r="I44" s="1879"/>
      <c r="J44" s="2234"/>
      <c r="K44" s="13768"/>
      <c r="L44" s="13769"/>
      <c r="M44" s="13768"/>
      <c r="N44" s="13769"/>
      <c r="O44" s="13768"/>
      <c r="P44" s="13769"/>
      <c r="Q44" s="13768"/>
      <c r="R44" s="13769"/>
      <c r="S44" s="13768"/>
      <c r="T44" s="13769"/>
      <c r="U44" s="1500"/>
      <c r="AH44" s="1969">
        <v>0</v>
      </c>
    </row>
    <row s="66903" customFormat="1" customHeight="1" ht="11.25" hidden="1">
      <c r="A45" s="3603"/>
      <c r="B45" s="1722"/>
      <c r="D45" s="1876" t="s">
        <v>911</v>
      </c>
      <c r="E45" s="1878" t="s">
        <v>1041</v>
      </c>
      <c r="F45" s="1871" t="s">
        <v>1030</v>
      </c>
      <c r="G45" s="1879"/>
      <c r="H45" s="2234"/>
      <c r="I45" s="1879"/>
      <c r="J45" s="2234"/>
      <c r="K45" s="13768"/>
      <c r="L45" s="13769"/>
      <c r="M45" s="13768"/>
      <c r="N45" s="13769"/>
      <c r="O45" s="13768"/>
      <c r="P45" s="13769"/>
      <c r="Q45" s="13768"/>
      <c r="R45" s="13769"/>
      <c r="S45" s="13768"/>
      <c r="T45" s="13769"/>
      <c r="U45" s="1500"/>
      <c r="AH45" s="1969">
        <v>0</v>
      </c>
    </row>
    <row s="66903" customFormat="1" customHeight="1" ht="11.25" hidden="1">
      <c r="A46" s="3603"/>
      <c r="B46" s="1722"/>
      <c r="D46" s="1876" t="s">
        <v>955</v>
      </c>
      <c r="E46" s="1878" t="s">
        <v>1042</v>
      </c>
      <c r="F46" s="1871" t="s">
        <v>1030</v>
      </c>
      <c r="G46" s="1879"/>
      <c r="H46" s="2234"/>
      <c r="I46" s="1879"/>
      <c r="J46" s="2234"/>
      <c r="K46" s="13768"/>
      <c r="L46" s="13769"/>
      <c r="M46" s="13768"/>
      <c r="N46" s="13769"/>
      <c r="O46" s="13768"/>
      <c r="P46" s="13769"/>
      <c r="Q46" s="13768"/>
      <c r="R46" s="13769"/>
      <c r="S46" s="13768"/>
      <c r="T46" s="13769"/>
      <c r="U46" s="1500"/>
      <c r="AH46" s="1969">
        <v>0</v>
      </c>
    </row>
    <row s="66903" customFormat="1" customHeight="1" ht="11.25" hidden="1">
      <c r="A47" s="3603"/>
      <c r="B47" s="1722"/>
      <c r="D47" s="1876" t="s">
        <v>958</v>
      </c>
      <c r="E47" s="1878" t="s">
        <v>1043</v>
      </c>
      <c r="F47" s="1871" t="s">
        <v>1030</v>
      </c>
      <c r="G47" s="1879"/>
      <c r="H47" s="2234"/>
      <c r="I47" s="1879"/>
      <c r="J47" s="2234"/>
      <c r="K47" s="13768"/>
      <c r="L47" s="13769"/>
      <c r="M47" s="13768"/>
      <c r="N47" s="13769"/>
      <c r="O47" s="13768"/>
      <c r="P47" s="13769"/>
      <c r="Q47" s="13768"/>
      <c r="R47" s="13769"/>
      <c r="S47" s="13768"/>
      <c r="T47" s="13769"/>
      <c r="U47" s="1500"/>
      <c r="AH47" s="1969">
        <v>0</v>
      </c>
    </row>
    <row s="66903" customFormat="1" customHeight="1" ht="11.25" hidden="1">
      <c r="A48" s="3603"/>
      <c r="B48" s="1722"/>
      <c r="D48" s="1876" t="s">
        <v>1044</v>
      </c>
      <c r="E48" s="1882" t="s">
        <v>1045</v>
      </c>
      <c r="F48" s="1871" t="s">
        <v>1030</v>
      </c>
      <c r="G48" s="1879"/>
      <c r="H48" s="2234"/>
      <c r="I48" s="1879"/>
      <c r="J48" s="2234"/>
      <c r="K48" s="13768"/>
      <c r="L48" s="13769"/>
      <c r="M48" s="13768"/>
      <c r="N48" s="13769"/>
      <c r="O48" s="13768"/>
      <c r="P48" s="13769"/>
      <c r="Q48" s="13768"/>
      <c r="R48" s="13769"/>
      <c r="S48" s="13768"/>
      <c r="T48" s="13769"/>
      <c r="U48" s="1500"/>
      <c r="AH48" s="1969">
        <v>0</v>
      </c>
    </row>
    <row s="66903" customFormat="1" customHeight="1" ht="11.25" hidden="1">
      <c r="A49" s="3603"/>
      <c r="B49" s="1722"/>
      <c r="D49" s="1876" t="s">
        <v>1046</v>
      </c>
      <c r="E49" s="1882" t="s">
        <v>1047</v>
      </c>
      <c r="F49" s="1871" t="s">
        <v>1030</v>
      </c>
      <c r="G49" s="1879"/>
      <c r="H49" s="2234"/>
      <c r="I49" s="1879"/>
      <c r="J49" s="2234"/>
      <c r="K49" s="13768"/>
      <c r="L49" s="13769"/>
      <c r="M49" s="13768"/>
      <c r="N49" s="13769"/>
      <c r="O49" s="13768"/>
      <c r="P49" s="13769"/>
      <c r="Q49" s="13768"/>
      <c r="R49" s="13769"/>
      <c r="S49" s="13768"/>
      <c r="T49" s="13769"/>
      <c r="U49" s="1500"/>
      <c r="AH49" s="1969">
        <v>0</v>
      </c>
    </row>
    <row s="66903" customFormat="1" customHeight="1" ht="11.25" hidden="1">
      <c r="A50" s="3603"/>
      <c r="B50" s="1722"/>
      <c r="D50" s="1876" t="s">
        <v>1048</v>
      </c>
      <c r="E50" s="1878" t="s">
        <v>1049</v>
      </c>
      <c r="F50" s="1871" t="s">
        <v>1030</v>
      </c>
      <c r="G50" s="1879"/>
      <c r="H50" s="2234"/>
      <c r="I50" s="1879"/>
      <c r="J50" s="2234"/>
      <c r="K50" s="13768"/>
      <c r="L50" s="13769"/>
      <c r="M50" s="13768"/>
      <c r="N50" s="13769"/>
      <c r="O50" s="13768"/>
      <c r="P50" s="13769"/>
      <c r="Q50" s="13768"/>
      <c r="R50" s="13769"/>
      <c r="S50" s="13768"/>
      <c r="T50" s="13769"/>
      <c r="U50" s="1500"/>
      <c r="AH50" s="1969">
        <v>0</v>
      </c>
    </row>
    <row s="66903" customFormat="1" customHeight="1" ht="11.25" hidden="1">
      <c r="A51" s="3603"/>
      <c r="B51" s="1722"/>
      <c r="D51" s="1876" t="s">
        <v>1050</v>
      </c>
      <c r="E51" s="1878" t="s">
        <v>1051</v>
      </c>
      <c r="F51" s="1871" t="s">
        <v>1030</v>
      </c>
      <c r="G51" s="1879"/>
      <c r="H51" s="2234"/>
      <c r="I51" s="1879"/>
      <c r="J51" s="2234"/>
      <c r="K51" s="13768"/>
      <c r="L51" s="13769"/>
      <c r="M51" s="13768"/>
      <c r="N51" s="13769"/>
      <c r="O51" s="13768"/>
      <c r="P51" s="13769"/>
      <c r="Q51" s="13768"/>
      <c r="R51" s="13769"/>
      <c r="S51" s="13768"/>
      <c r="T51" s="13769"/>
      <c r="U51" s="1500"/>
      <c r="AH51" s="1969">
        <v>0</v>
      </c>
    </row>
    <row s="66903" customFormat="1" customHeight="1" ht="45" hidden="1">
      <c r="A52" s="3603"/>
      <c r="B52" s="1722"/>
      <c r="D52" s="1876" t="s">
        <v>122</v>
      </c>
      <c r="E52" s="1877" t="s">
        <v>1052</v>
      </c>
      <c r="F52" s="1871" t="s">
        <v>1030</v>
      </c>
      <c r="G52" s="1879"/>
      <c r="H52" s="2234"/>
      <c r="I52" s="1879"/>
      <c r="J52" s="2234"/>
      <c r="K52" s="13768"/>
      <c r="L52" s="13769"/>
      <c r="M52" s="13768"/>
      <c r="N52" s="13769"/>
      <c r="O52" s="13768"/>
      <c r="P52" s="13769"/>
      <c r="Q52" s="13768"/>
      <c r="R52" s="13769"/>
      <c r="S52" s="13768"/>
      <c r="T52" s="13769"/>
      <c r="U52" s="1500"/>
      <c r="AH52" s="1969">
        <v>0</v>
      </c>
    </row>
    <row s="66903" customFormat="1" customHeight="1" ht="11.25" hidden="1">
      <c r="A53" s="3603"/>
      <c r="B53" s="1722"/>
      <c r="D53" s="1876" t="s">
        <v>331</v>
      </c>
      <c r="E53" s="1878" t="s">
        <v>1041</v>
      </c>
      <c r="F53" s="1871" t="s">
        <v>1030</v>
      </c>
      <c r="G53" s="1879"/>
      <c r="H53" s="2234"/>
      <c r="I53" s="1879"/>
      <c r="J53" s="2234"/>
      <c r="K53" s="13768"/>
      <c r="L53" s="13769"/>
      <c r="M53" s="13768"/>
      <c r="N53" s="13769"/>
      <c r="O53" s="13768"/>
      <c r="P53" s="13769"/>
      <c r="Q53" s="13768"/>
      <c r="R53" s="13769"/>
      <c r="S53" s="13768"/>
      <c r="T53" s="13769"/>
      <c r="U53" s="1500"/>
      <c r="AH53" s="1969">
        <v>0</v>
      </c>
    </row>
    <row s="66903" customFormat="1" customHeight="1" ht="11.25" hidden="1">
      <c r="A54" s="3603"/>
      <c r="B54" s="1722"/>
      <c r="D54" s="1876" t="s">
        <v>1053</v>
      </c>
      <c r="E54" s="1878" t="s">
        <v>1042</v>
      </c>
      <c r="F54" s="1871" t="s">
        <v>1030</v>
      </c>
      <c r="G54" s="1879"/>
      <c r="H54" s="2234"/>
      <c r="I54" s="1879"/>
      <c r="J54" s="2234"/>
      <c r="K54" s="13768"/>
      <c r="L54" s="13769"/>
      <c r="M54" s="13768"/>
      <c r="N54" s="13769"/>
      <c r="O54" s="13768"/>
      <c r="P54" s="13769"/>
      <c r="Q54" s="13768"/>
      <c r="R54" s="13769"/>
      <c r="S54" s="13768"/>
      <c r="T54" s="13769"/>
      <c r="U54" s="1500"/>
      <c r="AH54" s="1969">
        <v>0</v>
      </c>
    </row>
    <row s="66903" customFormat="1" customHeight="1" ht="11.25" hidden="1">
      <c r="A55" s="3603"/>
      <c r="B55" s="1722"/>
      <c r="D55" s="1876" t="s">
        <v>1054</v>
      </c>
      <c r="E55" s="1878" t="s">
        <v>1043</v>
      </c>
      <c r="F55" s="1871" t="s">
        <v>1030</v>
      </c>
      <c r="G55" s="1879"/>
      <c r="H55" s="2234"/>
      <c r="I55" s="1879"/>
      <c r="J55" s="2234"/>
      <c r="K55" s="13768"/>
      <c r="L55" s="13769"/>
      <c r="M55" s="13768"/>
      <c r="N55" s="13769"/>
      <c r="O55" s="13768"/>
      <c r="P55" s="13769"/>
      <c r="Q55" s="13768"/>
      <c r="R55" s="13769"/>
      <c r="S55" s="13768"/>
      <c r="T55" s="13769"/>
      <c r="U55" s="1500"/>
      <c r="AH55" s="1969">
        <v>0</v>
      </c>
    </row>
    <row s="66903" customFormat="1" customHeight="1" ht="11.25" hidden="1">
      <c r="A56" s="3603"/>
      <c r="B56" s="1722"/>
      <c r="D56" s="1876" t="s">
        <v>1055</v>
      </c>
      <c r="E56" s="1882" t="s">
        <v>1045</v>
      </c>
      <c r="F56" s="1871" t="s">
        <v>1030</v>
      </c>
      <c r="G56" s="1879"/>
      <c r="H56" s="2234"/>
      <c r="I56" s="1879"/>
      <c r="J56" s="2234"/>
      <c r="K56" s="13768"/>
      <c r="L56" s="13769"/>
      <c r="M56" s="13768"/>
      <c r="N56" s="13769"/>
      <c r="O56" s="13768"/>
      <c r="P56" s="13769"/>
      <c r="Q56" s="13768"/>
      <c r="R56" s="13769"/>
      <c r="S56" s="13768"/>
      <c r="T56" s="13769"/>
      <c r="U56" s="1500"/>
      <c r="AH56" s="1969">
        <v>0</v>
      </c>
    </row>
    <row s="66903" customFormat="1" customHeight="1" ht="11.25" hidden="1">
      <c r="A57" s="3603"/>
      <c r="B57" s="1722"/>
      <c r="D57" s="1876" t="s">
        <v>1056</v>
      </c>
      <c r="E57" s="1882" t="s">
        <v>1047</v>
      </c>
      <c r="F57" s="1871" t="s">
        <v>1030</v>
      </c>
      <c r="G57" s="1879"/>
      <c r="H57" s="2234"/>
      <c r="I57" s="1879"/>
      <c r="J57" s="2234"/>
      <c r="K57" s="13768"/>
      <c r="L57" s="13769"/>
      <c r="M57" s="13768"/>
      <c r="N57" s="13769"/>
      <c r="O57" s="13768"/>
      <c r="P57" s="13769"/>
      <c r="Q57" s="13768"/>
      <c r="R57" s="13769"/>
      <c r="S57" s="13768"/>
      <c r="T57" s="13769"/>
      <c r="U57" s="1500"/>
      <c r="AH57" s="1969">
        <v>0</v>
      </c>
    </row>
    <row s="66903" customFormat="1" customHeight="1" ht="11.25" hidden="1">
      <c r="A58" s="3603"/>
      <c r="B58" s="1722"/>
      <c r="D58" s="1876" t="s">
        <v>1057</v>
      </c>
      <c r="E58" s="1878" t="s">
        <v>1049</v>
      </c>
      <c r="F58" s="1871" t="s">
        <v>1030</v>
      </c>
      <c r="G58" s="1879"/>
      <c r="H58" s="2234"/>
      <c r="I58" s="1879"/>
      <c r="J58" s="2234"/>
      <c r="K58" s="13768"/>
      <c r="L58" s="13769"/>
      <c r="M58" s="13768"/>
      <c r="N58" s="13769"/>
      <c r="O58" s="13768"/>
      <c r="P58" s="13769"/>
      <c r="Q58" s="13768"/>
      <c r="R58" s="13769"/>
      <c r="S58" s="13768"/>
      <c r="T58" s="13769"/>
      <c r="U58" s="1500"/>
      <c r="AH58" s="1969">
        <v>0</v>
      </c>
    </row>
    <row s="66903" customFormat="1" customHeight="1" ht="11.25" hidden="1">
      <c r="A59" s="3603"/>
      <c r="B59" s="1722"/>
      <c r="D59" s="1876" t="s">
        <v>1058</v>
      </c>
      <c r="E59" s="1878" t="s">
        <v>1051</v>
      </c>
      <c r="F59" s="1871" t="s">
        <v>1030</v>
      </c>
      <c r="G59" s="1879"/>
      <c r="H59" s="2234"/>
      <c r="I59" s="1879"/>
      <c r="J59" s="2234"/>
      <c r="K59" s="13768"/>
      <c r="L59" s="13769"/>
      <c r="M59" s="13768"/>
      <c r="N59" s="13769"/>
      <c r="O59" s="13768"/>
      <c r="P59" s="13769"/>
      <c r="Q59" s="13768"/>
      <c r="R59" s="13769"/>
      <c r="S59" s="13768"/>
      <c r="T59" s="13769"/>
      <c r="U59" s="1500"/>
      <c r="AH59" s="1969">
        <v>0</v>
      </c>
    </row>
    <row s="66903" customFormat="1" customHeight="1" ht="33.75" hidden="1">
      <c r="A60" s="3603"/>
      <c r="B60" s="1722"/>
      <c r="D60" s="1876" t="s">
        <v>92</v>
      </c>
      <c r="E60" s="1877" t="s">
        <v>1059</v>
      </c>
      <c r="F60" s="1932" t="s">
        <v>576</v>
      </c>
      <c r="G60" s="1953"/>
      <c r="H60" s="2234"/>
      <c r="I60" s="1953"/>
      <c r="J60" s="2234"/>
      <c r="K60" s="13779"/>
      <c r="L60" s="13769"/>
      <c r="M60" s="13779"/>
      <c r="N60" s="13769"/>
      <c r="O60" s="13779"/>
      <c r="P60" s="13769"/>
      <c r="Q60" s="13779"/>
      <c r="R60" s="13769"/>
      <c r="S60" s="13779"/>
      <c r="T60" s="13769"/>
      <c r="U60" s="1513" t="s">
        <v>1060</v>
      </c>
      <c r="AH60" s="1969">
        <v>0</v>
      </c>
    </row>
    <row s="66903" customFormat="1" customHeight="1" ht="33.75" hidden="1">
      <c r="A61" s="3603"/>
      <c r="B61" s="1722"/>
      <c r="D61" s="1876" t="s">
        <v>93</v>
      </c>
      <c r="E61" s="1877" t="s">
        <v>1061</v>
      </c>
      <c r="F61" s="1937" t="s">
        <v>990</v>
      </c>
      <c r="G61" s="1879"/>
      <c r="H61" s="2234"/>
      <c r="I61" s="1879"/>
      <c r="J61" s="2234"/>
      <c r="K61" s="13768"/>
      <c r="L61" s="13769"/>
      <c r="M61" s="13768"/>
      <c r="N61" s="13769"/>
      <c r="O61" s="13768"/>
      <c r="P61" s="13769"/>
      <c r="Q61" s="13768"/>
      <c r="R61" s="13769"/>
      <c r="S61" s="13768"/>
      <c r="T61" s="13769"/>
      <c r="U61" s="1500"/>
      <c r="AH61" s="1969">
        <v>0</v>
      </c>
    </row>
    <row s="66903" customFormat="1" customHeight="1" ht="22.5" hidden="1">
      <c r="A62" s="3603"/>
      <c r="B62" s="1722" t="s">
        <v>606</v>
      </c>
      <c r="D62" s="1876" t="s">
        <v>123</v>
      </c>
      <c r="E62" s="1877" t="s">
        <v>1062</v>
      </c>
      <c r="F62" s="1937" t="s">
        <v>324</v>
      </c>
      <c r="G62" s="1593"/>
      <c r="H62" s="2234"/>
      <c r="I62" s="1593"/>
      <c r="J62" s="2234"/>
      <c r="K62" s="13785"/>
      <c r="L62" s="13769"/>
      <c r="M62" s="13785"/>
      <c r="N62" s="13769"/>
      <c r="O62" s="13785"/>
      <c r="P62" s="13769"/>
      <c r="Q62" s="13785"/>
      <c r="R62" s="13769"/>
      <c r="S62" s="13785"/>
      <c r="T62" s="13769"/>
      <c r="U62" s="1500" t="s">
        <v>783</v>
      </c>
      <c r="AH62" s="1969">
        <v>0</v>
      </c>
    </row>
    <row s="66903" customFormat="1" customHeight="1" ht="45" hidden="1">
      <c r="A63" s="3603"/>
      <c r="B63" s="1722" t="s">
        <v>606</v>
      </c>
      <c r="D63" s="1876" t="s">
        <v>1063</v>
      </c>
      <c r="E63" s="1878" t="s">
        <v>1064</v>
      </c>
      <c r="F63" s="1932" t="s">
        <v>324</v>
      </c>
      <c r="G63" s="1593"/>
      <c r="H63" s="2234"/>
      <c r="I63" s="1593"/>
      <c r="J63" s="2234"/>
      <c r="K63" s="13785"/>
      <c r="L63" s="13769"/>
      <c r="M63" s="13785"/>
      <c r="N63" s="13769"/>
      <c r="O63" s="13785"/>
      <c r="P63" s="13769"/>
      <c r="Q63" s="13785"/>
      <c r="R63" s="13769"/>
      <c r="S63" s="13785"/>
      <c r="T63" s="13769"/>
      <c r="U63" s="1500" t="s">
        <v>783</v>
      </c>
      <c r="AH63" s="1969">
        <v>0</v>
      </c>
    </row>
    <row s="66903" customFormat="1" customHeight="1" ht="11.549999999999999">
      <c r="A64" s="2244"/>
      <c r="B64" s="1729"/>
      <c r="D64" s="2245"/>
      <c r="E64" s="2246"/>
      <c r="K64" s="13315"/>
      <c r="L64" s="13315"/>
      <c r="M64" s="13315"/>
      <c r="N64" s="13315"/>
      <c r="O64" s="13315"/>
      <c r="P64" s="13315"/>
      <c r="Q64" s="13315"/>
      <c r="R64" s="13315"/>
      <c r="S64" s="13315"/>
      <c r="T64" s="13315"/>
      <c r="AH64" s="1720">
        <v>11</v>
      </c>
    </row>
    <row s="66903" customFormat="1" customHeight="1" ht="22.5" hidden="1">
      <c r="A65" s="3603" t="s">
        <v>1065</v>
      </c>
      <c r="B65" s="1722"/>
      <c r="D65" s="1876">
        <v>1</v>
      </c>
      <c r="E65" s="1955" t="s">
        <v>1066</v>
      </c>
      <c r="F65" s="1951" t="s">
        <v>980</v>
      </c>
      <c r="G65" s="1952"/>
      <c r="H65" s="2240"/>
      <c r="I65" s="1952"/>
      <c r="J65" s="2240"/>
      <c r="K65" s="13772"/>
      <c r="L65" s="13789"/>
      <c r="M65" s="13772"/>
      <c r="N65" s="13789"/>
      <c r="O65" s="13772"/>
      <c r="P65" s="13789"/>
      <c r="Q65" s="13772"/>
      <c r="R65" s="13789"/>
      <c r="S65" s="13772"/>
      <c r="T65" s="13789"/>
      <c r="U65" s="1512" t="s">
        <v>1067</v>
      </c>
      <c r="AH65" s="1969">
        <v>0</v>
      </c>
    </row>
    <row s="66903" customFormat="1" customHeight="1" ht="56.25" hidden="1">
      <c r="A66" s="3603"/>
      <c r="B66" s="1722"/>
      <c r="D66" s="1954" t="s">
        <v>102</v>
      </c>
      <c r="E66" s="1918" t="s">
        <v>1068</v>
      </c>
      <c r="F66" s="1871" t="s">
        <v>564</v>
      </c>
      <c r="G66" s="1871" t="s">
        <v>564</v>
      </c>
      <c r="H66" s="1730"/>
      <c r="I66" s="1871" t="s">
        <v>564</v>
      </c>
      <c r="J66" s="1730"/>
      <c r="K66" s="13775" t="s">
        <v>564</v>
      </c>
      <c r="L66" s="13757"/>
      <c r="M66" s="13775" t="s">
        <v>564</v>
      </c>
      <c r="N66" s="13757"/>
      <c r="O66" s="13775" t="s">
        <v>564</v>
      </c>
      <c r="P66" s="13757"/>
      <c r="Q66" s="13775" t="s">
        <v>564</v>
      </c>
      <c r="R66" s="13757"/>
      <c r="S66" s="13775" t="s">
        <v>564</v>
      </c>
      <c r="T66" s="13757"/>
      <c r="U66" s="1500"/>
      <c r="AH66" s="1969">
        <v>0</v>
      </c>
    </row>
    <row s="66903" customFormat="1" customHeight="1" ht="33.75" hidden="1">
      <c r="A67" s="3603"/>
      <c r="B67" s="1722"/>
      <c r="D67" s="1954" t="s">
        <v>860</v>
      </c>
      <c r="E67" s="2165" t="s">
        <v>1069</v>
      </c>
      <c r="F67" s="1871" t="s">
        <v>1033</v>
      </c>
      <c r="G67" s="1938"/>
      <c r="H67" s="1730"/>
      <c r="I67" s="1938"/>
      <c r="J67" s="1730"/>
      <c r="K67" s="13624"/>
      <c r="L67" s="13757"/>
      <c r="M67" s="13624"/>
      <c r="N67" s="13757"/>
      <c r="O67" s="13624"/>
      <c r="P67" s="13757"/>
      <c r="Q67" s="13624"/>
      <c r="R67" s="13757"/>
      <c r="S67" s="13624"/>
      <c r="T67" s="13757"/>
      <c r="U67" s="1500"/>
      <c r="AH67" s="1969">
        <v>0</v>
      </c>
    </row>
    <row s="66903" customFormat="1" customHeight="1" ht="22.5" hidden="1">
      <c r="A68" s="3603"/>
      <c r="B68" s="1722"/>
      <c r="D68" s="1954" t="s">
        <v>325</v>
      </c>
      <c r="E68" s="2165" t="s">
        <v>1070</v>
      </c>
      <c r="F68" s="1871" t="s">
        <v>1033</v>
      </c>
      <c r="G68" s="1938"/>
      <c r="H68" s="1730"/>
      <c r="I68" s="1938"/>
      <c r="J68" s="1730"/>
      <c r="K68" s="13624"/>
      <c r="L68" s="13757"/>
      <c r="M68" s="13624"/>
      <c r="N68" s="13757"/>
      <c r="O68" s="13624"/>
      <c r="P68" s="13757"/>
      <c r="Q68" s="13624"/>
      <c r="R68" s="13757"/>
      <c r="S68" s="13624"/>
      <c r="T68" s="13757"/>
      <c r="U68" s="1500"/>
      <c r="AH68" s="1969">
        <v>0</v>
      </c>
    </row>
    <row s="66903" customFormat="1" customHeight="1" ht="22.5" hidden="1">
      <c r="A69" s="3603"/>
      <c r="B69" s="1722"/>
      <c r="D69" s="1954" t="s">
        <v>328</v>
      </c>
      <c r="E69" s="2165" t="s">
        <v>1071</v>
      </c>
      <c r="F69" s="1932" t="s">
        <v>576</v>
      </c>
      <c r="G69" s="1953"/>
      <c r="H69" s="1730"/>
      <c r="I69" s="1953"/>
      <c r="J69" s="1730"/>
      <c r="K69" s="13779"/>
      <c r="L69" s="13757"/>
      <c r="M69" s="13779"/>
      <c r="N69" s="13757"/>
      <c r="O69" s="13779"/>
      <c r="P69" s="13757"/>
      <c r="Q69" s="13779"/>
      <c r="R69" s="13757"/>
      <c r="S69" s="13779"/>
      <c r="T69" s="13757"/>
      <c r="U69" s="1500"/>
      <c r="AH69" s="1969">
        <v>0</v>
      </c>
    </row>
    <row s="66903" customFormat="1" customHeight="1" ht="22.5" hidden="1">
      <c r="A70" s="3603"/>
      <c r="B70" s="1722"/>
      <c r="D70" s="1954" t="s">
        <v>880</v>
      </c>
      <c r="E70" s="2165" t="s">
        <v>1072</v>
      </c>
      <c r="F70" s="1932" t="s">
        <v>576</v>
      </c>
      <c r="G70" s="1953"/>
      <c r="H70" s="1730"/>
      <c r="I70" s="1953"/>
      <c r="J70" s="1730"/>
      <c r="K70" s="13779"/>
      <c r="L70" s="13757"/>
      <c r="M70" s="13779"/>
      <c r="N70" s="13757"/>
      <c r="O70" s="13779"/>
      <c r="P70" s="13757"/>
      <c r="Q70" s="13779"/>
      <c r="R70" s="13757"/>
      <c r="S70" s="13779"/>
      <c r="T70" s="13757"/>
      <c r="U70" s="1500"/>
      <c r="AH70" s="1969">
        <v>0</v>
      </c>
    </row>
    <row s="66903" customFormat="1" customHeight="1" ht="22.5" hidden="1">
      <c r="A71" s="3603"/>
      <c r="B71" s="1722"/>
      <c r="D71" s="1876" t="s">
        <v>90</v>
      </c>
      <c r="E71" s="1877" t="s">
        <v>1073</v>
      </c>
      <c r="F71" s="1871" t="s">
        <v>1033</v>
      </c>
      <c r="G71" s="1768"/>
      <c r="H71" s="2241"/>
      <c r="I71" s="1768"/>
      <c r="J71" s="2241"/>
      <c r="K71" s="13366"/>
      <c r="L71" s="13763"/>
      <c r="M71" s="13366"/>
      <c r="N71" s="13763"/>
      <c r="O71" s="13366"/>
      <c r="P71" s="13763"/>
      <c r="Q71" s="13366"/>
      <c r="R71" s="13763"/>
      <c r="S71" s="13366"/>
      <c r="T71" s="13763"/>
      <c r="U71" s="1513"/>
      <c r="AH71" s="1969">
        <v>0</v>
      </c>
    </row>
    <row s="66903" customFormat="1" customHeight="1" ht="56.25" hidden="1">
      <c r="A72" s="3603"/>
      <c r="B72" s="1722"/>
      <c r="D72" s="1876" t="s">
        <v>91</v>
      </c>
      <c r="E72" s="1877" t="s">
        <v>1074</v>
      </c>
      <c r="F72" s="1932" t="s">
        <v>576</v>
      </c>
      <c r="G72" s="1953"/>
      <c r="H72" s="2234"/>
      <c r="I72" s="1953"/>
      <c r="J72" s="2234"/>
      <c r="K72" s="13779"/>
      <c r="L72" s="13769"/>
      <c r="M72" s="13779"/>
      <c r="N72" s="13769"/>
      <c r="O72" s="13779"/>
      <c r="P72" s="13769"/>
      <c r="Q72" s="13779"/>
      <c r="R72" s="13769"/>
      <c r="S72" s="13779"/>
      <c r="T72" s="13769"/>
      <c r="U72" s="1513"/>
      <c r="AH72" s="1969">
        <v>0</v>
      </c>
    </row>
    <row s="66903" customFormat="1" customHeight="1" ht="33.75" hidden="1">
      <c r="A73" s="3603"/>
      <c r="B73" s="1722"/>
      <c r="D73" s="1876" t="s">
        <v>122</v>
      </c>
      <c r="E73" s="1877" t="s">
        <v>1075</v>
      </c>
      <c r="F73" s="1937" t="s">
        <v>990</v>
      </c>
      <c r="G73" s="1879"/>
      <c r="H73" s="2234"/>
      <c r="I73" s="1879"/>
      <c r="J73" s="2234"/>
      <c r="K73" s="13768"/>
      <c r="L73" s="13769"/>
      <c r="M73" s="13768"/>
      <c r="N73" s="13769"/>
      <c r="O73" s="13768"/>
      <c r="P73" s="13769"/>
      <c r="Q73" s="13768"/>
      <c r="R73" s="13769"/>
      <c r="S73" s="13768"/>
      <c r="T73" s="13769"/>
      <c r="U73" s="1500"/>
      <c r="AH73" s="1969">
        <v>0</v>
      </c>
    </row>
    <row s="66903" customFormat="1" customHeight="1" ht="22.5" hidden="1">
      <c r="A74" s="3603"/>
      <c r="B74" s="1722" t="s">
        <v>606</v>
      </c>
      <c r="D74" s="1876" t="s">
        <v>92</v>
      </c>
      <c r="E74" s="1877" t="s">
        <v>1076</v>
      </c>
      <c r="F74" s="1937" t="s">
        <v>324</v>
      </c>
      <c r="G74" s="1593"/>
      <c r="H74" s="2234"/>
      <c r="I74" s="1593"/>
      <c r="J74" s="2234"/>
      <c r="K74" s="13785"/>
      <c r="L74" s="13769"/>
      <c r="M74" s="13785"/>
      <c r="N74" s="13769"/>
      <c r="O74" s="13785"/>
      <c r="P74" s="13769"/>
      <c r="Q74" s="13785"/>
      <c r="R74" s="13769"/>
      <c r="S74" s="13785"/>
      <c r="T74" s="13769"/>
      <c r="U74" s="1500" t="s">
        <v>783</v>
      </c>
      <c r="AH74" s="1969">
        <v>0</v>
      </c>
    </row>
    <row s="66903" customFormat="1" customHeight="1" ht="45" hidden="1">
      <c r="A75" s="3603"/>
      <c r="B75" s="1722" t="s">
        <v>606</v>
      </c>
      <c r="D75" s="1876" t="s">
        <v>804</v>
      </c>
      <c r="E75" s="1878" t="s">
        <v>1077</v>
      </c>
      <c r="F75" s="1932" t="s">
        <v>324</v>
      </c>
      <c r="G75" s="1593"/>
      <c r="H75" s="2234"/>
      <c r="I75" s="1593"/>
      <c r="J75" s="2234"/>
      <c r="K75" s="13785"/>
      <c r="L75" s="13769"/>
      <c r="M75" s="13785"/>
      <c r="N75" s="13769"/>
      <c r="O75" s="13785"/>
      <c r="P75" s="13769"/>
      <c r="Q75" s="13785"/>
      <c r="R75" s="13769"/>
      <c r="S75" s="13785"/>
      <c r="T75" s="13769"/>
      <c r="U75" s="1500" t="s">
        <v>783</v>
      </c>
      <c r="AH75" s="1969">
        <v>0</v>
      </c>
    </row>
    <row s="66903" customFormat="1" customHeight="1" ht="11.549999999999999">
      <c r="A76" s="2244"/>
      <c r="B76" s="1729"/>
      <c r="D76" s="2245"/>
      <c r="E76" s="2246"/>
      <c r="K76" s="13315"/>
      <c r="L76" s="13315"/>
      <c r="M76" s="13315"/>
      <c r="N76" s="13315"/>
      <c r="O76" s="13315"/>
      <c r="P76" s="13315"/>
      <c r="Q76" s="13315"/>
      <c r="R76" s="13315"/>
      <c r="S76" s="13315"/>
      <c r="T76" s="13315"/>
      <c r="AH76" s="1720">
        <v>11</v>
      </c>
    </row>
    <row s="66903" customFormat="1" customHeight="1" ht="11.25" hidden="1">
      <c r="A77" s="3603" t="s">
        <v>1078</v>
      </c>
      <c r="B77" s="1722"/>
      <c r="D77" s="1876">
        <v>1</v>
      </c>
      <c r="E77" s="1877" t="s">
        <v>1079</v>
      </c>
      <c r="F77" s="1932" t="s">
        <v>980</v>
      </c>
      <c r="G77" s="1935"/>
      <c r="H77" s="2234"/>
      <c r="I77" s="1935"/>
      <c r="J77" s="2234"/>
      <c r="K77" s="13792"/>
      <c r="L77" s="13769"/>
      <c r="M77" s="13792"/>
      <c r="N77" s="13769"/>
      <c r="O77" s="13792"/>
      <c r="P77" s="13769"/>
      <c r="Q77" s="13792"/>
      <c r="R77" s="13769"/>
      <c r="S77" s="13792"/>
      <c r="T77" s="13769"/>
      <c r="U77" s="1500" t="s">
        <v>1080</v>
      </c>
      <c r="AH77" s="1969">
        <v>0</v>
      </c>
    </row>
    <row s="66903" customFormat="1" customHeight="1" ht="11.25" hidden="1">
      <c r="A78" s="3603"/>
      <c r="B78" s="1722"/>
      <c r="D78" s="1876" t="s">
        <v>102</v>
      </c>
      <c r="E78" s="1877" t="s">
        <v>1081</v>
      </c>
      <c r="F78" s="1932" t="s">
        <v>980</v>
      </c>
      <c r="G78" s="1935"/>
      <c r="H78" s="2234"/>
      <c r="I78" s="1935"/>
      <c r="J78" s="2234"/>
      <c r="K78" s="13792"/>
      <c r="L78" s="13769"/>
      <c r="M78" s="13792"/>
      <c r="N78" s="13769"/>
      <c r="O78" s="13792"/>
      <c r="P78" s="13769"/>
      <c r="Q78" s="13792"/>
      <c r="R78" s="13769"/>
      <c r="S78" s="13792"/>
      <c r="T78" s="13769"/>
      <c r="U78" s="1500" t="s">
        <v>1082</v>
      </c>
      <c r="AH78" s="1969">
        <v>0</v>
      </c>
    </row>
    <row s="66903" customFormat="1" customHeight="1" ht="22.5" hidden="1">
      <c r="A79" s="3603"/>
      <c r="B79" s="1722"/>
      <c r="D79" s="1876" t="s">
        <v>90</v>
      </c>
      <c r="E79" s="1933" t="s">
        <v>1083</v>
      </c>
      <c r="F79" s="1871" t="s">
        <v>1030</v>
      </c>
      <c r="G79" s="1935"/>
      <c r="H79" s="2234"/>
      <c r="I79" s="1935"/>
      <c r="J79" s="2234"/>
      <c r="K79" s="13792"/>
      <c r="L79" s="13769"/>
      <c r="M79" s="13792"/>
      <c r="N79" s="13769"/>
      <c r="O79" s="13792"/>
      <c r="P79" s="13769"/>
      <c r="Q79" s="13792"/>
      <c r="R79" s="13769"/>
      <c r="S79" s="13792"/>
      <c r="T79" s="13769"/>
      <c r="U79" s="1500" t="s">
        <v>1084</v>
      </c>
      <c r="AH79" s="1969">
        <v>0</v>
      </c>
    </row>
    <row s="66903" customFormat="1" customHeight="1" ht="11.25" hidden="1">
      <c r="A80" s="3603"/>
      <c r="B80" s="1722"/>
      <c r="D80" s="1876" t="s">
        <v>342</v>
      </c>
      <c r="E80" s="1934" t="s">
        <v>1085</v>
      </c>
      <c r="F80" s="1871" t="s">
        <v>1030</v>
      </c>
      <c r="G80" s="1935"/>
      <c r="H80" s="2234"/>
      <c r="I80" s="1935"/>
      <c r="J80" s="2234"/>
      <c r="K80" s="13792"/>
      <c r="L80" s="13769"/>
      <c r="M80" s="13792"/>
      <c r="N80" s="13769"/>
      <c r="O80" s="13792"/>
      <c r="P80" s="13769"/>
      <c r="Q80" s="13792"/>
      <c r="R80" s="13769"/>
      <c r="S80" s="13792"/>
      <c r="T80" s="13769"/>
      <c r="U80" s="1500"/>
      <c r="AH80" s="1969">
        <v>0</v>
      </c>
    </row>
    <row s="66903" customFormat="1" customHeight="1" ht="11.25" hidden="1">
      <c r="A81" s="3603"/>
      <c r="B81" s="1722"/>
      <c r="D81" s="1876" t="s">
        <v>350</v>
      </c>
      <c r="E81" s="1934" t="s">
        <v>1086</v>
      </c>
      <c r="F81" s="1871" t="s">
        <v>1030</v>
      </c>
      <c r="G81" s="1935"/>
      <c r="H81" s="2234"/>
      <c r="I81" s="1935"/>
      <c r="J81" s="2234"/>
      <c r="K81" s="13792"/>
      <c r="L81" s="13769"/>
      <c r="M81" s="13792"/>
      <c r="N81" s="13769"/>
      <c r="O81" s="13792"/>
      <c r="P81" s="13769"/>
      <c r="Q81" s="13792"/>
      <c r="R81" s="13769"/>
      <c r="S81" s="13792"/>
      <c r="T81" s="13769"/>
      <c r="U81" s="1500"/>
      <c r="AH81" s="1969">
        <v>0</v>
      </c>
    </row>
    <row s="66903" customFormat="1" customHeight="1" ht="11.25" hidden="1">
      <c r="A82" s="3603"/>
      <c r="B82" s="1722"/>
      <c r="D82" s="1876" t="s">
        <v>352</v>
      </c>
      <c r="E82" s="1934" t="s">
        <v>1087</v>
      </c>
      <c r="F82" s="1871" t="s">
        <v>1030</v>
      </c>
      <c r="G82" s="1935"/>
      <c r="H82" s="2234"/>
      <c r="I82" s="1935"/>
      <c r="J82" s="2234"/>
      <c r="K82" s="13792"/>
      <c r="L82" s="13769"/>
      <c r="M82" s="13792"/>
      <c r="N82" s="13769"/>
      <c r="O82" s="13792"/>
      <c r="P82" s="13769"/>
      <c r="Q82" s="13792"/>
      <c r="R82" s="13769"/>
      <c r="S82" s="13792"/>
      <c r="T82" s="13769"/>
      <c r="U82" s="1500"/>
      <c r="AH82" s="1969">
        <v>0</v>
      </c>
    </row>
    <row s="66903" customFormat="1" customHeight="1" ht="11.25" hidden="1">
      <c r="A83" s="3603"/>
      <c r="B83" s="1722"/>
      <c r="D83" s="1876" t="s">
        <v>354</v>
      </c>
      <c r="E83" s="1934" t="s">
        <v>1088</v>
      </c>
      <c r="F83" s="1871" t="s">
        <v>1030</v>
      </c>
      <c r="G83" s="1935"/>
      <c r="H83" s="2234"/>
      <c r="I83" s="1935"/>
      <c r="J83" s="2234"/>
      <c r="K83" s="13792"/>
      <c r="L83" s="13769"/>
      <c r="M83" s="13792"/>
      <c r="N83" s="13769"/>
      <c r="O83" s="13792"/>
      <c r="P83" s="13769"/>
      <c r="Q83" s="13792"/>
      <c r="R83" s="13769"/>
      <c r="S83" s="13792"/>
      <c r="T83" s="13769"/>
      <c r="U83" s="1500"/>
      <c r="AH83" s="1969">
        <v>0</v>
      </c>
    </row>
    <row s="66903" customFormat="1" customHeight="1" ht="11.25" hidden="1">
      <c r="A84" s="3603"/>
      <c r="B84" s="1722"/>
      <c r="D84" s="1876" t="s">
        <v>1089</v>
      </c>
      <c r="E84" s="1934" t="s">
        <v>1090</v>
      </c>
      <c r="F84" s="1871" t="s">
        <v>1030</v>
      </c>
      <c r="G84" s="1935"/>
      <c r="H84" s="2234"/>
      <c r="I84" s="1935"/>
      <c r="J84" s="2234"/>
      <c r="K84" s="13792"/>
      <c r="L84" s="13769"/>
      <c r="M84" s="13792"/>
      <c r="N84" s="13769"/>
      <c r="O84" s="13792"/>
      <c r="P84" s="13769"/>
      <c r="Q84" s="13792"/>
      <c r="R84" s="13769"/>
      <c r="S84" s="13792"/>
      <c r="T84" s="13769"/>
      <c r="U84" s="1500"/>
      <c r="AH84" s="1969">
        <v>0</v>
      </c>
    </row>
    <row s="66903" customFormat="1" customHeight="1" ht="11.25" hidden="1">
      <c r="A85" s="3603"/>
      <c r="B85" s="1722"/>
      <c r="D85" s="1876" t="s">
        <v>1091</v>
      </c>
      <c r="E85" s="1934" t="s">
        <v>1092</v>
      </c>
      <c r="F85" s="1871" t="s">
        <v>1030</v>
      </c>
      <c r="G85" s="1935"/>
      <c r="H85" s="2234"/>
      <c r="I85" s="1935"/>
      <c r="J85" s="2234"/>
      <c r="K85" s="13792"/>
      <c r="L85" s="13769"/>
      <c r="M85" s="13792"/>
      <c r="N85" s="13769"/>
      <c r="O85" s="13792"/>
      <c r="P85" s="13769"/>
      <c r="Q85" s="13792"/>
      <c r="R85" s="13769"/>
      <c r="S85" s="13792"/>
      <c r="T85" s="13769"/>
      <c r="U85" s="1500"/>
      <c r="AH85" s="1969">
        <v>0</v>
      </c>
    </row>
    <row s="66903" customFormat="1" customHeight="1" ht="11.25" hidden="1">
      <c r="A86" s="3603"/>
      <c r="B86" s="1722"/>
      <c r="D86" s="1876" t="s">
        <v>1093</v>
      </c>
      <c r="E86" s="1934" t="s">
        <v>1094</v>
      </c>
      <c r="F86" s="1871" t="s">
        <v>1030</v>
      </c>
      <c r="G86" s="1935"/>
      <c r="H86" s="2234"/>
      <c r="I86" s="1935"/>
      <c r="J86" s="2234"/>
      <c r="K86" s="13792"/>
      <c r="L86" s="13769"/>
      <c r="M86" s="13792"/>
      <c r="N86" s="13769"/>
      <c r="O86" s="13792"/>
      <c r="P86" s="13769"/>
      <c r="Q86" s="13792"/>
      <c r="R86" s="13769"/>
      <c r="S86" s="13792"/>
      <c r="T86" s="13769"/>
      <c r="U86" s="1500"/>
      <c r="AH86" s="1969">
        <v>0</v>
      </c>
    </row>
    <row s="66903" customFormat="1" customHeight="1" ht="45" hidden="1">
      <c r="A87" s="3603"/>
      <c r="B87" s="1722"/>
      <c r="D87" s="1876" t="s">
        <v>91</v>
      </c>
      <c r="E87" s="1877" t="s">
        <v>1095</v>
      </c>
      <c r="F87" s="1871" t="s">
        <v>1030</v>
      </c>
      <c r="G87" s="1935"/>
      <c r="H87" s="2234"/>
      <c r="I87" s="1935"/>
      <c r="J87" s="2234"/>
      <c r="K87" s="13792"/>
      <c r="L87" s="13769"/>
      <c r="M87" s="13792"/>
      <c r="N87" s="13769"/>
      <c r="O87" s="13792"/>
      <c r="P87" s="13769"/>
      <c r="Q87" s="13792"/>
      <c r="R87" s="13769"/>
      <c r="S87" s="13792"/>
      <c r="T87" s="13769"/>
      <c r="U87" s="1500" t="s">
        <v>1096</v>
      </c>
      <c r="AH87" s="1969">
        <v>0</v>
      </c>
    </row>
    <row s="66903" customFormat="1" customHeight="1" ht="11.25" hidden="1">
      <c r="A88" s="3603"/>
      <c r="B88" s="1722"/>
      <c r="D88" s="1876" t="s">
        <v>911</v>
      </c>
      <c r="E88" s="1934" t="s">
        <v>1085</v>
      </c>
      <c r="F88" s="1871" t="s">
        <v>1030</v>
      </c>
      <c r="G88" s="1935"/>
      <c r="H88" s="2234"/>
      <c r="I88" s="1935"/>
      <c r="J88" s="2234"/>
      <c r="K88" s="13792"/>
      <c r="L88" s="13769"/>
      <c r="M88" s="13792"/>
      <c r="N88" s="13769"/>
      <c r="O88" s="13792"/>
      <c r="P88" s="13769"/>
      <c r="Q88" s="13792"/>
      <c r="R88" s="13769"/>
      <c r="S88" s="13792"/>
      <c r="T88" s="13769"/>
      <c r="U88" s="1500"/>
      <c r="AH88" s="1969">
        <v>0</v>
      </c>
    </row>
    <row s="66903" customFormat="1" customHeight="1" ht="11.25" hidden="1">
      <c r="A89" s="3603"/>
      <c r="B89" s="1722"/>
      <c r="D89" s="1876" t="s">
        <v>955</v>
      </c>
      <c r="E89" s="1934" t="s">
        <v>1086</v>
      </c>
      <c r="F89" s="1871" t="s">
        <v>1030</v>
      </c>
      <c r="G89" s="1935"/>
      <c r="H89" s="2234"/>
      <c r="I89" s="1935"/>
      <c r="J89" s="2234"/>
      <c r="K89" s="13792"/>
      <c r="L89" s="13769"/>
      <c r="M89" s="13792"/>
      <c r="N89" s="13769"/>
      <c r="O89" s="13792"/>
      <c r="P89" s="13769"/>
      <c r="Q89" s="13792"/>
      <c r="R89" s="13769"/>
      <c r="S89" s="13792"/>
      <c r="T89" s="13769"/>
      <c r="U89" s="1500"/>
      <c r="AH89" s="1969">
        <v>0</v>
      </c>
    </row>
    <row s="66903" customFormat="1" customHeight="1" ht="11.25" hidden="1">
      <c r="A90" s="3603"/>
      <c r="B90" s="1722"/>
      <c r="D90" s="1876" t="s">
        <v>958</v>
      </c>
      <c r="E90" s="1934" t="s">
        <v>1087</v>
      </c>
      <c r="F90" s="1871" t="s">
        <v>1030</v>
      </c>
      <c r="G90" s="1935"/>
      <c r="H90" s="2234"/>
      <c r="I90" s="1935"/>
      <c r="J90" s="2234"/>
      <c r="K90" s="13792"/>
      <c r="L90" s="13769"/>
      <c r="M90" s="13792"/>
      <c r="N90" s="13769"/>
      <c r="O90" s="13792"/>
      <c r="P90" s="13769"/>
      <c r="Q90" s="13792"/>
      <c r="R90" s="13769"/>
      <c r="S90" s="13792"/>
      <c r="T90" s="13769"/>
      <c r="U90" s="1500"/>
      <c r="AH90" s="1969">
        <v>0</v>
      </c>
    </row>
    <row s="66903" customFormat="1" customHeight="1" ht="11.25" hidden="1">
      <c r="A91" s="3603"/>
      <c r="B91" s="1722"/>
      <c r="D91" s="1876" t="s">
        <v>1048</v>
      </c>
      <c r="E91" s="1934" t="s">
        <v>1088</v>
      </c>
      <c r="F91" s="1871" t="s">
        <v>1030</v>
      </c>
      <c r="G91" s="1935"/>
      <c r="H91" s="2234"/>
      <c r="I91" s="1935"/>
      <c r="J91" s="2234"/>
      <c r="K91" s="13792"/>
      <c r="L91" s="13769"/>
      <c r="M91" s="13792"/>
      <c r="N91" s="13769"/>
      <c r="O91" s="13792"/>
      <c r="P91" s="13769"/>
      <c r="Q91" s="13792"/>
      <c r="R91" s="13769"/>
      <c r="S91" s="13792"/>
      <c r="T91" s="13769"/>
      <c r="U91" s="1500"/>
      <c r="AH91" s="1969">
        <v>0</v>
      </c>
    </row>
    <row s="66903" customFormat="1" customHeight="1" ht="11.25" hidden="1">
      <c r="A92" s="3603"/>
      <c r="B92" s="1722"/>
      <c r="D92" s="1876" t="s">
        <v>1050</v>
      </c>
      <c r="E92" s="1934" t="s">
        <v>1090</v>
      </c>
      <c r="F92" s="1871" t="s">
        <v>1030</v>
      </c>
      <c r="G92" s="1935"/>
      <c r="H92" s="2234"/>
      <c r="I92" s="1935"/>
      <c r="J92" s="2234"/>
      <c r="K92" s="13792"/>
      <c r="L92" s="13769"/>
      <c r="M92" s="13792"/>
      <c r="N92" s="13769"/>
      <c r="O92" s="13792"/>
      <c r="P92" s="13769"/>
      <c r="Q92" s="13792"/>
      <c r="R92" s="13769"/>
      <c r="S92" s="13792"/>
      <c r="T92" s="13769"/>
      <c r="U92" s="1500"/>
      <c r="AH92" s="1969">
        <v>0</v>
      </c>
    </row>
    <row s="66903" customFormat="1" customHeight="1" ht="11.25" hidden="1">
      <c r="A93" s="3603"/>
      <c r="B93" s="1722"/>
      <c r="D93" s="1876" t="s">
        <v>1097</v>
      </c>
      <c r="E93" s="1934" t="s">
        <v>1092</v>
      </c>
      <c r="F93" s="1871" t="s">
        <v>1030</v>
      </c>
      <c r="G93" s="1935"/>
      <c r="H93" s="2234"/>
      <c r="I93" s="1935"/>
      <c r="J93" s="2234"/>
      <c r="K93" s="13792"/>
      <c r="L93" s="13769"/>
      <c r="M93" s="13792"/>
      <c r="N93" s="13769"/>
      <c r="O93" s="13792"/>
      <c r="P93" s="13769"/>
      <c r="Q93" s="13792"/>
      <c r="R93" s="13769"/>
      <c r="S93" s="13792"/>
      <c r="T93" s="13769"/>
      <c r="U93" s="1500"/>
      <c r="AH93" s="1969">
        <v>0</v>
      </c>
    </row>
    <row s="66903" customFormat="1" customHeight="1" ht="11.25" hidden="1">
      <c r="A94" s="3603"/>
      <c r="B94" s="1722"/>
      <c r="D94" s="1876" t="s">
        <v>1098</v>
      </c>
      <c r="E94" s="1934" t="s">
        <v>1094</v>
      </c>
      <c r="F94" s="1871" t="s">
        <v>1030</v>
      </c>
      <c r="G94" s="1935"/>
      <c r="H94" s="2234"/>
      <c r="I94" s="1935"/>
      <c r="J94" s="2234"/>
      <c r="K94" s="13792"/>
      <c r="L94" s="13769"/>
      <c r="M94" s="13792"/>
      <c r="N94" s="13769"/>
      <c r="O94" s="13792"/>
      <c r="P94" s="13769"/>
      <c r="Q94" s="13792"/>
      <c r="R94" s="13769"/>
      <c r="S94" s="13792"/>
      <c r="T94" s="13769"/>
      <c r="U94" s="1500"/>
      <c r="AH94" s="1969">
        <v>0</v>
      </c>
    </row>
    <row s="66903" customFormat="1" customHeight="1" ht="24.75" hidden="1">
      <c r="A95" s="3603"/>
      <c r="B95" s="1722"/>
      <c r="D95" s="1876" t="s">
        <v>122</v>
      </c>
      <c r="E95" s="1877" t="s">
        <v>1099</v>
      </c>
      <c r="F95" s="1936" t="s">
        <v>576</v>
      </c>
      <c r="G95" s="1938"/>
      <c r="H95" s="2234"/>
      <c r="I95" s="1938"/>
      <c r="J95" s="2234"/>
      <c r="K95" s="13624"/>
      <c r="L95" s="13769"/>
      <c r="M95" s="13624"/>
      <c r="N95" s="13769"/>
      <c r="O95" s="13624"/>
      <c r="P95" s="13769"/>
      <c r="Q95" s="13624"/>
      <c r="R95" s="13769"/>
      <c r="S95" s="13624"/>
      <c r="T95" s="13769"/>
      <c r="U95" s="1500" t="s">
        <v>1100</v>
      </c>
      <c r="AH95" s="1969">
        <v>0</v>
      </c>
    </row>
    <row s="66903" customFormat="1" customHeight="1" ht="33.75" hidden="1">
      <c r="A96" s="3603"/>
      <c r="B96" s="1722"/>
      <c r="D96" s="1876" t="s">
        <v>92</v>
      </c>
      <c r="E96" s="1877" t="s">
        <v>1101</v>
      </c>
      <c r="F96" s="1937" t="s">
        <v>990</v>
      </c>
      <c r="G96" s="1939"/>
      <c r="H96" s="2234"/>
      <c r="I96" s="1939"/>
      <c r="J96" s="2234"/>
      <c r="K96" s="13795"/>
      <c r="L96" s="13769"/>
      <c r="M96" s="13795"/>
      <c r="N96" s="13769"/>
      <c r="O96" s="13795"/>
      <c r="P96" s="13769"/>
      <c r="Q96" s="13795"/>
      <c r="R96" s="13769"/>
      <c r="S96" s="13795"/>
      <c r="T96" s="13769"/>
      <c r="U96" s="1500"/>
      <c r="AH96" s="1969">
        <v>0</v>
      </c>
    </row>
    <row s="66903" customFormat="1" customHeight="1" ht="22.5" hidden="1">
      <c r="A97" s="3603"/>
      <c r="B97" s="1722" t="s">
        <v>606</v>
      </c>
      <c r="D97" s="1876" t="s">
        <v>93</v>
      </c>
      <c r="E97" s="1877" t="s">
        <v>1102</v>
      </c>
      <c r="F97" s="1937" t="s">
        <v>324</v>
      </c>
      <c r="G97" s="1596"/>
      <c r="H97" s="2234"/>
      <c r="I97" s="1596"/>
      <c r="J97" s="2234"/>
      <c r="K97" s="13633"/>
      <c r="L97" s="13769"/>
      <c r="M97" s="13633"/>
      <c r="N97" s="13769"/>
      <c r="O97" s="13633"/>
      <c r="P97" s="13769"/>
      <c r="Q97" s="13633"/>
      <c r="R97" s="13769"/>
      <c r="S97" s="13633"/>
      <c r="T97" s="13769"/>
      <c r="U97" s="1500" t="s">
        <v>783</v>
      </c>
      <c r="AH97" s="1969">
        <v>0</v>
      </c>
    </row>
    <row s="66903" customFormat="1" customHeight="1" ht="45" hidden="1">
      <c r="A98" s="3603"/>
      <c r="B98" s="1722" t="s">
        <v>606</v>
      </c>
      <c r="D98" s="1876" t="s">
        <v>968</v>
      </c>
      <c r="E98" s="1878" t="s">
        <v>1103</v>
      </c>
      <c r="F98" s="1932" t="s">
        <v>324</v>
      </c>
      <c r="G98" s="1596"/>
      <c r="H98" s="2234"/>
      <c r="I98" s="1596"/>
      <c r="J98" s="2234"/>
      <c r="K98" s="13633"/>
      <c r="L98" s="13769"/>
      <c r="M98" s="13633"/>
      <c r="N98" s="13769"/>
      <c r="O98" s="13633"/>
      <c r="P98" s="13769"/>
      <c r="Q98" s="13633"/>
      <c r="R98" s="13769"/>
      <c r="S98" s="13633"/>
      <c r="T98" s="13769"/>
      <c r="U98" s="1500" t="s">
        <v>783</v>
      </c>
      <c r="AH98" s="1969">
        <v>0</v>
      </c>
    </row>
    <row s="66903" customFormat="1" customHeight="1" ht="95.25" hidden="1">
      <c r="A99" s="3603"/>
      <c r="B99" s="1722" t="s">
        <v>606</v>
      </c>
      <c r="D99" s="1876" t="s">
        <v>123</v>
      </c>
      <c r="E99" s="1877" t="s">
        <v>1104</v>
      </c>
      <c r="F99" s="1932" t="s">
        <v>324</v>
      </c>
      <c r="G99" s="1596"/>
      <c r="H99" s="2234"/>
      <c r="I99" s="1596"/>
      <c r="J99" s="2234"/>
      <c r="K99" s="13633"/>
      <c r="L99" s="13769"/>
      <c r="M99" s="13633"/>
      <c r="N99" s="13769"/>
      <c r="O99" s="13633"/>
      <c r="P99" s="13769"/>
      <c r="Q99" s="13633"/>
      <c r="R99" s="13769"/>
      <c r="S99" s="13633"/>
      <c r="T99" s="13769"/>
      <c r="U99" s="1500" t="s">
        <v>783</v>
      </c>
      <c r="AH99" s="1969">
        <v>0</v>
      </c>
    </row>
    <row s="66903" customFormat="1" customHeight="1" ht="22.5" hidden="1">
      <c r="A100" s="3603"/>
      <c r="B100" s="1722" t="s">
        <v>606</v>
      </c>
      <c r="D100" s="1876" t="s">
        <v>168</v>
      </c>
      <c r="E100" s="1877" t="s">
        <v>1105</v>
      </c>
      <c r="F100" s="1932" t="s">
        <v>324</v>
      </c>
      <c r="G100" s="1596"/>
      <c r="H100" s="2234"/>
      <c r="I100" s="1596"/>
      <c r="J100" s="2234"/>
      <c r="K100" s="13633"/>
      <c r="L100" s="13769"/>
      <c r="M100" s="13633"/>
      <c r="N100" s="13769"/>
      <c r="O100" s="13633"/>
      <c r="P100" s="13769"/>
      <c r="Q100" s="13633"/>
      <c r="R100" s="13769"/>
      <c r="S100" s="13633"/>
      <c r="T100" s="13769"/>
      <c r="U100" s="1500" t="s">
        <v>783</v>
      </c>
      <c r="AH100" s="1969">
        <v>0</v>
      </c>
    </row>
    <row s="66903" customFormat="1" customHeight="1" ht="11.549999999999999">
      <c r="A101" s="2244"/>
      <c r="B101" s="1729"/>
      <c r="D101" s="2245"/>
      <c r="E101" s="2246"/>
      <c r="K101" s="13315"/>
      <c r="L101" s="13315"/>
      <c r="M101" s="13315"/>
      <c r="N101" s="13315"/>
      <c r="O101" s="13315"/>
      <c r="P101" s="13315"/>
      <c r="Q101" s="13315"/>
      <c r="R101" s="13315"/>
      <c r="S101" s="13315"/>
      <c r="T101" s="13315"/>
      <c r="AH101" s="1720">
        <v>11</v>
      </c>
    </row>
    <row customHeight="1" ht="22.5" hidden="1">
      <c r="A102" s="1747" t="s">
        <v>82</v>
      </c>
      <c r="B102" s="1722">
        <v>0</v>
      </c>
      <c r="C102" s="1716">
        <v>3</v>
      </c>
      <c r="D102" s="1716">
        <v>7</v>
      </c>
      <c r="E102" s="1716">
        <v>69</v>
      </c>
      <c r="F102" s="1716">
        <v>10</v>
      </c>
      <c r="G102" s="1716">
        <v>0</v>
      </c>
      <c r="H102" s="1716">
        <v>0</v>
      </c>
      <c r="I102" s="1969">
        <v>43</v>
      </c>
      <c r="J102" s="1969">
        <v>43</v>
      </c>
      <c r="K102" s="13315">
        <v>0</v>
      </c>
      <c r="L102" s="13315">
        <v>0</v>
      </c>
      <c r="M102" s="13315">
        <v>0</v>
      </c>
      <c r="N102" s="13315">
        <v>0</v>
      </c>
      <c r="O102" s="13315">
        <v>0</v>
      </c>
      <c r="P102" s="13315">
        <v>0</v>
      </c>
      <c r="Q102" s="13315">
        <v>0</v>
      </c>
      <c r="R102" s="13315">
        <v>0</v>
      </c>
      <c r="S102" s="13315">
        <v>0</v>
      </c>
      <c r="T102" s="13315">
        <v>0</v>
      </c>
      <c r="U102" s="1716">
        <v>73</v>
      </c>
      <c r="V102" s="1716">
        <v>3</v>
      </c>
      <c r="W102" s="1716">
        <v>10</v>
      </c>
      <c r="X102" s="1716">
        <v>10</v>
      </c>
      <c r="Y102" s="1716">
        <v>10</v>
      </c>
      <c r="Z102" s="1716">
        <v>10</v>
      </c>
      <c r="AA102" s="1716">
        <v>10</v>
      </c>
      <c r="AB102" s="1716">
        <v>10</v>
      </c>
      <c r="AC102" s="1716">
        <v>10</v>
      </c>
      <c r="AD102" s="1716">
        <v>10</v>
      </c>
      <c r="AE102" s="1716">
        <v>10</v>
      </c>
      <c r="AF102" s="1716">
        <v>10</v>
      </c>
      <c r="AG102" s="1716">
        <v>10</v>
      </c>
      <c r="AH102" s="1716">
        <v>23</v>
      </c>
    </row>
  </sheetData>
  <sheetProtection formatColumns="0" formatRows="0" autoFilter="0" sort="0" insertRows="0" insertColumns="1" deleteRows="0" deleteColumns="0"/>
  <mergeCells count="33">
    <mergeCell ref="D3:F3"/>
    <mergeCell ref="U7:U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s>
  <hyperlinks>
    <hyperlink ref="J19" r:id="rId1" tooltip="Кликните по гиперссылке, чтобы перейти по ней или отредактировать её" xr:uid="{4207F692-11B1-D8E3-5CBF-E24294FBA4EE}"/>
    <hyperlink ref="L19" r:id="rId2" tooltip="Кликните по гиперссылке, чтобы перейти по ней или отредактировать её" xr:uid="{897CCFAF-8102-88C9-AEB9-8EF517338A4C}"/>
    <hyperlink ref="J24" r:id="rId3" tooltip="Кликните по гиперссылке, чтобы перейти по ней или отредактировать её" xr:uid="{BD9A48FE-5C15-017C-EB07-486792A0DC2C}"/>
    <hyperlink ref="L24" r:id="rId4" tooltip="Кликните по гиперссылке, чтобы перейти по ней или отредактировать её" xr:uid="{D5603B9F-3D51-212D-1F29-A48DFAB0AE25}"/>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C18704-A80B-4111-1CE6-4794C8E10164}" mc:Ignorable="x14ac xr xr2 xr3">
  <sheetPr>
    <tabColor rgb="FFCCCCFF"/>
  </sheetPr>
  <dimension ref="A1:AM30"/>
  <sheetViews>
    <sheetView showGridLines="0" zoomScale="90" workbookViewId="0">
      <pane xSplit="4" ySplit="12" topLeftCell="E13" activePane="bottomRight" state="frozen"/>
      <selection pane="bottomLeft" activeCell="A13" sqref="A13"/>
      <selection pane="topRight" activeCell="E1" sqref="E1"/>
      <selection pane="bottomRight" activeCell="I26" sqref="I26:I27"/>
    </sheetView>
  </sheetViews>
  <sheetFormatPr defaultColWidth="9.140625" customHeight="1" defaultRowHeight="11.25"/>
  <cols>
    <col min="1" max="1" style="67333" width="6.421875" hidden="1" customWidth="1"/>
    <col min="2" max="2" style="67333" width="2.00390625" hidden="1" customWidth="1"/>
    <col min="3" max="3" style="67333" width="3.00390625" customWidth="1"/>
    <col min="4" max="4" style="67333" width="4.00390625" customWidth="1"/>
    <col min="5" max="5" style="67333" width="44.00390625" customWidth="1"/>
    <col min="6" max="6" style="67333" width="6.421875" customWidth="1"/>
    <col min="7" max="7" style="67333" width="4.00390625" customWidth="1"/>
    <col min="8" max="8" style="67333" width="5.00390625" customWidth="1"/>
    <col min="9" max="9" style="67333" width="52.00390625" customWidth="1"/>
    <col min="10" max="10" style="67333" width="7.00390625" customWidth="1"/>
    <col min="11" max="11" style="67333" width="3.00390625" customWidth="1"/>
    <col min="12" max="12" style="67333" width="6.00390625" customWidth="1"/>
    <col min="13" max="13" style="67333" width="56.00390625" customWidth="1"/>
    <col min="14" max="14" style="65332" width="8.00390625" customWidth="1"/>
    <col min="15" max="20" style="66855" width="9.140625" hidden="1"/>
    <col min="21" max="24" style="66986" width="9.140625" hidden="1"/>
    <col min="25" max="37" style="65332" width="9.140625" hidden="1"/>
    <col min="38" max="38" style="65332" width="8.00390625" customWidth="1"/>
    <col min="39" max="39" style="67333" width="9.140625" hidden="1"/>
  </cols>
  <sheetData>
    <row customHeight="1" ht="11.25" hidden="1">
      <c r="AM1" s="1794" t="s">
        <v>14</v>
      </c>
    </row>
    <row customHeight="1" ht="11.25" hidden="1">
      <c r="AM2" s="1794">
        <v>0</v>
      </c>
    </row>
    <row customHeight="1" ht="11.549999999999999">
      <c r="AM3" s="1794">
        <v>11</v>
      </c>
    </row>
    <row customHeight="1" ht="35.699999999999996">
      <c r="A4" s="1796"/>
      <c r="B4" s="1796"/>
      <c r="D4" s="333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3331"/>
      <c r="F4" s="3331"/>
      <c r="G4" s="3331"/>
      <c r="H4" s="3331"/>
      <c r="I4" s="3332"/>
      <c r="J4" s="1795"/>
      <c r="K4" s="1795"/>
      <c r="L4" s="1795"/>
      <c r="M4" s="1795"/>
      <c r="AM4" s="1794">
        <v>34</v>
      </c>
    </row>
    <row s="64814" customFormat="1" customHeight="1" ht="14.699999999999998">
      <c r="A5" s="1796"/>
      <c r="B5" s="1796"/>
      <c r="C5" s="1796"/>
      <c r="D5" s="3333" t="str">
        <f>IF(org=0,"Не определено",org)</f>
        <v>ПАО "ТГК-2"</v>
      </c>
      <c r="E5" s="3334"/>
      <c r="F5" s="3334"/>
      <c r="G5" s="3334"/>
      <c r="H5" s="3334"/>
      <c r="I5" s="3335"/>
      <c r="J5" s="1797"/>
      <c r="K5" s="1797"/>
      <c r="L5" s="1797"/>
      <c r="M5" s="1797"/>
      <c r="N5" s="1797"/>
      <c r="O5" s="2081"/>
      <c r="P5" s="2081"/>
      <c r="Q5" s="2081"/>
      <c r="R5" s="2081"/>
      <c r="S5" s="2081"/>
      <c r="T5" s="2081"/>
      <c r="U5" s="2472"/>
      <c r="V5" s="2472"/>
      <c r="W5" s="2472"/>
      <c r="X5" s="2472"/>
      <c r="Y5" s="1797"/>
      <c r="Z5" s="1797"/>
      <c r="AA5" s="1797"/>
      <c r="AB5" s="1797"/>
      <c r="AC5" s="1797"/>
      <c r="AD5" s="1797"/>
      <c r="AE5" s="1797"/>
      <c r="AF5" s="1797"/>
      <c r="AG5" s="1797"/>
      <c r="AH5" s="1797"/>
      <c r="AI5" s="1797"/>
      <c r="AJ5" s="1797"/>
      <c r="AK5" s="1797"/>
      <c r="AL5" s="1797"/>
      <c r="AM5" s="1798">
        <v>14</v>
      </c>
    </row>
    <row s="64814" customFormat="1" customHeight="1" ht="6.3">
      <c r="A6" s="3336"/>
      <c r="B6" s="3336"/>
      <c r="C6" s="3336"/>
      <c r="D6" s="3336"/>
      <c r="E6" s="3336"/>
      <c r="F6" s="3336"/>
      <c r="G6" s="1799"/>
      <c r="H6" s="1799"/>
      <c r="I6" s="1799"/>
      <c r="J6" s="1799"/>
      <c r="K6" s="1799"/>
      <c r="N6" s="1801"/>
      <c r="O6" s="2625"/>
      <c r="P6" s="2625"/>
      <c r="Q6" s="2625"/>
      <c r="R6" s="2625"/>
      <c r="S6" s="2625"/>
      <c r="T6" s="2625"/>
      <c r="U6" s="2475"/>
      <c r="V6" s="2475"/>
      <c r="W6" s="2475"/>
      <c r="X6" s="2475"/>
      <c r="Y6" s="1801"/>
      <c r="Z6" s="1801"/>
      <c r="AA6" s="1801"/>
      <c r="AB6" s="1801"/>
      <c r="AC6" s="1801"/>
      <c r="AD6" s="1801"/>
      <c r="AE6" s="1801"/>
      <c r="AF6" s="1801"/>
      <c r="AG6" s="1801"/>
      <c r="AH6" s="1801"/>
      <c r="AI6" s="1801"/>
      <c r="AJ6" s="1801"/>
      <c r="AK6" s="1801"/>
      <c r="AL6" s="1801"/>
      <c r="AM6" s="1800">
        <v>6</v>
      </c>
    </row>
    <row customHeight="1" ht="45.75" hidden="1">
      <c r="E7" s="334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3342"/>
      <c r="G7" s="3342"/>
      <c r="H7" s="3342"/>
      <c r="I7" s="3342"/>
      <c r="J7" s="3342"/>
      <c r="K7" s="3342"/>
      <c r="L7" s="3342"/>
      <c r="M7" s="3342"/>
      <c r="AM7" s="1794">
        <v>0</v>
      </c>
    </row>
    <row s="64814" customFormat="1" customHeight="1" ht="6.3">
      <c r="A8" s="1802"/>
      <c r="B8" s="1802"/>
      <c r="C8" s="1802"/>
      <c r="D8" s="1802"/>
      <c r="E8" s="1802"/>
      <c r="F8" s="1802"/>
      <c r="G8" s="1802"/>
      <c r="H8" s="1802"/>
      <c r="I8" s="1802"/>
      <c r="J8" s="1802"/>
      <c r="K8" s="1802"/>
      <c r="L8" s="1802"/>
      <c r="M8" s="1800"/>
      <c r="N8" s="1797"/>
      <c r="O8" s="2081"/>
      <c r="P8" s="2081"/>
      <c r="Q8" s="2081"/>
      <c r="R8" s="2081"/>
      <c r="S8" s="2081"/>
      <c r="T8" s="2081"/>
      <c r="U8" s="2472"/>
      <c r="V8" s="2472"/>
      <c r="W8" s="2472"/>
      <c r="X8" s="2472"/>
      <c r="Y8" s="1797"/>
      <c r="Z8" s="1797"/>
      <c r="AA8" s="1797"/>
      <c r="AB8" s="1797"/>
      <c r="AC8" s="1797"/>
      <c r="AD8" s="1797"/>
      <c r="AE8" s="1797"/>
      <c r="AF8" s="1797"/>
      <c r="AG8" s="1797"/>
      <c r="AH8" s="1797"/>
      <c r="AI8" s="1797"/>
      <c r="AJ8" s="1797"/>
      <c r="AK8" s="1797"/>
      <c r="AL8" s="1797"/>
      <c r="AM8" s="1798">
        <v>6</v>
      </c>
    </row>
    <row customHeight="1" ht="18.75">
      <c r="A9" s="3337"/>
      <c r="B9" s="1534"/>
      <c r="C9" s="1534"/>
      <c r="D9" s="3338" t="s">
        <v>118</v>
      </c>
      <c r="E9" s="3338"/>
      <c r="F9" s="3339" t="s">
        <v>119</v>
      </c>
      <c r="G9" s="3340"/>
      <c r="H9" s="3340"/>
      <c r="I9" s="3340"/>
      <c r="J9" s="3343" t="s">
        <v>120</v>
      </c>
      <c r="K9" s="3343"/>
      <c r="L9" s="3343"/>
      <c r="M9" s="3343"/>
      <c r="AM9" s="1794">
        <v>18</v>
      </c>
    </row>
    <row customHeight="1" ht="24">
      <c r="A10" s="3337"/>
      <c r="B10" s="1803"/>
      <c r="C10" s="1736"/>
      <c r="D10" s="1734" t="s">
        <v>88</v>
      </c>
      <c r="E10" s="1734" t="s">
        <v>89</v>
      </c>
      <c r="F10" s="1734" t="s">
        <v>121</v>
      </c>
      <c r="G10" s="3344" t="s">
        <v>88</v>
      </c>
      <c r="H10" s="3345"/>
      <c r="I10" s="1734" t="s">
        <v>89</v>
      </c>
      <c r="J10" s="1734" t="s">
        <v>121</v>
      </c>
      <c r="K10" s="3344" t="s">
        <v>88</v>
      </c>
      <c r="L10" s="3345"/>
      <c r="M10" s="1734" t="s">
        <v>89</v>
      </c>
      <c r="N10" s="2838"/>
      <c r="AM10" s="1794">
        <v>23</v>
      </c>
    </row>
    <row s="67333" customFormat="1" customHeight="1" ht="11.25" hidden="1">
      <c r="A11" s="1804"/>
      <c r="B11" s="1804"/>
      <c r="C11" s="1804"/>
      <c r="D11" s="1805" t="s">
        <v>99</v>
      </c>
      <c r="E11" s="1805" t="s">
        <v>102</v>
      </c>
      <c r="F11" s="1805" t="s">
        <v>90</v>
      </c>
      <c r="G11" s="3326" t="s">
        <v>91</v>
      </c>
      <c r="H11" s="3327"/>
      <c r="I11" s="1805" t="s">
        <v>122</v>
      </c>
      <c r="J11" s="1805" t="s">
        <v>92</v>
      </c>
      <c r="K11" s="3328" t="s">
        <v>93</v>
      </c>
      <c r="L11" s="3329"/>
      <c r="M11" s="1805" t="s">
        <v>123</v>
      </c>
      <c r="N11" s="2837"/>
      <c r="O11" s="2624"/>
      <c r="P11" s="2626"/>
      <c r="Q11" s="2626"/>
      <c r="R11" s="2626"/>
      <c r="S11" s="2626"/>
      <c r="T11" s="2626"/>
      <c r="U11" s="2476"/>
      <c r="V11" s="2476"/>
      <c r="W11" s="2476"/>
      <c r="X11" s="2476"/>
      <c r="Y11" s="1806"/>
      <c r="Z11" s="1806"/>
      <c r="AA11" s="1806"/>
      <c r="AB11" s="1806"/>
      <c r="AC11" s="1806"/>
      <c r="AD11" s="1806"/>
      <c r="AE11" s="1806"/>
      <c r="AF11" s="1806"/>
      <c r="AG11" s="1806"/>
      <c r="AH11" s="1806"/>
      <c r="AI11" s="1806"/>
      <c r="AJ11" s="1806"/>
      <c r="AK11" s="1806"/>
      <c r="AL11" s="1806"/>
      <c r="AM11" s="1807">
        <v>0</v>
      </c>
    </row>
    <row customHeight="1" ht="1.05">
      <c r="A12" s="1808"/>
      <c r="B12" s="1809"/>
      <c r="C12" s="1809"/>
      <c r="D12" s="1810"/>
      <c r="E12" s="1578"/>
      <c r="F12" s="1811"/>
      <c r="G12" s="2270"/>
      <c r="H12" s="2270"/>
      <c r="I12" s="1811"/>
      <c r="J12" s="1811"/>
      <c r="K12" s="1385"/>
      <c r="L12" s="1578"/>
      <c r="M12" s="1812"/>
      <c r="N12" s="2838"/>
      <c r="O12" s="2624" t="s">
        <v>124</v>
      </c>
      <c r="P12" s="2624" t="s">
        <v>125</v>
      </c>
      <c r="Q12" s="2624" t="s">
        <v>126</v>
      </c>
      <c r="R12" s="2624" t="s">
        <v>127</v>
      </c>
      <c r="AM12" s="1794">
        <v>1</v>
      </c>
    </row>
    <row s="67333" customFormat="1" customHeight="1" ht="15.75">
      <c r="A13" s="1504"/>
      <c r="B13" s="1504"/>
      <c r="C13" s="1737"/>
      <c r="D13" s="3319" t="s">
        <v>99</v>
      </c>
      <c r="E13" s="3320"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3323" t="s">
        <v>62</v>
      </c>
      <c r="G13" s="3324"/>
      <c r="H13" s="3325">
        <v>1</v>
      </c>
      <c r="I13" s="3316" t="str">
        <f>IF(U13="","",INDEX(TERRITORY_MR_LIST,MATCH(U13,TERRITORY_LIST_ID,0)))</f>
        <v>Территория 1</v>
      </c>
      <c r="J13" s="3318" t="s">
        <v>19</v>
      </c>
      <c r="K13" s="1813"/>
      <c r="L13" s="1738" t="s">
        <v>99</v>
      </c>
      <c r="M13" s="1814" t="s">
        <v>22</v>
      </c>
      <c r="N13" s="2023"/>
      <c r="O13" s="2627" t="s">
        <v>128</v>
      </c>
      <c r="P13" s="2624" t="str">
        <f>$E$13</f>
        <v>Производство тепловой энергии. Комбинированная выработка с уст. мощностью производства электрической энергии 25 МВт и более</v>
      </c>
      <c r="Q13" s="2624" t="str">
        <f>IF($F$13="нет","без дифференциации",$I$13)</f>
        <v>Территория 1</v>
      </c>
      <c r="R13" s="2624" t="str">
        <f>IF($J$13="нет","без дифференциации",M13)</f>
        <v>без дифференциации</v>
      </c>
      <c r="S13" s="2627"/>
      <c r="T13" s="2627"/>
      <c r="U13" s="2477" t="s">
        <v>98</v>
      </c>
      <c r="V13" s="2477" t="s">
        <v>129</v>
      </c>
      <c r="W13" s="2477"/>
      <c r="X13" s="2477"/>
      <c r="Y13" s="1815" t="s">
        <v>130</v>
      </c>
      <c r="Z13" s="1815">
        <v>1705000</v>
      </c>
      <c r="AA13" s="1815"/>
      <c r="AB13" s="1815"/>
      <c r="AC13" s="1815"/>
      <c r="AD13" s="1815"/>
      <c r="AE13" s="1815"/>
      <c r="AF13" s="1815"/>
      <c r="AG13" s="1815"/>
      <c r="AH13" s="1815"/>
      <c r="AI13" s="1815"/>
      <c r="AJ13" s="1815"/>
      <c r="AK13" s="1815"/>
      <c r="AL13" s="1815"/>
      <c r="AM13" s="1817">
        <v>15</v>
      </c>
    </row>
    <row s="67333" customFormat="1" customHeight="1" ht="15.75">
      <c r="A14" s="1504"/>
      <c r="B14" s="1504"/>
      <c r="C14" s="1387"/>
      <c r="D14" s="3319"/>
      <c r="E14" s="3321"/>
      <c r="F14" s="3318"/>
      <c r="G14" s="3324"/>
      <c r="H14" s="3325"/>
      <c r="I14" s="3317"/>
      <c r="J14" s="3318"/>
      <c r="K14" s="1632"/>
      <c r="L14" s="1388"/>
      <c r="M14" s="1818" t="s">
        <v>131</v>
      </c>
      <c r="N14" s="2023"/>
      <c r="O14" s="2627"/>
      <c r="P14" s="2624"/>
      <c r="Q14" s="2624"/>
      <c r="R14" s="2624"/>
      <c r="S14" s="2627"/>
      <c r="T14" s="2627"/>
      <c r="U14" s="2477"/>
      <c r="V14" s="2477"/>
      <c r="W14" s="2477"/>
      <c r="X14" s="2477"/>
      <c r="Y14" s="1815"/>
      <c r="Z14" s="1815"/>
      <c r="AA14" s="1815"/>
      <c r="AB14" s="1815"/>
      <c r="AC14" s="1815"/>
      <c r="AD14" s="1815"/>
      <c r="AE14" s="1815"/>
      <c r="AF14" s="1815"/>
      <c r="AG14" s="1815"/>
      <c r="AH14" s="1815"/>
      <c r="AI14" s="1815"/>
      <c r="AJ14" s="1815"/>
      <c r="AK14" s="1815"/>
      <c r="AL14" s="1815"/>
      <c r="AM14" s="1817">
        <v>15</v>
      </c>
    </row>
    <row customHeight="1" ht="15">
      <c r="A15" s="1634"/>
      <c r="B15" s="1634"/>
      <c r="C15" s="1387"/>
      <c r="D15" s="3032"/>
      <c r="E15" s="3032"/>
      <c r="F15" s="3032"/>
      <c r="G15" s="3772" t="s">
        <v>103</v>
      </c>
      <c r="H15" s="3314" t="s">
        <v>102</v>
      </c>
      <c r="I15" s="3773" t="str">
        <f>IF(U15="","",INDEX(TERRITORY_MR_LIST,MATCH(U15,TERRITORY_LIST_ID,0)))</f>
        <v>Территория 2</v>
      </c>
      <c r="J15" s="3318" t="s">
        <v>19</v>
      </c>
      <c r="K15" s="2043"/>
      <c r="L15" s="2993" t="s">
        <v>99</v>
      </c>
      <c r="M15" s="1814"/>
      <c r="N15" s="1815"/>
      <c r="O15" s="1815" t="s">
        <v>132</v>
      </c>
      <c r="P15" s="1815" t="str">
        <f>$E$13</f>
        <v>Производство тепловой энергии. Комбинированная выработка с уст. мощностью производства электрической энергии 25 МВт и более</v>
      </c>
      <c r="Q15" s="1815" t="str">
        <f>IF($F$15="нет","без дифференциации",$I$15)</f>
        <v>Территория 2</v>
      </c>
      <c r="R15" s="1815" t="str">
        <f>IF($J$15="нет","без дифференциации",$M$15)</f>
        <v>без дифференциации</v>
      </c>
      <c r="S15" s="1815"/>
      <c r="T15" s="1815"/>
      <c r="U15" s="1816" t="s">
        <v>112</v>
      </c>
      <c r="V15" s="1815"/>
      <c r="W15" s="1815"/>
      <c r="X15" s="1806"/>
      <c r="Y15" s="1806" t="s">
        <v>130</v>
      </c>
      <c r="Z15" s="1806">
        <v>1705000</v>
      </c>
      <c r="AA15" s="1806"/>
      <c r="AB15" s="1806"/>
      <c r="AC15" s="1806"/>
      <c r="AD15" s="1806"/>
      <c r="AE15" s="1806"/>
      <c r="AF15" s="1806"/>
      <c r="AG15" s="1806"/>
      <c r="AH15" s="1806"/>
      <c r="AI15" s="1806"/>
      <c r="AJ15" s="1806"/>
      <c r="AK15" s="1806"/>
      <c r="AL15" s="1806"/>
      <c r="AM15" s="12421"/>
    </row>
    <row customHeight="1" ht="15">
      <c r="A16" s="1634"/>
      <c r="B16" s="1634"/>
      <c r="C16" s="1387"/>
      <c r="D16" s="3032"/>
      <c r="E16" s="3032"/>
      <c r="F16" s="3032"/>
      <c r="G16" s="3772"/>
      <c r="H16" s="3314"/>
      <c r="I16" s="3773"/>
      <c r="J16" s="3318"/>
      <c r="K16" s="1632"/>
      <c r="L16" s="1388"/>
      <c r="M16" s="1818" t="s">
        <v>131</v>
      </c>
      <c r="N16" s="1815"/>
      <c r="O16" s="1815"/>
      <c r="P16" s="1815"/>
      <c r="Q16" s="1815"/>
      <c r="R16" s="1815"/>
      <c r="S16" s="1815"/>
      <c r="T16" s="1815"/>
      <c r="U16" s="1816"/>
      <c r="V16" s="1815"/>
      <c r="W16" s="1815"/>
      <c r="X16" s="1806"/>
      <c r="Y16" s="1806"/>
      <c r="Z16" s="1806"/>
      <c r="AA16" s="1806"/>
      <c r="AB16" s="1806"/>
      <c r="AC16" s="1806"/>
      <c r="AD16" s="1806"/>
      <c r="AE16" s="1806"/>
      <c r="AF16" s="1806"/>
      <c r="AG16" s="1806"/>
      <c r="AH16" s="1806"/>
      <c r="AI16" s="1806"/>
      <c r="AJ16" s="1806"/>
      <c r="AK16" s="1806"/>
      <c r="AL16" s="1806"/>
      <c r="AM16" s="12421"/>
    </row>
    <row s="67333" customFormat="1" customHeight="1" ht="15.75">
      <c r="A17" s="1504"/>
      <c r="B17" s="1504"/>
      <c r="C17" s="1387"/>
      <c r="D17" s="3319"/>
      <c r="E17" s="3322"/>
      <c r="F17" s="3318"/>
      <c r="G17" s="2271"/>
      <c r="H17" s="2272"/>
      <c r="I17" s="1791" t="s">
        <v>133</v>
      </c>
      <c r="J17" s="1388"/>
      <c r="K17" s="1388"/>
      <c r="L17" s="1388"/>
      <c r="M17" s="1819"/>
      <c r="N17" s="2023"/>
      <c r="O17" s="2627"/>
      <c r="P17" s="2624"/>
      <c r="Q17" s="2624"/>
      <c r="R17" s="2624"/>
      <c r="S17" s="2627"/>
      <c r="T17" s="2627"/>
      <c r="U17" s="2477"/>
      <c r="V17" s="2477"/>
      <c r="W17" s="2477"/>
      <c r="X17" s="2477"/>
      <c r="Y17" s="1815"/>
      <c r="Z17" s="1815"/>
      <c r="AA17" s="1815"/>
      <c r="AB17" s="1815"/>
      <c r="AC17" s="1815"/>
      <c r="AD17" s="1815"/>
      <c r="AE17" s="1815"/>
      <c r="AF17" s="1815"/>
      <c r="AG17" s="1815"/>
      <c r="AH17" s="1815"/>
      <c r="AI17" s="1815"/>
      <c r="AJ17" s="1815"/>
      <c r="AK17" s="1815"/>
      <c r="AL17" s="1815"/>
      <c r="AM17" s="1817">
        <v>15</v>
      </c>
    </row>
    <row customHeight="1" ht="15">
      <c r="A18" s="1634"/>
      <c r="B18" s="1634"/>
      <c r="C18" s="2939" t="s">
        <v>103</v>
      </c>
      <c r="D18" s="3319" t="s">
        <v>102</v>
      </c>
      <c r="E18" s="3320" t="str">
        <f>INDEX(VD_NAME_LIST,MATCH("4190064",VD_ID_LIST,0))</f>
        <v>Производство тепловой энергии. Некомбинированная выработка</v>
      </c>
      <c r="F18" s="3318" t="s">
        <v>62</v>
      </c>
      <c r="G18" s="3768"/>
      <c r="H18" s="3338">
        <v>1</v>
      </c>
      <c r="I18" s="12429" t="str">
        <f>IF($U$18="","",INDEX(TERRITORY_MR_LIST,MATCH($U$18,TERRITORY_LIST_ID,0)))</f>
        <v>Территория 1</v>
      </c>
      <c r="J18" s="3318" t="s">
        <v>19</v>
      </c>
      <c r="K18" s="2043"/>
      <c r="L18" s="2993" t="s">
        <v>99</v>
      </c>
      <c r="M18" s="1814"/>
      <c r="N18" s="1815"/>
      <c r="O18" s="1815" t="s">
        <v>134</v>
      </c>
      <c r="P18" s="1815" t="str">
        <f>$E$18</f>
        <v>Производство тепловой энергии. Некомбинированная выработка</v>
      </c>
      <c r="Q18" s="1815" t="str">
        <f>IF($F$18="нет","без дифференциации",$I$18)</f>
        <v>Территория 1</v>
      </c>
      <c r="R18" s="1815" t="str">
        <f>IF($J$18="нет","без дифференциации",$M$18)</f>
        <v>без дифференциации</v>
      </c>
      <c r="S18" s="1815"/>
      <c r="T18" s="1815"/>
      <c r="U18" s="1816" t="s">
        <v>98</v>
      </c>
      <c r="V18" s="1815" t="s">
        <v>135</v>
      </c>
      <c r="W18" s="1815"/>
      <c r="X18" s="1806"/>
      <c r="Y18" s="1806" t="s">
        <v>130</v>
      </c>
      <c r="Z18" s="1806">
        <v>1705000</v>
      </c>
      <c r="AA18" s="1806"/>
      <c r="AB18" s="1806"/>
      <c r="AC18" s="1806"/>
      <c r="AD18" s="1806"/>
      <c r="AE18" s="1806"/>
      <c r="AF18" s="1806"/>
      <c r="AG18" s="1806"/>
      <c r="AH18" s="1806"/>
      <c r="AI18" s="1806"/>
      <c r="AJ18" s="1806"/>
      <c r="AK18" s="1806"/>
      <c r="AL18" s="1806"/>
      <c r="AM18" s="12421"/>
    </row>
    <row customHeight="1" ht="15">
      <c r="A19" s="1634"/>
      <c r="B19" s="1634"/>
      <c r="C19" s="1387"/>
      <c r="D19" s="3319"/>
      <c r="E19" s="3321"/>
      <c r="F19" s="3318"/>
      <c r="G19" s="3769"/>
      <c r="H19" s="3338"/>
      <c r="I19" s="12431" t="str">
        <f>IF($U$18="","",INDEX(TERRITORY_MR_LIST,MATCH($U$18,TERRITORY_LIST_ID,0)))</f>
        <v>Территория 1</v>
      </c>
      <c r="J19" s="3318"/>
      <c r="K19" s="1632"/>
      <c r="L19" s="1388"/>
      <c r="M19" s="1818" t="s">
        <v>131</v>
      </c>
      <c r="N19" s="1815"/>
      <c r="O19" s="1815"/>
      <c r="P19" s="1815"/>
      <c r="Q19" s="1815"/>
      <c r="R19" s="1815"/>
      <c r="S19" s="1815"/>
      <c r="T19" s="1815"/>
      <c r="U19" s="1816"/>
      <c r="V19" s="1815"/>
      <c r="W19" s="1815"/>
      <c r="X19" s="1806"/>
      <c r="Y19" s="1806"/>
      <c r="Z19" s="1806"/>
      <c r="AA19" s="1806"/>
      <c r="AB19" s="1806"/>
      <c r="AC19" s="1806"/>
      <c r="AD19" s="1806"/>
      <c r="AE19" s="1806"/>
      <c r="AF19" s="1806"/>
      <c r="AG19" s="1806"/>
      <c r="AH19" s="1806"/>
      <c r="AI19" s="1806"/>
      <c r="AJ19" s="1806"/>
      <c r="AK19" s="1806"/>
      <c r="AL19" s="1806"/>
      <c r="AM19" s="12421"/>
    </row>
    <row customHeight="1" ht="15">
      <c r="A20" s="1634"/>
      <c r="B20" s="1634"/>
      <c r="C20" s="1387"/>
      <c r="D20" s="3319"/>
      <c r="E20" s="3322"/>
      <c r="F20" s="3318"/>
      <c r="G20" s="1632"/>
      <c r="H20" s="1388"/>
      <c r="I20" s="1791" t="s">
        <v>133</v>
      </c>
      <c r="J20" s="1388"/>
      <c r="K20" s="1388"/>
      <c r="L20" s="1388"/>
      <c r="M20" s="1819"/>
      <c r="N20" s="1815"/>
      <c r="O20" s="1815"/>
      <c r="P20" s="1815"/>
      <c r="Q20" s="1815"/>
      <c r="R20" s="1815"/>
      <c r="S20" s="1815"/>
      <c r="T20" s="1815"/>
      <c r="U20" s="1816"/>
      <c r="V20" s="1815"/>
      <c r="W20" s="1815"/>
      <c r="X20" s="1806"/>
      <c r="Y20" s="1806"/>
      <c r="Z20" s="1806"/>
      <c r="AA20" s="1806"/>
      <c r="AB20" s="1806"/>
      <c r="AC20" s="1806"/>
      <c r="AD20" s="1806"/>
      <c r="AE20" s="1806"/>
      <c r="AF20" s="1806"/>
      <c r="AG20" s="1806"/>
      <c r="AH20" s="1806"/>
      <c r="AI20" s="1806"/>
      <c r="AJ20" s="1806"/>
      <c r="AK20" s="1806"/>
      <c r="AL20" s="1806"/>
      <c r="AM20" s="12421"/>
    </row>
    <row customHeight="1" ht="15">
      <c r="A21" s="1634"/>
      <c r="B21" s="1634"/>
      <c r="C21" s="2939" t="s">
        <v>103</v>
      </c>
      <c r="D21" s="3319" t="s">
        <v>90</v>
      </c>
      <c r="E21" s="3320" t="str">
        <f>INDEX(VD_NAME_LIST,MATCH("4190068",VD_ID_LIST,0))&amp;"; "&amp;INDEX(VD_NAME_LIST,MATCH("4190070",VD_ID_LIST,0))</f>
        <v>Передача. Тепловая энергия; Сбыт. Тепловая энергия</v>
      </c>
      <c r="F21" s="3318" t="s">
        <v>62</v>
      </c>
      <c r="G21" s="3768"/>
      <c r="H21" s="3338">
        <v>1</v>
      </c>
      <c r="I21" s="12429" t="str">
        <f>IF($U$21="","",INDEX(TERRITORY_MR_LIST,MATCH($U$21,TERRITORY_LIST_ID,0)))</f>
        <v>Территория 1</v>
      </c>
      <c r="J21" s="3318" t="s">
        <v>19</v>
      </c>
      <c r="K21" s="2043"/>
      <c r="L21" s="2993" t="s">
        <v>99</v>
      </c>
      <c r="M21" s="1814"/>
      <c r="N21" s="1815"/>
      <c r="O21" s="1815" t="s">
        <v>136</v>
      </c>
      <c r="P21" s="1815" t="str">
        <f>$E$21</f>
        <v>Передача. Тепловая энергия; Сбыт. Тепловая энергия</v>
      </c>
      <c r="Q21" s="1815" t="str">
        <f>IF($F$21="нет","без дифференциации",$I$21)</f>
        <v>Территория 1</v>
      </c>
      <c r="R21" s="1815" t="str">
        <f>IF($J$21="нет","без дифференциации",$M$21)</f>
        <v>без дифференциации</v>
      </c>
      <c r="S21" s="1815"/>
      <c r="T21" s="1815"/>
      <c r="U21" s="1816" t="s">
        <v>98</v>
      </c>
      <c r="V21" s="1815" t="s">
        <v>137</v>
      </c>
      <c r="W21" s="1815"/>
      <c r="X21" s="1806"/>
      <c r="Y21" s="1806" t="s">
        <v>130</v>
      </c>
      <c r="Z21" s="1806">
        <v>1705000</v>
      </c>
      <c r="AA21" s="1806"/>
      <c r="AB21" s="1806"/>
      <c r="AC21" s="1806"/>
      <c r="AD21" s="1806"/>
      <c r="AE21" s="1806"/>
      <c r="AF21" s="1806"/>
      <c r="AG21" s="1806"/>
      <c r="AH21" s="1806"/>
      <c r="AI21" s="1806"/>
      <c r="AJ21" s="1806"/>
      <c r="AK21" s="1806"/>
      <c r="AL21" s="1806"/>
      <c r="AM21" s="12421"/>
    </row>
    <row customHeight="1" ht="15">
      <c r="A22" s="1634"/>
      <c r="B22" s="1634"/>
      <c r="C22" s="1387"/>
      <c r="D22" s="3319"/>
      <c r="E22" s="3321"/>
      <c r="F22" s="3318"/>
      <c r="G22" s="3769"/>
      <c r="H22" s="3338"/>
      <c r="I22" s="12431" t="str">
        <f>IF($U$21="","",INDEX(TERRITORY_MR_LIST,MATCH($U$21,TERRITORY_LIST_ID,0)))</f>
        <v>Территория 1</v>
      </c>
      <c r="J22" s="3318"/>
      <c r="K22" s="1632"/>
      <c r="L22" s="1388"/>
      <c r="M22" s="1818" t="s">
        <v>131</v>
      </c>
      <c r="N22" s="1815"/>
      <c r="O22" s="1815"/>
      <c r="P22" s="1815"/>
      <c r="Q22" s="1815"/>
      <c r="R22" s="1815"/>
      <c r="S22" s="1815"/>
      <c r="T22" s="1815"/>
      <c r="U22" s="1816"/>
      <c r="V22" s="1815"/>
      <c r="W22" s="1815"/>
      <c r="X22" s="1806"/>
      <c r="Y22" s="1806"/>
      <c r="Z22" s="1806"/>
      <c r="AA22" s="1806"/>
      <c r="AB22" s="1806"/>
      <c r="AC22" s="1806"/>
      <c r="AD22" s="1806"/>
      <c r="AE22" s="1806"/>
      <c r="AF22" s="1806"/>
      <c r="AG22" s="1806"/>
      <c r="AH22" s="1806"/>
      <c r="AI22" s="1806"/>
      <c r="AJ22" s="1806"/>
      <c r="AK22" s="1806"/>
      <c r="AL22" s="1806"/>
      <c r="AM22" s="12421"/>
    </row>
    <row customHeight="1" ht="15">
      <c r="A23" s="1634"/>
      <c r="B23" s="1634"/>
      <c r="C23" s="1387"/>
      <c r="D23" s="3032"/>
      <c r="E23" s="3032"/>
      <c r="F23" s="3032"/>
      <c r="G23" s="3772" t="s">
        <v>103</v>
      </c>
      <c r="H23" s="3314" t="s">
        <v>102</v>
      </c>
      <c r="I23" s="3773" t="str">
        <f>IF(U23="","",INDEX(TERRITORY_MR_LIST,MATCH(U23,TERRITORY_LIST_ID,0)))</f>
        <v>Территория 2</v>
      </c>
      <c r="J23" s="3318" t="s">
        <v>19</v>
      </c>
      <c r="K23" s="2043"/>
      <c r="L23" s="2993" t="s">
        <v>99</v>
      </c>
      <c r="M23" s="1814"/>
      <c r="N23" s="1815"/>
      <c r="O23" s="1815" t="s">
        <v>138</v>
      </c>
      <c r="P23" s="1815" t="str">
        <f>$E$21</f>
        <v>Передача. Тепловая энергия; Сбыт. Тепловая энергия</v>
      </c>
      <c r="Q23" s="1815" t="str">
        <f>IF($F$23="нет","без дифференциации",$I$23)</f>
        <v>Территория 2</v>
      </c>
      <c r="R23" s="1815" t="str">
        <f>IF($J$23="нет","без дифференциации",$M$23)</f>
        <v>без дифференциации</v>
      </c>
      <c r="S23" s="1815"/>
      <c r="T23" s="1815"/>
      <c r="U23" s="1816" t="s">
        <v>112</v>
      </c>
      <c r="V23" s="1815"/>
      <c r="W23" s="1815"/>
      <c r="X23" s="1806"/>
      <c r="Y23" s="1806" t="s">
        <v>130</v>
      </c>
      <c r="Z23" s="1806">
        <v>1705000</v>
      </c>
      <c r="AA23" s="1806"/>
      <c r="AB23" s="1806"/>
      <c r="AC23" s="1806"/>
      <c r="AD23" s="1806"/>
      <c r="AE23" s="1806"/>
      <c r="AF23" s="1806"/>
      <c r="AG23" s="1806"/>
      <c r="AH23" s="1806"/>
      <c r="AI23" s="1806"/>
      <c r="AJ23" s="1806"/>
      <c r="AK23" s="1806"/>
      <c r="AL23" s="1806"/>
      <c r="AM23" s="12421"/>
    </row>
    <row customHeight="1" ht="15">
      <c r="A24" s="1634"/>
      <c r="B24" s="1634"/>
      <c r="C24" s="1387"/>
      <c r="D24" s="3032"/>
      <c r="E24" s="3032"/>
      <c r="F24" s="3032"/>
      <c r="G24" s="3772"/>
      <c r="H24" s="3314"/>
      <c r="I24" s="3773"/>
      <c r="J24" s="3318"/>
      <c r="K24" s="1632"/>
      <c r="L24" s="1388"/>
      <c r="M24" s="1818" t="s">
        <v>131</v>
      </c>
      <c r="N24" s="1815"/>
      <c r="O24" s="1815"/>
      <c r="P24" s="1815"/>
      <c r="Q24" s="1815"/>
      <c r="R24" s="1815"/>
      <c r="S24" s="1815"/>
      <c r="T24" s="1815"/>
      <c r="U24" s="1816"/>
      <c r="V24" s="1815"/>
      <c r="W24" s="1815"/>
      <c r="X24" s="1806"/>
      <c r="Y24" s="1806"/>
      <c r="Z24" s="1806"/>
      <c r="AA24" s="1806"/>
      <c r="AB24" s="1806"/>
      <c r="AC24" s="1806"/>
      <c r="AD24" s="1806"/>
      <c r="AE24" s="1806"/>
      <c r="AF24" s="1806"/>
      <c r="AG24" s="1806"/>
      <c r="AH24" s="1806"/>
      <c r="AI24" s="1806"/>
      <c r="AJ24" s="1806"/>
      <c r="AK24" s="1806"/>
      <c r="AL24" s="1806"/>
      <c r="AM24" s="12421"/>
    </row>
    <row customHeight="1" ht="15">
      <c r="A25" s="1634"/>
      <c r="B25" s="1634"/>
      <c r="C25" s="1387"/>
      <c r="D25" s="3319"/>
      <c r="E25" s="3322"/>
      <c r="F25" s="3318"/>
      <c r="G25" s="1632"/>
      <c r="H25" s="1388"/>
      <c r="I25" s="1791" t="s">
        <v>133</v>
      </c>
      <c r="J25" s="1388"/>
      <c r="K25" s="1388"/>
      <c r="L25" s="1388"/>
      <c r="M25" s="1819"/>
      <c r="N25" s="1815"/>
      <c r="O25" s="1815"/>
      <c r="P25" s="1815"/>
      <c r="Q25" s="1815"/>
      <c r="R25" s="1815"/>
      <c r="S25" s="1815"/>
      <c r="T25" s="1815"/>
      <c r="U25" s="1816"/>
      <c r="V25" s="1815"/>
      <c r="W25" s="1815"/>
      <c r="X25" s="1806"/>
      <c r="Y25" s="1806"/>
      <c r="Z25" s="1806"/>
      <c r="AA25" s="1806"/>
      <c r="AB25" s="1806"/>
      <c r="AC25" s="1806"/>
      <c r="AD25" s="1806"/>
      <c r="AE25" s="1806"/>
      <c r="AF25" s="1806"/>
      <c r="AG25" s="1806"/>
      <c r="AH25" s="1806"/>
      <c r="AI25" s="1806"/>
      <c r="AJ25" s="1806"/>
      <c r="AK25" s="1806"/>
      <c r="AL25" s="1806"/>
      <c r="AM25" s="12421"/>
    </row>
    <row customHeight="1" ht="15">
      <c r="A26" s="1634"/>
      <c r="B26" s="1634"/>
      <c r="C26" s="2939" t="s">
        <v>103</v>
      </c>
      <c r="D26" s="3319" t="s">
        <v>91</v>
      </c>
      <c r="E26" s="3320" t="str">
        <f>INDEX(VD_NAME_LIST,MATCH("4190067",VD_ID_LIST,0))&amp;"; "&amp;INDEX(VD_NAME_LIST,MATCH("4190071",VD_ID_LIST,0))</f>
        <v>Производство. Теплоноситель; Сбыт. Теплоноситель</v>
      </c>
      <c r="F26" s="3318" t="s">
        <v>62</v>
      </c>
      <c r="G26" s="3768"/>
      <c r="H26" s="3338">
        <v>1</v>
      </c>
      <c r="I26" s="12429" t="str">
        <f>IF($U$26="","",INDEX(TERRITORY_MR_LIST,MATCH($U$26,TERRITORY_LIST_ID,0)))</f>
        <v>Территория 2</v>
      </c>
      <c r="J26" s="3318" t="s">
        <v>19</v>
      </c>
      <c r="K26" s="2043"/>
      <c r="L26" s="2993" t="s">
        <v>99</v>
      </c>
      <c r="M26" s="1814"/>
      <c r="N26" s="1815"/>
      <c r="O26" s="1815" t="s">
        <v>139</v>
      </c>
      <c r="P26" s="1815" t="str">
        <f>$E$26</f>
        <v>Производство. Теплоноситель; Сбыт. Теплоноситель</v>
      </c>
      <c r="Q26" s="1815" t="str">
        <f>IF($F$26="нет","без дифференциации",$I$26)</f>
        <v>Территория 2</v>
      </c>
      <c r="R26" s="1815" t="str">
        <f>IF($J$26="нет","без дифференциации",$M$26)</f>
        <v>без дифференциации</v>
      </c>
      <c r="S26" s="1815"/>
      <c r="T26" s="1815"/>
      <c r="U26" s="1816" t="s">
        <v>112</v>
      </c>
      <c r="V26" s="1815" t="s">
        <v>140</v>
      </c>
      <c r="W26" s="1815"/>
      <c r="X26" s="1806"/>
      <c r="Y26" s="1806" t="s">
        <v>130</v>
      </c>
      <c r="Z26" s="1806">
        <v>1705000</v>
      </c>
      <c r="AA26" s="1806"/>
      <c r="AB26" s="1806"/>
      <c r="AC26" s="1806"/>
      <c r="AD26" s="1806"/>
      <c r="AE26" s="1806"/>
      <c r="AF26" s="1806"/>
      <c r="AG26" s="1806"/>
      <c r="AH26" s="1806"/>
      <c r="AI26" s="1806"/>
      <c r="AJ26" s="1806"/>
      <c r="AK26" s="1806"/>
      <c r="AL26" s="1806"/>
      <c r="AM26" s="12421"/>
    </row>
    <row customHeight="1" ht="15">
      <c r="A27" s="1634"/>
      <c r="B27" s="1634"/>
      <c r="C27" s="1387"/>
      <c r="D27" s="3319"/>
      <c r="E27" s="3321"/>
      <c r="F27" s="3318"/>
      <c r="G27" s="3769"/>
      <c r="H27" s="3338"/>
      <c r="I27" s="12431" t="str">
        <f>IF($U$26="","",INDEX(TERRITORY_MR_LIST,MATCH($U$26,TERRITORY_LIST_ID,0)))</f>
        <v>Территория 2</v>
      </c>
      <c r="J27" s="3318"/>
      <c r="K27" s="1632"/>
      <c r="L27" s="1388"/>
      <c r="M27" s="1818" t="s">
        <v>131</v>
      </c>
      <c r="N27" s="1815"/>
      <c r="O27" s="1815"/>
      <c r="P27" s="1815"/>
      <c r="Q27" s="1815"/>
      <c r="R27" s="1815"/>
      <c r="S27" s="1815"/>
      <c r="T27" s="1815"/>
      <c r="U27" s="1816"/>
      <c r="V27" s="1815"/>
      <c r="W27" s="1815"/>
      <c r="X27" s="1806"/>
      <c r="Y27" s="1806"/>
      <c r="Z27" s="1806"/>
      <c r="AA27" s="1806"/>
      <c r="AB27" s="1806"/>
      <c r="AC27" s="1806"/>
      <c r="AD27" s="1806"/>
      <c r="AE27" s="1806"/>
      <c r="AF27" s="1806"/>
      <c r="AG27" s="1806"/>
      <c r="AH27" s="1806"/>
      <c r="AI27" s="1806"/>
      <c r="AJ27" s="1806"/>
      <c r="AK27" s="1806"/>
      <c r="AL27" s="1806"/>
      <c r="AM27" s="12421"/>
    </row>
    <row customHeight="1" ht="15">
      <c r="A28" s="1634"/>
      <c r="B28" s="1634"/>
      <c r="C28" s="1387"/>
      <c r="D28" s="3319"/>
      <c r="E28" s="3322"/>
      <c r="F28" s="3318"/>
      <c r="G28" s="1632"/>
      <c r="H28" s="1388"/>
      <c r="I28" s="1791" t="s">
        <v>133</v>
      </c>
      <c r="J28" s="1388"/>
      <c r="K28" s="1388"/>
      <c r="L28" s="1388"/>
      <c r="M28" s="1819"/>
      <c r="N28" s="1815"/>
      <c r="O28" s="1815"/>
      <c r="P28" s="1815"/>
      <c r="Q28" s="1815"/>
      <c r="R28" s="1815"/>
      <c r="S28" s="1815"/>
      <c r="T28" s="1815"/>
      <c r="U28" s="1816"/>
      <c r="V28" s="1815"/>
      <c r="W28" s="1815"/>
      <c r="X28" s="1806"/>
      <c r="Y28" s="1806"/>
      <c r="Z28" s="1806"/>
      <c r="AA28" s="1806"/>
      <c r="AB28" s="1806"/>
      <c r="AC28" s="1806"/>
      <c r="AD28" s="1806"/>
      <c r="AE28" s="1806"/>
      <c r="AF28" s="1806"/>
      <c r="AG28" s="1806"/>
      <c r="AH28" s="1806"/>
      <c r="AI28" s="1806"/>
      <c r="AJ28" s="1806"/>
      <c r="AK28" s="1806"/>
      <c r="AL28" s="1806"/>
      <c r="AM28" s="12421"/>
    </row>
    <row customHeight="1" ht="15.75">
      <c r="A29" s="1820"/>
      <c r="B29" s="1346"/>
      <c r="C29" s="2017"/>
      <c r="D29" s="1632"/>
      <c r="E29" s="1782" t="s">
        <v>141</v>
      </c>
      <c r="F29" s="1388"/>
      <c r="G29" s="1388"/>
      <c r="H29" s="1388"/>
      <c r="I29" s="1388"/>
      <c r="J29" s="1388"/>
      <c r="K29" s="1388" t="s">
        <v>22</v>
      </c>
      <c r="L29" s="1388"/>
      <c r="M29" s="1819"/>
      <c r="N29" s="2838"/>
      <c r="AM29" s="1794">
        <v>15</v>
      </c>
    </row>
    <row customHeight="1" ht="11.25" hidden="1">
      <c r="A30" s="1794" t="s">
        <v>82</v>
      </c>
      <c r="B30" s="1794">
        <v>0</v>
      </c>
      <c r="C30" s="1794">
        <v>3</v>
      </c>
      <c r="D30" s="1794"/>
      <c r="E30" s="1794">
        <v>44</v>
      </c>
      <c r="F30" s="1794">
        <v>6</v>
      </c>
      <c r="G30" s="1794">
        <v>4</v>
      </c>
      <c r="H30" s="1794">
        <v>5</v>
      </c>
      <c r="I30" s="1794">
        <v>52</v>
      </c>
      <c r="J30" s="1794">
        <v>6</v>
      </c>
      <c r="K30" s="1794">
        <v>3</v>
      </c>
      <c r="L30" s="1794">
        <v>6</v>
      </c>
      <c r="M30" s="1794">
        <v>56</v>
      </c>
      <c r="N30" s="1795">
        <v>8</v>
      </c>
      <c r="O30" s="2624">
        <v>0</v>
      </c>
      <c r="P30" s="2624">
        <v>0</v>
      </c>
      <c r="Q30" s="2624">
        <v>0</v>
      </c>
      <c r="R30" s="2624">
        <v>0</v>
      </c>
      <c r="S30" s="2624">
        <v>0</v>
      </c>
      <c r="T30" s="2624">
        <v>0</v>
      </c>
      <c r="U30" s="2474">
        <v>0</v>
      </c>
      <c r="V30" s="2474">
        <v>0</v>
      </c>
      <c r="W30" s="2474">
        <v>0</v>
      </c>
      <c r="X30" s="2474">
        <v>0</v>
      </c>
      <c r="Y30" s="1795">
        <v>0</v>
      </c>
      <c r="Z30" s="1795">
        <v>0</v>
      </c>
      <c r="AA30" s="1795">
        <v>0</v>
      </c>
      <c r="AB30" s="1795">
        <v>0</v>
      </c>
      <c r="AC30" s="1795">
        <v>0</v>
      </c>
      <c r="AD30" s="1795">
        <v>0</v>
      </c>
      <c r="AE30" s="1795">
        <v>0</v>
      </c>
      <c r="AF30" s="1795">
        <v>0</v>
      </c>
      <c r="AG30" s="1795">
        <v>0</v>
      </c>
      <c r="AH30" s="1795">
        <v>0</v>
      </c>
      <c r="AI30" s="1795">
        <v>0</v>
      </c>
      <c r="AJ30" s="1795">
        <v>0</v>
      </c>
      <c r="AK30" s="1795">
        <v>0</v>
      </c>
      <c r="AL30" s="1795">
        <v>8</v>
      </c>
      <c r="AM30" s="1794">
        <v>11</v>
      </c>
    </row>
  </sheetData>
  <sheetProtection formatColumns="0" formatRows="0" autoFilter="0" sort="0" insertRows="0" insertColumns="1" deleteRows="0" deleteColumns="0"/>
  <mergeCells count="5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7"/>
    <mergeCell ref="E13:E17"/>
    <mergeCell ref="F13:F17"/>
    <mergeCell ref="G13:G14"/>
    <mergeCell ref="H13:H14"/>
    <mergeCell ref="G15:G16"/>
    <mergeCell ref="H15:H16"/>
    <mergeCell ref="I15:I16"/>
    <mergeCell ref="J15:J16"/>
    <mergeCell ref="D18:D20"/>
    <mergeCell ref="E18:E20"/>
    <mergeCell ref="F18:F20"/>
    <mergeCell ref="G18:G19"/>
    <mergeCell ref="H18:H19"/>
    <mergeCell ref="I18:I19"/>
    <mergeCell ref="J18:J19"/>
    <mergeCell ref="C18:C20"/>
    <mergeCell ref="D21:D25"/>
    <mergeCell ref="E21:E25"/>
    <mergeCell ref="F21:F25"/>
    <mergeCell ref="G21:G22"/>
    <mergeCell ref="H21:H22"/>
    <mergeCell ref="I21:I22"/>
    <mergeCell ref="J21:J22"/>
    <mergeCell ref="C21:C25"/>
    <mergeCell ref="G23:G24"/>
    <mergeCell ref="H23:H24"/>
    <mergeCell ref="I23:I24"/>
    <mergeCell ref="J23:J24"/>
    <mergeCell ref="D26:D28"/>
    <mergeCell ref="E26:E28"/>
    <mergeCell ref="F26:F28"/>
    <mergeCell ref="G26:G27"/>
    <mergeCell ref="H26:H27"/>
    <mergeCell ref="I26:I27"/>
    <mergeCell ref="J26:J27"/>
    <mergeCell ref="C26:C2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26">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9C74B6-EC1A-BAB1-1513-BF0A6A1FC9FE}" mc:Ignorable="x14ac xr xr2 xr3">
  <sheetPr>
    <tabColor rgb="FFE26B0A"/>
  </sheetPr>
  <dimension ref="A1:AF40"/>
  <sheetViews>
    <sheetView showGridLines="0" zoomScale="90" workbookViewId="0">
      <pane xSplit="8" ySplit="31" topLeftCell="I32" activePane="bottomRight" state="frozen"/>
      <selection pane="bottomLeft" activeCell="A32" sqref="A32"/>
      <selection pane="topRight" activeCell="I1" sqref="I1"/>
      <selection pane="bottomRight" activeCell="S25" sqref="S25"/>
    </sheetView>
  </sheetViews>
  <sheetFormatPr defaultColWidth="10.57421875" customHeight="1" defaultRowHeight="15"/>
  <cols>
    <col min="1" max="1" style="67156" width="9.140625" hidden="1" customWidth="1"/>
    <col min="2" max="2" style="66903" width="9.140625" hidden="1" customWidth="1"/>
    <col min="3" max="3" style="66807" width="4.00390625" customWidth="1"/>
    <col min="4" max="4" style="66903" width="6.00390625" customWidth="1"/>
    <col min="5" max="5" style="66903" width="36.00390625" customWidth="1"/>
    <col min="6" max="6" style="66903" width="9.00390625" customWidth="1"/>
    <col min="7" max="7" style="66903" width="25.7109375" hidden="1" customWidth="1"/>
    <col min="8" max="8" style="66903" width="33.7109375" hidden="1" customWidth="1"/>
    <col min="9" max="9" style="66903" width="25.7109375" customWidth="1"/>
    <col min="10" max="10" style="66903" width="33.00390625" customWidth="1"/>
    <col min="11" max="11" style="66903" width="25.7109375" customWidth="1"/>
    <col min="12" max="12" style="66903" width="33.7109375" customWidth="1"/>
    <col min="13" max="13" style="66903" width="25.7109375" customWidth="1"/>
    <col min="14" max="14" style="66903" width="33.7109375" customWidth="1"/>
    <col min="15" max="15" style="66903" width="25.7109375" customWidth="1"/>
    <col min="16" max="16" style="66903" width="33.7109375" customWidth="1"/>
    <col min="17" max="17" style="66903" width="25.7109375" customWidth="1"/>
    <col min="18" max="18" style="66903" width="33.7109375" customWidth="1"/>
    <col min="19" max="19" style="66903" width="25.7109375" customWidth="1"/>
    <col min="20" max="20" style="66903" width="33.7109375" customWidth="1"/>
    <col min="21" max="21" style="66852" width="93.00390625" customWidth="1"/>
    <col min="22" max="30" style="66903" width="10.00390625" customWidth="1"/>
    <col min="31" max="31" style="66940" width="10.00390625" customWidth="1"/>
    <col min="32" max="32" style="66903" width="10.57421875" hidden="1"/>
  </cols>
  <sheetData>
    <row s="66852" customFormat="1" customHeight="1" ht="22.5" hidden="1">
      <c r="C1" s="1883"/>
      <c r="G1" s="1628">
        <v>4</v>
      </c>
      <c r="I1" s="1628">
        <v>4</v>
      </c>
      <c r="K1" s="13336">
        <v>4</v>
      </c>
      <c r="L1" s="13336"/>
      <c r="M1" s="13336">
        <v>4</v>
      </c>
      <c r="N1" s="13336"/>
      <c r="O1" s="13336">
        <v>4</v>
      </c>
      <c r="P1" s="13336"/>
      <c r="Q1" s="13336">
        <v>4</v>
      </c>
      <c r="R1" s="13336"/>
      <c r="S1" s="13336">
        <v>4</v>
      </c>
      <c r="T1" s="13336"/>
      <c r="AE1" s="1631"/>
      <c r="AF1" s="1628" t="s">
        <v>14</v>
      </c>
    </row>
    <row s="66852" customFormat="1" customHeight="1" ht="15" hidden="1">
      <c r="C2" s="1883"/>
      <c r="K2" s="13336"/>
      <c r="L2" s="13336"/>
      <c r="M2" s="13336"/>
      <c r="N2" s="13336"/>
      <c r="O2" s="13336"/>
      <c r="P2" s="13336"/>
      <c r="Q2" s="13336"/>
      <c r="R2" s="13336"/>
      <c r="S2" s="13336"/>
      <c r="T2" s="13336"/>
      <c r="AE2" s="1631"/>
      <c r="AF2" s="1628">
        <v>0</v>
      </c>
    </row>
    <row customHeight="1" ht="22.5" hidden="1">
      <c r="A3" s="1716"/>
      <c r="B3" s="3608"/>
      <c r="C3" s="3609" t="s">
        <v>103</v>
      </c>
      <c r="D3" s="1900" t="str">
        <f>B3&amp;".1"</f>
        <v>.1</v>
      </c>
      <c r="E3" s="1901" t="s">
        <v>1106</v>
      </c>
      <c r="F3" s="1902" t="s">
        <v>324</v>
      </c>
      <c r="G3" s="1897"/>
      <c r="H3" s="1612"/>
      <c r="I3" s="1897"/>
      <c r="J3" s="1612"/>
      <c r="K3" s="13750"/>
      <c r="L3" s="13490"/>
      <c r="M3" s="13750"/>
      <c r="N3" s="13490"/>
      <c r="O3" s="13750"/>
      <c r="P3" s="13490"/>
      <c r="Q3" s="13750"/>
      <c r="R3" s="13490"/>
      <c r="S3" s="13750"/>
      <c r="T3" s="13490"/>
      <c r="U3" s="1500" t="s">
        <v>1107</v>
      </c>
      <c r="AF3" s="1716">
        <v>0</v>
      </c>
    </row>
    <row customHeight="1" ht="15" hidden="1">
      <c r="A4" s="1716"/>
      <c r="B4" s="3608"/>
      <c r="C4" s="3609"/>
      <c r="D4" s="1900" t="str">
        <f>B3&amp;".2"</f>
        <v>.2</v>
      </c>
      <c r="E4" s="1901" t="s">
        <v>1108</v>
      </c>
      <c r="F4" s="1902" t="s">
        <v>324</v>
      </c>
      <c r="G4" s="2949" t="s">
        <v>22</v>
      </c>
      <c r="H4" s="1612"/>
      <c r="I4" s="2949" t="s">
        <v>22</v>
      </c>
      <c r="J4" s="1612"/>
      <c r="K4" s="13803" t="s">
        <v>22</v>
      </c>
      <c r="L4" s="13490"/>
      <c r="M4" s="13803" t="s">
        <v>22</v>
      </c>
      <c r="N4" s="13490"/>
      <c r="O4" s="13803" t="s">
        <v>22</v>
      </c>
      <c r="P4" s="13490"/>
      <c r="Q4" s="13803" t="s">
        <v>22</v>
      </c>
      <c r="R4" s="13490"/>
      <c r="S4" s="13803" t="s">
        <v>22</v>
      </c>
      <c r="T4" s="13490"/>
      <c r="U4" s="1500" t="s">
        <v>1109</v>
      </c>
      <c r="AF4" s="1716">
        <v>0</v>
      </c>
    </row>
    <row s="66852" customFormat="1" customHeight="1" ht="15" hidden="1">
      <c r="C5" s="1883"/>
      <c r="K5" s="13336"/>
      <c r="L5" s="13336"/>
      <c r="M5" s="13336"/>
      <c r="N5" s="13336"/>
      <c r="O5" s="13336"/>
      <c r="P5" s="13336"/>
      <c r="Q5" s="13336"/>
      <c r="R5" s="13336"/>
      <c r="S5" s="13336"/>
      <c r="T5" s="13336"/>
      <c r="AE5" s="1631"/>
      <c r="AF5" s="1628">
        <v>0</v>
      </c>
    </row>
    <row customHeight="1" ht="22.5" hidden="1">
      <c r="A6" s="1716"/>
      <c r="B6" s="3608"/>
      <c r="C6" s="3609" t="s">
        <v>103</v>
      </c>
      <c r="D6" s="1900" t="str">
        <f>B6&amp;".1"</f>
        <v>.1</v>
      </c>
      <c r="E6" s="1901" t="s">
        <v>1110</v>
      </c>
      <c r="F6" s="1902" t="s">
        <v>324</v>
      </c>
      <c r="G6" s="1897"/>
      <c r="H6" s="1612"/>
      <c r="I6" s="1897"/>
      <c r="J6" s="1612"/>
      <c r="K6" s="13750"/>
      <c r="L6" s="13490"/>
      <c r="M6" s="13750"/>
      <c r="N6" s="13490"/>
      <c r="O6" s="13750"/>
      <c r="P6" s="13490"/>
      <c r="Q6" s="13750"/>
      <c r="R6" s="13490"/>
      <c r="S6" s="13750"/>
      <c r="T6" s="13490"/>
      <c r="U6" s="1500" t="s">
        <v>1111</v>
      </c>
      <c r="AF6" s="1716">
        <v>0</v>
      </c>
    </row>
    <row customHeight="1" ht="15" hidden="1">
      <c r="A7" s="1716"/>
      <c r="B7" s="3608"/>
      <c r="C7" s="3609"/>
      <c r="D7" s="1900" t="str">
        <f>B6&amp;".2"</f>
        <v>.2</v>
      </c>
      <c r="E7" s="1901" t="s">
        <v>1108</v>
      </c>
      <c r="F7" s="1902" t="s">
        <v>324</v>
      </c>
      <c r="G7" s="2949" t="s">
        <v>22</v>
      </c>
      <c r="H7" s="1612"/>
      <c r="I7" s="2949" t="s">
        <v>22</v>
      </c>
      <c r="J7" s="1612"/>
      <c r="K7" s="13803" t="s">
        <v>22</v>
      </c>
      <c r="L7" s="13490"/>
      <c r="M7" s="13803" t="s">
        <v>22</v>
      </c>
      <c r="N7" s="13490"/>
      <c r="O7" s="13803" t="s">
        <v>22</v>
      </c>
      <c r="P7" s="13490"/>
      <c r="Q7" s="13803" t="s">
        <v>22</v>
      </c>
      <c r="R7" s="13490"/>
      <c r="S7" s="13803" t="s">
        <v>22</v>
      </c>
      <c r="T7" s="13490"/>
      <c r="U7" s="1500" t="s">
        <v>1109</v>
      </c>
      <c r="AF7" s="1716">
        <v>0</v>
      </c>
    </row>
    <row s="66852" customFormat="1" customHeight="1" ht="15" hidden="1">
      <c r="C8" s="1883"/>
      <c r="K8" s="13336"/>
      <c r="L8" s="13336"/>
      <c r="M8" s="13336"/>
      <c r="N8" s="13336"/>
      <c r="O8" s="13336"/>
      <c r="P8" s="13336"/>
      <c r="Q8" s="13336"/>
      <c r="R8" s="13336"/>
      <c r="S8" s="13336"/>
      <c r="T8" s="13336"/>
      <c r="AE8" s="1631"/>
      <c r="AF8" s="1628">
        <v>0</v>
      </c>
    </row>
    <row customHeight="1" ht="22.5" hidden="1">
      <c r="A9" s="1716"/>
      <c r="B9" s="3608"/>
      <c r="C9" s="3609" t="s">
        <v>103</v>
      </c>
      <c r="D9" s="1900" t="str">
        <f>B9&amp;".1"</f>
        <v>.1</v>
      </c>
      <c r="E9" s="1901" t="s">
        <v>1112</v>
      </c>
      <c r="F9" s="1902" t="s">
        <v>324</v>
      </c>
      <c r="G9" s="1908" t="s">
        <v>22</v>
      </c>
      <c r="H9" s="1612" t="s">
        <v>22</v>
      </c>
      <c r="I9" s="1908" t="s">
        <v>22</v>
      </c>
      <c r="J9" s="1612" t="s">
        <v>22</v>
      </c>
      <c r="K9" s="13805" t="s">
        <v>22</v>
      </c>
      <c r="L9" s="13490" t="s">
        <v>22</v>
      </c>
      <c r="M9" s="13805" t="s">
        <v>22</v>
      </c>
      <c r="N9" s="13490" t="s">
        <v>22</v>
      </c>
      <c r="O9" s="13805" t="s">
        <v>22</v>
      </c>
      <c r="P9" s="13490" t="s">
        <v>22</v>
      </c>
      <c r="Q9" s="13805" t="s">
        <v>22</v>
      </c>
      <c r="R9" s="13490" t="s">
        <v>22</v>
      </c>
      <c r="S9" s="13805" t="s">
        <v>22</v>
      </c>
      <c r="T9" s="13490" t="s">
        <v>22</v>
      </c>
      <c r="U9" s="1500"/>
      <c r="AF9" s="1716">
        <v>0</v>
      </c>
    </row>
    <row customHeight="1" ht="15" hidden="1">
      <c r="A10" s="1716"/>
      <c r="B10" s="3608"/>
      <c r="C10" s="3609"/>
      <c r="D10" s="1900" t="str">
        <f>B9&amp;".2"</f>
        <v>.2</v>
      </c>
      <c r="E10" s="1901" t="s">
        <v>1113</v>
      </c>
      <c r="F10" s="1902" t="s">
        <v>324</v>
      </c>
      <c r="G10" s="2943" t="s">
        <v>22</v>
      </c>
      <c r="H10" s="1612" t="s">
        <v>22</v>
      </c>
      <c r="I10" s="2943" t="s">
        <v>22</v>
      </c>
      <c r="J10" s="1612" t="s">
        <v>22</v>
      </c>
      <c r="K10" s="13806" t="s">
        <v>22</v>
      </c>
      <c r="L10" s="13490" t="s">
        <v>22</v>
      </c>
      <c r="M10" s="13806" t="s">
        <v>22</v>
      </c>
      <c r="N10" s="13490" t="s">
        <v>22</v>
      </c>
      <c r="O10" s="13806" t="s">
        <v>22</v>
      </c>
      <c r="P10" s="13490" t="s">
        <v>22</v>
      </c>
      <c r="Q10" s="13806" t="s">
        <v>22</v>
      </c>
      <c r="R10" s="13490" t="s">
        <v>22</v>
      </c>
      <c r="S10" s="13806" t="s">
        <v>22</v>
      </c>
      <c r="T10" s="13490" t="s">
        <v>22</v>
      </c>
      <c r="U10" s="1500" t="s">
        <v>1114</v>
      </c>
      <c r="AF10" s="1716">
        <v>0</v>
      </c>
    </row>
    <row customHeight="1" ht="15" hidden="1">
      <c r="A11" s="1716"/>
      <c r="B11" s="3608"/>
      <c r="C11" s="3609"/>
      <c r="D11" s="1900" t="str">
        <f>B9&amp;".3"</f>
        <v>.3</v>
      </c>
      <c r="E11" s="1901" t="s">
        <v>1115</v>
      </c>
      <c r="F11" s="1902" t="s">
        <v>324</v>
      </c>
      <c r="G11" s="2943" t="s">
        <v>22</v>
      </c>
      <c r="H11" s="1612" t="s">
        <v>22</v>
      </c>
      <c r="I11" s="2943" t="s">
        <v>22</v>
      </c>
      <c r="J11" s="1612" t="s">
        <v>22</v>
      </c>
      <c r="K11" s="13806" t="s">
        <v>22</v>
      </c>
      <c r="L11" s="13490" t="s">
        <v>22</v>
      </c>
      <c r="M11" s="13806" t="s">
        <v>22</v>
      </c>
      <c r="N11" s="13490" t="s">
        <v>22</v>
      </c>
      <c r="O11" s="13806" t="s">
        <v>22</v>
      </c>
      <c r="P11" s="13490" t="s">
        <v>22</v>
      </c>
      <c r="Q11" s="13806" t="s">
        <v>22</v>
      </c>
      <c r="R11" s="13490" t="s">
        <v>22</v>
      </c>
      <c r="S11" s="13806" t="s">
        <v>22</v>
      </c>
      <c r="T11" s="13490" t="s">
        <v>22</v>
      </c>
      <c r="U11" s="1500" t="s">
        <v>1116</v>
      </c>
      <c r="AF11" s="1716">
        <v>0</v>
      </c>
    </row>
    <row s="66852" customFormat="1" customHeight="1" ht="15" hidden="1">
      <c r="C12" s="1883"/>
      <c r="K12" s="13336"/>
      <c r="L12" s="13336"/>
      <c r="M12" s="13336"/>
      <c r="N12" s="13336"/>
      <c r="O12" s="13336"/>
      <c r="P12" s="13336"/>
      <c r="Q12" s="13336"/>
      <c r="R12" s="13336"/>
      <c r="S12" s="13336"/>
      <c r="T12" s="13336"/>
      <c r="AE12" s="1631"/>
      <c r="AF12" s="1628">
        <v>0</v>
      </c>
    </row>
    <row customHeight="1" ht="33.75" hidden="1">
      <c r="A13" s="1716"/>
      <c r="B13" s="3608"/>
      <c r="C13" s="3609" t="s">
        <v>103</v>
      </c>
      <c r="D13" s="1900" t="str">
        <f>B13&amp;".1"</f>
        <v>.1</v>
      </c>
      <c r="E13" s="1901" t="s">
        <v>1117</v>
      </c>
      <c r="F13" s="1902" t="s">
        <v>324</v>
      </c>
      <c r="G13" s="1908" t="s">
        <v>22</v>
      </c>
      <c r="H13" s="1612" t="s">
        <v>22</v>
      </c>
      <c r="I13" s="1908" t="s">
        <v>22</v>
      </c>
      <c r="J13" s="1612" t="s">
        <v>22</v>
      </c>
      <c r="K13" s="13805" t="s">
        <v>22</v>
      </c>
      <c r="L13" s="13490" t="s">
        <v>22</v>
      </c>
      <c r="M13" s="13805" t="s">
        <v>22</v>
      </c>
      <c r="N13" s="13490" t="s">
        <v>22</v>
      </c>
      <c r="O13" s="13805" t="s">
        <v>22</v>
      </c>
      <c r="P13" s="13490" t="s">
        <v>22</v>
      </c>
      <c r="Q13" s="13805" t="s">
        <v>22</v>
      </c>
      <c r="R13" s="13490" t="s">
        <v>22</v>
      </c>
      <c r="S13" s="13805" t="s">
        <v>22</v>
      </c>
      <c r="T13" s="13490" t="s">
        <v>22</v>
      </c>
      <c r="U13" s="1500" t="s">
        <v>1118</v>
      </c>
      <c r="AF13" s="1716">
        <v>0</v>
      </c>
    </row>
    <row customHeight="1" ht="15" hidden="1">
      <c r="B14" s="3608"/>
      <c r="C14" s="3609"/>
      <c r="D14" s="1900" t="str">
        <f>B13&amp;".2"</f>
        <v>.2</v>
      </c>
      <c r="E14" s="1901" t="s">
        <v>1119</v>
      </c>
      <c r="F14" s="1902" t="s">
        <v>324</v>
      </c>
      <c r="G14" s="2943" t="s">
        <v>22</v>
      </c>
      <c r="H14" s="1612" t="s">
        <v>22</v>
      </c>
      <c r="I14" s="2943" t="s">
        <v>22</v>
      </c>
      <c r="J14" s="1612" t="s">
        <v>22</v>
      </c>
      <c r="K14" s="13806" t="s">
        <v>22</v>
      </c>
      <c r="L14" s="13490" t="s">
        <v>22</v>
      </c>
      <c r="M14" s="13806" t="s">
        <v>22</v>
      </c>
      <c r="N14" s="13490" t="s">
        <v>22</v>
      </c>
      <c r="O14" s="13806" t="s">
        <v>22</v>
      </c>
      <c r="P14" s="13490" t="s">
        <v>22</v>
      </c>
      <c r="Q14" s="13806" t="s">
        <v>22</v>
      </c>
      <c r="R14" s="13490" t="s">
        <v>22</v>
      </c>
      <c r="S14" s="13806" t="s">
        <v>22</v>
      </c>
      <c r="T14" s="13490" t="s">
        <v>22</v>
      </c>
      <c r="U14" s="1500" t="s">
        <v>1120</v>
      </c>
      <c r="AF14" s="1716">
        <v>0</v>
      </c>
    </row>
    <row s="66852" customFormat="1" customHeight="1" ht="15" hidden="1">
      <c r="C15" s="1883"/>
      <c r="K15" s="13336"/>
      <c r="L15" s="13336"/>
      <c r="M15" s="13336"/>
      <c r="N15" s="13336"/>
      <c r="O15" s="13336"/>
      <c r="P15" s="13336"/>
      <c r="Q15" s="13336"/>
      <c r="R15" s="13336"/>
      <c r="S15" s="13336"/>
      <c r="T15" s="13336"/>
      <c r="AE15" s="1631"/>
      <c r="AF15" s="1628">
        <v>0</v>
      </c>
    </row>
    <row s="66852" customFormat="1" customHeight="1" ht="15" hidden="1">
      <c r="C16" s="1883"/>
      <c r="K16" s="13336"/>
      <c r="L16" s="13336"/>
      <c r="M16" s="13336"/>
      <c r="N16" s="13336"/>
      <c r="O16" s="13336"/>
      <c r="P16" s="13336"/>
      <c r="Q16" s="13336"/>
      <c r="R16" s="13336"/>
      <c r="S16" s="13336"/>
      <c r="T16" s="13336"/>
      <c r="AE16" s="1631"/>
      <c r="AF16" s="1628">
        <v>0</v>
      </c>
    </row>
    <row s="66852" customFormat="1" customHeight="1" ht="15" hidden="1">
      <c r="C17" s="1883"/>
      <c r="K17" s="13336"/>
      <c r="L17" s="13336"/>
      <c r="M17" s="13336"/>
      <c r="N17" s="13336"/>
      <c r="O17" s="13336"/>
      <c r="P17" s="13336"/>
      <c r="Q17" s="13336"/>
      <c r="R17" s="13336"/>
      <c r="S17" s="13336"/>
      <c r="T17" s="13336"/>
      <c r="AE17" s="1631"/>
      <c r="AF17" s="1628">
        <v>0</v>
      </c>
    </row>
    <row s="66852" customFormat="1" customHeight="1" ht="15" hidden="1">
      <c r="C18" s="1883"/>
      <c r="K18" s="13336"/>
      <c r="L18" s="13336"/>
      <c r="M18" s="13336"/>
      <c r="N18" s="13336"/>
      <c r="O18" s="13336"/>
      <c r="P18" s="13336"/>
      <c r="Q18" s="13336"/>
      <c r="R18" s="13336"/>
      <c r="S18" s="13336"/>
      <c r="T18" s="13336"/>
      <c r="AE18" s="1631"/>
      <c r="AF18" s="1628">
        <v>0</v>
      </c>
    </row>
    <row s="66852" customFormat="1" customHeight="1" ht="15" hidden="1">
      <c r="C19" s="1883"/>
      <c r="K19" s="13336"/>
      <c r="L19" s="13336"/>
      <c r="M19" s="13336"/>
      <c r="N19" s="13336"/>
      <c r="O19" s="13336"/>
      <c r="P19" s="13336"/>
      <c r="Q19" s="13336"/>
      <c r="R19" s="13336"/>
      <c r="S19" s="13336"/>
      <c r="T19" s="13336"/>
      <c r="AE19" s="1631"/>
      <c r="AF19" s="1628">
        <v>0</v>
      </c>
    </row>
    <row s="66852" customFormat="1" customHeight="1" ht="15" hidden="1">
      <c r="C20" s="1883"/>
      <c r="K20" s="13336"/>
      <c r="L20" s="13336"/>
      <c r="M20" s="13336"/>
      <c r="N20" s="13336"/>
      <c r="O20" s="13336"/>
      <c r="P20" s="13336"/>
      <c r="Q20" s="13336"/>
      <c r="R20" s="13336"/>
      <c r="S20" s="13336"/>
      <c r="T20" s="13336"/>
      <c r="AE20" s="1631"/>
      <c r="AF20" s="1628">
        <v>0</v>
      </c>
    </row>
    <row customHeight="1" ht="15.75">
      <c r="C21" s="1387"/>
      <c r="D21" s="1720"/>
      <c r="E21" s="1720"/>
      <c r="F21" s="1720"/>
      <c r="G21" s="1720"/>
      <c r="H21" s="1720"/>
      <c r="I21" s="1720"/>
      <c r="J21" s="1720"/>
      <c r="K21" s="13315"/>
      <c r="L21" s="13315"/>
      <c r="M21" s="13315"/>
      <c r="N21" s="13315"/>
      <c r="O21" s="13315"/>
      <c r="P21" s="13315"/>
      <c r="Q21" s="13315"/>
      <c r="R21" s="13315"/>
      <c r="S21" s="13315"/>
      <c r="T21" s="13315"/>
      <c r="AF21" s="1716">
        <v>15</v>
      </c>
    </row>
    <row customHeight="1" ht="23.25">
      <c r="C22" s="1387"/>
      <c r="D22" s="34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3448"/>
      <c r="F22" s="3448"/>
      <c r="G22" s="3448"/>
      <c r="H22" s="3448"/>
      <c r="I22" s="3448"/>
      <c r="J22" s="1887"/>
      <c r="K22" s="13347"/>
      <c r="L22" s="13347"/>
      <c r="M22" s="13347"/>
      <c r="N22" s="13347"/>
      <c r="O22" s="13347"/>
      <c r="P22" s="13347"/>
      <c r="Q22" s="13347"/>
      <c r="R22" s="13347"/>
      <c r="S22" s="13347"/>
      <c r="T22" s="13347"/>
      <c r="U22" s="1748"/>
      <c r="AF22" s="1716">
        <v>22</v>
      </c>
    </row>
    <row customHeight="1" ht="15.75">
      <c r="C23" s="1387"/>
      <c r="D23" s="3387" t="str">
        <f>IF(org=0,"Не определено",org)</f>
        <v>ПАО "ТГК-2"</v>
      </c>
      <c r="E23" s="3387"/>
      <c r="F23" s="3387"/>
      <c r="G23" s="3387"/>
      <c r="H23" s="3387"/>
      <c r="I23" s="3387"/>
      <c r="J23" s="1887"/>
      <c r="K23" s="13349"/>
      <c r="L23" s="13349"/>
      <c r="M23" s="13349"/>
      <c r="N23" s="13349"/>
      <c r="O23" s="13349"/>
      <c r="P23" s="13349"/>
      <c r="Q23" s="13349"/>
      <c r="R23" s="13349"/>
      <c r="S23" s="13349"/>
      <c r="T23" s="13349"/>
      <c r="U23" s="1748"/>
      <c r="AF23" s="1716">
        <v>15</v>
      </c>
    </row>
    <row customHeight="1" ht="15.75">
      <c r="C24" s="1387"/>
      <c r="D24" s="1720"/>
      <c r="E24" s="1720"/>
      <c r="F24" s="1720"/>
      <c r="G24" s="1748">
        <v>22</v>
      </c>
      <c r="H24" s="1963"/>
      <c r="I24" s="1748">
        <v>22</v>
      </c>
      <c r="J24" s="1963"/>
      <c r="K24" s="13336" t="s">
        <v>22</v>
      </c>
      <c r="L24" s="13704"/>
      <c r="M24" s="13336" t="s">
        <v>22</v>
      </c>
      <c r="N24" s="13704"/>
      <c r="O24" s="13336" t="s">
        <v>22</v>
      </c>
      <c r="P24" s="13704"/>
      <c r="Q24" s="13336" t="s">
        <v>22</v>
      </c>
      <c r="R24" s="13704"/>
      <c r="S24" s="13336" t="s">
        <v>22</v>
      </c>
      <c r="T24" s="13704"/>
      <c r="AF24" s="1716">
        <v>15</v>
      </c>
    </row>
    <row s="66903" customFormat="1" customHeight="1" ht="1.05">
      <c r="A25" s="1970"/>
      <c r="C25" s="1387"/>
      <c r="D25" s="1720"/>
      <c r="E25" s="1720"/>
      <c r="F25" s="1720"/>
      <c r="G25" s="1748"/>
      <c r="H25" s="1963"/>
      <c r="I25" s="1748" t="s">
        <v>128</v>
      </c>
      <c r="J25" s="1963"/>
      <c r="K25" s="13336" t="s">
        <v>132</v>
      </c>
      <c r="L25" s="13704"/>
      <c r="M25" s="13336" t="s">
        <v>134</v>
      </c>
      <c r="N25" s="13704"/>
      <c r="O25" s="13336" t="s">
        <v>136</v>
      </c>
      <c r="P25" s="13704"/>
      <c r="Q25" s="13336" t="s">
        <v>138</v>
      </c>
      <c r="R25" s="13704"/>
      <c r="S25" s="13336" t="s">
        <v>139</v>
      </c>
      <c r="T25" s="13704"/>
      <c r="U25" s="1628"/>
      <c r="AE25" s="1886"/>
      <c r="AF25" s="1969">
        <v>1</v>
      </c>
    </row>
    <row customHeight="1" ht="15.75">
      <c r="C26" s="1387"/>
      <c r="D26" s="1922"/>
      <c r="E26" s="3578" t="s">
        <v>118</v>
      </c>
      <c r="F26" s="3579"/>
      <c r="G26" s="3606" t="str">
        <f>IF(G25="","",INDEX(DIFFERENTIATION_UNMERGE_VD,MATCH(G25,DIFFERENTIATION_ID_DIFF,0)))</f>
        <v/>
      </c>
      <c r="H26" s="3607"/>
      <c r="I26" s="3606"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3607"/>
      <c r="K26" s="13810" t="str">
        <f>IF(K25="","",INDEX(DIFFERENTIATION_UNMERGE_VD,MATCH(K25,DIFFERENTIATION_ID_DIFF,0)))</f>
        <v>Производство тепловой энергии. Комбинированная выработка с уст. мощностью производства электрической энергии 25 МВт и более</v>
      </c>
      <c r="L26" s="13811"/>
      <c r="M26" s="13810" t="str">
        <f>IF(M25="","",INDEX(DIFFERENTIATION_UNMERGE_VD,MATCH(M25,DIFFERENTIATION_ID_DIFF,0)))</f>
        <v>Производство тепловой энергии. Некомбинированная выработка</v>
      </c>
      <c r="N26" s="13811"/>
      <c r="O26" s="13810" t="str">
        <f>IF(O25="","",INDEX(DIFFERENTIATION_UNMERGE_VD,MATCH(O25,DIFFERENTIATION_ID_DIFF,0)))</f>
        <v>Передача. Тепловая энергия; Сбыт. Тепловая энергия</v>
      </c>
      <c r="P26" s="13811"/>
      <c r="Q26" s="13810" t="str">
        <f>IF(Q25="","",INDEX(DIFFERENTIATION_UNMERGE_VD,MATCH(Q25,DIFFERENTIATION_ID_DIFF,0)))</f>
        <v>Передача. Тепловая энергия; Сбыт. Тепловая энергия</v>
      </c>
      <c r="R26" s="13811"/>
      <c r="S26" s="13810" t="str">
        <f>IF(S25="","",INDEX(DIFFERENTIATION_UNMERGE_VD,MATCH(S25,DIFFERENTIATION_ID_DIFF,0)))</f>
        <v>Производство. Теплоноситель; Сбыт. Теплоноситель</v>
      </c>
      <c r="T26" s="13811"/>
      <c r="U26" s="3386" t="s">
        <v>319</v>
      </c>
      <c r="AF26" s="1716">
        <v>15</v>
      </c>
    </row>
    <row s="66903" customFormat="1" customHeight="1" ht="15.75">
      <c r="A27" s="1970"/>
      <c r="C27" s="1387"/>
      <c r="D27" s="1922"/>
      <c r="E27" s="3578" t="s">
        <v>582</v>
      </c>
      <c r="F27" s="3579"/>
      <c r="G27" s="3606" t="str">
        <f>IF(G25="","",INDEX(DIFFERENTIATION_UNMERGE_AREA,MATCH(G25,DIFFERENTIATION_ID_DIFF,0)))</f>
        <v/>
      </c>
      <c r="H27" s="3607"/>
      <c r="I27" s="3606" t="str">
        <f>IF(I25="","",INDEX(DIFFERENTIATION_UNMERGE_AREA,MATCH(I25,DIFFERENTIATION_ID_DIFF,0)))</f>
        <v>Территория 1</v>
      </c>
      <c r="J27" s="3607"/>
      <c r="K27" s="13810" t="str">
        <f>IF(K25="","",INDEX(DIFFERENTIATION_UNMERGE_AREA,MATCH(K25,DIFFERENTIATION_ID_DIFF,0)))</f>
        <v>Территория 2</v>
      </c>
      <c r="L27" s="13811"/>
      <c r="M27" s="13810" t="str">
        <f>IF(M25="","",INDEX(DIFFERENTIATION_UNMERGE_AREA,MATCH(M25,DIFFERENTIATION_ID_DIFF,0)))</f>
        <v>Территория 1</v>
      </c>
      <c r="N27" s="13811"/>
      <c r="O27" s="13810" t="str">
        <f>IF(O25="","",INDEX(DIFFERENTIATION_UNMERGE_AREA,MATCH(O25,DIFFERENTIATION_ID_DIFF,0)))</f>
        <v>Территория 1</v>
      </c>
      <c r="P27" s="13811"/>
      <c r="Q27" s="13810" t="str">
        <f>IF(Q25="","",INDEX(DIFFERENTIATION_UNMERGE_AREA,MATCH(Q25,DIFFERENTIATION_ID_DIFF,0)))</f>
        <v>Территория 2</v>
      </c>
      <c r="R27" s="13811"/>
      <c r="S27" s="13810" t="str">
        <f>IF(S25="","",INDEX(DIFFERENTIATION_UNMERGE_AREA,MATCH(S25,DIFFERENTIATION_ID_DIFF,0)))</f>
        <v>Территория 2</v>
      </c>
      <c r="T27" s="13811"/>
      <c r="U27" s="3406"/>
      <c r="AE27" s="1886"/>
      <c r="AF27" s="1969">
        <v>15</v>
      </c>
    </row>
    <row s="66903" customFormat="1" customHeight="1" ht="15.75">
      <c r="A28" s="1970"/>
      <c r="C28" s="1387"/>
      <c r="D28" s="1922"/>
      <c r="E28" s="3578" t="s">
        <v>583</v>
      </c>
      <c r="F28" s="3579"/>
      <c r="G28" s="3606" t="str">
        <f>IF(G25="","",INDEX(DIFFERENTIATION_UNMERGE_SYSTEM,MATCH(G25,DIFFERENTIATION_ID_DIFF,0)))</f>
        <v/>
      </c>
      <c r="H28" s="3607"/>
      <c r="I28" s="3606" t="str">
        <f>IF(I25="","",INDEX(DIFFERENTIATION_UNMERGE_SYSTEM,MATCH(I25,DIFFERENTIATION_ID_DIFF,0)))</f>
        <v>без дифференциации</v>
      </c>
      <c r="J28" s="3607"/>
      <c r="K28" s="13810" t="str">
        <f>IF(K25="","",INDEX(DIFFERENTIATION_UNMERGE_SYSTEM,MATCH(K25,DIFFERENTIATION_ID_DIFF,0)))</f>
        <v>без дифференциации</v>
      </c>
      <c r="L28" s="13811"/>
      <c r="M28" s="13810" t="str">
        <f>IF(M25="","",INDEX(DIFFERENTIATION_UNMERGE_SYSTEM,MATCH(M25,DIFFERENTIATION_ID_DIFF,0)))</f>
        <v>без дифференциации</v>
      </c>
      <c r="N28" s="13811"/>
      <c r="O28" s="13810" t="str">
        <f>IF(O25="","",INDEX(DIFFERENTIATION_UNMERGE_SYSTEM,MATCH(O25,DIFFERENTIATION_ID_DIFF,0)))</f>
        <v>без дифференциации</v>
      </c>
      <c r="P28" s="13811"/>
      <c r="Q28" s="13810" t="str">
        <f>IF(Q25="","",INDEX(DIFFERENTIATION_UNMERGE_SYSTEM,MATCH(Q25,DIFFERENTIATION_ID_DIFF,0)))</f>
        <v>без дифференциации</v>
      </c>
      <c r="R28" s="13811"/>
      <c r="S28" s="13810" t="str">
        <f>IF(S25="","",INDEX(DIFFERENTIATION_UNMERGE_SYSTEM,MATCH(S25,DIFFERENTIATION_ID_DIFF,0)))</f>
        <v>без дифференциации</v>
      </c>
      <c r="T28" s="13811"/>
      <c r="U28" s="3406"/>
      <c r="AE28" s="1886"/>
      <c r="AF28" s="1969">
        <v>15</v>
      </c>
    </row>
    <row s="66903" customFormat="1" customHeight="1" ht="15.75">
      <c r="A29" s="1970"/>
      <c r="C29" s="1387"/>
      <c r="D29" s="3580" t="s">
        <v>318</v>
      </c>
      <c r="E29" s="3581"/>
      <c r="F29" s="3581"/>
      <c r="G29" s="2098"/>
      <c r="H29" s="2098"/>
      <c r="I29" s="2098"/>
      <c r="J29" s="2099"/>
      <c r="K29" s="13362"/>
      <c r="L29" s="13362"/>
      <c r="M29" s="13362"/>
      <c r="N29" s="13362"/>
      <c r="O29" s="13362"/>
      <c r="P29" s="13362"/>
      <c r="Q29" s="13362"/>
      <c r="R29" s="13362"/>
      <c r="S29" s="13362"/>
      <c r="T29" s="13362"/>
      <c r="U29" s="3406"/>
      <c r="AE29" s="1886"/>
      <c r="AF29" s="1969">
        <v>15</v>
      </c>
    </row>
    <row customHeight="1" ht="35.699999999999996">
      <c r="C30" s="1387"/>
      <c r="D30" s="1972" t="s">
        <v>88</v>
      </c>
      <c r="E30" s="1971" t="s">
        <v>320</v>
      </c>
      <c r="F30" s="1971" t="s">
        <v>584</v>
      </c>
      <c r="G30" s="2019" t="s">
        <v>321</v>
      </c>
      <c r="H30" s="2018" t="s">
        <v>408</v>
      </c>
      <c r="I30" s="1895" t="s">
        <v>321</v>
      </c>
      <c r="J30" s="1676" t="s">
        <v>408</v>
      </c>
      <c r="K30" s="13602" t="s">
        <v>321</v>
      </c>
      <c r="L30" s="13321" t="s">
        <v>408</v>
      </c>
      <c r="M30" s="13602" t="s">
        <v>321</v>
      </c>
      <c r="N30" s="13321" t="s">
        <v>408</v>
      </c>
      <c r="O30" s="13602" t="s">
        <v>321</v>
      </c>
      <c r="P30" s="13321" t="s">
        <v>408</v>
      </c>
      <c r="Q30" s="13602" t="s">
        <v>321</v>
      </c>
      <c r="R30" s="13321" t="s">
        <v>408</v>
      </c>
      <c r="S30" s="13602" t="s">
        <v>321</v>
      </c>
      <c r="T30" s="13321" t="s">
        <v>408</v>
      </c>
      <c r="U30" s="3412"/>
      <c r="AF30" s="1716">
        <v>34</v>
      </c>
    </row>
    <row customHeight="1" ht="15" hidden="1">
      <c r="C31" s="1387"/>
      <c r="D31" s="1804"/>
      <c r="E31" s="1804"/>
      <c r="F31" s="1804"/>
      <c r="G31" s="1870"/>
      <c r="H31" s="1870"/>
      <c r="I31" s="1870"/>
      <c r="J31" s="1870"/>
      <c r="K31" s="13818"/>
      <c r="L31" s="13818"/>
      <c r="M31" s="13818"/>
      <c r="N31" s="13818"/>
      <c r="O31" s="13818"/>
      <c r="P31" s="13818"/>
      <c r="Q31" s="13818"/>
      <c r="R31" s="13818"/>
      <c r="S31" s="13818"/>
      <c r="T31" s="13818"/>
      <c r="U31" s="1500"/>
      <c r="AF31" s="1716">
        <v>0</v>
      </c>
    </row>
    <row customHeight="1" ht="24">
      <c r="A32" s="1716"/>
      <c r="B32" s="1716" t="s">
        <v>1121</v>
      </c>
      <c r="C32" s="1737"/>
      <c r="D32" s="1903">
        <v>1</v>
      </c>
      <c r="E32" s="1904" t="s">
        <v>1122</v>
      </c>
      <c r="F32" s="1902" t="s">
        <v>324</v>
      </c>
      <c r="G32" s="2024" t="s">
        <v>324</v>
      </c>
      <c r="H32" s="2024" t="s">
        <v>324</v>
      </c>
      <c r="I32" s="1902" t="s">
        <v>324</v>
      </c>
      <c r="J32" s="1902" t="s">
        <v>324</v>
      </c>
      <c r="K32" s="13822" t="s">
        <v>324</v>
      </c>
      <c r="L32" s="13822" t="s">
        <v>324</v>
      </c>
      <c r="M32" s="13822" t="s">
        <v>324</v>
      </c>
      <c r="N32" s="13822" t="s">
        <v>324</v>
      </c>
      <c r="O32" s="13822" t="s">
        <v>324</v>
      </c>
      <c r="P32" s="13822" t="s">
        <v>324</v>
      </c>
      <c r="Q32" s="13822" t="s">
        <v>324</v>
      </c>
      <c r="R32" s="13822" t="s">
        <v>324</v>
      </c>
      <c r="S32" s="13822" t="s">
        <v>324</v>
      </c>
      <c r="T32" s="13822" t="s">
        <v>324</v>
      </c>
      <c r="U32" s="1500"/>
      <c r="AF32" s="1716">
        <v>23</v>
      </c>
    </row>
    <row customHeight="1" ht="11.549999999999999">
      <c r="A33" s="1716"/>
      <c r="C33" s="1716"/>
      <c r="D33" s="1558"/>
      <c r="E33" s="1791" t="s">
        <v>614</v>
      </c>
      <c r="F33" s="1783"/>
      <c r="G33" s="1783"/>
      <c r="H33" s="1783"/>
      <c r="I33" s="1783"/>
      <c r="J33" s="1783"/>
      <c r="K33" s="13823"/>
      <c r="L33" s="13824"/>
      <c r="M33" s="13825"/>
      <c r="N33" s="13826"/>
      <c r="O33" s="13827"/>
      <c r="P33" s="13828"/>
      <c r="Q33" s="13829"/>
      <c r="R33" s="13830"/>
      <c r="S33" s="13831"/>
      <c r="T33" s="13832"/>
      <c r="U33" s="1784"/>
      <c r="AE33" s="1716"/>
      <c r="AF33" s="1716">
        <v>11</v>
      </c>
    </row>
    <row customHeight="1" ht="24">
      <c r="A34" s="1716"/>
      <c r="B34" s="1792" t="s">
        <v>788</v>
      </c>
      <c r="C34" s="1737"/>
      <c r="D34" s="1903">
        <v>2</v>
      </c>
      <c r="E34" s="1904" t="s">
        <v>1123</v>
      </c>
      <c r="F34" s="2031" t="s">
        <v>324</v>
      </c>
      <c r="G34" s="2031" t="s">
        <v>324</v>
      </c>
      <c r="H34" s="2031" t="s">
        <v>324</v>
      </c>
      <c r="I34" s="1902"/>
      <c r="J34" s="1902"/>
      <c r="K34" s="13822" t="s">
        <v>324</v>
      </c>
      <c r="L34" s="13822" t="s">
        <v>324</v>
      </c>
      <c r="M34" s="13822" t="s">
        <v>324</v>
      </c>
      <c r="N34" s="13822" t="s">
        <v>324</v>
      </c>
      <c r="O34" s="13822" t="s">
        <v>324</v>
      </c>
      <c r="P34" s="13822" t="s">
        <v>324</v>
      </c>
      <c r="Q34" s="13822" t="s">
        <v>324</v>
      </c>
      <c r="R34" s="13822" t="s">
        <v>324</v>
      </c>
      <c r="S34" s="13822" t="s">
        <v>324</v>
      </c>
      <c r="T34" s="13822" t="s">
        <v>324</v>
      </c>
      <c r="U34" s="1500"/>
      <c r="AF34" s="1716">
        <v>23</v>
      </c>
    </row>
    <row customHeight="1" ht="11.549999999999999">
      <c r="A35" s="1716"/>
      <c r="C35" s="1716"/>
      <c r="D35" s="1558"/>
      <c r="E35" s="1791" t="s">
        <v>1124</v>
      </c>
      <c r="F35" s="1783"/>
      <c r="G35" s="1905"/>
      <c r="H35" s="1783"/>
      <c r="I35" s="1905"/>
      <c r="J35" s="1783"/>
      <c r="K35" s="13835"/>
      <c r="L35" s="13836"/>
      <c r="M35" s="13837"/>
      <c r="N35" s="13838"/>
      <c r="O35" s="13839"/>
      <c r="P35" s="13840"/>
      <c r="Q35" s="13841"/>
      <c r="R35" s="13842"/>
      <c r="S35" s="13843"/>
      <c r="T35" s="13844"/>
      <c r="U35" s="1784"/>
      <c r="AE35" s="1716"/>
      <c r="AF35" s="1716">
        <v>11</v>
      </c>
    </row>
    <row customHeight="1" ht="71.25">
      <c r="A36" s="1716"/>
      <c r="B36" s="1716" t="s">
        <v>1125</v>
      </c>
      <c r="C36" s="1737"/>
      <c r="D36" s="1903">
        <v>3</v>
      </c>
      <c r="E36" s="1904" t="s">
        <v>1126</v>
      </c>
      <c r="F36" s="1906" t="s">
        <v>324</v>
      </c>
      <c r="G36" s="2025" t="s">
        <v>1127</v>
      </c>
      <c r="H36" s="2024" t="s">
        <v>324</v>
      </c>
      <c r="I36" s="1735" t="s">
        <v>1127</v>
      </c>
      <c r="J36" s="1902" t="s">
        <v>324</v>
      </c>
      <c r="K36" s="13848" t="s">
        <v>1127</v>
      </c>
      <c r="L36" s="13822" t="s">
        <v>324</v>
      </c>
      <c r="M36" s="13848" t="s">
        <v>1127</v>
      </c>
      <c r="N36" s="13822" t="s">
        <v>324</v>
      </c>
      <c r="O36" s="13848" t="s">
        <v>1127</v>
      </c>
      <c r="P36" s="13822" t="s">
        <v>324</v>
      </c>
      <c r="Q36" s="13848" t="s">
        <v>1127</v>
      </c>
      <c r="R36" s="13822" t="s">
        <v>324</v>
      </c>
      <c r="S36" s="13848" t="s">
        <v>1127</v>
      </c>
      <c r="T36" s="13822" t="s">
        <v>324</v>
      </c>
      <c r="U36" s="1500" t="s">
        <v>1128</v>
      </c>
      <c r="AF36" s="1716">
        <v>68</v>
      </c>
    </row>
    <row customHeight="1" ht="11.549999999999999">
      <c r="A37" s="1716"/>
      <c r="C37" s="1716"/>
      <c r="D37" s="1558"/>
      <c r="E37" s="1791" t="s">
        <v>1129</v>
      </c>
      <c r="F37" s="1783"/>
      <c r="G37" s="1905"/>
      <c r="H37" s="1905"/>
      <c r="I37" s="1905"/>
      <c r="J37" s="1905"/>
      <c r="K37" s="13849"/>
      <c r="L37" s="13850"/>
      <c r="M37" s="13851"/>
      <c r="N37" s="13852"/>
      <c r="O37" s="13853"/>
      <c r="P37" s="13854"/>
      <c r="Q37" s="13855"/>
      <c r="R37" s="13856"/>
      <c r="S37" s="13857"/>
      <c r="T37" s="13858"/>
      <c r="U37" s="1784"/>
      <c r="AE37" s="1716"/>
      <c r="AF37" s="1716">
        <v>11</v>
      </c>
    </row>
    <row customHeight="1" ht="71.25">
      <c r="A38" s="1716"/>
      <c r="B38" s="1716" t="s">
        <v>1130</v>
      </c>
      <c r="C38" s="1737"/>
      <c r="D38" s="1903">
        <v>4</v>
      </c>
      <c r="E38" s="1904" t="s">
        <v>1131</v>
      </c>
      <c r="F38" s="1906" t="s">
        <v>324</v>
      </c>
      <c r="G38" s="2025" t="s">
        <v>1127</v>
      </c>
      <c r="H38" s="2026" t="s">
        <v>324</v>
      </c>
      <c r="I38" s="1735" t="s">
        <v>1127</v>
      </c>
      <c r="J38" s="1732" t="s">
        <v>324</v>
      </c>
      <c r="K38" s="13848" t="s">
        <v>1127</v>
      </c>
      <c r="L38" s="13321" t="s">
        <v>324</v>
      </c>
      <c r="M38" s="13848" t="s">
        <v>1127</v>
      </c>
      <c r="N38" s="13321" t="s">
        <v>324</v>
      </c>
      <c r="O38" s="13848" t="s">
        <v>1127</v>
      </c>
      <c r="P38" s="13321" t="s">
        <v>324</v>
      </c>
      <c r="Q38" s="13848" t="s">
        <v>1127</v>
      </c>
      <c r="R38" s="13321" t="s">
        <v>324</v>
      </c>
      <c r="S38" s="13848" t="s">
        <v>1127</v>
      </c>
      <c r="T38" s="13321" t="s">
        <v>324</v>
      </c>
      <c r="U38" s="1890" t="s">
        <v>1132</v>
      </c>
      <c r="AF38" s="1716">
        <v>68</v>
      </c>
    </row>
    <row customHeight="1" ht="11.549999999999999">
      <c r="A39" s="1716"/>
      <c r="C39" s="1716"/>
      <c r="D39" s="1558"/>
      <c r="E39" s="1791" t="s">
        <v>1133</v>
      </c>
      <c r="F39" s="1783"/>
      <c r="G39" s="1783"/>
      <c r="H39" s="1907"/>
      <c r="I39" s="1783"/>
      <c r="J39" s="1907"/>
      <c r="K39" s="13862"/>
      <c r="L39" s="13863"/>
      <c r="M39" s="13864"/>
      <c r="N39" s="13865"/>
      <c r="O39" s="13866"/>
      <c r="P39" s="13867"/>
      <c r="Q39" s="13868"/>
      <c r="R39" s="13869"/>
      <c r="S39" s="13870"/>
      <c r="T39" s="13871"/>
      <c r="U39" s="1784"/>
      <c r="AE39" s="1716"/>
      <c r="AF39" s="1716">
        <v>11</v>
      </c>
    </row>
    <row customHeight="1" ht="22.5" hidden="1">
      <c r="A40" s="1660" t="s">
        <v>82</v>
      </c>
      <c r="B40" s="1716">
        <v>0</v>
      </c>
      <c r="C40" s="1894">
        <v>4</v>
      </c>
      <c r="D40" s="1716">
        <v>6</v>
      </c>
      <c r="E40" s="1716">
        <v>36</v>
      </c>
      <c r="F40" s="1716">
        <v>9</v>
      </c>
      <c r="G40" s="1969">
        <v>0</v>
      </c>
      <c r="H40" s="1969">
        <v>0</v>
      </c>
      <c r="I40" s="1716">
        <v>25</v>
      </c>
      <c r="J40" s="1716">
        <v>33</v>
      </c>
      <c r="K40" s="13315">
        <v>0</v>
      </c>
      <c r="L40" s="13315">
        <v>0</v>
      </c>
      <c r="M40" s="13315">
        <v>0</v>
      </c>
      <c r="N40" s="13315">
        <v>0</v>
      </c>
      <c r="O40" s="13315">
        <v>0</v>
      </c>
      <c r="P40" s="13315">
        <v>0</v>
      </c>
      <c r="Q40" s="13315">
        <v>0</v>
      </c>
      <c r="R40" s="13315">
        <v>0</v>
      </c>
      <c r="S40" s="13315">
        <v>0</v>
      </c>
      <c r="T40" s="13315">
        <v>0</v>
      </c>
      <c r="U40" s="1628">
        <v>93</v>
      </c>
      <c r="V40" s="1716">
        <v>10</v>
      </c>
      <c r="W40" s="1716">
        <v>10</v>
      </c>
      <c r="X40" s="1716">
        <v>10</v>
      </c>
      <c r="Y40" s="1716">
        <v>10</v>
      </c>
      <c r="Z40" s="1716">
        <v>10</v>
      </c>
      <c r="AA40" s="1716">
        <v>10</v>
      </c>
      <c r="AB40" s="1716">
        <v>10</v>
      </c>
      <c r="AC40" s="1716">
        <v>10</v>
      </c>
      <c r="AD40" s="1716">
        <v>10</v>
      </c>
      <c r="AE40" s="1886">
        <v>10</v>
      </c>
      <c r="AF40" s="1716">
        <v>23</v>
      </c>
    </row>
  </sheetData>
  <sheetProtection formatColumns="0" formatRows="0" autoFilter="0" sort="0" insertRows="0" insertColumns="1" deleteRows="0" deleteColumns="0"/>
  <mergeCells count="3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S36 S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DFC2E-07FE-438C-2EFF-657BD3E84B2E}" mc:Ignorable="x14ac xr xr2 xr3">
  <sheetPr>
    <tabColor theme="9" tint="-0.25"/>
  </sheetPr>
  <dimension ref="A1:AE18"/>
  <sheetViews>
    <sheetView showGridLines="0" zoomScale="85" workbookViewId="0">
      <pane xSplit="7" ySplit="10" topLeftCell="H13" activePane="bottomRight" state="frozen"/>
      <selection pane="bottomLeft" activeCell="A11" sqref="A11"/>
      <selection pane="topRight" activeCell="H1" sqref="H1"/>
      <selection pane="bottomRight" activeCell="Y13" sqref="Y13:Y14"/>
    </sheetView>
  </sheetViews>
  <sheetFormatPr defaultColWidth="9.140625" customHeight="1" defaultRowHeight="10.5"/>
  <cols>
    <col min="1" max="3" style="66327" width="6.7109375" hidden="1" customWidth="1"/>
    <col min="4" max="4" style="66852" width="6.7109375" hidden="1" customWidth="1"/>
    <col min="5" max="5" style="66903" width="3.00390625" customWidth="1"/>
    <col min="6" max="6" style="66903" width="6.00390625" customWidth="1"/>
    <col min="7" max="7" style="66903" width="37.00390625" customWidth="1"/>
    <col min="8" max="8" style="66903" width="16.00390625" customWidth="1"/>
    <col min="9" max="10" style="66903" width="19.00390625" customWidth="1"/>
    <col min="11" max="11" style="66903" width="24.00390625" customWidth="1"/>
    <col min="12" max="13" style="66903" width="25.00390625" customWidth="1"/>
    <col min="14" max="16" style="66903" width="17.00390625" customWidth="1"/>
    <col min="17" max="24" style="66903" width="19.00390625" customWidth="1"/>
    <col min="25" max="25" style="66903" width="7.00390625" customWidth="1"/>
    <col min="26" max="26" style="66903" width="3.00390625" customWidth="1"/>
    <col min="27" max="27" style="66903" width="6.00390625" customWidth="1"/>
    <col min="28" max="28" style="66903" width="34.00390625" customWidth="1"/>
    <col min="29" max="30" style="66903" width="8.00390625" customWidth="1"/>
    <col min="31" max="31" style="66903" width="9.140625" hidden="1"/>
  </cols>
  <sheetData>
    <row s="66852" customFormat="1" customHeight="1" ht="10.5" hidden="1">
      <c r="A1" s="2106"/>
      <c r="B1" s="2106"/>
      <c r="C1" s="2106"/>
      <c r="E1" s="1748"/>
      <c r="H1" s="2371"/>
      <c r="AE1" s="1628" t="s">
        <v>14</v>
      </c>
    </row>
    <row customHeight="1" ht="10.5" hidden="1">
      <c r="AE2" s="1969">
        <v>0</v>
      </c>
    </row>
    <row s="67156" customFormat="1" customHeight="1" ht="10.5" hidden="1">
      <c r="A3" s="2106"/>
      <c r="B3" s="2106"/>
      <c r="C3" s="2106"/>
      <c r="D3" s="1628"/>
      <c r="E3" s="1573"/>
      <c r="G3" s="2843" t="s">
        <v>1134</v>
      </c>
      <c r="H3" s="2367"/>
      <c r="AE3" s="1970">
        <v>0</v>
      </c>
    </row>
    <row customHeight="1" ht="3">
      <c r="AE4" s="1969">
        <v>3</v>
      </c>
    </row>
    <row customHeight="1" ht="27.299999999999997">
      <c r="F5" s="345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3459"/>
      <c r="H5" s="3459"/>
      <c r="I5" s="3459"/>
      <c r="J5" s="3459"/>
      <c r="K5" s="3459"/>
      <c r="M5" s="1793"/>
      <c r="AB5" s="2117"/>
      <c r="AE5" s="1969">
        <v>26</v>
      </c>
    </row>
    <row s="66903" customFormat="1" customHeight="1" ht="16.8">
      <c r="A6" s="2377"/>
      <c r="B6" s="2377"/>
      <c r="C6" s="2377"/>
      <c r="D6" s="2371"/>
      <c r="E6" s="2846"/>
      <c r="F6" s="3460" t="str">
        <f>IF(org=0,"Не определено",org)</f>
        <v>ПАО "ТГК-2"</v>
      </c>
      <c r="G6" s="3460"/>
      <c r="H6" s="3460"/>
      <c r="I6" s="3460"/>
      <c r="J6" s="3460"/>
      <c r="K6" s="3460"/>
      <c r="M6" s="1793"/>
      <c r="AB6" s="2359"/>
      <c r="AE6" s="2842">
        <v>16</v>
      </c>
    </row>
    <row customHeight="1" ht="10.5">
      <c r="AE7" s="1969">
        <v>10</v>
      </c>
    </row>
    <row customHeight="1" ht="10.5">
      <c r="A8" s="2262"/>
      <c r="B8" s="2262"/>
      <c r="C8" s="2262"/>
      <c r="F8" s="3312" t="s">
        <v>318</v>
      </c>
      <c r="G8" s="3313"/>
      <c r="H8" s="3313"/>
      <c r="I8" s="3313"/>
      <c r="J8" s="3313"/>
      <c r="K8" s="3313"/>
      <c r="L8" s="3313"/>
      <c r="M8" s="3313"/>
      <c r="N8" s="3313"/>
      <c r="O8" s="3313"/>
      <c r="P8" s="3313"/>
      <c r="Q8" s="3313"/>
      <c r="R8" s="3313"/>
      <c r="S8" s="3313"/>
      <c r="T8" s="3313"/>
      <c r="U8" s="3313"/>
      <c r="V8" s="3313"/>
      <c r="W8" s="3313"/>
      <c r="X8" s="3313"/>
      <c r="Y8" s="3313"/>
      <c r="Z8" s="3313"/>
      <c r="AA8" s="3313"/>
      <c r="AB8" s="3314"/>
      <c r="AE8" s="1969">
        <v>10</v>
      </c>
    </row>
    <row customHeight="1" ht="43.050000000000004">
      <c r="A9" s="2116"/>
      <c r="B9" s="2116"/>
      <c r="C9" s="2116"/>
      <c r="F9" s="3338" t="s">
        <v>88</v>
      </c>
      <c r="G9" s="3338" t="s">
        <v>1134</v>
      </c>
      <c r="H9" s="3386" t="s">
        <v>1135</v>
      </c>
      <c r="I9" s="3338" t="s">
        <v>1136</v>
      </c>
      <c r="J9" s="3338" t="s">
        <v>1137</v>
      </c>
      <c r="K9" s="3338" t="s">
        <v>1138</v>
      </c>
      <c r="L9" s="3338" t="s">
        <v>1139</v>
      </c>
      <c r="M9" s="3338" t="s">
        <v>1140</v>
      </c>
      <c r="N9" s="3420" t="s">
        <v>1141</v>
      </c>
      <c r="O9" s="3420"/>
      <c r="P9" s="3420"/>
      <c r="Q9" s="3610" t="s">
        <v>1142</v>
      </c>
      <c r="R9" s="3611"/>
      <c r="S9" s="3611"/>
      <c r="T9" s="3612"/>
      <c r="U9" s="3610" t="s">
        <v>1143</v>
      </c>
      <c r="V9" s="3611"/>
      <c r="W9" s="3611"/>
      <c r="X9" s="3612"/>
      <c r="Y9" s="3312" t="s">
        <v>1144</v>
      </c>
      <c r="Z9" s="3313"/>
      <c r="AA9" s="3313"/>
      <c r="AB9" s="3314"/>
      <c r="AE9" s="1969">
        <v>41</v>
      </c>
    </row>
    <row customHeight="1" ht="43.050000000000004">
      <c r="A10" s="2116"/>
      <c r="B10" s="2116"/>
      <c r="C10" s="2116"/>
      <c r="F10" s="3386"/>
      <c r="G10" s="3386"/>
      <c r="H10" s="3443"/>
      <c r="I10" s="3386"/>
      <c r="J10" s="3386"/>
      <c r="K10" s="3386"/>
      <c r="L10" s="3386"/>
      <c r="M10" s="3386"/>
      <c r="N10" s="2114" t="s">
        <v>1145</v>
      </c>
      <c r="O10" s="2114" t="s">
        <v>1146</v>
      </c>
      <c r="P10" s="2115" t="s">
        <v>1147</v>
      </c>
      <c r="Q10" s="2126" t="s">
        <v>89</v>
      </c>
      <c r="R10" s="2126" t="s">
        <v>1148</v>
      </c>
      <c r="S10" s="2126" t="s">
        <v>1149</v>
      </c>
      <c r="T10" s="2127" t="s">
        <v>1150</v>
      </c>
      <c r="U10" s="2126" t="s">
        <v>89</v>
      </c>
      <c r="V10" s="2126" t="s">
        <v>1151</v>
      </c>
      <c r="W10" s="2126" t="s">
        <v>1149</v>
      </c>
      <c r="X10" s="2127" t="s">
        <v>1150</v>
      </c>
      <c r="Y10" s="1512" t="s">
        <v>1152</v>
      </c>
      <c r="Z10" s="3312" t="s">
        <v>88</v>
      </c>
      <c r="AA10" s="3314"/>
      <c r="AB10" s="2260" t="s">
        <v>1153</v>
      </c>
      <c r="AE10" s="1969">
        <v>41</v>
      </c>
    </row>
    <row s="65923" customFormat="1" customHeight="1" ht="5.25" hidden="1">
      <c r="A11" s="2263"/>
      <c r="B11" s="2263"/>
      <c r="C11" s="2263"/>
      <c r="E11" s="2261"/>
      <c r="F11" s="3617" t="s">
        <v>394</v>
      </c>
      <c r="G11" s="3614"/>
      <c r="H11" s="3613"/>
      <c r="I11" s="3613"/>
      <c r="J11" s="3613"/>
      <c r="K11" s="3615"/>
      <c r="L11" s="3615"/>
      <c r="M11" s="3615"/>
      <c r="N11" s="3613"/>
      <c r="O11" s="3613"/>
      <c r="P11" s="3338"/>
      <c r="Q11" s="3390"/>
      <c r="R11" s="3390"/>
      <c r="S11" s="3390"/>
      <c r="T11" s="3613"/>
      <c r="U11" s="3390"/>
      <c r="V11" s="3390"/>
      <c r="W11" s="3390"/>
      <c r="X11" s="3613"/>
      <c r="Y11" s="3319"/>
      <c r="Z11" s="3319"/>
      <c r="AA11" s="3319"/>
      <c r="AB11" s="3319"/>
      <c r="AD11" s="1722" t="s">
        <v>1154</v>
      </c>
      <c r="AE11" s="1722">
        <v>0</v>
      </c>
    </row>
    <row s="65923" customFormat="1" customHeight="1" ht="5.25" hidden="1">
      <c r="A12" s="2107"/>
      <c r="B12" s="2107"/>
      <c r="C12" s="2107"/>
      <c r="E12" s="1729"/>
      <c r="F12" s="3617"/>
      <c r="G12" s="3614"/>
      <c r="H12" s="3613"/>
      <c r="I12" s="3613"/>
      <c r="J12" s="3613"/>
      <c r="K12" s="3615"/>
      <c r="L12" s="3615"/>
      <c r="M12" s="3615"/>
      <c r="N12" s="3613"/>
      <c r="O12" s="3613"/>
      <c r="P12" s="3338"/>
      <c r="Q12" s="3390"/>
      <c r="R12" s="3390"/>
      <c r="S12" s="3390"/>
      <c r="T12" s="3613"/>
      <c r="U12" s="3390"/>
      <c r="V12" s="3390"/>
      <c r="W12" s="3390"/>
      <c r="X12" s="3613"/>
      <c r="Y12" s="3616"/>
      <c r="Z12" s="3616"/>
      <c r="AA12" s="3616"/>
      <c r="AB12" s="3616"/>
      <c r="AE12" s="1722">
        <v>0</v>
      </c>
    </row>
    <row customHeight="1" ht="27">
      <c r="A13" s="2377"/>
      <c r="B13" s="2377"/>
      <c r="C13" s="2377"/>
      <c r="D13" s="2371"/>
      <c r="E13" s="8027" t="s">
        <v>103</v>
      </c>
      <c r="F13" s="3792" t="s">
        <v>99</v>
      </c>
      <c r="G13" s="3793" t="s">
        <v>1155</v>
      </c>
      <c r="H13" s="3794" t="s">
        <v>62</v>
      </c>
      <c r="I13" s="8031">
        <v>41596.447905092595</v>
      </c>
      <c r="J13" s="8032">
        <v>45280</v>
      </c>
      <c r="K13" s="3798" t="s">
        <v>1156</v>
      </c>
      <c r="L13" s="3761" t="s">
        <v>1157</v>
      </c>
      <c r="M13" s="3761" t="s">
        <v>1158</v>
      </c>
      <c r="N13" s="3762" t="s">
        <v>1159</v>
      </c>
      <c r="O13" s="3762" t="s">
        <v>1160</v>
      </c>
      <c r="P13" s="3763" t="str">
        <f>DATEDIF(DATEVALUE(N13),DATEVALUE(O13),"y")&amp;"г. "&amp;DATEDIF(DATEVALUE(N13),DATEVALUE(O13),"ym")&amp;"мес. "&amp;DATEVALUE(O13)-DATE(YEAR(DATEVALUE(O13)),MONTH(DATEVALUE(O13)),1)&amp;"дн. "</f>
        <v>11г. 11мес. 30дн. </v>
      </c>
      <c r="Q13" s="3758" t="s">
        <v>1161</v>
      </c>
      <c r="R13" s="3758" t="s">
        <v>1162</v>
      </c>
      <c r="S13" s="3758" t="s">
        <v>1163</v>
      </c>
      <c r="T13" s="8032" t="s">
        <v>1164</v>
      </c>
      <c r="U13" s="3758" t="s">
        <v>1157</v>
      </c>
      <c r="V13" s="3758" t="s">
        <v>1165</v>
      </c>
      <c r="W13" s="3758" t="s">
        <v>1166</v>
      </c>
      <c r="X13" s="8032">
        <v>45280</v>
      </c>
      <c r="Y13" s="3756" t="s">
        <v>19</v>
      </c>
      <c r="Z13" s="3019"/>
      <c r="AA13" s="3003">
        <v>1</v>
      </c>
      <c r="AB13" s="8041" t="s">
        <v>22</v>
      </c>
      <c r="AC13" s="8042"/>
      <c r="AD13" s="2847" t="s">
        <v>1167</v>
      </c>
      <c r="AE13" s="8042"/>
    </row>
    <row customHeight="1" ht="10.5">
      <c r="A14" s="2377"/>
      <c r="B14" s="2377"/>
      <c r="C14" s="2377"/>
      <c r="D14" s="2371"/>
      <c r="E14" s="2158"/>
      <c r="F14" s="3792" t="s">
        <v>394</v>
      </c>
      <c r="G14" s="3793"/>
      <c r="H14" s="3795"/>
      <c r="I14" s="3797"/>
      <c r="J14" s="3760"/>
      <c r="K14" s="3798"/>
      <c r="L14" s="3761"/>
      <c r="M14" s="3761"/>
      <c r="N14" s="3762"/>
      <c r="O14" s="3762"/>
      <c r="P14" s="3763"/>
      <c r="Q14" s="3758"/>
      <c r="R14" s="3758"/>
      <c r="S14" s="3758"/>
      <c r="T14" s="3760"/>
      <c r="U14" s="3758"/>
      <c r="V14" s="3758"/>
      <c r="W14" s="3758"/>
      <c r="X14" s="3760"/>
      <c r="Y14" s="3757"/>
      <c r="Z14" s="1558"/>
      <c r="AA14" s="1783"/>
      <c r="AB14" s="1863" t="s">
        <v>1168</v>
      </c>
      <c r="AC14" s="8042"/>
      <c r="AD14" s="8042"/>
      <c r="AE14" s="8042"/>
    </row>
    <row customHeight="1" ht="10.5">
      <c r="F15" s="2113"/>
      <c r="G15" s="1861" t="s">
        <v>1169</v>
      </c>
      <c r="H15" s="2379"/>
      <c r="I15" s="1783"/>
      <c r="J15" s="1783"/>
      <c r="K15" s="1783"/>
      <c r="L15" s="1783"/>
      <c r="M15" s="1783"/>
      <c r="N15" s="1783"/>
      <c r="O15" s="1783"/>
      <c r="P15" s="1783"/>
      <c r="Q15" s="1783"/>
      <c r="R15" s="1783"/>
      <c r="S15" s="1783"/>
      <c r="T15" s="1783"/>
      <c r="U15" s="1783"/>
      <c r="V15" s="1783"/>
      <c r="W15" s="1783"/>
      <c r="X15" s="1783"/>
      <c r="Y15" s="1783"/>
      <c r="Z15" s="1907"/>
      <c r="AA15" s="1907"/>
      <c r="AB15" s="2128"/>
      <c r="AE15" s="1969">
        <v>10</v>
      </c>
    </row>
    <row customHeight="1" ht="10.5">
      <c r="AE16" s="1969">
        <v>10</v>
      </c>
    </row>
    <row s="65923" customFormat="1" customHeight="1" ht="10.5">
      <c r="A17" s="2378"/>
      <c r="B17" s="2378"/>
      <c r="C17" s="2378"/>
      <c r="E17" s="1729"/>
      <c r="H17" s="1722">
        <f>_xlfn.IFERROR(MATCH("нет",IP_MAIN_DIFFERENTIATION_EVENTS_FLAG,0),0)</f>
        <v>0</v>
      </c>
      <c r="AE17" s="1722">
        <v>10</v>
      </c>
    </row>
    <row customHeight="1" ht="10.5" hidden="1">
      <c r="A18" s="2106" t="s">
        <v>82</v>
      </c>
      <c r="B18" s="2106">
        <v>0</v>
      </c>
      <c r="C18" s="2106">
        <v>0</v>
      </c>
      <c r="D18" s="1628">
        <v>0</v>
      </c>
      <c r="E18" s="1720">
        <v>3</v>
      </c>
      <c r="F18" s="1969">
        <v>6</v>
      </c>
      <c r="G18" s="1969">
        <v>37</v>
      </c>
      <c r="H18" s="2366">
        <v>16</v>
      </c>
      <c r="I18" s="1969">
        <v>19</v>
      </c>
      <c r="J18" s="1969">
        <v>19</v>
      </c>
      <c r="K18" s="1969">
        <v>24</v>
      </c>
      <c r="L18" s="1969">
        <v>25</v>
      </c>
      <c r="M18" s="1969">
        <v>25</v>
      </c>
      <c r="N18" s="1969">
        <v>17</v>
      </c>
      <c r="O18" s="1969">
        <v>17</v>
      </c>
      <c r="P18" s="1969">
        <v>17</v>
      </c>
      <c r="Q18" s="1969">
        <v>19</v>
      </c>
      <c r="R18" s="1969">
        <v>19</v>
      </c>
      <c r="S18" s="1969">
        <v>19</v>
      </c>
      <c r="T18" s="1969">
        <v>19</v>
      </c>
      <c r="U18" s="1969">
        <v>19</v>
      </c>
      <c r="V18" s="1969">
        <v>19</v>
      </c>
      <c r="W18" s="1969">
        <v>19</v>
      </c>
      <c r="X18" s="1969">
        <v>19</v>
      </c>
      <c r="Y18" s="1969">
        <v>7</v>
      </c>
      <c r="Z18" s="1969">
        <v>3</v>
      </c>
      <c r="AA18" s="1969">
        <v>6</v>
      </c>
      <c r="AB18" s="1969">
        <v>34</v>
      </c>
      <c r="AC18" s="1969">
        <v>8</v>
      </c>
      <c r="AD18" s="1969">
        <v>8</v>
      </c>
      <c r="AE18" s="1969">
        <v>10</v>
      </c>
    </row>
  </sheetData>
  <sheetProtection formatColumns="0" formatRows="0" autoFilter="0" sort="0" insertRows="0" insertColumns="1" deleteRows="0" deleteColumns="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F13:F14"/>
    <mergeCell ref="G13:G14"/>
    <mergeCell ref="H13:H14"/>
    <mergeCell ref="I13:I14"/>
    <mergeCell ref="J13:J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E13:E14"/>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E32B1-2FB3-F563-57DA-F286AC9DACA2}" mc:Ignorable="x14ac xr xr2 xr3">
  <sheetPr>
    <tabColor theme="9" tint="-0.25"/>
  </sheetPr>
  <dimension ref="A1:BG131"/>
  <sheetViews>
    <sheetView showGridLines="0" zoomScale="80" workbookViewId="0">
      <pane xSplit="8" ySplit="12" topLeftCell="I13" activePane="bottomRight" state="frozen"/>
      <selection pane="bottomLeft" activeCell="A13" sqref="A13"/>
      <selection pane="topRight" activeCell="I1" sqref="I1"/>
      <selection pane="bottomRight" activeCell="AJ102" sqref="AJ102:AJ106"/>
    </sheetView>
  </sheetViews>
  <sheetFormatPr defaultColWidth="9.140625" customHeight="1" defaultRowHeight="10.5"/>
  <cols>
    <col min="1" max="3" style="66327" width="4.140625" hidden="1" customWidth="1"/>
    <col min="4" max="4" style="66852" width="4.140625" hidden="1" customWidth="1"/>
    <col min="5" max="5" style="66903" width="3.00390625" customWidth="1"/>
    <col min="6" max="6" style="66903" width="14.00390625" customWidth="1"/>
    <col min="7" max="7" style="66903" width="3.00390625" customWidth="1"/>
    <col min="8" max="8" style="66903" width="7.00390625" customWidth="1"/>
    <col min="9" max="10" style="66903" width="16.00390625" customWidth="1"/>
    <col min="11" max="11" style="66903" width="25.00390625" hidden="1" customWidth="1"/>
    <col min="12" max="12" style="66903" width="7.00390625" hidden="1" customWidth="1"/>
    <col min="13" max="13" style="66903" width="15.00390625" hidden="1" customWidth="1"/>
    <col min="14" max="14" style="66903" width="3.00390625" hidden="1" customWidth="1"/>
    <col min="15" max="15" style="66903" width="4.00390625" hidden="1" customWidth="1"/>
    <col min="16" max="16" style="66903" width="8.00390625" hidden="1" customWidth="1"/>
    <col min="17" max="17" style="66903" width="21.00390625" hidden="1" customWidth="1"/>
    <col min="18" max="18" style="66903" width="14.00390625" hidden="1" customWidth="1"/>
    <col min="19" max="20" style="66903" width="17.00390625" hidden="1" customWidth="1"/>
    <col min="21" max="21" style="66903" width="9.00390625" hidden="1" customWidth="1"/>
    <col min="22" max="22" style="66903" width="12.00390625" hidden="1" customWidth="1"/>
    <col min="23" max="23" style="66903" width="9.00390625" hidden="1" customWidth="1"/>
    <col min="24" max="24" style="66903" width="21.00390625" hidden="1" customWidth="1"/>
    <col min="25" max="25" style="66903" width="12.00390625" hidden="1" customWidth="1"/>
    <col min="26" max="26" style="66903" width="3.00390625" customWidth="1"/>
    <col min="27" max="27" style="66903" width="6.00390625" customWidth="1"/>
    <col min="28" max="28" style="66903" width="38.00390625" customWidth="1"/>
    <col min="29" max="29" style="66903" width="15.00390625" customWidth="1"/>
    <col min="30" max="30" style="66903" width="37.57421875" customWidth="1"/>
    <col min="31" max="31" style="66903" width="15.7109375" customWidth="1"/>
    <col min="32" max="34" style="66903" width="16.00390625" customWidth="1"/>
    <col min="35" max="37" style="66903" width="16.7109375" customWidth="1"/>
    <col min="38" max="58" style="66903" width="8.00390625" customWidth="1"/>
    <col min="59" max="59" style="66903" width="9.140625" hidden="1"/>
  </cols>
  <sheetData>
    <row s="66852" customFormat="1" customHeight="1" ht="10.5" hidden="1">
      <c r="A1" s="2106"/>
      <c r="B1" s="2106"/>
      <c r="C1" s="2106"/>
      <c r="E1" s="1748"/>
      <c r="H1" s="2371"/>
      <c r="L1" s="2339"/>
      <c r="M1" s="2339"/>
      <c r="AD1" s="2339"/>
      <c r="AH1" s="2358"/>
      <c r="AI1" s="2351"/>
      <c r="BG1" s="1628" t="s">
        <v>14</v>
      </c>
    </row>
    <row customHeight="1" ht="10.5" hidden="1">
      <c r="BG2" s="1969">
        <v>0</v>
      </c>
    </row>
    <row s="67156" customFormat="1" customHeight="1" ht="10.5" hidden="1">
      <c r="A3" s="2106"/>
      <c r="B3" s="2106"/>
      <c r="C3" s="2106"/>
      <c r="D3" s="1628"/>
      <c r="E3" s="1573"/>
      <c r="H3" s="2367"/>
      <c r="L3" s="2337"/>
      <c r="M3" s="2337"/>
      <c r="AD3" s="2337"/>
      <c r="AH3" s="2356"/>
      <c r="AI3" s="2349"/>
      <c r="BG3" s="1970">
        <v>0</v>
      </c>
    </row>
    <row customHeight="1" ht="3">
      <c r="BG4" s="1969">
        <v>3</v>
      </c>
    </row>
    <row customHeight="1" ht="27.299999999999997">
      <c r="F5" s="345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3459"/>
      <c r="H5" s="3459"/>
      <c r="I5" s="3459"/>
      <c r="J5" s="3459"/>
      <c r="K5" s="3459"/>
      <c r="L5" s="2346"/>
      <c r="M5" s="2346"/>
      <c r="AG5" s="2117"/>
      <c r="AH5" s="2359"/>
      <c r="BG5" s="1969">
        <v>26</v>
      </c>
    </row>
    <row customHeight="1" ht="10.5">
      <c r="F6" s="3387" t="str">
        <f>IF(org=0,"Не определено",org)</f>
        <v>ПАО "ТГК-2"</v>
      </c>
      <c r="G6" s="3387"/>
      <c r="H6" s="3387"/>
      <c r="I6" s="3387"/>
      <c r="J6" s="3387"/>
      <c r="K6" s="3387"/>
      <c r="L6" s="2347"/>
      <c r="M6" s="2347"/>
      <c r="BG6" s="1969">
        <v>10</v>
      </c>
    </row>
    <row customHeight="1" ht="11.549999999999999">
      <c r="E7" s="2119"/>
      <c r="F7" s="2130"/>
      <c r="G7" s="2130"/>
      <c r="H7" s="2395"/>
      <c r="I7" s="2130"/>
      <c r="J7" s="2130"/>
      <c r="K7" s="2132"/>
      <c r="L7" s="2344"/>
      <c r="M7" s="2344"/>
      <c r="N7" s="2130"/>
      <c r="O7" s="2130"/>
      <c r="P7" s="2130"/>
      <c r="Q7" s="2132"/>
      <c r="R7" s="2130"/>
      <c r="S7" s="2130"/>
      <c r="T7" s="2130"/>
      <c r="U7" s="2130"/>
      <c r="V7" s="2130"/>
      <c r="W7" s="2130"/>
      <c r="X7" s="2130"/>
      <c r="Y7" s="2130"/>
      <c r="Z7" s="2130"/>
      <c r="AA7" s="2130"/>
      <c r="AB7" s="2130"/>
      <c r="AC7" s="2131"/>
      <c r="AD7" s="2343"/>
      <c r="AE7" s="2131"/>
      <c r="AF7" s="2130"/>
      <c r="AG7" s="2130"/>
      <c r="AH7" s="2361"/>
      <c r="AI7" s="2354"/>
      <c r="AJ7" s="2130"/>
      <c r="AK7" s="2130"/>
      <c r="AL7" s="2121"/>
      <c r="AM7" s="2121"/>
      <c r="AN7" s="2121"/>
      <c r="AO7" s="2118"/>
      <c r="AP7" s="2118"/>
      <c r="AQ7" s="2118"/>
      <c r="AR7" s="2118"/>
      <c r="AS7" s="2118"/>
      <c r="AT7" s="2118"/>
      <c r="AU7" s="2118"/>
      <c r="AV7" s="2118"/>
      <c r="AW7" s="2118"/>
      <c r="AX7" s="2118"/>
      <c r="AY7" s="2118"/>
      <c r="AZ7" s="2118"/>
      <c r="BA7" s="2118"/>
      <c r="BB7" s="2118"/>
      <c r="BC7" s="2118"/>
      <c r="BD7" s="2118"/>
      <c r="BE7" s="2118"/>
      <c r="BF7" s="2118"/>
      <c r="BG7" s="1969">
        <v>11</v>
      </c>
    </row>
    <row customHeight="1" ht="10.5">
      <c r="E8" s="2119"/>
      <c r="F8" s="3626" t="s">
        <v>318</v>
      </c>
      <c r="G8" s="3627"/>
      <c r="H8" s="3627"/>
      <c r="I8" s="3627"/>
      <c r="J8" s="3627"/>
      <c r="K8" s="3627"/>
      <c r="L8" s="3627"/>
      <c r="M8" s="3627"/>
      <c r="N8" s="3627"/>
      <c r="O8" s="3627"/>
      <c r="P8" s="3627"/>
      <c r="Q8" s="3627"/>
      <c r="R8" s="3627"/>
      <c r="S8" s="3627"/>
      <c r="T8" s="3627"/>
      <c r="U8" s="3627"/>
      <c r="V8" s="3627"/>
      <c r="W8" s="3627"/>
      <c r="X8" s="3627"/>
      <c r="Y8" s="3627"/>
      <c r="Z8" s="3627"/>
      <c r="AA8" s="3627"/>
      <c r="AB8" s="3627"/>
      <c r="AC8" s="3627"/>
      <c r="AD8" s="3627"/>
      <c r="AE8" s="3627"/>
      <c r="AF8" s="3627"/>
      <c r="AG8" s="3627"/>
      <c r="AH8" s="3627"/>
      <c r="AI8" s="3627"/>
      <c r="AJ8" s="3627"/>
      <c r="AK8" s="3628"/>
      <c r="AL8" s="2120"/>
      <c r="AM8" s="2118"/>
      <c r="AN8" s="2118"/>
      <c r="AO8" s="2118"/>
      <c r="AP8" s="2118"/>
      <c r="AQ8" s="2118"/>
      <c r="AR8" s="2118"/>
      <c r="AS8" s="2118"/>
      <c r="AT8" s="2118"/>
      <c r="AU8" s="2118"/>
      <c r="AV8" s="2118"/>
      <c r="AW8" s="2118"/>
      <c r="AX8" s="2118"/>
      <c r="AY8" s="2118"/>
      <c r="AZ8" s="2118"/>
      <c r="BA8" s="2118"/>
      <c r="BB8" s="2118"/>
      <c r="BC8" s="2118"/>
      <c r="BD8" s="2118"/>
      <c r="BE8" s="2118"/>
      <c r="BF8" s="2118"/>
      <c r="BG8" s="1969">
        <v>10</v>
      </c>
    </row>
    <row customHeight="1" ht="24">
      <c r="A9" s="2116"/>
      <c r="B9" s="2116"/>
      <c r="C9" s="2116"/>
      <c r="E9" s="2119"/>
      <c r="F9" s="3619" t="s">
        <v>1170</v>
      </c>
      <c r="G9" s="3620" t="s">
        <v>1171</v>
      </c>
      <c r="H9" s="3621"/>
      <c r="I9" s="3338" t="s">
        <v>1172</v>
      </c>
      <c r="J9" s="3338"/>
      <c r="K9" s="3338" t="s">
        <v>1173</v>
      </c>
      <c r="L9" s="3338"/>
      <c r="M9" s="3338"/>
      <c r="N9" s="3338"/>
      <c r="O9" s="3338"/>
      <c r="P9" s="3338"/>
      <c r="Q9" s="3338"/>
      <c r="R9" s="3338"/>
      <c r="S9" s="3338"/>
      <c r="T9" s="3338"/>
      <c r="U9" s="3338"/>
      <c r="V9" s="3338"/>
      <c r="W9" s="3338"/>
      <c r="X9" s="3338"/>
      <c r="Y9" s="3338"/>
      <c r="Z9" s="3403" t="s">
        <v>1174</v>
      </c>
      <c r="AA9" s="3404"/>
      <c r="AB9" s="3338" t="s">
        <v>1175</v>
      </c>
      <c r="AC9" s="3338"/>
      <c r="AD9" s="3338"/>
      <c r="AE9" s="3338"/>
      <c r="AF9" s="3386" t="s">
        <v>1176</v>
      </c>
      <c r="AG9" s="3338" t="s">
        <v>1177</v>
      </c>
      <c r="AH9" s="3338"/>
      <c r="AI9" s="3386" t="s">
        <v>1178</v>
      </c>
      <c r="AJ9" s="3338" t="s">
        <v>1179</v>
      </c>
      <c r="AK9" s="3338"/>
      <c r="AL9" s="2353"/>
      <c r="AM9" s="2118"/>
      <c r="AN9" s="2118"/>
      <c r="AO9" s="2118"/>
      <c r="AP9" s="2118"/>
      <c r="AQ9" s="2118"/>
      <c r="AR9" s="2118"/>
      <c r="AS9" s="2118"/>
      <c r="AT9" s="2118"/>
      <c r="AU9" s="2118"/>
      <c r="AV9" s="2118"/>
      <c r="AW9" s="2118"/>
      <c r="AX9" s="2118"/>
      <c r="AY9" s="2118"/>
      <c r="AZ9" s="2118"/>
      <c r="BA9" s="2118"/>
      <c r="BB9" s="2118"/>
      <c r="BC9" s="2118"/>
      <c r="BD9" s="2118"/>
      <c r="BE9" s="2118"/>
      <c r="BF9" s="2118"/>
      <c r="BG9" s="1969">
        <v>23</v>
      </c>
    </row>
    <row customHeight="1" ht="25.2">
      <c r="A10" s="2116"/>
      <c r="B10" s="2116"/>
      <c r="C10" s="2116"/>
      <c r="E10" s="2123"/>
      <c r="F10" s="3619"/>
      <c r="G10" s="3622"/>
      <c r="H10" s="3623"/>
      <c r="I10" s="3338"/>
      <c r="J10" s="3338"/>
      <c r="K10" s="3338" t="s">
        <v>1180</v>
      </c>
      <c r="L10" s="3312" t="s">
        <v>1181</v>
      </c>
      <c r="M10" s="3314"/>
      <c r="N10" s="3338" t="s">
        <v>1182</v>
      </c>
      <c r="O10" s="3338"/>
      <c r="P10" s="3338"/>
      <c r="Q10" s="3338"/>
      <c r="R10" s="3338"/>
      <c r="S10" s="3338"/>
      <c r="T10" s="3338"/>
      <c r="U10" s="3338"/>
      <c r="V10" s="3338"/>
      <c r="W10" s="3338"/>
      <c r="X10" s="3338"/>
      <c r="Y10" s="3338"/>
      <c r="Z10" s="3405"/>
      <c r="AA10" s="3406"/>
      <c r="AB10" s="3338"/>
      <c r="AC10" s="3338"/>
      <c r="AD10" s="3338"/>
      <c r="AE10" s="3338"/>
      <c r="AF10" s="3410"/>
      <c r="AG10" s="3338"/>
      <c r="AH10" s="3338"/>
      <c r="AI10" s="3410"/>
      <c r="AJ10" s="3338"/>
      <c r="AK10" s="3338"/>
      <c r="AL10" s="2353"/>
      <c r="AM10" s="2124"/>
      <c r="AN10" s="2124"/>
      <c r="AO10" s="2124"/>
      <c r="AP10" s="2124"/>
      <c r="AQ10" s="2124"/>
      <c r="AR10" s="2124"/>
      <c r="AS10" s="2124"/>
      <c r="AT10" s="2124"/>
      <c r="AU10" s="2124"/>
      <c r="AV10" s="2124"/>
      <c r="AW10" s="2124"/>
      <c r="AX10" s="2124"/>
      <c r="AY10" s="2124"/>
      <c r="AZ10" s="2124"/>
      <c r="BA10" s="2124"/>
      <c r="BB10" s="2124"/>
      <c r="BC10" s="2124"/>
      <c r="BD10" s="2124"/>
      <c r="BE10" s="2124"/>
      <c r="BF10" s="2124"/>
      <c r="BG10" s="1969">
        <v>24</v>
      </c>
    </row>
    <row s="66903" customFormat="1" customHeight="1" ht="25.2">
      <c r="A11" s="2340"/>
      <c r="B11" s="2340"/>
      <c r="C11" s="2340"/>
      <c r="D11" s="2339"/>
      <c r="E11" s="2341"/>
      <c r="F11" s="3619"/>
      <c r="G11" s="3622"/>
      <c r="H11" s="3623"/>
      <c r="I11" s="3338"/>
      <c r="J11" s="3338"/>
      <c r="K11" s="3338"/>
      <c r="L11" s="3386" t="s">
        <v>1183</v>
      </c>
      <c r="M11" s="3386" t="s">
        <v>1184</v>
      </c>
      <c r="N11" s="3338" t="s">
        <v>1185</v>
      </c>
      <c r="O11" s="3338"/>
      <c r="P11" s="3629" t="s">
        <v>1152</v>
      </c>
      <c r="Q11" s="3629" t="s">
        <v>1186</v>
      </c>
      <c r="R11" s="3629" t="s">
        <v>1187</v>
      </c>
      <c r="S11" s="3629" t="s">
        <v>1188</v>
      </c>
      <c r="T11" s="3629"/>
      <c r="U11" s="3629"/>
      <c r="V11" s="3629"/>
      <c r="W11" s="3629"/>
      <c r="X11" s="3629"/>
      <c r="Y11" s="3629"/>
      <c r="Z11" s="3405"/>
      <c r="AA11" s="3406"/>
      <c r="AB11" s="3338" t="s">
        <v>1189</v>
      </c>
      <c r="AC11" s="3338"/>
      <c r="AD11" s="3312" t="s">
        <v>1190</v>
      </c>
      <c r="AE11" s="3314"/>
      <c r="AF11" s="3410"/>
      <c r="AG11" s="3338"/>
      <c r="AH11" s="3338"/>
      <c r="AI11" s="3410"/>
      <c r="AJ11" s="3338"/>
      <c r="AK11" s="3338"/>
      <c r="AL11" s="2353"/>
      <c r="AM11" s="2338"/>
      <c r="AN11" s="2338"/>
      <c r="AO11" s="2338"/>
      <c r="AP11" s="2338"/>
      <c r="AQ11" s="2338"/>
      <c r="AR11" s="2338"/>
      <c r="AS11" s="2338"/>
      <c r="AT11" s="2338"/>
      <c r="AU11" s="2338"/>
      <c r="AV11" s="2338"/>
      <c r="AW11" s="2338"/>
      <c r="AX11" s="2338"/>
      <c r="AY11" s="2338"/>
      <c r="AZ11" s="2338"/>
      <c r="BA11" s="2338"/>
      <c r="BB11" s="2338"/>
      <c r="BC11" s="2338"/>
      <c r="BD11" s="2338"/>
      <c r="BE11" s="2338"/>
      <c r="BF11" s="2338"/>
      <c r="BG11" s="2336">
        <v>24</v>
      </c>
    </row>
    <row customHeight="1" ht="35.699999999999996">
      <c r="A12" s="2116"/>
      <c r="B12" s="2116"/>
      <c r="C12" s="2116"/>
      <c r="E12" s="2119"/>
      <c r="F12" s="3619"/>
      <c r="G12" s="3624"/>
      <c r="H12" s="3625"/>
      <c r="I12" s="2364" t="s">
        <v>89</v>
      </c>
      <c r="J12" s="2364" t="s">
        <v>1191</v>
      </c>
      <c r="K12" s="3338"/>
      <c r="L12" s="3443"/>
      <c r="M12" s="3443"/>
      <c r="N12" s="3338"/>
      <c r="O12" s="3338"/>
      <c r="P12" s="3629"/>
      <c r="Q12" s="3629"/>
      <c r="R12" s="3629"/>
      <c r="S12" s="2345" t="s">
        <v>86</v>
      </c>
      <c r="T12" s="2345" t="s">
        <v>87</v>
      </c>
      <c r="U12" s="2345" t="s">
        <v>85</v>
      </c>
      <c r="V12" s="2345" t="s">
        <v>1192</v>
      </c>
      <c r="W12" s="2345" t="s">
        <v>85</v>
      </c>
      <c r="X12" s="2345" t="s">
        <v>1193</v>
      </c>
      <c r="Y12" s="2345" t="s">
        <v>1194</v>
      </c>
      <c r="Z12" s="3411"/>
      <c r="AA12" s="3412"/>
      <c r="AB12" s="2352" t="s">
        <v>1195</v>
      </c>
      <c r="AC12" s="2352" t="s">
        <v>1196</v>
      </c>
      <c r="AD12" s="2352" t="s">
        <v>1195</v>
      </c>
      <c r="AE12" s="2352" t="s">
        <v>1196</v>
      </c>
      <c r="AF12" s="3443"/>
      <c r="AG12" s="2365" t="s">
        <v>1197</v>
      </c>
      <c r="AH12" s="2365" t="s">
        <v>1198</v>
      </c>
      <c r="AI12" s="3443"/>
      <c r="AJ12" s="2365" t="s">
        <v>1197</v>
      </c>
      <c r="AK12" s="2365" t="s">
        <v>1198</v>
      </c>
      <c r="AL12" s="2353"/>
      <c r="AM12" s="2118"/>
      <c r="AN12" s="2118"/>
      <c r="AO12" s="2118"/>
      <c r="AP12" s="2118"/>
      <c r="AQ12" s="2118"/>
      <c r="AR12" s="2118"/>
      <c r="AS12" s="2118"/>
      <c r="AT12" s="2118"/>
      <c r="AU12" s="2118"/>
      <c r="AV12" s="2118"/>
      <c r="AW12" s="2118"/>
      <c r="AX12" s="2118"/>
      <c r="AY12" s="2118"/>
      <c r="AZ12" s="2118"/>
      <c r="BA12" s="2118"/>
      <c r="BB12" s="2118"/>
      <c r="BC12" s="2118"/>
      <c r="BD12" s="2118"/>
      <c r="BE12" s="2118"/>
      <c r="BF12" s="2118"/>
      <c r="BG12" s="1969">
        <v>34</v>
      </c>
    </row>
    <row customHeight="1" ht="1.05">
      <c r="E13" s="2119"/>
      <c r="F13" s="2335">
        <v>0</v>
      </c>
      <c r="G13" s="2335"/>
      <c r="H13" s="2335"/>
      <c r="I13" s="2335"/>
      <c r="J13" s="2335"/>
      <c r="K13" s="2342"/>
      <c r="L13" s="2342"/>
      <c r="M13" s="2342"/>
      <c r="N13" s="2342"/>
      <c r="O13" s="2342"/>
      <c r="P13" s="2342"/>
      <c r="Q13" s="2342"/>
      <c r="R13" s="2342"/>
      <c r="S13" s="2342"/>
      <c r="T13" s="2342"/>
      <c r="U13" s="2342"/>
      <c r="V13" s="2342"/>
      <c r="W13" s="2342"/>
      <c r="X13" s="2342"/>
      <c r="Y13" s="2342"/>
      <c r="Z13" s="2342"/>
      <c r="AA13" s="2342"/>
      <c r="AB13" s="2342"/>
      <c r="AC13" s="2342"/>
      <c r="AD13" s="2342"/>
      <c r="AE13" s="2342"/>
      <c r="AF13" s="2342"/>
      <c r="AG13" s="2342"/>
      <c r="AH13" s="2360"/>
      <c r="AI13" s="2353"/>
      <c r="AJ13" s="2342"/>
      <c r="AK13" s="2342"/>
      <c r="AL13" s="2120"/>
      <c r="AM13" s="2118"/>
      <c r="AN13" s="2118"/>
      <c r="AO13" s="2118"/>
      <c r="AP13" s="2118"/>
      <c r="AQ13" s="2118"/>
      <c r="AR13" s="2118"/>
      <c r="AS13" s="2118"/>
      <c r="AT13" s="2118"/>
      <c r="AU13" s="2118"/>
      <c r="AV13" s="2118"/>
      <c r="AW13" s="2118"/>
      <c r="AX13" s="2118"/>
      <c r="AY13" s="2118"/>
      <c r="AZ13" s="2118"/>
      <c r="BA13" s="2118"/>
      <c r="BB13" s="2118"/>
      <c r="BC13" s="2118"/>
      <c r="BD13" s="2118"/>
      <c r="BE13" s="2118"/>
      <c r="BF13" s="2118"/>
      <c r="BG13" s="1969">
        <v>1</v>
      </c>
    </row>
    <row customHeight="1" ht="21">
      <c r="A14" s="2378" t="s">
        <v>1167</v>
      </c>
      <c r="B14" s="2377"/>
      <c r="C14" s="2377"/>
      <c r="D14" s="2371"/>
      <c r="E14" s="2381" t="s">
        <v>22</v>
      </c>
      <c r="F14" s="2333" t="str">
        <f>INDEX(IP_MAIN_LIST_NAME_IP,MATCH(A14,IP_MAIN_LIST_IP_ID,0))&amp;" ("&amp;INDEX(IP_MAIN_START_DATE,MATCH(A14,IP_MAIN_LIST_IP_ID,0))&amp;"-"&amp;INDEX(IP_MAIN_END_DATE,MATCH(A14,IP_MAIN_LIST_IP_ID,0))&amp;")"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 (01.01.2014-31.12.2025)</v>
      </c>
      <c r="G14" s="2334"/>
      <c r="H14" s="2334"/>
      <c r="I14" s="2396"/>
      <c r="J14" s="2396"/>
      <c r="K14" s="2397"/>
      <c r="L14" s="2397"/>
      <c r="M14" s="2397"/>
      <c r="N14" s="2398"/>
      <c r="O14" s="2398"/>
      <c r="P14" s="2398"/>
      <c r="Q14" s="2398"/>
      <c r="R14" s="2398"/>
      <c r="S14" s="2398"/>
      <c r="T14" s="2398"/>
      <c r="U14" s="2398"/>
      <c r="V14" s="2398"/>
      <c r="W14" s="2398"/>
      <c r="X14" s="2398"/>
      <c r="Y14" s="2398"/>
      <c r="Z14" s="2398"/>
      <c r="AA14" s="2398"/>
      <c r="AB14" s="2398"/>
      <c r="AC14" s="2398"/>
      <c r="AD14" s="2398"/>
      <c r="AE14" s="2399"/>
      <c r="AF14" s="2397"/>
      <c r="AG14" s="2397"/>
      <c r="AH14" s="2397"/>
      <c r="AI14" s="2397"/>
      <c r="AJ14" s="2397"/>
      <c r="AK14" s="2397"/>
      <c r="AL14" s="3199"/>
      <c r="AM14" s="3034"/>
      <c r="AN14" s="3034"/>
      <c r="AO14" s="3034"/>
      <c r="AP14" s="3034"/>
      <c r="AQ14" s="3034"/>
      <c r="AR14" s="3034"/>
      <c r="AS14" s="3034"/>
      <c r="AT14" s="3034"/>
      <c r="AU14" s="3034"/>
      <c r="AV14" s="3034"/>
      <c r="AW14" s="3034"/>
      <c r="AX14" s="3034"/>
      <c r="AY14" s="3034"/>
      <c r="AZ14" s="3034"/>
      <c r="BA14" s="3034"/>
      <c r="BB14" s="3034"/>
      <c r="BC14" s="3034"/>
      <c r="BD14" s="3034"/>
      <c r="BE14" s="3034"/>
      <c r="BF14" s="3034"/>
      <c r="BG14" s="8042"/>
    </row>
    <row customHeight="1" ht="0.75">
      <c r="A15" s="2377" t="s">
        <v>1167</v>
      </c>
      <c r="B15" s="2377"/>
      <c r="C15" s="2377"/>
      <c r="D15" s="2371"/>
      <c r="E15" s="2381"/>
      <c r="F15" s="3747">
        <v>2014</v>
      </c>
      <c r="G15" s="3726"/>
      <c r="H15" s="3751" t="s">
        <v>394</v>
      </c>
      <c r="I15" s="3752"/>
      <c r="J15" s="3753"/>
      <c r="K15" s="3753"/>
      <c r="L15" s="3745"/>
      <c r="M15" s="3479"/>
      <c r="N15" s="3247"/>
      <c r="O15" s="3246"/>
      <c r="P15" s="3247"/>
      <c r="Q15" s="3247"/>
      <c r="R15" s="3247"/>
      <c r="S15" s="3247"/>
      <c r="T15" s="3247"/>
      <c r="U15" s="3247"/>
      <c r="V15" s="3247"/>
      <c r="W15" s="3247"/>
      <c r="X15" s="3247"/>
      <c r="Y15" s="3247"/>
      <c r="Z15" s="3247"/>
      <c r="AA15" s="3247"/>
      <c r="AB15" s="3247"/>
      <c r="AC15" s="3247"/>
      <c r="AD15" s="3247"/>
      <c r="AE15" s="3247"/>
      <c r="AF15" s="3749"/>
      <c r="AG15" s="3745"/>
      <c r="AH15" s="3745"/>
      <c r="AI15" s="3749"/>
      <c r="AJ15" s="3745"/>
      <c r="AK15" s="3745"/>
      <c r="AL15" s="3199"/>
      <c r="AM15" s="3034"/>
      <c r="AN15" s="3034"/>
      <c r="AO15" s="3034"/>
      <c r="AP15" s="3034"/>
      <c r="AQ15" s="3034"/>
      <c r="AR15" s="3034"/>
      <c r="AS15" s="3034"/>
      <c r="AT15" s="3034"/>
      <c r="AU15" s="3034"/>
      <c r="AV15" s="3034"/>
      <c r="AW15" s="3034"/>
      <c r="AX15" s="3034"/>
      <c r="AY15" s="3034"/>
      <c r="AZ15" s="3034"/>
      <c r="BA15" s="3034"/>
      <c r="BB15" s="3034"/>
      <c r="BC15" s="3034"/>
      <c r="BD15" s="3034"/>
      <c r="BE15" s="3034"/>
      <c r="BF15" s="3034"/>
      <c r="BG15" s="8042"/>
    </row>
    <row customHeight="1" ht="0.75">
      <c r="A16" s="2377" t="s">
        <v>1167</v>
      </c>
      <c r="B16" s="2377"/>
      <c r="C16" s="2377"/>
      <c r="D16" s="2371"/>
      <c r="E16" s="2381"/>
      <c r="F16" s="3747"/>
      <c r="G16" s="3726"/>
      <c r="H16" s="3751"/>
      <c r="I16" s="3752"/>
      <c r="J16" s="3753"/>
      <c r="K16" s="3753"/>
      <c r="L16" s="3745"/>
      <c r="M16" s="3479"/>
      <c r="N16" s="3754"/>
      <c r="O16" s="3755"/>
      <c r="P16" s="3799"/>
      <c r="Q16" s="3750"/>
      <c r="R16" s="3750"/>
      <c r="S16" s="3750"/>
      <c r="T16" s="3750"/>
      <c r="U16" s="3750"/>
      <c r="V16" s="3750"/>
      <c r="W16" s="3750"/>
      <c r="X16" s="3750"/>
      <c r="Y16" s="3750"/>
      <c r="Z16" s="3248"/>
      <c r="AA16" s="3249"/>
      <c r="AB16" s="3249"/>
      <c r="AC16" s="3250"/>
      <c r="AD16" s="3250"/>
      <c r="AE16" s="3251"/>
      <c r="AF16" s="3749"/>
      <c r="AG16" s="3745"/>
      <c r="AH16" s="3745"/>
      <c r="AI16" s="3749"/>
      <c r="AJ16" s="3745"/>
      <c r="AK16" s="3745"/>
      <c r="AL16" s="3199"/>
      <c r="AM16" s="3034"/>
      <c r="AN16" s="3034"/>
      <c r="AO16" s="3034"/>
      <c r="AP16" s="3034"/>
      <c r="AQ16" s="3034"/>
      <c r="AR16" s="3034"/>
      <c r="AS16" s="3034"/>
      <c r="AT16" s="3034"/>
      <c r="AU16" s="3034"/>
      <c r="AV16" s="3034"/>
      <c r="AW16" s="3034"/>
      <c r="AX16" s="3034"/>
      <c r="AY16" s="3034"/>
      <c r="AZ16" s="3034"/>
      <c r="BA16" s="3034"/>
      <c r="BB16" s="3034"/>
      <c r="BC16" s="3034"/>
      <c r="BD16" s="3034"/>
      <c r="BE16" s="3034"/>
      <c r="BF16" s="3034"/>
      <c r="BG16" s="8042"/>
    </row>
    <row customHeight="1" ht="0.75">
      <c r="A17" s="2377" t="s">
        <v>1167</v>
      </c>
      <c r="B17" s="2377"/>
      <c r="C17" s="2377"/>
      <c r="D17" s="2371"/>
      <c r="E17" s="2381"/>
      <c r="F17" s="3747"/>
      <c r="G17" s="3726"/>
      <c r="H17" s="3751"/>
      <c r="I17" s="3752"/>
      <c r="J17" s="3753"/>
      <c r="K17" s="3753"/>
      <c r="L17" s="3745"/>
      <c r="M17" s="3479"/>
      <c r="N17" s="3754"/>
      <c r="O17" s="3755"/>
      <c r="P17" s="3800"/>
      <c r="Q17" s="3750"/>
      <c r="R17" s="3750"/>
      <c r="S17" s="3750"/>
      <c r="T17" s="3750"/>
      <c r="U17" s="3750"/>
      <c r="V17" s="3750"/>
      <c r="W17" s="3750"/>
      <c r="X17" s="3750"/>
      <c r="Y17" s="3750"/>
      <c r="Z17" s="3252"/>
      <c r="AA17" s="3253"/>
      <c r="AB17" s="3254"/>
      <c r="AC17" s="3255"/>
      <c r="AD17" s="3254"/>
      <c r="AE17" s="3255"/>
      <c r="AF17" s="3749"/>
      <c r="AG17" s="3745"/>
      <c r="AH17" s="3745"/>
      <c r="AI17" s="3749"/>
      <c r="AJ17" s="3745"/>
      <c r="AK17" s="3745"/>
      <c r="AL17" s="3199"/>
      <c r="AM17" s="3034"/>
      <c r="AN17" s="3034"/>
      <c r="AO17" s="3034"/>
      <c r="AP17" s="3034"/>
      <c r="AQ17" s="3034"/>
      <c r="AR17" s="3034"/>
      <c r="AS17" s="3034"/>
      <c r="AT17" s="3034"/>
      <c r="AU17" s="3034"/>
      <c r="AV17" s="3034"/>
      <c r="AW17" s="3034"/>
      <c r="AX17" s="3034"/>
      <c r="AY17" s="3034"/>
      <c r="AZ17" s="3034"/>
      <c r="BA17" s="3034"/>
      <c r="BB17" s="3034"/>
      <c r="BC17" s="3034"/>
      <c r="BD17" s="3034"/>
      <c r="BE17" s="3034"/>
      <c r="BF17" s="3034"/>
      <c r="BG17" s="8042"/>
    </row>
    <row customHeight="1" ht="0.75">
      <c r="A18" s="2377" t="s">
        <v>1167</v>
      </c>
      <c r="B18" s="2377"/>
      <c r="C18" s="2377"/>
      <c r="D18" s="2371"/>
      <c r="E18" s="2381"/>
      <c r="F18" s="3747"/>
      <c r="G18" s="3726"/>
      <c r="H18" s="3751"/>
      <c r="I18" s="3752"/>
      <c r="J18" s="3753"/>
      <c r="K18" s="3753"/>
      <c r="L18" s="3745"/>
      <c r="M18" s="3479"/>
      <c r="N18" s="3754"/>
      <c r="O18" s="3755"/>
      <c r="P18" s="3801"/>
      <c r="Q18" s="3750"/>
      <c r="R18" s="3750"/>
      <c r="S18" s="3750"/>
      <c r="T18" s="3750"/>
      <c r="U18" s="3750"/>
      <c r="V18" s="3750"/>
      <c r="W18" s="3750"/>
      <c r="X18" s="3750"/>
      <c r="Y18" s="3750"/>
      <c r="Z18" s="3248"/>
      <c r="AA18" s="3249"/>
      <c r="AB18" s="3256"/>
      <c r="AC18" s="3250"/>
      <c r="AD18" s="3250"/>
      <c r="AE18" s="3257"/>
      <c r="AF18" s="3749"/>
      <c r="AG18" s="3745"/>
      <c r="AH18" s="3745"/>
      <c r="AI18" s="3749"/>
      <c r="AJ18" s="3745"/>
      <c r="AK18" s="3745"/>
      <c r="AL18" s="3199"/>
      <c r="AM18" s="3034"/>
      <c r="AN18" s="3034"/>
      <c r="AO18" s="3034"/>
      <c r="AP18" s="3034"/>
      <c r="AQ18" s="3034"/>
      <c r="AR18" s="3034"/>
      <c r="AS18" s="3034"/>
      <c r="AT18" s="3034"/>
      <c r="AU18" s="3034"/>
      <c r="AV18" s="3034"/>
      <c r="AW18" s="3034"/>
      <c r="AX18" s="3034"/>
      <c r="AY18" s="3034"/>
      <c r="AZ18" s="3034"/>
      <c r="BA18" s="3034"/>
      <c r="BB18" s="3034"/>
      <c r="BC18" s="3034"/>
      <c r="BD18" s="3034"/>
      <c r="BE18" s="3034"/>
      <c r="BF18" s="3034"/>
      <c r="BG18" s="8042"/>
    </row>
    <row customHeight="1" ht="0.75">
      <c r="A19" s="2377" t="s">
        <v>1167</v>
      </c>
      <c r="B19" s="2377"/>
      <c r="C19" s="2377"/>
      <c r="D19" s="2371"/>
      <c r="E19" s="2381"/>
      <c r="F19" s="3747"/>
      <c r="G19" s="3726"/>
      <c r="H19" s="3751"/>
      <c r="I19" s="3752"/>
      <c r="J19" s="3753"/>
      <c r="K19" s="3753"/>
      <c r="L19" s="3745"/>
      <c r="M19" s="3479"/>
      <c r="N19" s="3249"/>
      <c r="O19" s="3249"/>
      <c r="P19" s="3256"/>
      <c r="Q19" s="3249"/>
      <c r="R19" s="3249"/>
      <c r="S19" s="3249"/>
      <c r="T19" s="3249"/>
      <c r="U19" s="3249"/>
      <c r="V19" s="3249"/>
      <c r="W19" s="3249"/>
      <c r="X19" s="3249"/>
      <c r="Y19" s="3249"/>
      <c r="Z19" s="3249"/>
      <c r="AA19" s="3249"/>
      <c r="AB19" s="3249"/>
      <c r="AC19" s="3249"/>
      <c r="AD19" s="3249"/>
      <c r="AE19" s="3258"/>
      <c r="AF19" s="3749"/>
      <c r="AG19" s="3745"/>
      <c r="AH19" s="3745"/>
      <c r="AI19" s="3749"/>
      <c r="AJ19" s="3745"/>
      <c r="AK19" s="3745"/>
      <c r="AL19" s="3199"/>
      <c r="AM19" s="3034"/>
      <c r="AN19" s="3034"/>
      <c r="AO19" s="3034"/>
      <c r="AP19" s="3034"/>
      <c r="AQ19" s="3034"/>
      <c r="AR19" s="3034"/>
      <c r="AS19" s="3034"/>
      <c r="AT19" s="3034"/>
      <c r="AU19" s="3034"/>
      <c r="AV19" s="3034"/>
      <c r="AW19" s="3034"/>
      <c r="AX19" s="3034"/>
      <c r="AY19" s="3034"/>
      <c r="AZ19" s="3034"/>
      <c r="BA19" s="3034"/>
      <c r="BB19" s="3034"/>
      <c r="BC19" s="3034"/>
      <c r="BD19" s="3034"/>
      <c r="BE19" s="3034"/>
      <c r="BF19" s="3034"/>
      <c r="BG19" s="8042"/>
    </row>
    <row customHeight="1" ht="12">
      <c r="A20" s="2377" t="s">
        <v>1167</v>
      </c>
      <c r="B20" s="2377"/>
      <c r="C20" s="2377"/>
      <c r="D20" s="2371"/>
      <c r="E20" s="2381"/>
      <c r="F20" s="3748"/>
      <c r="G20" s="2401"/>
      <c r="H20" s="2401"/>
      <c r="I20" s="3746" t="s">
        <v>1199</v>
      </c>
      <c r="J20" s="3746"/>
      <c r="K20" s="3746"/>
      <c r="L20" s="2384"/>
      <c r="M20" s="2384"/>
      <c r="N20" s="2385"/>
      <c r="O20" s="2385"/>
      <c r="P20" s="2385"/>
      <c r="Q20" s="2385"/>
      <c r="R20" s="2385"/>
      <c r="S20" s="2385"/>
      <c r="T20" s="2385"/>
      <c r="U20" s="2385"/>
      <c r="V20" s="2385"/>
      <c r="W20" s="2385"/>
      <c r="X20" s="2385"/>
      <c r="Y20" s="2385"/>
      <c r="Z20" s="2385"/>
      <c r="AA20" s="2385"/>
      <c r="AB20" s="2385"/>
      <c r="AC20" s="2385"/>
      <c r="AD20" s="2385"/>
      <c r="AE20" s="2385"/>
      <c r="AF20" s="2385"/>
      <c r="AG20" s="2384"/>
      <c r="AH20" s="2384"/>
      <c r="AI20" s="2385"/>
      <c r="AJ20" s="2384"/>
      <c r="AK20" s="2385"/>
      <c r="AL20" s="3199"/>
      <c r="AM20" s="3034"/>
      <c r="AN20" s="3034"/>
      <c r="AO20" s="3034"/>
      <c r="AP20" s="3034"/>
      <c r="AQ20" s="3034"/>
      <c r="AR20" s="3034"/>
      <c r="AS20" s="3034"/>
      <c r="AT20" s="3034"/>
      <c r="AU20" s="3034"/>
      <c r="AV20" s="3034"/>
      <c r="AW20" s="3034"/>
      <c r="AX20" s="3034"/>
      <c r="AY20" s="3034"/>
      <c r="AZ20" s="3034"/>
      <c r="BA20" s="3034"/>
      <c r="BB20" s="3034"/>
      <c r="BC20" s="3034"/>
      <c r="BD20" s="3034"/>
      <c r="BE20" s="3034"/>
      <c r="BF20" s="3034"/>
      <c r="BG20" s="8042"/>
    </row>
    <row customHeight="1" ht="0.75">
      <c r="A21" s="2377" t="s">
        <v>1167</v>
      </c>
      <c r="B21" s="2377"/>
      <c r="C21" s="2377"/>
      <c r="D21" s="2371"/>
      <c r="E21" s="2381"/>
      <c r="F21" s="3747">
        <v>2015</v>
      </c>
      <c r="G21" s="3726"/>
      <c r="H21" s="3751" t="s">
        <v>394</v>
      </c>
      <c r="I21" s="3752"/>
      <c r="J21" s="3753"/>
      <c r="K21" s="3753"/>
      <c r="L21" s="3745"/>
      <c r="M21" s="3479"/>
      <c r="N21" s="3247"/>
      <c r="O21" s="3246"/>
      <c r="P21" s="3247"/>
      <c r="Q21" s="3247"/>
      <c r="R21" s="3247"/>
      <c r="S21" s="3247"/>
      <c r="T21" s="3247"/>
      <c r="U21" s="3247"/>
      <c r="V21" s="3247"/>
      <c r="W21" s="3247"/>
      <c r="X21" s="3247"/>
      <c r="Y21" s="3247"/>
      <c r="Z21" s="3247"/>
      <c r="AA21" s="3247"/>
      <c r="AB21" s="3247"/>
      <c r="AC21" s="3247"/>
      <c r="AD21" s="3247"/>
      <c r="AE21" s="3247"/>
      <c r="AF21" s="3749"/>
      <c r="AG21" s="3745"/>
      <c r="AH21" s="3745"/>
      <c r="AI21" s="3749"/>
      <c r="AJ21" s="3745"/>
      <c r="AK21" s="3745"/>
      <c r="AL21" s="3199"/>
      <c r="AM21" s="3034"/>
      <c r="AN21" s="3034"/>
      <c r="AO21" s="3034"/>
      <c r="AP21" s="3034"/>
      <c r="AQ21" s="3034"/>
      <c r="AR21" s="3034"/>
      <c r="AS21" s="3034"/>
      <c r="AT21" s="3034"/>
      <c r="AU21" s="3034"/>
      <c r="AV21" s="3034"/>
      <c r="AW21" s="3034"/>
      <c r="AX21" s="3034"/>
      <c r="AY21" s="3034"/>
      <c r="AZ21" s="3034"/>
      <c r="BA21" s="3034"/>
      <c r="BB21" s="3034"/>
      <c r="BC21" s="3034"/>
      <c r="BD21" s="3034"/>
      <c r="BE21" s="3034"/>
      <c r="BF21" s="3034"/>
      <c r="BG21" s="8042"/>
    </row>
    <row customHeight="1" ht="0.75">
      <c r="A22" s="2377" t="s">
        <v>1167</v>
      </c>
      <c r="B22" s="2377"/>
      <c r="C22" s="2377"/>
      <c r="D22" s="2371"/>
      <c r="E22" s="2381"/>
      <c r="F22" s="3747"/>
      <c r="G22" s="3726"/>
      <c r="H22" s="3751"/>
      <c r="I22" s="3752"/>
      <c r="J22" s="3753"/>
      <c r="K22" s="3753"/>
      <c r="L22" s="3745"/>
      <c r="M22" s="3479"/>
      <c r="N22" s="3754"/>
      <c r="O22" s="3755"/>
      <c r="P22" s="3799"/>
      <c r="Q22" s="3750"/>
      <c r="R22" s="3750"/>
      <c r="S22" s="3750"/>
      <c r="T22" s="3750"/>
      <c r="U22" s="3750"/>
      <c r="V22" s="3750"/>
      <c r="W22" s="3750"/>
      <c r="X22" s="3750"/>
      <c r="Y22" s="3750"/>
      <c r="Z22" s="3248"/>
      <c r="AA22" s="3249"/>
      <c r="AB22" s="3249"/>
      <c r="AC22" s="3250"/>
      <c r="AD22" s="3250"/>
      <c r="AE22" s="3251"/>
      <c r="AF22" s="3749"/>
      <c r="AG22" s="3745"/>
      <c r="AH22" s="3745"/>
      <c r="AI22" s="3749"/>
      <c r="AJ22" s="3745"/>
      <c r="AK22" s="3745"/>
      <c r="AL22" s="3199"/>
      <c r="AM22" s="3034"/>
      <c r="AN22" s="3034"/>
      <c r="AO22" s="3034"/>
      <c r="AP22" s="3034"/>
      <c r="AQ22" s="3034"/>
      <c r="AR22" s="3034"/>
      <c r="AS22" s="3034"/>
      <c r="AT22" s="3034"/>
      <c r="AU22" s="3034"/>
      <c r="AV22" s="3034"/>
      <c r="AW22" s="3034"/>
      <c r="AX22" s="3034"/>
      <c r="AY22" s="3034"/>
      <c r="AZ22" s="3034"/>
      <c r="BA22" s="3034"/>
      <c r="BB22" s="3034"/>
      <c r="BC22" s="3034"/>
      <c r="BD22" s="3034"/>
      <c r="BE22" s="3034"/>
      <c r="BF22" s="3034"/>
      <c r="BG22" s="8042"/>
    </row>
    <row customHeight="1" ht="0.75">
      <c r="A23" s="2377" t="s">
        <v>1167</v>
      </c>
      <c r="B23" s="2377"/>
      <c r="C23" s="2377"/>
      <c r="D23" s="2371"/>
      <c r="E23" s="2381"/>
      <c r="F23" s="3747"/>
      <c r="G23" s="3726"/>
      <c r="H23" s="3751"/>
      <c r="I23" s="3752"/>
      <c r="J23" s="3753"/>
      <c r="K23" s="3753"/>
      <c r="L23" s="3745"/>
      <c r="M23" s="3479"/>
      <c r="N23" s="3754"/>
      <c r="O23" s="3755"/>
      <c r="P23" s="3800"/>
      <c r="Q23" s="3750"/>
      <c r="R23" s="3750"/>
      <c r="S23" s="3750"/>
      <c r="T23" s="3750"/>
      <c r="U23" s="3750"/>
      <c r="V23" s="3750"/>
      <c r="W23" s="3750"/>
      <c r="X23" s="3750"/>
      <c r="Y23" s="3750"/>
      <c r="Z23" s="3252"/>
      <c r="AA23" s="3253"/>
      <c r="AB23" s="3254"/>
      <c r="AC23" s="3255"/>
      <c r="AD23" s="3254"/>
      <c r="AE23" s="3255"/>
      <c r="AF23" s="3749"/>
      <c r="AG23" s="3745"/>
      <c r="AH23" s="3745"/>
      <c r="AI23" s="3749"/>
      <c r="AJ23" s="3745"/>
      <c r="AK23" s="3745"/>
      <c r="AL23" s="3199"/>
      <c r="AM23" s="3034"/>
      <c r="AN23" s="3034"/>
      <c r="AO23" s="3034"/>
      <c r="AP23" s="3034"/>
      <c r="AQ23" s="3034"/>
      <c r="AR23" s="3034"/>
      <c r="AS23" s="3034"/>
      <c r="AT23" s="3034"/>
      <c r="AU23" s="3034"/>
      <c r="AV23" s="3034"/>
      <c r="AW23" s="3034"/>
      <c r="AX23" s="3034"/>
      <c r="AY23" s="3034"/>
      <c r="AZ23" s="3034"/>
      <c r="BA23" s="3034"/>
      <c r="BB23" s="3034"/>
      <c r="BC23" s="3034"/>
      <c r="BD23" s="3034"/>
      <c r="BE23" s="3034"/>
      <c r="BF23" s="3034"/>
      <c r="BG23" s="8042"/>
    </row>
    <row customHeight="1" ht="0.75">
      <c r="A24" s="2377" t="s">
        <v>1167</v>
      </c>
      <c r="B24" s="2377"/>
      <c r="C24" s="2377"/>
      <c r="D24" s="2371"/>
      <c r="E24" s="2381"/>
      <c r="F24" s="3747"/>
      <c r="G24" s="3726"/>
      <c r="H24" s="3751"/>
      <c r="I24" s="3752"/>
      <c r="J24" s="3753"/>
      <c r="K24" s="3753"/>
      <c r="L24" s="3745"/>
      <c r="M24" s="3479"/>
      <c r="N24" s="3754"/>
      <c r="O24" s="3755"/>
      <c r="P24" s="3801"/>
      <c r="Q24" s="3750"/>
      <c r="R24" s="3750"/>
      <c r="S24" s="3750"/>
      <c r="T24" s="3750"/>
      <c r="U24" s="3750"/>
      <c r="V24" s="3750"/>
      <c r="W24" s="3750"/>
      <c r="X24" s="3750"/>
      <c r="Y24" s="3750"/>
      <c r="Z24" s="3248"/>
      <c r="AA24" s="3249"/>
      <c r="AB24" s="3256"/>
      <c r="AC24" s="3250"/>
      <c r="AD24" s="3250"/>
      <c r="AE24" s="3257"/>
      <c r="AF24" s="3749"/>
      <c r="AG24" s="3745"/>
      <c r="AH24" s="3745"/>
      <c r="AI24" s="3749"/>
      <c r="AJ24" s="3745"/>
      <c r="AK24" s="3745"/>
      <c r="AL24" s="3199"/>
      <c r="AM24" s="3034"/>
      <c r="AN24" s="3034"/>
      <c r="AO24" s="3034"/>
      <c r="AP24" s="3034"/>
      <c r="AQ24" s="3034"/>
      <c r="AR24" s="3034"/>
      <c r="AS24" s="3034"/>
      <c r="AT24" s="3034"/>
      <c r="AU24" s="3034"/>
      <c r="AV24" s="3034"/>
      <c r="AW24" s="3034"/>
      <c r="AX24" s="3034"/>
      <c r="AY24" s="3034"/>
      <c r="AZ24" s="3034"/>
      <c r="BA24" s="3034"/>
      <c r="BB24" s="3034"/>
      <c r="BC24" s="3034"/>
      <c r="BD24" s="3034"/>
      <c r="BE24" s="3034"/>
      <c r="BF24" s="3034"/>
      <c r="BG24" s="8042"/>
    </row>
    <row customHeight="1" ht="0.75">
      <c r="A25" s="2377" t="s">
        <v>1167</v>
      </c>
      <c r="B25" s="2377"/>
      <c r="C25" s="2377"/>
      <c r="D25" s="2371"/>
      <c r="E25" s="2381"/>
      <c r="F25" s="3747"/>
      <c r="G25" s="3726"/>
      <c r="H25" s="3751"/>
      <c r="I25" s="3752"/>
      <c r="J25" s="3753"/>
      <c r="K25" s="3753"/>
      <c r="L25" s="3745"/>
      <c r="M25" s="3479"/>
      <c r="N25" s="3249"/>
      <c r="O25" s="3249"/>
      <c r="P25" s="3256"/>
      <c r="Q25" s="3249"/>
      <c r="R25" s="3249"/>
      <c r="S25" s="3249"/>
      <c r="T25" s="3249"/>
      <c r="U25" s="3249"/>
      <c r="V25" s="3249"/>
      <c r="W25" s="3249"/>
      <c r="X25" s="3249"/>
      <c r="Y25" s="3249"/>
      <c r="Z25" s="3249"/>
      <c r="AA25" s="3249"/>
      <c r="AB25" s="3249"/>
      <c r="AC25" s="3249"/>
      <c r="AD25" s="3249"/>
      <c r="AE25" s="3258"/>
      <c r="AF25" s="3749"/>
      <c r="AG25" s="3745"/>
      <c r="AH25" s="3745"/>
      <c r="AI25" s="3749"/>
      <c r="AJ25" s="3745"/>
      <c r="AK25" s="3745"/>
      <c r="AL25" s="3199"/>
      <c r="AM25" s="3034"/>
      <c r="AN25" s="3034"/>
      <c r="AO25" s="3034"/>
      <c r="AP25" s="3034"/>
      <c r="AQ25" s="3034"/>
      <c r="AR25" s="3034"/>
      <c r="AS25" s="3034"/>
      <c r="AT25" s="3034"/>
      <c r="AU25" s="3034"/>
      <c r="AV25" s="3034"/>
      <c r="AW25" s="3034"/>
      <c r="AX25" s="3034"/>
      <c r="AY25" s="3034"/>
      <c r="AZ25" s="3034"/>
      <c r="BA25" s="3034"/>
      <c r="BB25" s="3034"/>
      <c r="BC25" s="3034"/>
      <c r="BD25" s="3034"/>
      <c r="BE25" s="3034"/>
      <c r="BF25" s="3034"/>
      <c r="BG25" s="8042"/>
    </row>
    <row customHeight="1" ht="12">
      <c r="A26" s="2377" t="s">
        <v>1167</v>
      </c>
      <c r="B26" s="2377"/>
      <c r="C26" s="2377"/>
      <c r="D26" s="2371"/>
      <c r="E26" s="2381"/>
      <c r="F26" s="3748"/>
      <c r="G26" s="2401"/>
      <c r="H26" s="2401"/>
      <c r="I26" s="3746" t="s">
        <v>1199</v>
      </c>
      <c r="J26" s="3746"/>
      <c r="K26" s="3746"/>
      <c r="L26" s="2384"/>
      <c r="M26" s="2384"/>
      <c r="N26" s="2385"/>
      <c r="O26" s="2385"/>
      <c r="P26" s="2385"/>
      <c r="Q26" s="2385"/>
      <c r="R26" s="2385"/>
      <c r="S26" s="2385"/>
      <c r="T26" s="2385"/>
      <c r="U26" s="2385"/>
      <c r="V26" s="2385"/>
      <c r="W26" s="2385"/>
      <c r="X26" s="2385"/>
      <c r="Y26" s="2385"/>
      <c r="Z26" s="2385"/>
      <c r="AA26" s="2385"/>
      <c r="AB26" s="2385"/>
      <c r="AC26" s="2385"/>
      <c r="AD26" s="2385"/>
      <c r="AE26" s="2385"/>
      <c r="AF26" s="2385"/>
      <c r="AG26" s="2384"/>
      <c r="AH26" s="2384"/>
      <c r="AI26" s="2385"/>
      <c r="AJ26" s="2384"/>
      <c r="AK26" s="2385"/>
      <c r="AL26" s="3199"/>
      <c r="AM26" s="3034"/>
      <c r="AN26" s="3034"/>
      <c r="AO26" s="3034"/>
      <c r="AP26" s="3034"/>
      <c r="AQ26" s="3034"/>
      <c r="AR26" s="3034"/>
      <c r="AS26" s="3034"/>
      <c r="AT26" s="3034"/>
      <c r="AU26" s="3034"/>
      <c r="AV26" s="3034"/>
      <c r="AW26" s="3034"/>
      <c r="AX26" s="3034"/>
      <c r="AY26" s="3034"/>
      <c r="AZ26" s="3034"/>
      <c r="BA26" s="3034"/>
      <c r="BB26" s="3034"/>
      <c r="BC26" s="3034"/>
      <c r="BD26" s="3034"/>
      <c r="BE26" s="3034"/>
      <c r="BF26" s="3034"/>
      <c r="BG26" s="8042"/>
    </row>
    <row customHeight="1" ht="0.75">
      <c r="A27" s="2377" t="s">
        <v>1167</v>
      </c>
      <c r="B27" s="2377"/>
      <c r="C27" s="2377"/>
      <c r="D27" s="2371"/>
      <c r="E27" s="2381"/>
      <c r="F27" s="3747">
        <v>2016</v>
      </c>
      <c r="G27" s="3726"/>
      <c r="H27" s="3751" t="s">
        <v>394</v>
      </c>
      <c r="I27" s="3752"/>
      <c r="J27" s="3753"/>
      <c r="K27" s="3753"/>
      <c r="L27" s="3745"/>
      <c r="M27" s="3479"/>
      <c r="N27" s="3247"/>
      <c r="O27" s="3246"/>
      <c r="P27" s="3247"/>
      <c r="Q27" s="3247"/>
      <c r="R27" s="3247"/>
      <c r="S27" s="3247"/>
      <c r="T27" s="3247"/>
      <c r="U27" s="3247"/>
      <c r="V27" s="3247"/>
      <c r="W27" s="3247"/>
      <c r="X27" s="3247"/>
      <c r="Y27" s="3247"/>
      <c r="Z27" s="3247"/>
      <c r="AA27" s="3247"/>
      <c r="AB27" s="3247"/>
      <c r="AC27" s="3247"/>
      <c r="AD27" s="3247"/>
      <c r="AE27" s="3247"/>
      <c r="AF27" s="3749"/>
      <c r="AG27" s="3745"/>
      <c r="AH27" s="3745"/>
      <c r="AI27" s="3749"/>
      <c r="AJ27" s="3745"/>
      <c r="AK27" s="3745"/>
      <c r="AL27" s="3199"/>
      <c r="AM27" s="3034"/>
      <c r="AN27" s="3034"/>
      <c r="AO27" s="3034"/>
      <c r="AP27" s="3034"/>
      <c r="AQ27" s="3034"/>
      <c r="AR27" s="3034"/>
      <c r="AS27" s="3034"/>
      <c r="AT27" s="3034"/>
      <c r="AU27" s="3034"/>
      <c r="AV27" s="3034"/>
      <c r="AW27" s="3034"/>
      <c r="AX27" s="3034"/>
      <c r="AY27" s="3034"/>
      <c r="AZ27" s="3034"/>
      <c r="BA27" s="3034"/>
      <c r="BB27" s="3034"/>
      <c r="BC27" s="3034"/>
      <c r="BD27" s="3034"/>
      <c r="BE27" s="3034"/>
      <c r="BF27" s="3034"/>
      <c r="BG27" s="8042"/>
    </row>
    <row customHeight="1" ht="0.75">
      <c r="A28" s="2377" t="s">
        <v>1167</v>
      </c>
      <c r="B28" s="2377"/>
      <c r="C28" s="2377"/>
      <c r="D28" s="2371"/>
      <c r="E28" s="2381"/>
      <c r="F28" s="3747"/>
      <c r="G28" s="3726"/>
      <c r="H28" s="3751"/>
      <c r="I28" s="3752"/>
      <c r="J28" s="3753"/>
      <c r="K28" s="3753"/>
      <c r="L28" s="3745"/>
      <c r="M28" s="3479"/>
      <c r="N28" s="3754"/>
      <c r="O28" s="3755"/>
      <c r="P28" s="3799"/>
      <c r="Q28" s="3750"/>
      <c r="R28" s="3750"/>
      <c r="S28" s="3750"/>
      <c r="T28" s="3750"/>
      <c r="U28" s="3750"/>
      <c r="V28" s="3750"/>
      <c r="W28" s="3750"/>
      <c r="X28" s="3750"/>
      <c r="Y28" s="3750"/>
      <c r="Z28" s="3248"/>
      <c r="AA28" s="3249"/>
      <c r="AB28" s="3249"/>
      <c r="AC28" s="3250"/>
      <c r="AD28" s="3250"/>
      <c r="AE28" s="3251"/>
      <c r="AF28" s="3749"/>
      <c r="AG28" s="3745"/>
      <c r="AH28" s="3745"/>
      <c r="AI28" s="3749"/>
      <c r="AJ28" s="3745"/>
      <c r="AK28" s="3745"/>
      <c r="AL28" s="3199"/>
      <c r="AM28" s="3034"/>
      <c r="AN28" s="3034"/>
      <c r="AO28" s="3034"/>
      <c r="AP28" s="3034"/>
      <c r="AQ28" s="3034"/>
      <c r="AR28" s="3034"/>
      <c r="AS28" s="3034"/>
      <c r="AT28" s="3034"/>
      <c r="AU28" s="3034"/>
      <c r="AV28" s="3034"/>
      <c r="AW28" s="3034"/>
      <c r="AX28" s="3034"/>
      <c r="AY28" s="3034"/>
      <c r="AZ28" s="3034"/>
      <c r="BA28" s="3034"/>
      <c r="BB28" s="3034"/>
      <c r="BC28" s="3034"/>
      <c r="BD28" s="3034"/>
      <c r="BE28" s="3034"/>
      <c r="BF28" s="3034"/>
      <c r="BG28" s="8042"/>
    </row>
    <row customHeight="1" ht="0.75">
      <c r="A29" s="2377" t="s">
        <v>1167</v>
      </c>
      <c r="B29" s="2377"/>
      <c r="C29" s="2377"/>
      <c r="D29" s="2371"/>
      <c r="E29" s="2381"/>
      <c r="F29" s="3747"/>
      <c r="G29" s="3726"/>
      <c r="H29" s="3751"/>
      <c r="I29" s="3752"/>
      <c r="J29" s="3753"/>
      <c r="K29" s="3753"/>
      <c r="L29" s="3745"/>
      <c r="M29" s="3479"/>
      <c r="N29" s="3754"/>
      <c r="O29" s="3755"/>
      <c r="P29" s="3800"/>
      <c r="Q29" s="3750"/>
      <c r="R29" s="3750"/>
      <c r="S29" s="3750"/>
      <c r="T29" s="3750"/>
      <c r="U29" s="3750"/>
      <c r="V29" s="3750"/>
      <c r="W29" s="3750"/>
      <c r="X29" s="3750"/>
      <c r="Y29" s="3750"/>
      <c r="Z29" s="3252"/>
      <c r="AA29" s="3253"/>
      <c r="AB29" s="3254"/>
      <c r="AC29" s="3255"/>
      <c r="AD29" s="3254"/>
      <c r="AE29" s="3255"/>
      <c r="AF29" s="3749"/>
      <c r="AG29" s="3745"/>
      <c r="AH29" s="3745"/>
      <c r="AI29" s="3749"/>
      <c r="AJ29" s="3745"/>
      <c r="AK29" s="3745"/>
      <c r="AL29" s="3199"/>
      <c r="AM29" s="3034"/>
      <c r="AN29" s="3034"/>
      <c r="AO29" s="3034"/>
      <c r="AP29" s="3034"/>
      <c r="AQ29" s="3034"/>
      <c r="AR29" s="3034"/>
      <c r="AS29" s="3034"/>
      <c r="AT29" s="3034"/>
      <c r="AU29" s="3034"/>
      <c r="AV29" s="3034"/>
      <c r="AW29" s="3034"/>
      <c r="AX29" s="3034"/>
      <c r="AY29" s="3034"/>
      <c r="AZ29" s="3034"/>
      <c r="BA29" s="3034"/>
      <c r="BB29" s="3034"/>
      <c r="BC29" s="3034"/>
      <c r="BD29" s="3034"/>
      <c r="BE29" s="3034"/>
      <c r="BF29" s="3034"/>
      <c r="BG29" s="8042"/>
    </row>
    <row customHeight="1" ht="0.75">
      <c r="A30" s="2377" t="s">
        <v>1167</v>
      </c>
      <c r="B30" s="2377"/>
      <c r="C30" s="2377"/>
      <c r="D30" s="2371"/>
      <c r="E30" s="2381"/>
      <c r="F30" s="3747"/>
      <c r="G30" s="3726"/>
      <c r="H30" s="3751"/>
      <c r="I30" s="3752"/>
      <c r="J30" s="3753"/>
      <c r="K30" s="3753"/>
      <c r="L30" s="3745"/>
      <c r="M30" s="3479"/>
      <c r="N30" s="3754"/>
      <c r="O30" s="3755"/>
      <c r="P30" s="3801"/>
      <c r="Q30" s="3750"/>
      <c r="R30" s="3750"/>
      <c r="S30" s="3750"/>
      <c r="T30" s="3750"/>
      <c r="U30" s="3750"/>
      <c r="V30" s="3750"/>
      <c r="W30" s="3750"/>
      <c r="X30" s="3750"/>
      <c r="Y30" s="3750"/>
      <c r="Z30" s="3248"/>
      <c r="AA30" s="3249"/>
      <c r="AB30" s="3256"/>
      <c r="AC30" s="3250"/>
      <c r="AD30" s="3250"/>
      <c r="AE30" s="3257"/>
      <c r="AF30" s="3749"/>
      <c r="AG30" s="3745"/>
      <c r="AH30" s="3745"/>
      <c r="AI30" s="3749"/>
      <c r="AJ30" s="3745"/>
      <c r="AK30" s="3745"/>
      <c r="AL30" s="3199"/>
      <c r="AM30" s="3034"/>
      <c r="AN30" s="3034"/>
      <c r="AO30" s="3034"/>
      <c r="AP30" s="3034"/>
      <c r="AQ30" s="3034"/>
      <c r="AR30" s="3034"/>
      <c r="AS30" s="3034"/>
      <c r="AT30" s="3034"/>
      <c r="AU30" s="3034"/>
      <c r="AV30" s="3034"/>
      <c r="AW30" s="3034"/>
      <c r="AX30" s="3034"/>
      <c r="AY30" s="3034"/>
      <c r="AZ30" s="3034"/>
      <c r="BA30" s="3034"/>
      <c r="BB30" s="3034"/>
      <c r="BC30" s="3034"/>
      <c r="BD30" s="3034"/>
      <c r="BE30" s="3034"/>
      <c r="BF30" s="3034"/>
      <c r="BG30" s="8042"/>
    </row>
    <row customHeight="1" ht="0.75">
      <c r="A31" s="2377" t="s">
        <v>1167</v>
      </c>
      <c r="B31" s="2377"/>
      <c r="C31" s="2377"/>
      <c r="D31" s="2371"/>
      <c r="E31" s="2381"/>
      <c r="F31" s="3747"/>
      <c r="G31" s="3726"/>
      <c r="H31" s="3751"/>
      <c r="I31" s="3752"/>
      <c r="J31" s="3753"/>
      <c r="K31" s="3753"/>
      <c r="L31" s="3745"/>
      <c r="M31" s="3479"/>
      <c r="N31" s="3249"/>
      <c r="O31" s="3249"/>
      <c r="P31" s="3256"/>
      <c r="Q31" s="3249"/>
      <c r="R31" s="3249"/>
      <c r="S31" s="3249"/>
      <c r="T31" s="3249"/>
      <c r="U31" s="3249"/>
      <c r="V31" s="3249"/>
      <c r="W31" s="3249"/>
      <c r="X31" s="3249"/>
      <c r="Y31" s="3249"/>
      <c r="Z31" s="3249"/>
      <c r="AA31" s="3249"/>
      <c r="AB31" s="3249"/>
      <c r="AC31" s="3249"/>
      <c r="AD31" s="3249"/>
      <c r="AE31" s="3258"/>
      <c r="AF31" s="3749"/>
      <c r="AG31" s="3745"/>
      <c r="AH31" s="3745"/>
      <c r="AI31" s="3749"/>
      <c r="AJ31" s="3745"/>
      <c r="AK31" s="3745"/>
      <c r="AL31" s="3199"/>
      <c r="AM31" s="3034"/>
      <c r="AN31" s="3034"/>
      <c r="AO31" s="3034"/>
      <c r="AP31" s="3034"/>
      <c r="AQ31" s="3034"/>
      <c r="AR31" s="3034"/>
      <c r="AS31" s="3034"/>
      <c r="AT31" s="3034"/>
      <c r="AU31" s="3034"/>
      <c r="AV31" s="3034"/>
      <c r="AW31" s="3034"/>
      <c r="AX31" s="3034"/>
      <c r="AY31" s="3034"/>
      <c r="AZ31" s="3034"/>
      <c r="BA31" s="3034"/>
      <c r="BB31" s="3034"/>
      <c r="BC31" s="3034"/>
      <c r="BD31" s="3034"/>
      <c r="BE31" s="3034"/>
      <c r="BF31" s="3034"/>
      <c r="BG31" s="8042"/>
    </row>
    <row customHeight="1" ht="12">
      <c r="A32" s="2377" t="s">
        <v>1167</v>
      </c>
      <c r="B32" s="2377"/>
      <c r="C32" s="2377"/>
      <c r="D32" s="2371"/>
      <c r="E32" s="2381"/>
      <c r="F32" s="3748"/>
      <c r="G32" s="2401"/>
      <c r="H32" s="2401"/>
      <c r="I32" s="3746" t="s">
        <v>1199</v>
      </c>
      <c r="J32" s="3746"/>
      <c r="K32" s="3746"/>
      <c r="L32" s="2384"/>
      <c r="M32" s="2384"/>
      <c r="N32" s="2385"/>
      <c r="O32" s="2385"/>
      <c r="P32" s="2385"/>
      <c r="Q32" s="2385"/>
      <c r="R32" s="2385"/>
      <c r="S32" s="2385"/>
      <c r="T32" s="2385"/>
      <c r="U32" s="2385"/>
      <c r="V32" s="2385"/>
      <c r="W32" s="2385"/>
      <c r="X32" s="2385"/>
      <c r="Y32" s="2385"/>
      <c r="Z32" s="2385"/>
      <c r="AA32" s="2385"/>
      <c r="AB32" s="2385"/>
      <c r="AC32" s="2385"/>
      <c r="AD32" s="2385"/>
      <c r="AE32" s="2385"/>
      <c r="AF32" s="2385"/>
      <c r="AG32" s="2384"/>
      <c r="AH32" s="2384"/>
      <c r="AI32" s="2385"/>
      <c r="AJ32" s="2384"/>
      <c r="AK32" s="2385"/>
      <c r="AL32" s="3199"/>
      <c r="AM32" s="3034"/>
      <c r="AN32" s="3034"/>
      <c r="AO32" s="3034"/>
      <c r="AP32" s="3034"/>
      <c r="AQ32" s="3034"/>
      <c r="AR32" s="3034"/>
      <c r="AS32" s="3034"/>
      <c r="AT32" s="3034"/>
      <c r="AU32" s="3034"/>
      <c r="AV32" s="3034"/>
      <c r="AW32" s="3034"/>
      <c r="AX32" s="3034"/>
      <c r="AY32" s="3034"/>
      <c r="AZ32" s="3034"/>
      <c r="BA32" s="3034"/>
      <c r="BB32" s="3034"/>
      <c r="BC32" s="3034"/>
      <c r="BD32" s="3034"/>
      <c r="BE32" s="3034"/>
      <c r="BF32" s="3034"/>
      <c r="BG32" s="8042"/>
    </row>
    <row customHeight="1" ht="0.75">
      <c r="A33" s="2377" t="s">
        <v>1167</v>
      </c>
      <c r="B33" s="2377"/>
      <c r="C33" s="2377"/>
      <c r="D33" s="2371"/>
      <c r="E33" s="2381"/>
      <c r="F33" s="3747">
        <v>2017</v>
      </c>
      <c r="G33" s="3726"/>
      <c r="H33" s="3751" t="s">
        <v>394</v>
      </c>
      <c r="I33" s="3752"/>
      <c r="J33" s="3753"/>
      <c r="K33" s="3753"/>
      <c r="L33" s="3745"/>
      <c r="M33" s="3479"/>
      <c r="N33" s="3247"/>
      <c r="O33" s="3246"/>
      <c r="P33" s="3247"/>
      <c r="Q33" s="3247"/>
      <c r="R33" s="3247"/>
      <c r="S33" s="3247"/>
      <c r="T33" s="3247"/>
      <c r="U33" s="3247"/>
      <c r="V33" s="3247"/>
      <c r="W33" s="3247"/>
      <c r="X33" s="3247"/>
      <c r="Y33" s="3247"/>
      <c r="Z33" s="3247"/>
      <c r="AA33" s="3247"/>
      <c r="AB33" s="3247"/>
      <c r="AC33" s="3247"/>
      <c r="AD33" s="3247"/>
      <c r="AE33" s="3247"/>
      <c r="AF33" s="3749"/>
      <c r="AG33" s="3745"/>
      <c r="AH33" s="3745"/>
      <c r="AI33" s="3749"/>
      <c r="AJ33" s="3745"/>
      <c r="AK33" s="3745"/>
      <c r="AL33" s="3199"/>
      <c r="AM33" s="3034"/>
      <c r="AN33" s="3034"/>
      <c r="AO33" s="3034"/>
      <c r="AP33" s="3034"/>
      <c r="AQ33" s="3034"/>
      <c r="AR33" s="3034"/>
      <c r="AS33" s="3034"/>
      <c r="AT33" s="3034"/>
      <c r="AU33" s="3034"/>
      <c r="AV33" s="3034"/>
      <c r="AW33" s="3034"/>
      <c r="AX33" s="3034"/>
      <c r="AY33" s="3034"/>
      <c r="AZ33" s="3034"/>
      <c r="BA33" s="3034"/>
      <c r="BB33" s="3034"/>
      <c r="BC33" s="3034"/>
      <c r="BD33" s="3034"/>
      <c r="BE33" s="3034"/>
      <c r="BF33" s="3034"/>
      <c r="BG33" s="8042"/>
    </row>
    <row customHeight="1" ht="0.75">
      <c r="A34" s="2377" t="s">
        <v>1167</v>
      </c>
      <c r="B34" s="2377"/>
      <c r="C34" s="2377"/>
      <c r="D34" s="2371"/>
      <c r="E34" s="2381"/>
      <c r="F34" s="3747"/>
      <c r="G34" s="3726"/>
      <c r="H34" s="3751"/>
      <c r="I34" s="3752"/>
      <c r="J34" s="3753"/>
      <c r="K34" s="3753"/>
      <c r="L34" s="3745"/>
      <c r="M34" s="3479"/>
      <c r="N34" s="3754"/>
      <c r="O34" s="3755"/>
      <c r="P34" s="3799"/>
      <c r="Q34" s="3750"/>
      <c r="R34" s="3750"/>
      <c r="S34" s="3750"/>
      <c r="T34" s="3750"/>
      <c r="U34" s="3750"/>
      <c r="V34" s="3750"/>
      <c r="W34" s="3750"/>
      <c r="X34" s="3750"/>
      <c r="Y34" s="3750"/>
      <c r="Z34" s="3248"/>
      <c r="AA34" s="3249"/>
      <c r="AB34" s="3249"/>
      <c r="AC34" s="3250"/>
      <c r="AD34" s="3250"/>
      <c r="AE34" s="3251"/>
      <c r="AF34" s="3749"/>
      <c r="AG34" s="3745"/>
      <c r="AH34" s="3745"/>
      <c r="AI34" s="3749"/>
      <c r="AJ34" s="3745"/>
      <c r="AK34" s="3745"/>
      <c r="AL34" s="3199"/>
      <c r="AM34" s="3034"/>
      <c r="AN34" s="3034"/>
      <c r="AO34" s="3034"/>
      <c r="AP34" s="3034"/>
      <c r="AQ34" s="3034"/>
      <c r="AR34" s="3034"/>
      <c r="AS34" s="3034"/>
      <c r="AT34" s="3034"/>
      <c r="AU34" s="3034"/>
      <c r="AV34" s="3034"/>
      <c r="AW34" s="3034"/>
      <c r="AX34" s="3034"/>
      <c r="AY34" s="3034"/>
      <c r="AZ34" s="3034"/>
      <c r="BA34" s="3034"/>
      <c r="BB34" s="3034"/>
      <c r="BC34" s="3034"/>
      <c r="BD34" s="3034"/>
      <c r="BE34" s="3034"/>
      <c r="BF34" s="3034"/>
      <c r="BG34" s="8042"/>
    </row>
    <row customHeight="1" ht="0.75">
      <c r="A35" s="2377" t="s">
        <v>1167</v>
      </c>
      <c r="B35" s="2377"/>
      <c r="C35" s="2377"/>
      <c r="D35" s="2371"/>
      <c r="E35" s="2381"/>
      <c r="F35" s="3747"/>
      <c r="G35" s="3726"/>
      <c r="H35" s="3751"/>
      <c r="I35" s="3752"/>
      <c r="J35" s="3753"/>
      <c r="K35" s="3753"/>
      <c r="L35" s="3745"/>
      <c r="M35" s="3479"/>
      <c r="N35" s="3754"/>
      <c r="O35" s="3755"/>
      <c r="P35" s="3800"/>
      <c r="Q35" s="3750"/>
      <c r="R35" s="3750"/>
      <c r="S35" s="3750"/>
      <c r="T35" s="3750"/>
      <c r="U35" s="3750"/>
      <c r="V35" s="3750"/>
      <c r="W35" s="3750"/>
      <c r="X35" s="3750"/>
      <c r="Y35" s="3750"/>
      <c r="Z35" s="3252"/>
      <c r="AA35" s="3253"/>
      <c r="AB35" s="3254"/>
      <c r="AC35" s="3255"/>
      <c r="AD35" s="3254"/>
      <c r="AE35" s="3255"/>
      <c r="AF35" s="3749"/>
      <c r="AG35" s="3745"/>
      <c r="AH35" s="3745"/>
      <c r="AI35" s="3749"/>
      <c r="AJ35" s="3745"/>
      <c r="AK35" s="3745"/>
      <c r="AL35" s="3199"/>
      <c r="AM35" s="3034"/>
      <c r="AN35" s="3034"/>
      <c r="AO35" s="3034"/>
      <c r="AP35" s="3034"/>
      <c r="AQ35" s="3034"/>
      <c r="AR35" s="3034"/>
      <c r="AS35" s="3034"/>
      <c r="AT35" s="3034"/>
      <c r="AU35" s="3034"/>
      <c r="AV35" s="3034"/>
      <c r="AW35" s="3034"/>
      <c r="AX35" s="3034"/>
      <c r="AY35" s="3034"/>
      <c r="AZ35" s="3034"/>
      <c r="BA35" s="3034"/>
      <c r="BB35" s="3034"/>
      <c r="BC35" s="3034"/>
      <c r="BD35" s="3034"/>
      <c r="BE35" s="3034"/>
      <c r="BF35" s="3034"/>
      <c r="BG35" s="8042"/>
    </row>
    <row customHeight="1" ht="0.75">
      <c r="A36" s="2377" t="s">
        <v>1167</v>
      </c>
      <c r="B36" s="2377"/>
      <c r="C36" s="2377"/>
      <c r="D36" s="2371"/>
      <c r="E36" s="2381"/>
      <c r="F36" s="3747"/>
      <c r="G36" s="3726"/>
      <c r="H36" s="3751"/>
      <c r="I36" s="3752"/>
      <c r="J36" s="3753"/>
      <c r="K36" s="3753"/>
      <c r="L36" s="3745"/>
      <c r="M36" s="3479"/>
      <c r="N36" s="3754"/>
      <c r="O36" s="3755"/>
      <c r="P36" s="3801"/>
      <c r="Q36" s="3750"/>
      <c r="R36" s="3750"/>
      <c r="S36" s="3750"/>
      <c r="T36" s="3750"/>
      <c r="U36" s="3750"/>
      <c r="V36" s="3750"/>
      <c r="W36" s="3750"/>
      <c r="X36" s="3750"/>
      <c r="Y36" s="3750"/>
      <c r="Z36" s="3248"/>
      <c r="AA36" s="3249"/>
      <c r="AB36" s="3256"/>
      <c r="AC36" s="3250"/>
      <c r="AD36" s="3250"/>
      <c r="AE36" s="3257"/>
      <c r="AF36" s="3749"/>
      <c r="AG36" s="3745"/>
      <c r="AH36" s="3745"/>
      <c r="AI36" s="3749"/>
      <c r="AJ36" s="3745"/>
      <c r="AK36" s="3745"/>
      <c r="AL36" s="3199"/>
      <c r="AM36" s="3034"/>
      <c r="AN36" s="3034"/>
      <c r="AO36" s="3034"/>
      <c r="AP36" s="3034"/>
      <c r="AQ36" s="3034"/>
      <c r="AR36" s="3034"/>
      <c r="AS36" s="3034"/>
      <c r="AT36" s="3034"/>
      <c r="AU36" s="3034"/>
      <c r="AV36" s="3034"/>
      <c r="AW36" s="3034"/>
      <c r="AX36" s="3034"/>
      <c r="AY36" s="3034"/>
      <c r="AZ36" s="3034"/>
      <c r="BA36" s="3034"/>
      <c r="BB36" s="3034"/>
      <c r="BC36" s="3034"/>
      <c r="BD36" s="3034"/>
      <c r="BE36" s="3034"/>
      <c r="BF36" s="3034"/>
      <c r="BG36" s="8042"/>
    </row>
    <row customHeight="1" ht="0.75">
      <c r="A37" s="2377" t="s">
        <v>1167</v>
      </c>
      <c r="B37" s="2377"/>
      <c r="C37" s="2377"/>
      <c r="D37" s="2371"/>
      <c r="E37" s="2381"/>
      <c r="F37" s="3747"/>
      <c r="G37" s="3726"/>
      <c r="H37" s="3751"/>
      <c r="I37" s="3752"/>
      <c r="J37" s="3753"/>
      <c r="K37" s="3753"/>
      <c r="L37" s="3745"/>
      <c r="M37" s="3479"/>
      <c r="N37" s="3249"/>
      <c r="O37" s="3249"/>
      <c r="P37" s="3256"/>
      <c r="Q37" s="3249"/>
      <c r="R37" s="3249"/>
      <c r="S37" s="3249"/>
      <c r="T37" s="3249"/>
      <c r="U37" s="3249"/>
      <c r="V37" s="3249"/>
      <c r="W37" s="3249"/>
      <c r="X37" s="3249"/>
      <c r="Y37" s="3249"/>
      <c r="Z37" s="3249"/>
      <c r="AA37" s="3249"/>
      <c r="AB37" s="3249"/>
      <c r="AC37" s="3249"/>
      <c r="AD37" s="3249"/>
      <c r="AE37" s="3258"/>
      <c r="AF37" s="3749"/>
      <c r="AG37" s="3745"/>
      <c r="AH37" s="3745"/>
      <c r="AI37" s="3749"/>
      <c r="AJ37" s="3745"/>
      <c r="AK37" s="3745"/>
      <c r="AL37" s="3199"/>
      <c r="AM37" s="3034"/>
      <c r="AN37" s="3034"/>
      <c r="AO37" s="3034"/>
      <c r="AP37" s="3034"/>
      <c r="AQ37" s="3034"/>
      <c r="AR37" s="3034"/>
      <c r="AS37" s="3034"/>
      <c r="AT37" s="3034"/>
      <c r="AU37" s="3034"/>
      <c r="AV37" s="3034"/>
      <c r="AW37" s="3034"/>
      <c r="AX37" s="3034"/>
      <c r="AY37" s="3034"/>
      <c r="AZ37" s="3034"/>
      <c r="BA37" s="3034"/>
      <c r="BB37" s="3034"/>
      <c r="BC37" s="3034"/>
      <c r="BD37" s="3034"/>
      <c r="BE37" s="3034"/>
      <c r="BF37" s="3034"/>
      <c r="BG37" s="8042"/>
    </row>
    <row customHeight="1" ht="12">
      <c r="A38" s="2377" t="s">
        <v>1167</v>
      </c>
      <c r="B38" s="2377"/>
      <c r="C38" s="2377"/>
      <c r="D38" s="2371"/>
      <c r="E38" s="2381"/>
      <c r="F38" s="3748"/>
      <c r="G38" s="2401"/>
      <c r="H38" s="2401"/>
      <c r="I38" s="3746" t="s">
        <v>1199</v>
      </c>
      <c r="J38" s="3746"/>
      <c r="K38" s="3746"/>
      <c r="L38" s="2384"/>
      <c r="M38" s="2384"/>
      <c r="N38" s="2385"/>
      <c r="O38" s="2385"/>
      <c r="P38" s="2385"/>
      <c r="Q38" s="2385"/>
      <c r="R38" s="2385"/>
      <c r="S38" s="2385"/>
      <c r="T38" s="2385"/>
      <c r="U38" s="2385"/>
      <c r="V38" s="2385"/>
      <c r="W38" s="2385"/>
      <c r="X38" s="2385"/>
      <c r="Y38" s="2385"/>
      <c r="Z38" s="2385"/>
      <c r="AA38" s="2385"/>
      <c r="AB38" s="2385"/>
      <c r="AC38" s="2385"/>
      <c r="AD38" s="2385"/>
      <c r="AE38" s="2385"/>
      <c r="AF38" s="2385"/>
      <c r="AG38" s="2384"/>
      <c r="AH38" s="2384"/>
      <c r="AI38" s="2385"/>
      <c r="AJ38" s="2384"/>
      <c r="AK38" s="2385"/>
      <c r="AL38" s="3199"/>
      <c r="AM38" s="3034"/>
      <c r="AN38" s="3034"/>
      <c r="AO38" s="3034"/>
      <c r="AP38" s="3034"/>
      <c r="AQ38" s="3034"/>
      <c r="AR38" s="3034"/>
      <c r="AS38" s="3034"/>
      <c r="AT38" s="3034"/>
      <c r="AU38" s="3034"/>
      <c r="AV38" s="3034"/>
      <c r="AW38" s="3034"/>
      <c r="AX38" s="3034"/>
      <c r="AY38" s="3034"/>
      <c r="AZ38" s="3034"/>
      <c r="BA38" s="3034"/>
      <c r="BB38" s="3034"/>
      <c r="BC38" s="3034"/>
      <c r="BD38" s="3034"/>
      <c r="BE38" s="3034"/>
      <c r="BF38" s="3034"/>
      <c r="BG38" s="8042"/>
    </row>
    <row customHeight="1" ht="0.75">
      <c r="A39" s="2377" t="s">
        <v>1167</v>
      </c>
      <c r="B39" s="2377"/>
      <c r="C39" s="2377"/>
      <c r="D39" s="2371"/>
      <c r="E39" s="2381"/>
      <c r="F39" s="3747">
        <v>2018</v>
      </c>
      <c r="G39" s="3726"/>
      <c r="H39" s="3751" t="s">
        <v>394</v>
      </c>
      <c r="I39" s="3752"/>
      <c r="J39" s="3753"/>
      <c r="K39" s="3753"/>
      <c r="L39" s="3745"/>
      <c r="M39" s="3479"/>
      <c r="N39" s="3247"/>
      <c r="O39" s="3246"/>
      <c r="P39" s="3247"/>
      <c r="Q39" s="3247"/>
      <c r="R39" s="3247"/>
      <c r="S39" s="3247"/>
      <c r="T39" s="3247"/>
      <c r="U39" s="3247"/>
      <c r="V39" s="3247"/>
      <c r="W39" s="3247"/>
      <c r="X39" s="3247"/>
      <c r="Y39" s="3247"/>
      <c r="Z39" s="3247"/>
      <c r="AA39" s="3247"/>
      <c r="AB39" s="3247"/>
      <c r="AC39" s="3247"/>
      <c r="AD39" s="3247"/>
      <c r="AE39" s="3247"/>
      <c r="AF39" s="3749"/>
      <c r="AG39" s="3745"/>
      <c r="AH39" s="3745"/>
      <c r="AI39" s="3749"/>
      <c r="AJ39" s="3745"/>
      <c r="AK39" s="3745"/>
      <c r="AL39" s="3199"/>
      <c r="AM39" s="3034"/>
      <c r="AN39" s="3034"/>
      <c r="AO39" s="3034"/>
      <c r="AP39" s="3034"/>
      <c r="AQ39" s="3034"/>
      <c r="AR39" s="3034"/>
      <c r="AS39" s="3034"/>
      <c r="AT39" s="3034"/>
      <c r="AU39" s="3034"/>
      <c r="AV39" s="3034"/>
      <c r="AW39" s="3034"/>
      <c r="AX39" s="3034"/>
      <c r="AY39" s="3034"/>
      <c r="AZ39" s="3034"/>
      <c r="BA39" s="3034"/>
      <c r="BB39" s="3034"/>
      <c r="BC39" s="3034"/>
      <c r="BD39" s="3034"/>
      <c r="BE39" s="3034"/>
      <c r="BF39" s="3034"/>
      <c r="BG39" s="8042"/>
    </row>
    <row customHeight="1" ht="0.75">
      <c r="A40" s="2377" t="s">
        <v>1167</v>
      </c>
      <c r="B40" s="2377"/>
      <c r="C40" s="2377"/>
      <c r="D40" s="2371"/>
      <c r="E40" s="2381"/>
      <c r="F40" s="3747"/>
      <c r="G40" s="3726"/>
      <c r="H40" s="3751"/>
      <c r="I40" s="3752"/>
      <c r="J40" s="3753"/>
      <c r="K40" s="3753"/>
      <c r="L40" s="3745"/>
      <c r="M40" s="3479"/>
      <c r="N40" s="3754"/>
      <c r="O40" s="3755"/>
      <c r="P40" s="3799"/>
      <c r="Q40" s="3750"/>
      <c r="R40" s="3750"/>
      <c r="S40" s="3750"/>
      <c r="T40" s="3750"/>
      <c r="U40" s="3750"/>
      <c r="V40" s="3750"/>
      <c r="W40" s="3750"/>
      <c r="X40" s="3750"/>
      <c r="Y40" s="3750"/>
      <c r="Z40" s="3248"/>
      <c r="AA40" s="3249"/>
      <c r="AB40" s="3249"/>
      <c r="AC40" s="3250"/>
      <c r="AD40" s="3250"/>
      <c r="AE40" s="3251"/>
      <c r="AF40" s="3749"/>
      <c r="AG40" s="3745"/>
      <c r="AH40" s="3745"/>
      <c r="AI40" s="3749"/>
      <c r="AJ40" s="3745"/>
      <c r="AK40" s="3745"/>
      <c r="AL40" s="3199"/>
      <c r="AM40" s="3034"/>
      <c r="AN40" s="3034"/>
      <c r="AO40" s="3034"/>
      <c r="AP40" s="3034"/>
      <c r="AQ40" s="3034"/>
      <c r="AR40" s="3034"/>
      <c r="AS40" s="3034"/>
      <c r="AT40" s="3034"/>
      <c r="AU40" s="3034"/>
      <c r="AV40" s="3034"/>
      <c r="AW40" s="3034"/>
      <c r="AX40" s="3034"/>
      <c r="AY40" s="3034"/>
      <c r="AZ40" s="3034"/>
      <c r="BA40" s="3034"/>
      <c r="BB40" s="3034"/>
      <c r="BC40" s="3034"/>
      <c r="BD40" s="3034"/>
      <c r="BE40" s="3034"/>
      <c r="BF40" s="3034"/>
      <c r="BG40" s="8042"/>
    </row>
    <row customHeight="1" ht="0.75">
      <c r="A41" s="2377" t="s">
        <v>1167</v>
      </c>
      <c r="B41" s="2377"/>
      <c r="C41" s="2377"/>
      <c r="D41" s="2371"/>
      <c r="E41" s="2381"/>
      <c r="F41" s="3747"/>
      <c r="G41" s="3726"/>
      <c r="H41" s="3751"/>
      <c r="I41" s="3752"/>
      <c r="J41" s="3753"/>
      <c r="K41" s="3753"/>
      <c r="L41" s="3745"/>
      <c r="M41" s="3479"/>
      <c r="N41" s="3754"/>
      <c r="O41" s="3755"/>
      <c r="P41" s="3800"/>
      <c r="Q41" s="3750"/>
      <c r="R41" s="3750"/>
      <c r="S41" s="3750"/>
      <c r="T41" s="3750"/>
      <c r="U41" s="3750"/>
      <c r="V41" s="3750"/>
      <c r="W41" s="3750"/>
      <c r="X41" s="3750"/>
      <c r="Y41" s="3750"/>
      <c r="Z41" s="3252"/>
      <c r="AA41" s="3253"/>
      <c r="AB41" s="3254"/>
      <c r="AC41" s="3255"/>
      <c r="AD41" s="3254"/>
      <c r="AE41" s="3255"/>
      <c r="AF41" s="3749"/>
      <c r="AG41" s="3745"/>
      <c r="AH41" s="3745"/>
      <c r="AI41" s="3749"/>
      <c r="AJ41" s="3745"/>
      <c r="AK41" s="3745"/>
      <c r="AL41" s="3199"/>
      <c r="AM41" s="3034"/>
      <c r="AN41" s="3034"/>
      <c r="AO41" s="3034"/>
      <c r="AP41" s="3034"/>
      <c r="AQ41" s="3034"/>
      <c r="AR41" s="3034"/>
      <c r="AS41" s="3034"/>
      <c r="AT41" s="3034"/>
      <c r="AU41" s="3034"/>
      <c r="AV41" s="3034"/>
      <c r="AW41" s="3034"/>
      <c r="AX41" s="3034"/>
      <c r="AY41" s="3034"/>
      <c r="AZ41" s="3034"/>
      <c r="BA41" s="3034"/>
      <c r="BB41" s="3034"/>
      <c r="BC41" s="3034"/>
      <c r="BD41" s="3034"/>
      <c r="BE41" s="3034"/>
      <c r="BF41" s="3034"/>
      <c r="BG41" s="8042"/>
    </row>
    <row customHeight="1" ht="0.75">
      <c r="A42" s="2377" t="s">
        <v>1167</v>
      </c>
      <c r="B42" s="2377"/>
      <c r="C42" s="2377"/>
      <c r="D42" s="2371"/>
      <c r="E42" s="2381"/>
      <c r="F42" s="3747"/>
      <c r="G42" s="3726"/>
      <c r="H42" s="3751"/>
      <c r="I42" s="3752"/>
      <c r="J42" s="3753"/>
      <c r="K42" s="3753"/>
      <c r="L42" s="3745"/>
      <c r="M42" s="3479"/>
      <c r="N42" s="3754"/>
      <c r="O42" s="3755"/>
      <c r="P42" s="3801"/>
      <c r="Q42" s="3750"/>
      <c r="R42" s="3750"/>
      <c r="S42" s="3750"/>
      <c r="T42" s="3750"/>
      <c r="U42" s="3750"/>
      <c r="V42" s="3750"/>
      <c r="W42" s="3750"/>
      <c r="X42" s="3750"/>
      <c r="Y42" s="3750"/>
      <c r="Z42" s="3248"/>
      <c r="AA42" s="3249"/>
      <c r="AB42" s="3256"/>
      <c r="AC42" s="3250"/>
      <c r="AD42" s="3250"/>
      <c r="AE42" s="3257"/>
      <c r="AF42" s="3749"/>
      <c r="AG42" s="3745"/>
      <c r="AH42" s="3745"/>
      <c r="AI42" s="3749"/>
      <c r="AJ42" s="3745"/>
      <c r="AK42" s="3745"/>
      <c r="AL42" s="3199"/>
      <c r="AM42" s="3034"/>
      <c r="AN42" s="3034"/>
      <c r="AO42" s="3034"/>
      <c r="AP42" s="3034"/>
      <c r="AQ42" s="3034"/>
      <c r="AR42" s="3034"/>
      <c r="AS42" s="3034"/>
      <c r="AT42" s="3034"/>
      <c r="AU42" s="3034"/>
      <c r="AV42" s="3034"/>
      <c r="AW42" s="3034"/>
      <c r="AX42" s="3034"/>
      <c r="AY42" s="3034"/>
      <c r="AZ42" s="3034"/>
      <c r="BA42" s="3034"/>
      <c r="BB42" s="3034"/>
      <c r="BC42" s="3034"/>
      <c r="BD42" s="3034"/>
      <c r="BE42" s="3034"/>
      <c r="BF42" s="3034"/>
      <c r="BG42" s="8042"/>
    </row>
    <row customHeight="1" ht="0.75">
      <c r="A43" s="2377" t="s">
        <v>1167</v>
      </c>
      <c r="B43" s="2377"/>
      <c r="C43" s="2377"/>
      <c r="D43" s="2371"/>
      <c r="E43" s="2381"/>
      <c r="F43" s="3747"/>
      <c r="G43" s="3726"/>
      <c r="H43" s="3751"/>
      <c r="I43" s="3752"/>
      <c r="J43" s="3753"/>
      <c r="K43" s="3753"/>
      <c r="L43" s="3745"/>
      <c r="M43" s="3479"/>
      <c r="N43" s="3249"/>
      <c r="O43" s="3249"/>
      <c r="P43" s="3256"/>
      <c r="Q43" s="3249"/>
      <c r="R43" s="3249"/>
      <c r="S43" s="3249"/>
      <c r="T43" s="3249"/>
      <c r="U43" s="3249"/>
      <c r="V43" s="3249"/>
      <c r="W43" s="3249"/>
      <c r="X43" s="3249"/>
      <c r="Y43" s="3249"/>
      <c r="Z43" s="3249"/>
      <c r="AA43" s="3249"/>
      <c r="AB43" s="3249"/>
      <c r="AC43" s="3249"/>
      <c r="AD43" s="3249"/>
      <c r="AE43" s="3258"/>
      <c r="AF43" s="3749"/>
      <c r="AG43" s="3745"/>
      <c r="AH43" s="3745"/>
      <c r="AI43" s="3749"/>
      <c r="AJ43" s="3745"/>
      <c r="AK43" s="3745"/>
      <c r="AL43" s="3199"/>
      <c r="AM43" s="3034"/>
      <c r="AN43" s="3034"/>
      <c r="AO43" s="3034"/>
      <c r="AP43" s="3034"/>
      <c r="AQ43" s="3034"/>
      <c r="AR43" s="3034"/>
      <c r="AS43" s="3034"/>
      <c r="AT43" s="3034"/>
      <c r="AU43" s="3034"/>
      <c r="AV43" s="3034"/>
      <c r="AW43" s="3034"/>
      <c r="AX43" s="3034"/>
      <c r="AY43" s="3034"/>
      <c r="AZ43" s="3034"/>
      <c r="BA43" s="3034"/>
      <c r="BB43" s="3034"/>
      <c r="BC43" s="3034"/>
      <c r="BD43" s="3034"/>
      <c r="BE43" s="3034"/>
      <c r="BF43" s="3034"/>
      <c r="BG43" s="8042"/>
    </row>
    <row customHeight="1" ht="12">
      <c r="A44" s="2377" t="s">
        <v>1167</v>
      </c>
      <c r="B44" s="2377"/>
      <c r="C44" s="2377"/>
      <c r="D44" s="2371"/>
      <c r="E44" s="2381"/>
      <c r="F44" s="3748"/>
      <c r="G44" s="2401"/>
      <c r="H44" s="2401"/>
      <c r="I44" s="3746" t="s">
        <v>1199</v>
      </c>
      <c r="J44" s="3746"/>
      <c r="K44" s="3746"/>
      <c r="L44" s="2384"/>
      <c r="M44" s="2384"/>
      <c r="N44" s="2385"/>
      <c r="O44" s="2385"/>
      <c r="P44" s="2385"/>
      <c r="Q44" s="2385"/>
      <c r="R44" s="2385"/>
      <c r="S44" s="2385"/>
      <c r="T44" s="2385"/>
      <c r="U44" s="2385"/>
      <c r="V44" s="2385"/>
      <c r="W44" s="2385"/>
      <c r="X44" s="2385"/>
      <c r="Y44" s="2385"/>
      <c r="Z44" s="2385"/>
      <c r="AA44" s="2385"/>
      <c r="AB44" s="2385"/>
      <c r="AC44" s="2385"/>
      <c r="AD44" s="2385"/>
      <c r="AE44" s="2385"/>
      <c r="AF44" s="2385"/>
      <c r="AG44" s="2384"/>
      <c r="AH44" s="2384"/>
      <c r="AI44" s="2385"/>
      <c r="AJ44" s="2384"/>
      <c r="AK44" s="2385"/>
      <c r="AL44" s="3199"/>
      <c r="AM44" s="3034"/>
      <c r="AN44" s="3034"/>
      <c r="AO44" s="3034"/>
      <c r="AP44" s="3034"/>
      <c r="AQ44" s="3034"/>
      <c r="AR44" s="3034"/>
      <c r="AS44" s="3034"/>
      <c r="AT44" s="3034"/>
      <c r="AU44" s="3034"/>
      <c r="AV44" s="3034"/>
      <c r="AW44" s="3034"/>
      <c r="AX44" s="3034"/>
      <c r="AY44" s="3034"/>
      <c r="AZ44" s="3034"/>
      <c r="BA44" s="3034"/>
      <c r="BB44" s="3034"/>
      <c r="BC44" s="3034"/>
      <c r="BD44" s="3034"/>
      <c r="BE44" s="3034"/>
      <c r="BF44" s="3034"/>
      <c r="BG44" s="8042"/>
    </row>
    <row customHeight="1" ht="0.75">
      <c r="A45" s="2377" t="s">
        <v>1167</v>
      </c>
      <c r="B45" s="2377"/>
      <c r="C45" s="2377"/>
      <c r="D45" s="2371"/>
      <c r="E45" s="2381"/>
      <c r="F45" s="3747">
        <v>2019</v>
      </c>
      <c r="G45" s="3726"/>
      <c r="H45" s="3751" t="s">
        <v>394</v>
      </c>
      <c r="I45" s="3752"/>
      <c r="J45" s="3753"/>
      <c r="K45" s="3753"/>
      <c r="L45" s="3745"/>
      <c r="M45" s="3479"/>
      <c r="N45" s="3247"/>
      <c r="O45" s="3246"/>
      <c r="P45" s="3247"/>
      <c r="Q45" s="3247"/>
      <c r="R45" s="3247"/>
      <c r="S45" s="3247"/>
      <c r="T45" s="3247"/>
      <c r="U45" s="3247"/>
      <c r="V45" s="3247"/>
      <c r="W45" s="3247"/>
      <c r="X45" s="3247"/>
      <c r="Y45" s="3247"/>
      <c r="Z45" s="3247"/>
      <c r="AA45" s="3247"/>
      <c r="AB45" s="3247"/>
      <c r="AC45" s="3247"/>
      <c r="AD45" s="3247"/>
      <c r="AE45" s="3247"/>
      <c r="AF45" s="3749"/>
      <c r="AG45" s="3745"/>
      <c r="AH45" s="3745"/>
      <c r="AI45" s="3749"/>
      <c r="AJ45" s="3745"/>
      <c r="AK45" s="3745"/>
      <c r="AL45" s="3199"/>
      <c r="AM45" s="3034"/>
      <c r="AN45" s="3034"/>
      <c r="AO45" s="3034"/>
      <c r="AP45" s="3034"/>
      <c r="AQ45" s="3034"/>
      <c r="AR45" s="3034"/>
      <c r="AS45" s="3034"/>
      <c r="AT45" s="3034"/>
      <c r="AU45" s="3034"/>
      <c r="AV45" s="3034"/>
      <c r="AW45" s="3034"/>
      <c r="AX45" s="3034"/>
      <c r="AY45" s="3034"/>
      <c r="AZ45" s="3034"/>
      <c r="BA45" s="3034"/>
      <c r="BB45" s="3034"/>
      <c r="BC45" s="3034"/>
      <c r="BD45" s="3034"/>
      <c r="BE45" s="3034"/>
      <c r="BF45" s="3034"/>
      <c r="BG45" s="8042"/>
    </row>
    <row customHeight="1" ht="0.75">
      <c r="A46" s="2377" t="s">
        <v>1167</v>
      </c>
      <c r="B46" s="2377"/>
      <c r="C46" s="2377"/>
      <c r="D46" s="2371"/>
      <c r="E46" s="2381"/>
      <c r="F46" s="3747"/>
      <c r="G46" s="3726"/>
      <c r="H46" s="3751"/>
      <c r="I46" s="3752"/>
      <c r="J46" s="3753"/>
      <c r="K46" s="3753"/>
      <c r="L46" s="3745"/>
      <c r="M46" s="3479"/>
      <c r="N46" s="3754"/>
      <c r="O46" s="3755"/>
      <c r="P46" s="3799"/>
      <c r="Q46" s="3750"/>
      <c r="R46" s="3750"/>
      <c r="S46" s="3750"/>
      <c r="T46" s="3750"/>
      <c r="U46" s="3750"/>
      <c r="V46" s="3750"/>
      <c r="W46" s="3750"/>
      <c r="X46" s="3750"/>
      <c r="Y46" s="3750"/>
      <c r="Z46" s="3248"/>
      <c r="AA46" s="3249"/>
      <c r="AB46" s="3249"/>
      <c r="AC46" s="3250"/>
      <c r="AD46" s="3250"/>
      <c r="AE46" s="3251"/>
      <c r="AF46" s="3749"/>
      <c r="AG46" s="3745"/>
      <c r="AH46" s="3745"/>
      <c r="AI46" s="3749"/>
      <c r="AJ46" s="3745"/>
      <c r="AK46" s="3745"/>
      <c r="AL46" s="3199"/>
      <c r="AM46" s="3034"/>
      <c r="AN46" s="3034"/>
      <c r="AO46" s="3034"/>
      <c r="AP46" s="3034"/>
      <c r="AQ46" s="3034"/>
      <c r="AR46" s="3034"/>
      <c r="AS46" s="3034"/>
      <c r="AT46" s="3034"/>
      <c r="AU46" s="3034"/>
      <c r="AV46" s="3034"/>
      <c r="AW46" s="3034"/>
      <c r="AX46" s="3034"/>
      <c r="AY46" s="3034"/>
      <c r="AZ46" s="3034"/>
      <c r="BA46" s="3034"/>
      <c r="BB46" s="3034"/>
      <c r="BC46" s="3034"/>
      <c r="BD46" s="3034"/>
      <c r="BE46" s="3034"/>
      <c r="BF46" s="3034"/>
      <c r="BG46" s="8042"/>
    </row>
    <row customHeight="1" ht="0.75">
      <c r="A47" s="2377" t="s">
        <v>1167</v>
      </c>
      <c r="B47" s="2377"/>
      <c r="C47" s="2377"/>
      <c r="D47" s="2371"/>
      <c r="E47" s="2381"/>
      <c r="F47" s="3747"/>
      <c r="G47" s="3726"/>
      <c r="H47" s="3751"/>
      <c r="I47" s="3752"/>
      <c r="J47" s="3753"/>
      <c r="K47" s="3753"/>
      <c r="L47" s="3745"/>
      <c r="M47" s="3479"/>
      <c r="N47" s="3754"/>
      <c r="O47" s="3755"/>
      <c r="P47" s="3800"/>
      <c r="Q47" s="3750"/>
      <c r="R47" s="3750"/>
      <c r="S47" s="3750"/>
      <c r="T47" s="3750"/>
      <c r="U47" s="3750"/>
      <c r="V47" s="3750"/>
      <c r="W47" s="3750"/>
      <c r="X47" s="3750"/>
      <c r="Y47" s="3750"/>
      <c r="Z47" s="3252"/>
      <c r="AA47" s="3253"/>
      <c r="AB47" s="3254"/>
      <c r="AC47" s="3255"/>
      <c r="AD47" s="3254"/>
      <c r="AE47" s="3255"/>
      <c r="AF47" s="3749"/>
      <c r="AG47" s="3745"/>
      <c r="AH47" s="3745"/>
      <c r="AI47" s="3749"/>
      <c r="AJ47" s="3745"/>
      <c r="AK47" s="3745"/>
      <c r="AL47" s="3199"/>
      <c r="AM47" s="3034"/>
      <c r="AN47" s="3034"/>
      <c r="AO47" s="3034"/>
      <c r="AP47" s="3034"/>
      <c r="AQ47" s="3034"/>
      <c r="AR47" s="3034"/>
      <c r="AS47" s="3034"/>
      <c r="AT47" s="3034"/>
      <c r="AU47" s="3034"/>
      <c r="AV47" s="3034"/>
      <c r="AW47" s="3034"/>
      <c r="AX47" s="3034"/>
      <c r="AY47" s="3034"/>
      <c r="AZ47" s="3034"/>
      <c r="BA47" s="3034"/>
      <c r="BB47" s="3034"/>
      <c r="BC47" s="3034"/>
      <c r="BD47" s="3034"/>
      <c r="BE47" s="3034"/>
      <c r="BF47" s="3034"/>
      <c r="BG47" s="8042"/>
    </row>
    <row customHeight="1" ht="0.75">
      <c r="A48" s="2377" t="s">
        <v>1167</v>
      </c>
      <c r="B48" s="2377"/>
      <c r="C48" s="2377"/>
      <c r="D48" s="2371"/>
      <c r="E48" s="2381"/>
      <c r="F48" s="3747"/>
      <c r="G48" s="3726"/>
      <c r="H48" s="3751"/>
      <c r="I48" s="3752"/>
      <c r="J48" s="3753"/>
      <c r="K48" s="3753"/>
      <c r="L48" s="3745"/>
      <c r="M48" s="3479"/>
      <c r="N48" s="3754"/>
      <c r="O48" s="3755"/>
      <c r="P48" s="3801"/>
      <c r="Q48" s="3750"/>
      <c r="R48" s="3750"/>
      <c r="S48" s="3750"/>
      <c r="T48" s="3750"/>
      <c r="U48" s="3750"/>
      <c r="V48" s="3750"/>
      <c r="W48" s="3750"/>
      <c r="X48" s="3750"/>
      <c r="Y48" s="3750"/>
      <c r="Z48" s="3248"/>
      <c r="AA48" s="3249"/>
      <c r="AB48" s="3256"/>
      <c r="AC48" s="3250"/>
      <c r="AD48" s="3250"/>
      <c r="AE48" s="3257"/>
      <c r="AF48" s="3749"/>
      <c r="AG48" s="3745"/>
      <c r="AH48" s="3745"/>
      <c r="AI48" s="3749"/>
      <c r="AJ48" s="3745"/>
      <c r="AK48" s="3745"/>
      <c r="AL48" s="3199"/>
      <c r="AM48" s="3034"/>
      <c r="AN48" s="3034"/>
      <c r="AO48" s="3034"/>
      <c r="AP48" s="3034"/>
      <c r="AQ48" s="3034"/>
      <c r="AR48" s="3034"/>
      <c r="AS48" s="3034"/>
      <c r="AT48" s="3034"/>
      <c r="AU48" s="3034"/>
      <c r="AV48" s="3034"/>
      <c r="AW48" s="3034"/>
      <c r="AX48" s="3034"/>
      <c r="AY48" s="3034"/>
      <c r="AZ48" s="3034"/>
      <c r="BA48" s="3034"/>
      <c r="BB48" s="3034"/>
      <c r="BC48" s="3034"/>
      <c r="BD48" s="3034"/>
      <c r="BE48" s="3034"/>
      <c r="BF48" s="3034"/>
      <c r="BG48" s="8042"/>
    </row>
    <row customHeight="1" ht="0.75">
      <c r="A49" s="2377" t="s">
        <v>1167</v>
      </c>
      <c r="B49" s="2377"/>
      <c r="C49" s="2377"/>
      <c r="D49" s="2371"/>
      <c r="E49" s="2381"/>
      <c r="F49" s="3747"/>
      <c r="G49" s="3726"/>
      <c r="H49" s="3751"/>
      <c r="I49" s="3752"/>
      <c r="J49" s="3753"/>
      <c r="K49" s="3753"/>
      <c r="L49" s="3745"/>
      <c r="M49" s="3479"/>
      <c r="N49" s="3249"/>
      <c r="O49" s="3249"/>
      <c r="P49" s="3256"/>
      <c r="Q49" s="3249"/>
      <c r="R49" s="3249"/>
      <c r="S49" s="3249"/>
      <c r="T49" s="3249"/>
      <c r="U49" s="3249"/>
      <c r="V49" s="3249"/>
      <c r="W49" s="3249"/>
      <c r="X49" s="3249"/>
      <c r="Y49" s="3249"/>
      <c r="Z49" s="3249"/>
      <c r="AA49" s="3249"/>
      <c r="AB49" s="3249"/>
      <c r="AC49" s="3249"/>
      <c r="AD49" s="3249"/>
      <c r="AE49" s="3258"/>
      <c r="AF49" s="3749"/>
      <c r="AG49" s="3745"/>
      <c r="AH49" s="3745"/>
      <c r="AI49" s="3749"/>
      <c r="AJ49" s="3745"/>
      <c r="AK49" s="3745"/>
      <c r="AL49" s="3199"/>
      <c r="AM49" s="3034"/>
      <c r="AN49" s="3034"/>
      <c r="AO49" s="3034"/>
      <c r="AP49" s="3034"/>
      <c r="AQ49" s="3034"/>
      <c r="AR49" s="3034"/>
      <c r="AS49" s="3034"/>
      <c r="AT49" s="3034"/>
      <c r="AU49" s="3034"/>
      <c r="AV49" s="3034"/>
      <c r="AW49" s="3034"/>
      <c r="AX49" s="3034"/>
      <c r="AY49" s="3034"/>
      <c r="AZ49" s="3034"/>
      <c r="BA49" s="3034"/>
      <c r="BB49" s="3034"/>
      <c r="BC49" s="3034"/>
      <c r="BD49" s="3034"/>
      <c r="BE49" s="3034"/>
      <c r="BF49" s="3034"/>
      <c r="BG49" s="8042"/>
    </row>
    <row customHeight="1" ht="12">
      <c r="A50" s="2377" t="s">
        <v>1167</v>
      </c>
      <c r="B50" s="2377"/>
      <c r="C50" s="2377"/>
      <c r="D50" s="2371"/>
      <c r="E50" s="2381"/>
      <c r="F50" s="3748"/>
      <c r="G50" s="2401"/>
      <c r="H50" s="2401"/>
      <c r="I50" s="3746" t="s">
        <v>1199</v>
      </c>
      <c r="J50" s="3746"/>
      <c r="K50" s="3746"/>
      <c r="L50" s="2384"/>
      <c r="M50" s="2384"/>
      <c r="N50" s="2385"/>
      <c r="O50" s="2385"/>
      <c r="P50" s="2385"/>
      <c r="Q50" s="2385"/>
      <c r="R50" s="2385"/>
      <c r="S50" s="2385"/>
      <c r="T50" s="2385"/>
      <c r="U50" s="2385"/>
      <c r="V50" s="2385"/>
      <c r="W50" s="2385"/>
      <c r="X50" s="2385"/>
      <c r="Y50" s="2385"/>
      <c r="Z50" s="2385"/>
      <c r="AA50" s="2385"/>
      <c r="AB50" s="2385"/>
      <c r="AC50" s="2385"/>
      <c r="AD50" s="2385"/>
      <c r="AE50" s="2385"/>
      <c r="AF50" s="2385"/>
      <c r="AG50" s="2384"/>
      <c r="AH50" s="2384"/>
      <c r="AI50" s="2385"/>
      <c r="AJ50" s="2384"/>
      <c r="AK50" s="2385"/>
      <c r="AL50" s="3199"/>
      <c r="AM50" s="3034"/>
      <c r="AN50" s="3034"/>
      <c r="AO50" s="3034"/>
      <c r="AP50" s="3034"/>
      <c r="AQ50" s="3034"/>
      <c r="AR50" s="3034"/>
      <c r="AS50" s="3034"/>
      <c r="AT50" s="3034"/>
      <c r="AU50" s="3034"/>
      <c r="AV50" s="3034"/>
      <c r="AW50" s="3034"/>
      <c r="AX50" s="3034"/>
      <c r="AY50" s="3034"/>
      <c r="AZ50" s="3034"/>
      <c r="BA50" s="3034"/>
      <c r="BB50" s="3034"/>
      <c r="BC50" s="3034"/>
      <c r="BD50" s="3034"/>
      <c r="BE50" s="3034"/>
      <c r="BF50" s="3034"/>
      <c r="BG50" s="8042"/>
    </row>
    <row customHeight="1" ht="0.75">
      <c r="A51" s="2377" t="s">
        <v>1167</v>
      </c>
      <c r="B51" s="2377"/>
      <c r="C51" s="2377"/>
      <c r="D51" s="2371"/>
      <c r="E51" s="2381"/>
      <c r="F51" s="3747">
        <v>2020</v>
      </c>
      <c r="G51" s="3726"/>
      <c r="H51" s="3751" t="s">
        <v>394</v>
      </c>
      <c r="I51" s="3752"/>
      <c r="J51" s="3753"/>
      <c r="K51" s="3753"/>
      <c r="L51" s="3745"/>
      <c r="M51" s="3479"/>
      <c r="N51" s="3247"/>
      <c r="O51" s="3246"/>
      <c r="P51" s="3247"/>
      <c r="Q51" s="3247"/>
      <c r="R51" s="3247"/>
      <c r="S51" s="3247"/>
      <c r="T51" s="3247"/>
      <c r="U51" s="3247"/>
      <c r="V51" s="3247"/>
      <c r="W51" s="3247"/>
      <c r="X51" s="3247"/>
      <c r="Y51" s="3247"/>
      <c r="Z51" s="3247"/>
      <c r="AA51" s="3247"/>
      <c r="AB51" s="3247"/>
      <c r="AC51" s="3247"/>
      <c r="AD51" s="3247"/>
      <c r="AE51" s="3247"/>
      <c r="AF51" s="3749"/>
      <c r="AG51" s="3745"/>
      <c r="AH51" s="3745"/>
      <c r="AI51" s="3749"/>
      <c r="AJ51" s="3745"/>
      <c r="AK51" s="3745"/>
      <c r="AL51" s="3199"/>
      <c r="AM51" s="3034"/>
      <c r="AN51" s="3034"/>
      <c r="AO51" s="3034"/>
      <c r="AP51" s="3034"/>
      <c r="AQ51" s="3034"/>
      <c r="AR51" s="3034"/>
      <c r="AS51" s="3034"/>
      <c r="AT51" s="3034"/>
      <c r="AU51" s="3034"/>
      <c r="AV51" s="3034"/>
      <c r="AW51" s="3034"/>
      <c r="AX51" s="3034"/>
      <c r="AY51" s="3034"/>
      <c r="AZ51" s="3034"/>
      <c r="BA51" s="3034"/>
      <c r="BB51" s="3034"/>
      <c r="BC51" s="3034"/>
      <c r="BD51" s="3034"/>
      <c r="BE51" s="3034"/>
      <c r="BF51" s="3034"/>
      <c r="BG51" s="8042"/>
    </row>
    <row customHeight="1" ht="0.75">
      <c r="A52" s="2377" t="s">
        <v>1167</v>
      </c>
      <c r="B52" s="2377"/>
      <c r="C52" s="2377"/>
      <c r="D52" s="2371"/>
      <c r="E52" s="2381"/>
      <c r="F52" s="3747"/>
      <c r="G52" s="3726"/>
      <c r="H52" s="3751"/>
      <c r="I52" s="3752"/>
      <c r="J52" s="3753"/>
      <c r="K52" s="3753"/>
      <c r="L52" s="3745"/>
      <c r="M52" s="3479"/>
      <c r="N52" s="3754"/>
      <c r="O52" s="3755"/>
      <c r="P52" s="3799"/>
      <c r="Q52" s="3750"/>
      <c r="R52" s="3750"/>
      <c r="S52" s="3750"/>
      <c r="T52" s="3750"/>
      <c r="U52" s="3750"/>
      <c r="V52" s="3750"/>
      <c r="W52" s="3750"/>
      <c r="X52" s="3750"/>
      <c r="Y52" s="3750"/>
      <c r="Z52" s="3248"/>
      <c r="AA52" s="3249"/>
      <c r="AB52" s="3249"/>
      <c r="AC52" s="3250"/>
      <c r="AD52" s="3250"/>
      <c r="AE52" s="3251"/>
      <c r="AF52" s="3749"/>
      <c r="AG52" s="3745"/>
      <c r="AH52" s="3745"/>
      <c r="AI52" s="3749"/>
      <c r="AJ52" s="3745"/>
      <c r="AK52" s="3745"/>
      <c r="AL52" s="3199"/>
      <c r="AM52" s="3034"/>
      <c r="AN52" s="3034"/>
      <c r="AO52" s="3034"/>
      <c r="AP52" s="3034"/>
      <c r="AQ52" s="3034"/>
      <c r="AR52" s="3034"/>
      <c r="AS52" s="3034"/>
      <c r="AT52" s="3034"/>
      <c r="AU52" s="3034"/>
      <c r="AV52" s="3034"/>
      <c r="AW52" s="3034"/>
      <c r="AX52" s="3034"/>
      <c r="AY52" s="3034"/>
      <c r="AZ52" s="3034"/>
      <c r="BA52" s="3034"/>
      <c r="BB52" s="3034"/>
      <c r="BC52" s="3034"/>
      <c r="BD52" s="3034"/>
      <c r="BE52" s="3034"/>
      <c r="BF52" s="3034"/>
      <c r="BG52" s="8042"/>
    </row>
    <row customHeight="1" ht="0.75">
      <c r="A53" s="2377" t="s">
        <v>1167</v>
      </c>
      <c r="B53" s="2377"/>
      <c r="C53" s="2377"/>
      <c r="D53" s="2371"/>
      <c r="E53" s="2381"/>
      <c r="F53" s="3747"/>
      <c r="G53" s="3726"/>
      <c r="H53" s="3751"/>
      <c r="I53" s="3752"/>
      <c r="J53" s="3753"/>
      <c r="K53" s="3753"/>
      <c r="L53" s="3745"/>
      <c r="M53" s="3479"/>
      <c r="N53" s="3754"/>
      <c r="O53" s="3755"/>
      <c r="P53" s="3800"/>
      <c r="Q53" s="3750"/>
      <c r="R53" s="3750"/>
      <c r="S53" s="3750"/>
      <c r="T53" s="3750"/>
      <c r="U53" s="3750"/>
      <c r="V53" s="3750"/>
      <c r="W53" s="3750"/>
      <c r="X53" s="3750"/>
      <c r="Y53" s="3750"/>
      <c r="Z53" s="3252"/>
      <c r="AA53" s="3253"/>
      <c r="AB53" s="3254"/>
      <c r="AC53" s="3255"/>
      <c r="AD53" s="3254"/>
      <c r="AE53" s="3255"/>
      <c r="AF53" s="3749"/>
      <c r="AG53" s="3745"/>
      <c r="AH53" s="3745"/>
      <c r="AI53" s="3749"/>
      <c r="AJ53" s="3745"/>
      <c r="AK53" s="3745"/>
      <c r="AL53" s="3199"/>
      <c r="AM53" s="3034"/>
      <c r="AN53" s="3034"/>
      <c r="AO53" s="3034"/>
      <c r="AP53" s="3034"/>
      <c r="AQ53" s="3034"/>
      <c r="AR53" s="3034"/>
      <c r="AS53" s="3034"/>
      <c r="AT53" s="3034"/>
      <c r="AU53" s="3034"/>
      <c r="AV53" s="3034"/>
      <c r="AW53" s="3034"/>
      <c r="AX53" s="3034"/>
      <c r="AY53" s="3034"/>
      <c r="AZ53" s="3034"/>
      <c r="BA53" s="3034"/>
      <c r="BB53" s="3034"/>
      <c r="BC53" s="3034"/>
      <c r="BD53" s="3034"/>
      <c r="BE53" s="3034"/>
      <c r="BF53" s="3034"/>
      <c r="BG53" s="8042"/>
    </row>
    <row customHeight="1" ht="0.75">
      <c r="A54" s="2377" t="s">
        <v>1167</v>
      </c>
      <c r="B54" s="2377"/>
      <c r="C54" s="2377"/>
      <c r="D54" s="2371"/>
      <c r="E54" s="2381"/>
      <c r="F54" s="3747"/>
      <c r="G54" s="3726"/>
      <c r="H54" s="3751"/>
      <c r="I54" s="3752"/>
      <c r="J54" s="3753"/>
      <c r="K54" s="3753"/>
      <c r="L54" s="3745"/>
      <c r="M54" s="3479"/>
      <c r="N54" s="3754"/>
      <c r="O54" s="3755"/>
      <c r="P54" s="3801"/>
      <c r="Q54" s="3750"/>
      <c r="R54" s="3750"/>
      <c r="S54" s="3750"/>
      <c r="T54" s="3750"/>
      <c r="U54" s="3750"/>
      <c r="V54" s="3750"/>
      <c r="W54" s="3750"/>
      <c r="X54" s="3750"/>
      <c r="Y54" s="3750"/>
      <c r="Z54" s="3248"/>
      <c r="AA54" s="3249"/>
      <c r="AB54" s="3256"/>
      <c r="AC54" s="3250"/>
      <c r="AD54" s="3250"/>
      <c r="AE54" s="3257"/>
      <c r="AF54" s="3749"/>
      <c r="AG54" s="3745"/>
      <c r="AH54" s="3745"/>
      <c r="AI54" s="3749"/>
      <c r="AJ54" s="3745"/>
      <c r="AK54" s="3745"/>
      <c r="AL54" s="3199"/>
      <c r="AM54" s="3034"/>
      <c r="AN54" s="3034"/>
      <c r="AO54" s="3034"/>
      <c r="AP54" s="3034"/>
      <c r="AQ54" s="3034"/>
      <c r="AR54" s="3034"/>
      <c r="AS54" s="3034"/>
      <c r="AT54" s="3034"/>
      <c r="AU54" s="3034"/>
      <c r="AV54" s="3034"/>
      <c r="AW54" s="3034"/>
      <c r="AX54" s="3034"/>
      <c r="AY54" s="3034"/>
      <c r="AZ54" s="3034"/>
      <c r="BA54" s="3034"/>
      <c r="BB54" s="3034"/>
      <c r="BC54" s="3034"/>
      <c r="BD54" s="3034"/>
      <c r="BE54" s="3034"/>
      <c r="BF54" s="3034"/>
      <c r="BG54" s="8042"/>
    </row>
    <row customHeight="1" ht="0.75">
      <c r="A55" s="2377" t="s">
        <v>1167</v>
      </c>
      <c r="B55" s="2377"/>
      <c r="C55" s="2377"/>
      <c r="D55" s="2371"/>
      <c r="E55" s="2381"/>
      <c r="F55" s="3747"/>
      <c r="G55" s="3726"/>
      <c r="H55" s="3751"/>
      <c r="I55" s="3752"/>
      <c r="J55" s="3753"/>
      <c r="K55" s="3753"/>
      <c r="L55" s="3745"/>
      <c r="M55" s="3479"/>
      <c r="N55" s="3249"/>
      <c r="O55" s="3249"/>
      <c r="P55" s="3256"/>
      <c r="Q55" s="3249"/>
      <c r="R55" s="3249"/>
      <c r="S55" s="3249"/>
      <c r="T55" s="3249"/>
      <c r="U55" s="3249"/>
      <c r="V55" s="3249"/>
      <c r="W55" s="3249"/>
      <c r="X55" s="3249"/>
      <c r="Y55" s="3249"/>
      <c r="Z55" s="3249"/>
      <c r="AA55" s="3249"/>
      <c r="AB55" s="3249"/>
      <c r="AC55" s="3249"/>
      <c r="AD55" s="3249"/>
      <c r="AE55" s="3258"/>
      <c r="AF55" s="3749"/>
      <c r="AG55" s="3745"/>
      <c r="AH55" s="3745"/>
      <c r="AI55" s="3749"/>
      <c r="AJ55" s="3745"/>
      <c r="AK55" s="3745"/>
      <c r="AL55" s="3199"/>
      <c r="AM55" s="3034"/>
      <c r="AN55" s="3034"/>
      <c r="AO55" s="3034"/>
      <c r="AP55" s="3034"/>
      <c r="AQ55" s="3034"/>
      <c r="AR55" s="3034"/>
      <c r="AS55" s="3034"/>
      <c r="AT55" s="3034"/>
      <c r="AU55" s="3034"/>
      <c r="AV55" s="3034"/>
      <c r="AW55" s="3034"/>
      <c r="AX55" s="3034"/>
      <c r="AY55" s="3034"/>
      <c r="AZ55" s="3034"/>
      <c r="BA55" s="3034"/>
      <c r="BB55" s="3034"/>
      <c r="BC55" s="3034"/>
      <c r="BD55" s="3034"/>
      <c r="BE55" s="3034"/>
      <c r="BF55" s="3034"/>
      <c r="BG55" s="8042"/>
    </row>
    <row customHeight="1" ht="12">
      <c r="A56" s="2377" t="s">
        <v>1167</v>
      </c>
      <c r="B56" s="2377"/>
      <c r="C56" s="2377"/>
      <c r="D56" s="2371"/>
      <c r="E56" s="2381"/>
      <c r="F56" s="3748"/>
      <c r="G56" s="2401"/>
      <c r="H56" s="2401"/>
      <c r="I56" s="3746" t="s">
        <v>1199</v>
      </c>
      <c r="J56" s="3746"/>
      <c r="K56" s="3746"/>
      <c r="L56" s="2384"/>
      <c r="M56" s="2384"/>
      <c r="N56" s="2385"/>
      <c r="O56" s="2385"/>
      <c r="P56" s="2385"/>
      <c r="Q56" s="2385"/>
      <c r="R56" s="2385"/>
      <c r="S56" s="2385"/>
      <c r="T56" s="2385"/>
      <c r="U56" s="2385"/>
      <c r="V56" s="2385"/>
      <c r="W56" s="2385"/>
      <c r="X56" s="2385"/>
      <c r="Y56" s="2385"/>
      <c r="Z56" s="2385"/>
      <c r="AA56" s="2385"/>
      <c r="AB56" s="2385"/>
      <c r="AC56" s="2385"/>
      <c r="AD56" s="2385"/>
      <c r="AE56" s="2385"/>
      <c r="AF56" s="2385"/>
      <c r="AG56" s="2384"/>
      <c r="AH56" s="2384"/>
      <c r="AI56" s="2385"/>
      <c r="AJ56" s="2384"/>
      <c r="AK56" s="2385"/>
      <c r="AL56" s="3199"/>
      <c r="AM56" s="3034"/>
      <c r="AN56" s="3034"/>
      <c r="AO56" s="3034"/>
      <c r="AP56" s="3034"/>
      <c r="AQ56" s="3034"/>
      <c r="AR56" s="3034"/>
      <c r="AS56" s="3034"/>
      <c r="AT56" s="3034"/>
      <c r="AU56" s="3034"/>
      <c r="AV56" s="3034"/>
      <c r="AW56" s="3034"/>
      <c r="AX56" s="3034"/>
      <c r="AY56" s="3034"/>
      <c r="AZ56" s="3034"/>
      <c r="BA56" s="3034"/>
      <c r="BB56" s="3034"/>
      <c r="BC56" s="3034"/>
      <c r="BD56" s="3034"/>
      <c r="BE56" s="3034"/>
      <c r="BF56" s="3034"/>
      <c r="BG56" s="8042"/>
    </row>
    <row customHeight="1" ht="0.75">
      <c r="A57" s="2377" t="s">
        <v>1167</v>
      </c>
      <c r="B57" s="2377"/>
      <c r="C57" s="2377"/>
      <c r="D57" s="2371"/>
      <c r="E57" s="2381"/>
      <c r="F57" s="3747">
        <v>2021</v>
      </c>
      <c r="G57" s="3726"/>
      <c r="H57" s="3751" t="s">
        <v>394</v>
      </c>
      <c r="I57" s="3752"/>
      <c r="J57" s="3753"/>
      <c r="K57" s="3753"/>
      <c r="L57" s="3745"/>
      <c r="M57" s="3479"/>
      <c r="N57" s="3247"/>
      <c r="O57" s="3246"/>
      <c r="P57" s="3247"/>
      <c r="Q57" s="3247"/>
      <c r="R57" s="3247"/>
      <c r="S57" s="3247"/>
      <c r="T57" s="3247"/>
      <c r="U57" s="3247"/>
      <c r="V57" s="3247"/>
      <c r="W57" s="3247"/>
      <c r="X57" s="3247"/>
      <c r="Y57" s="3247"/>
      <c r="Z57" s="3247"/>
      <c r="AA57" s="3247"/>
      <c r="AB57" s="3247"/>
      <c r="AC57" s="3247"/>
      <c r="AD57" s="3247"/>
      <c r="AE57" s="3247"/>
      <c r="AF57" s="3749"/>
      <c r="AG57" s="3745"/>
      <c r="AH57" s="3745"/>
      <c r="AI57" s="3749"/>
      <c r="AJ57" s="3745"/>
      <c r="AK57" s="3745"/>
      <c r="AL57" s="3199"/>
      <c r="AM57" s="3034"/>
      <c r="AN57" s="3034"/>
      <c r="AO57" s="3034"/>
      <c r="AP57" s="3034"/>
      <c r="AQ57" s="3034"/>
      <c r="AR57" s="3034"/>
      <c r="AS57" s="3034"/>
      <c r="AT57" s="3034"/>
      <c r="AU57" s="3034"/>
      <c r="AV57" s="3034"/>
      <c r="AW57" s="3034"/>
      <c r="AX57" s="3034"/>
      <c r="AY57" s="3034"/>
      <c r="AZ57" s="3034"/>
      <c r="BA57" s="3034"/>
      <c r="BB57" s="3034"/>
      <c r="BC57" s="3034"/>
      <c r="BD57" s="3034"/>
      <c r="BE57" s="3034"/>
      <c r="BF57" s="3034"/>
      <c r="BG57" s="8042"/>
    </row>
    <row customHeight="1" ht="0.75">
      <c r="A58" s="2377" t="s">
        <v>1167</v>
      </c>
      <c r="B58" s="2377"/>
      <c r="C58" s="2377"/>
      <c r="D58" s="2371"/>
      <c r="E58" s="2381"/>
      <c r="F58" s="3747"/>
      <c r="G58" s="3726"/>
      <c r="H58" s="3751"/>
      <c r="I58" s="3752"/>
      <c r="J58" s="3753"/>
      <c r="K58" s="3753"/>
      <c r="L58" s="3745"/>
      <c r="M58" s="3479"/>
      <c r="N58" s="3754"/>
      <c r="O58" s="3755"/>
      <c r="P58" s="3799"/>
      <c r="Q58" s="3750"/>
      <c r="R58" s="3750"/>
      <c r="S58" s="3750"/>
      <c r="T58" s="3750"/>
      <c r="U58" s="3750"/>
      <c r="V58" s="3750"/>
      <c r="W58" s="3750"/>
      <c r="X58" s="3750"/>
      <c r="Y58" s="3750"/>
      <c r="Z58" s="3248"/>
      <c r="AA58" s="3249"/>
      <c r="AB58" s="3249"/>
      <c r="AC58" s="3250"/>
      <c r="AD58" s="3250"/>
      <c r="AE58" s="3251"/>
      <c r="AF58" s="3749"/>
      <c r="AG58" s="3745"/>
      <c r="AH58" s="3745"/>
      <c r="AI58" s="3749"/>
      <c r="AJ58" s="3745"/>
      <c r="AK58" s="3745"/>
      <c r="AL58" s="3199"/>
      <c r="AM58" s="3034"/>
      <c r="AN58" s="3034"/>
      <c r="AO58" s="3034"/>
      <c r="AP58" s="3034"/>
      <c r="AQ58" s="3034"/>
      <c r="AR58" s="3034"/>
      <c r="AS58" s="3034"/>
      <c r="AT58" s="3034"/>
      <c r="AU58" s="3034"/>
      <c r="AV58" s="3034"/>
      <c r="AW58" s="3034"/>
      <c r="AX58" s="3034"/>
      <c r="AY58" s="3034"/>
      <c r="AZ58" s="3034"/>
      <c r="BA58" s="3034"/>
      <c r="BB58" s="3034"/>
      <c r="BC58" s="3034"/>
      <c r="BD58" s="3034"/>
      <c r="BE58" s="3034"/>
      <c r="BF58" s="3034"/>
      <c r="BG58" s="8042"/>
    </row>
    <row customHeight="1" ht="0.75">
      <c r="A59" s="2377" t="s">
        <v>1167</v>
      </c>
      <c r="B59" s="2377"/>
      <c r="C59" s="2377"/>
      <c r="D59" s="2371"/>
      <c r="E59" s="2381"/>
      <c r="F59" s="3747"/>
      <c r="G59" s="3726"/>
      <c r="H59" s="3751"/>
      <c r="I59" s="3752"/>
      <c r="J59" s="3753"/>
      <c r="K59" s="3753"/>
      <c r="L59" s="3745"/>
      <c r="M59" s="3479"/>
      <c r="N59" s="3754"/>
      <c r="O59" s="3755"/>
      <c r="P59" s="3800"/>
      <c r="Q59" s="3750"/>
      <c r="R59" s="3750"/>
      <c r="S59" s="3750"/>
      <c r="T59" s="3750"/>
      <c r="U59" s="3750"/>
      <c r="V59" s="3750"/>
      <c r="W59" s="3750"/>
      <c r="X59" s="3750"/>
      <c r="Y59" s="3750"/>
      <c r="Z59" s="3252"/>
      <c r="AA59" s="3253"/>
      <c r="AB59" s="3254"/>
      <c r="AC59" s="3255"/>
      <c r="AD59" s="3254"/>
      <c r="AE59" s="3255"/>
      <c r="AF59" s="3749"/>
      <c r="AG59" s="3745"/>
      <c r="AH59" s="3745"/>
      <c r="AI59" s="3749"/>
      <c r="AJ59" s="3745"/>
      <c r="AK59" s="3745"/>
      <c r="AL59" s="3199"/>
      <c r="AM59" s="3034"/>
      <c r="AN59" s="3034"/>
      <c r="AO59" s="3034"/>
      <c r="AP59" s="3034"/>
      <c r="AQ59" s="3034"/>
      <c r="AR59" s="3034"/>
      <c r="AS59" s="3034"/>
      <c r="AT59" s="3034"/>
      <c r="AU59" s="3034"/>
      <c r="AV59" s="3034"/>
      <c r="AW59" s="3034"/>
      <c r="AX59" s="3034"/>
      <c r="AY59" s="3034"/>
      <c r="AZ59" s="3034"/>
      <c r="BA59" s="3034"/>
      <c r="BB59" s="3034"/>
      <c r="BC59" s="3034"/>
      <c r="BD59" s="3034"/>
      <c r="BE59" s="3034"/>
      <c r="BF59" s="3034"/>
      <c r="BG59" s="8042"/>
    </row>
    <row customHeight="1" ht="0.75">
      <c r="A60" s="2377" t="s">
        <v>1167</v>
      </c>
      <c r="B60" s="2377"/>
      <c r="C60" s="2377"/>
      <c r="D60" s="2371"/>
      <c r="E60" s="2381"/>
      <c r="F60" s="3747"/>
      <c r="G60" s="3726"/>
      <c r="H60" s="3751"/>
      <c r="I60" s="3752"/>
      <c r="J60" s="3753"/>
      <c r="K60" s="3753"/>
      <c r="L60" s="3745"/>
      <c r="M60" s="3479"/>
      <c r="N60" s="3754"/>
      <c r="O60" s="3755"/>
      <c r="P60" s="3801"/>
      <c r="Q60" s="3750"/>
      <c r="R60" s="3750"/>
      <c r="S60" s="3750"/>
      <c r="T60" s="3750"/>
      <c r="U60" s="3750"/>
      <c r="V60" s="3750"/>
      <c r="W60" s="3750"/>
      <c r="X60" s="3750"/>
      <c r="Y60" s="3750"/>
      <c r="Z60" s="3248"/>
      <c r="AA60" s="3249"/>
      <c r="AB60" s="3256"/>
      <c r="AC60" s="3250"/>
      <c r="AD60" s="3250"/>
      <c r="AE60" s="3257"/>
      <c r="AF60" s="3749"/>
      <c r="AG60" s="3745"/>
      <c r="AH60" s="3745"/>
      <c r="AI60" s="3749"/>
      <c r="AJ60" s="3745"/>
      <c r="AK60" s="3745"/>
      <c r="AL60" s="3199"/>
      <c r="AM60" s="3034"/>
      <c r="AN60" s="3034"/>
      <c r="AO60" s="3034"/>
      <c r="AP60" s="3034"/>
      <c r="AQ60" s="3034"/>
      <c r="AR60" s="3034"/>
      <c r="AS60" s="3034"/>
      <c r="AT60" s="3034"/>
      <c r="AU60" s="3034"/>
      <c r="AV60" s="3034"/>
      <c r="AW60" s="3034"/>
      <c r="AX60" s="3034"/>
      <c r="AY60" s="3034"/>
      <c r="AZ60" s="3034"/>
      <c r="BA60" s="3034"/>
      <c r="BB60" s="3034"/>
      <c r="BC60" s="3034"/>
      <c r="BD60" s="3034"/>
      <c r="BE60" s="3034"/>
      <c r="BF60" s="3034"/>
      <c r="BG60" s="8042"/>
    </row>
    <row customHeight="1" ht="0.75">
      <c r="A61" s="2377" t="s">
        <v>1167</v>
      </c>
      <c r="B61" s="2377"/>
      <c r="C61" s="2377"/>
      <c r="D61" s="2371"/>
      <c r="E61" s="2381"/>
      <c r="F61" s="3747"/>
      <c r="G61" s="3726"/>
      <c r="H61" s="3751"/>
      <c r="I61" s="3752"/>
      <c r="J61" s="3753"/>
      <c r="K61" s="3753"/>
      <c r="L61" s="3745"/>
      <c r="M61" s="3479"/>
      <c r="N61" s="3249"/>
      <c r="O61" s="3249"/>
      <c r="P61" s="3256"/>
      <c r="Q61" s="3249"/>
      <c r="R61" s="3249"/>
      <c r="S61" s="3249"/>
      <c r="T61" s="3249"/>
      <c r="U61" s="3249"/>
      <c r="V61" s="3249"/>
      <c r="W61" s="3249"/>
      <c r="X61" s="3249"/>
      <c r="Y61" s="3249"/>
      <c r="Z61" s="3249"/>
      <c r="AA61" s="3249"/>
      <c r="AB61" s="3249"/>
      <c r="AC61" s="3249"/>
      <c r="AD61" s="3249"/>
      <c r="AE61" s="3258"/>
      <c r="AF61" s="3749"/>
      <c r="AG61" s="3745"/>
      <c r="AH61" s="3745"/>
      <c r="AI61" s="3749"/>
      <c r="AJ61" s="3745"/>
      <c r="AK61" s="3745"/>
      <c r="AL61" s="3199"/>
      <c r="AM61" s="3034"/>
      <c r="AN61" s="3034"/>
      <c r="AO61" s="3034"/>
      <c r="AP61" s="3034"/>
      <c r="AQ61" s="3034"/>
      <c r="AR61" s="3034"/>
      <c r="AS61" s="3034"/>
      <c r="AT61" s="3034"/>
      <c r="AU61" s="3034"/>
      <c r="AV61" s="3034"/>
      <c r="AW61" s="3034"/>
      <c r="AX61" s="3034"/>
      <c r="AY61" s="3034"/>
      <c r="AZ61" s="3034"/>
      <c r="BA61" s="3034"/>
      <c r="BB61" s="3034"/>
      <c r="BC61" s="3034"/>
      <c r="BD61" s="3034"/>
      <c r="BE61" s="3034"/>
      <c r="BF61" s="3034"/>
      <c r="BG61" s="8042"/>
    </row>
    <row customHeight="1" ht="12">
      <c r="A62" s="2377" t="s">
        <v>1167</v>
      </c>
      <c r="B62" s="2377"/>
      <c r="C62" s="2377"/>
      <c r="D62" s="2371"/>
      <c r="E62" s="2381"/>
      <c r="F62" s="3748"/>
      <c r="G62" s="2401"/>
      <c r="H62" s="2401"/>
      <c r="I62" s="3746" t="s">
        <v>1199</v>
      </c>
      <c r="J62" s="3746"/>
      <c r="K62" s="3746"/>
      <c r="L62" s="2384"/>
      <c r="M62" s="2384"/>
      <c r="N62" s="2385"/>
      <c r="O62" s="2385"/>
      <c r="P62" s="2385"/>
      <c r="Q62" s="2385"/>
      <c r="R62" s="2385"/>
      <c r="S62" s="2385"/>
      <c r="T62" s="2385"/>
      <c r="U62" s="2385"/>
      <c r="V62" s="2385"/>
      <c r="W62" s="2385"/>
      <c r="X62" s="2385"/>
      <c r="Y62" s="2385"/>
      <c r="Z62" s="2385"/>
      <c r="AA62" s="2385"/>
      <c r="AB62" s="2385"/>
      <c r="AC62" s="2385"/>
      <c r="AD62" s="2385"/>
      <c r="AE62" s="2385"/>
      <c r="AF62" s="2385"/>
      <c r="AG62" s="2384"/>
      <c r="AH62" s="2384"/>
      <c r="AI62" s="2385"/>
      <c r="AJ62" s="2384"/>
      <c r="AK62" s="2385"/>
      <c r="AL62" s="3199"/>
      <c r="AM62" s="3034"/>
      <c r="AN62" s="3034"/>
      <c r="AO62" s="3034"/>
      <c r="AP62" s="3034"/>
      <c r="AQ62" s="3034"/>
      <c r="AR62" s="3034"/>
      <c r="AS62" s="3034"/>
      <c r="AT62" s="3034"/>
      <c r="AU62" s="3034"/>
      <c r="AV62" s="3034"/>
      <c r="AW62" s="3034"/>
      <c r="AX62" s="3034"/>
      <c r="AY62" s="3034"/>
      <c r="AZ62" s="3034"/>
      <c r="BA62" s="3034"/>
      <c r="BB62" s="3034"/>
      <c r="BC62" s="3034"/>
      <c r="BD62" s="3034"/>
      <c r="BE62" s="3034"/>
      <c r="BF62" s="3034"/>
      <c r="BG62" s="8042"/>
    </row>
    <row customHeight="1" ht="0.75">
      <c r="A63" s="2377" t="s">
        <v>1167</v>
      </c>
      <c r="B63" s="2377"/>
      <c r="C63" s="2377"/>
      <c r="D63" s="2371"/>
      <c r="E63" s="2381"/>
      <c r="F63" s="3747">
        <v>2022</v>
      </c>
      <c r="G63" s="3726"/>
      <c r="H63" s="3751" t="s">
        <v>394</v>
      </c>
      <c r="I63" s="3752"/>
      <c r="J63" s="3753"/>
      <c r="K63" s="3753"/>
      <c r="L63" s="3745"/>
      <c r="M63" s="3479"/>
      <c r="N63" s="3247"/>
      <c r="O63" s="3246"/>
      <c r="P63" s="3247"/>
      <c r="Q63" s="3247"/>
      <c r="R63" s="3247"/>
      <c r="S63" s="3247"/>
      <c r="T63" s="3247"/>
      <c r="U63" s="3247"/>
      <c r="V63" s="3247"/>
      <c r="W63" s="3247"/>
      <c r="X63" s="3247"/>
      <c r="Y63" s="3247"/>
      <c r="Z63" s="3247"/>
      <c r="AA63" s="3247"/>
      <c r="AB63" s="3247"/>
      <c r="AC63" s="3247"/>
      <c r="AD63" s="3247"/>
      <c r="AE63" s="3247"/>
      <c r="AF63" s="3749"/>
      <c r="AG63" s="3745"/>
      <c r="AH63" s="3745"/>
      <c r="AI63" s="3749"/>
      <c r="AJ63" s="3745"/>
      <c r="AK63" s="3745"/>
      <c r="AL63" s="3199"/>
      <c r="AM63" s="3034"/>
      <c r="AN63" s="3034"/>
      <c r="AO63" s="3034"/>
      <c r="AP63" s="3034"/>
      <c r="AQ63" s="3034"/>
      <c r="AR63" s="3034"/>
      <c r="AS63" s="3034"/>
      <c r="AT63" s="3034"/>
      <c r="AU63" s="3034"/>
      <c r="AV63" s="3034"/>
      <c r="AW63" s="3034"/>
      <c r="AX63" s="3034"/>
      <c r="AY63" s="3034"/>
      <c r="AZ63" s="3034"/>
      <c r="BA63" s="3034"/>
      <c r="BB63" s="3034"/>
      <c r="BC63" s="3034"/>
      <c r="BD63" s="3034"/>
      <c r="BE63" s="3034"/>
      <c r="BF63" s="3034"/>
      <c r="BG63" s="8042"/>
    </row>
    <row customHeight="1" ht="0.75">
      <c r="A64" s="2377" t="s">
        <v>1167</v>
      </c>
      <c r="B64" s="2377"/>
      <c r="C64" s="2377"/>
      <c r="D64" s="2371"/>
      <c r="E64" s="2381"/>
      <c r="F64" s="3747"/>
      <c r="G64" s="3726"/>
      <c r="H64" s="3751"/>
      <c r="I64" s="3752"/>
      <c r="J64" s="3753"/>
      <c r="K64" s="3753"/>
      <c r="L64" s="3745"/>
      <c r="M64" s="3479"/>
      <c r="N64" s="3754"/>
      <c r="O64" s="3755"/>
      <c r="P64" s="3799"/>
      <c r="Q64" s="3750"/>
      <c r="R64" s="3750"/>
      <c r="S64" s="3750"/>
      <c r="T64" s="3750"/>
      <c r="U64" s="3750"/>
      <c r="V64" s="3750"/>
      <c r="W64" s="3750"/>
      <c r="X64" s="3750"/>
      <c r="Y64" s="3750"/>
      <c r="Z64" s="3248"/>
      <c r="AA64" s="3249"/>
      <c r="AB64" s="3249"/>
      <c r="AC64" s="3250"/>
      <c r="AD64" s="3250"/>
      <c r="AE64" s="3251"/>
      <c r="AF64" s="3749"/>
      <c r="AG64" s="3745"/>
      <c r="AH64" s="3745"/>
      <c r="AI64" s="3749"/>
      <c r="AJ64" s="3745"/>
      <c r="AK64" s="3745"/>
      <c r="AL64" s="3199"/>
      <c r="AM64" s="3034"/>
      <c r="AN64" s="3034"/>
      <c r="AO64" s="3034"/>
      <c r="AP64" s="3034"/>
      <c r="AQ64" s="3034"/>
      <c r="AR64" s="3034"/>
      <c r="AS64" s="3034"/>
      <c r="AT64" s="3034"/>
      <c r="AU64" s="3034"/>
      <c r="AV64" s="3034"/>
      <c r="AW64" s="3034"/>
      <c r="AX64" s="3034"/>
      <c r="AY64" s="3034"/>
      <c r="AZ64" s="3034"/>
      <c r="BA64" s="3034"/>
      <c r="BB64" s="3034"/>
      <c r="BC64" s="3034"/>
      <c r="BD64" s="3034"/>
      <c r="BE64" s="3034"/>
      <c r="BF64" s="3034"/>
      <c r="BG64" s="8042"/>
    </row>
    <row customHeight="1" ht="0.75">
      <c r="A65" s="2377" t="s">
        <v>1167</v>
      </c>
      <c r="B65" s="2377"/>
      <c r="C65" s="2377"/>
      <c r="D65" s="2371"/>
      <c r="E65" s="2381"/>
      <c r="F65" s="3747"/>
      <c r="G65" s="3726"/>
      <c r="H65" s="3751"/>
      <c r="I65" s="3752"/>
      <c r="J65" s="3753"/>
      <c r="K65" s="3753"/>
      <c r="L65" s="3745"/>
      <c r="M65" s="3479"/>
      <c r="N65" s="3754"/>
      <c r="O65" s="3755"/>
      <c r="P65" s="3800"/>
      <c r="Q65" s="3750"/>
      <c r="R65" s="3750"/>
      <c r="S65" s="3750"/>
      <c r="T65" s="3750"/>
      <c r="U65" s="3750"/>
      <c r="V65" s="3750"/>
      <c r="W65" s="3750"/>
      <c r="X65" s="3750"/>
      <c r="Y65" s="3750"/>
      <c r="Z65" s="3252"/>
      <c r="AA65" s="3253"/>
      <c r="AB65" s="3254"/>
      <c r="AC65" s="3255"/>
      <c r="AD65" s="3254"/>
      <c r="AE65" s="3255"/>
      <c r="AF65" s="3749"/>
      <c r="AG65" s="3745"/>
      <c r="AH65" s="3745"/>
      <c r="AI65" s="3749"/>
      <c r="AJ65" s="3745"/>
      <c r="AK65" s="3745"/>
      <c r="AL65" s="3199"/>
      <c r="AM65" s="3034"/>
      <c r="AN65" s="3034"/>
      <c r="AO65" s="3034"/>
      <c r="AP65" s="3034"/>
      <c r="AQ65" s="3034"/>
      <c r="AR65" s="3034"/>
      <c r="AS65" s="3034"/>
      <c r="AT65" s="3034"/>
      <c r="AU65" s="3034"/>
      <c r="AV65" s="3034"/>
      <c r="AW65" s="3034"/>
      <c r="AX65" s="3034"/>
      <c r="AY65" s="3034"/>
      <c r="AZ65" s="3034"/>
      <c r="BA65" s="3034"/>
      <c r="BB65" s="3034"/>
      <c r="BC65" s="3034"/>
      <c r="BD65" s="3034"/>
      <c r="BE65" s="3034"/>
      <c r="BF65" s="3034"/>
      <c r="BG65" s="8042"/>
    </row>
    <row customHeight="1" ht="0.75">
      <c r="A66" s="2377" t="s">
        <v>1167</v>
      </c>
      <c r="B66" s="2377"/>
      <c r="C66" s="2377"/>
      <c r="D66" s="2371"/>
      <c r="E66" s="2381"/>
      <c r="F66" s="3747"/>
      <c r="G66" s="3726"/>
      <c r="H66" s="3751"/>
      <c r="I66" s="3752"/>
      <c r="J66" s="3753"/>
      <c r="K66" s="3753"/>
      <c r="L66" s="3745"/>
      <c r="M66" s="3479"/>
      <c r="N66" s="3754"/>
      <c r="O66" s="3755"/>
      <c r="P66" s="3801"/>
      <c r="Q66" s="3750"/>
      <c r="R66" s="3750"/>
      <c r="S66" s="3750"/>
      <c r="T66" s="3750"/>
      <c r="U66" s="3750"/>
      <c r="V66" s="3750"/>
      <c r="W66" s="3750"/>
      <c r="X66" s="3750"/>
      <c r="Y66" s="3750"/>
      <c r="Z66" s="3248"/>
      <c r="AA66" s="3249"/>
      <c r="AB66" s="3256"/>
      <c r="AC66" s="3250"/>
      <c r="AD66" s="3250"/>
      <c r="AE66" s="3257"/>
      <c r="AF66" s="3749"/>
      <c r="AG66" s="3745"/>
      <c r="AH66" s="3745"/>
      <c r="AI66" s="3749"/>
      <c r="AJ66" s="3745"/>
      <c r="AK66" s="3745"/>
      <c r="AL66" s="3199"/>
      <c r="AM66" s="3034"/>
      <c r="AN66" s="3034"/>
      <c r="AO66" s="3034"/>
      <c r="AP66" s="3034"/>
      <c r="AQ66" s="3034"/>
      <c r="AR66" s="3034"/>
      <c r="AS66" s="3034"/>
      <c r="AT66" s="3034"/>
      <c r="AU66" s="3034"/>
      <c r="AV66" s="3034"/>
      <c r="AW66" s="3034"/>
      <c r="AX66" s="3034"/>
      <c r="AY66" s="3034"/>
      <c r="AZ66" s="3034"/>
      <c r="BA66" s="3034"/>
      <c r="BB66" s="3034"/>
      <c r="BC66" s="3034"/>
      <c r="BD66" s="3034"/>
      <c r="BE66" s="3034"/>
      <c r="BF66" s="3034"/>
      <c r="BG66" s="8042"/>
    </row>
    <row customHeight="1" ht="0.75">
      <c r="A67" s="2377" t="s">
        <v>1167</v>
      </c>
      <c r="B67" s="2377"/>
      <c r="C67" s="2377"/>
      <c r="D67" s="2371"/>
      <c r="E67" s="2381"/>
      <c r="F67" s="3747"/>
      <c r="G67" s="3726"/>
      <c r="H67" s="3751"/>
      <c r="I67" s="3752"/>
      <c r="J67" s="3753"/>
      <c r="K67" s="3753"/>
      <c r="L67" s="3745"/>
      <c r="M67" s="3479"/>
      <c r="N67" s="3249"/>
      <c r="O67" s="3249"/>
      <c r="P67" s="3256"/>
      <c r="Q67" s="3249"/>
      <c r="R67" s="3249"/>
      <c r="S67" s="3249"/>
      <c r="T67" s="3249"/>
      <c r="U67" s="3249"/>
      <c r="V67" s="3249"/>
      <c r="W67" s="3249"/>
      <c r="X67" s="3249"/>
      <c r="Y67" s="3249"/>
      <c r="Z67" s="3249"/>
      <c r="AA67" s="3249"/>
      <c r="AB67" s="3249"/>
      <c r="AC67" s="3249"/>
      <c r="AD67" s="3249"/>
      <c r="AE67" s="3258"/>
      <c r="AF67" s="3749"/>
      <c r="AG67" s="3745"/>
      <c r="AH67" s="3745"/>
      <c r="AI67" s="3749"/>
      <c r="AJ67" s="3745"/>
      <c r="AK67" s="3745"/>
      <c r="AL67" s="3199"/>
      <c r="AM67" s="3034"/>
      <c r="AN67" s="3034"/>
      <c r="AO67" s="3034"/>
      <c r="AP67" s="3034"/>
      <c r="AQ67" s="3034"/>
      <c r="AR67" s="3034"/>
      <c r="AS67" s="3034"/>
      <c r="AT67" s="3034"/>
      <c r="AU67" s="3034"/>
      <c r="AV67" s="3034"/>
      <c r="AW67" s="3034"/>
      <c r="AX67" s="3034"/>
      <c r="AY67" s="3034"/>
      <c r="AZ67" s="3034"/>
      <c r="BA67" s="3034"/>
      <c r="BB67" s="3034"/>
      <c r="BC67" s="3034"/>
      <c r="BD67" s="3034"/>
      <c r="BE67" s="3034"/>
      <c r="BF67" s="3034"/>
      <c r="BG67" s="8042"/>
    </row>
    <row customHeight="1" ht="12">
      <c r="A68" s="2377" t="s">
        <v>1167</v>
      </c>
      <c r="B68" s="2377"/>
      <c r="C68" s="2377"/>
      <c r="D68" s="2371"/>
      <c r="E68" s="2381"/>
      <c r="F68" s="3748"/>
      <c r="G68" s="2401"/>
      <c r="H68" s="2401"/>
      <c r="I68" s="3746" t="s">
        <v>1199</v>
      </c>
      <c r="J68" s="3746"/>
      <c r="K68" s="3746"/>
      <c r="L68" s="2384"/>
      <c r="M68" s="2384"/>
      <c r="N68" s="2385"/>
      <c r="O68" s="2385"/>
      <c r="P68" s="2385"/>
      <c r="Q68" s="2385"/>
      <c r="R68" s="2385"/>
      <c r="S68" s="2385"/>
      <c r="T68" s="2385"/>
      <c r="U68" s="2385"/>
      <c r="V68" s="2385"/>
      <c r="W68" s="2385"/>
      <c r="X68" s="2385"/>
      <c r="Y68" s="2385"/>
      <c r="Z68" s="2385"/>
      <c r="AA68" s="2385"/>
      <c r="AB68" s="2385"/>
      <c r="AC68" s="2385"/>
      <c r="AD68" s="2385"/>
      <c r="AE68" s="2385"/>
      <c r="AF68" s="2385"/>
      <c r="AG68" s="2384"/>
      <c r="AH68" s="2384"/>
      <c r="AI68" s="2385"/>
      <c r="AJ68" s="2384"/>
      <c r="AK68" s="2385"/>
      <c r="AL68" s="3199"/>
      <c r="AM68" s="3034"/>
      <c r="AN68" s="3034"/>
      <c r="AO68" s="3034"/>
      <c r="AP68" s="3034"/>
      <c r="AQ68" s="3034"/>
      <c r="AR68" s="3034"/>
      <c r="AS68" s="3034"/>
      <c r="AT68" s="3034"/>
      <c r="AU68" s="3034"/>
      <c r="AV68" s="3034"/>
      <c r="AW68" s="3034"/>
      <c r="AX68" s="3034"/>
      <c r="AY68" s="3034"/>
      <c r="AZ68" s="3034"/>
      <c r="BA68" s="3034"/>
      <c r="BB68" s="3034"/>
      <c r="BC68" s="3034"/>
      <c r="BD68" s="3034"/>
      <c r="BE68" s="3034"/>
      <c r="BF68" s="3034"/>
      <c r="BG68" s="8042"/>
    </row>
    <row customHeight="1" ht="0.75">
      <c r="A69" s="2377" t="s">
        <v>1167</v>
      </c>
      <c r="B69" s="2377"/>
      <c r="C69" s="2377"/>
      <c r="D69" s="2371"/>
      <c r="E69" s="2381"/>
      <c r="F69" s="3747">
        <v>2023</v>
      </c>
      <c r="G69" s="3726"/>
      <c r="H69" s="3751" t="s">
        <v>394</v>
      </c>
      <c r="I69" s="3752"/>
      <c r="J69" s="3753"/>
      <c r="K69" s="3753"/>
      <c r="L69" s="3745"/>
      <c r="M69" s="3479"/>
      <c r="N69" s="3247"/>
      <c r="O69" s="3246"/>
      <c r="P69" s="3247"/>
      <c r="Q69" s="3247"/>
      <c r="R69" s="3247"/>
      <c r="S69" s="3247"/>
      <c r="T69" s="3247"/>
      <c r="U69" s="3247"/>
      <c r="V69" s="3247"/>
      <c r="W69" s="3247"/>
      <c r="X69" s="3247"/>
      <c r="Y69" s="3247"/>
      <c r="Z69" s="3247"/>
      <c r="AA69" s="3247"/>
      <c r="AB69" s="3247"/>
      <c r="AC69" s="3247"/>
      <c r="AD69" s="3247"/>
      <c r="AE69" s="3247"/>
      <c r="AF69" s="3749"/>
      <c r="AG69" s="3745"/>
      <c r="AH69" s="3745"/>
      <c r="AI69" s="3749"/>
      <c r="AJ69" s="3745"/>
      <c r="AK69" s="3745"/>
      <c r="AL69" s="3199"/>
      <c r="AM69" s="3034"/>
      <c r="AN69" s="3034"/>
      <c r="AO69" s="3034"/>
      <c r="AP69" s="3034"/>
      <c r="AQ69" s="3034"/>
      <c r="AR69" s="3034"/>
      <c r="AS69" s="3034"/>
      <c r="AT69" s="3034"/>
      <c r="AU69" s="3034"/>
      <c r="AV69" s="3034"/>
      <c r="AW69" s="3034"/>
      <c r="AX69" s="3034"/>
      <c r="AY69" s="3034"/>
      <c r="AZ69" s="3034"/>
      <c r="BA69" s="3034"/>
      <c r="BB69" s="3034"/>
      <c r="BC69" s="3034"/>
      <c r="BD69" s="3034"/>
      <c r="BE69" s="3034"/>
      <c r="BF69" s="3034"/>
      <c r="BG69" s="8042"/>
    </row>
    <row customHeight="1" ht="0.75">
      <c r="A70" s="2377" t="s">
        <v>1167</v>
      </c>
      <c r="B70" s="2377"/>
      <c r="C70" s="2377"/>
      <c r="D70" s="2371"/>
      <c r="E70" s="2381"/>
      <c r="F70" s="3747"/>
      <c r="G70" s="3726"/>
      <c r="H70" s="3751"/>
      <c r="I70" s="3752"/>
      <c r="J70" s="3753"/>
      <c r="K70" s="3753"/>
      <c r="L70" s="3745"/>
      <c r="M70" s="3479"/>
      <c r="N70" s="3754"/>
      <c r="O70" s="3755"/>
      <c r="P70" s="3799"/>
      <c r="Q70" s="3750"/>
      <c r="R70" s="3750"/>
      <c r="S70" s="3750"/>
      <c r="T70" s="3750"/>
      <c r="U70" s="3750"/>
      <c r="V70" s="3750"/>
      <c r="W70" s="3750"/>
      <c r="X70" s="3750"/>
      <c r="Y70" s="3750"/>
      <c r="Z70" s="3248"/>
      <c r="AA70" s="3249"/>
      <c r="AB70" s="3249"/>
      <c r="AC70" s="3250"/>
      <c r="AD70" s="3250"/>
      <c r="AE70" s="3251"/>
      <c r="AF70" s="3749"/>
      <c r="AG70" s="3745"/>
      <c r="AH70" s="3745"/>
      <c r="AI70" s="3749"/>
      <c r="AJ70" s="3745"/>
      <c r="AK70" s="3745"/>
      <c r="AL70" s="3199"/>
      <c r="AM70" s="3034"/>
      <c r="AN70" s="3034"/>
      <c r="AO70" s="3034"/>
      <c r="AP70" s="3034"/>
      <c r="AQ70" s="3034"/>
      <c r="AR70" s="3034"/>
      <c r="AS70" s="3034"/>
      <c r="AT70" s="3034"/>
      <c r="AU70" s="3034"/>
      <c r="AV70" s="3034"/>
      <c r="AW70" s="3034"/>
      <c r="AX70" s="3034"/>
      <c r="AY70" s="3034"/>
      <c r="AZ70" s="3034"/>
      <c r="BA70" s="3034"/>
      <c r="BB70" s="3034"/>
      <c r="BC70" s="3034"/>
      <c r="BD70" s="3034"/>
      <c r="BE70" s="3034"/>
      <c r="BF70" s="3034"/>
      <c r="BG70" s="8042"/>
    </row>
    <row customHeight="1" ht="0.75">
      <c r="A71" s="2377" t="s">
        <v>1167</v>
      </c>
      <c r="B71" s="2377"/>
      <c r="C71" s="2377"/>
      <c r="D71" s="2371"/>
      <c r="E71" s="2381"/>
      <c r="F71" s="3747"/>
      <c r="G71" s="3726"/>
      <c r="H71" s="3751"/>
      <c r="I71" s="3752"/>
      <c r="J71" s="3753"/>
      <c r="K71" s="3753"/>
      <c r="L71" s="3745"/>
      <c r="M71" s="3479"/>
      <c r="N71" s="3754"/>
      <c r="O71" s="3755"/>
      <c r="P71" s="3800"/>
      <c r="Q71" s="3750"/>
      <c r="R71" s="3750"/>
      <c r="S71" s="3750"/>
      <c r="T71" s="3750"/>
      <c r="U71" s="3750"/>
      <c r="V71" s="3750"/>
      <c r="W71" s="3750"/>
      <c r="X71" s="3750"/>
      <c r="Y71" s="3750"/>
      <c r="Z71" s="3252"/>
      <c r="AA71" s="3253"/>
      <c r="AB71" s="3254"/>
      <c r="AC71" s="3255"/>
      <c r="AD71" s="3254"/>
      <c r="AE71" s="3255"/>
      <c r="AF71" s="3749"/>
      <c r="AG71" s="3745"/>
      <c r="AH71" s="3745"/>
      <c r="AI71" s="3749"/>
      <c r="AJ71" s="3745"/>
      <c r="AK71" s="3745"/>
      <c r="AL71" s="3199"/>
      <c r="AM71" s="3034"/>
      <c r="AN71" s="3034"/>
      <c r="AO71" s="3034"/>
      <c r="AP71" s="3034"/>
      <c r="AQ71" s="3034"/>
      <c r="AR71" s="3034"/>
      <c r="AS71" s="3034"/>
      <c r="AT71" s="3034"/>
      <c r="AU71" s="3034"/>
      <c r="AV71" s="3034"/>
      <c r="AW71" s="3034"/>
      <c r="AX71" s="3034"/>
      <c r="AY71" s="3034"/>
      <c r="AZ71" s="3034"/>
      <c r="BA71" s="3034"/>
      <c r="BB71" s="3034"/>
      <c r="BC71" s="3034"/>
      <c r="BD71" s="3034"/>
      <c r="BE71" s="3034"/>
      <c r="BF71" s="3034"/>
      <c r="BG71" s="8042"/>
    </row>
    <row customHeight="1" ht="0.75">
      <c r="A72" s="2377" t="s">
        <v>1167</v>
      </c>
      <c r="B72" s="2377"/>
      <c r="C72" s="2377"/>
      <c r="D72" s="2371"/>
      <c r="E72" s="2381"/>
      <c r="F72" s="3747"/>
      <c r="G72" s="3726"/>
      <c r="H72" s="3751"/>
      <c r="I72" s="3752"/>
      <c r="J72" s="3753"/>
      <c r="K72" s="3753"/>
      <c r="L72" s="3745"/>
      <c r="M72" s="3479"/>
      <c r="N72" s="3754"/>
      <c r="O72" s="3755"/>
      <c r="P72" s="3801"/>
      <c r="Q72" s="3750"/>
      <c r="R72" s="3750"/>
      <c r="S72" s="3750"/>
      <c r="T72" s="3750"/>
      <c r="U72" s="3750"/>
      <c r="V72" s="3750"/>
      <c r="W72" s="3750"/>
      <c r="X72" s="3750"/>
      <c r="Y72" s="3750"/>
      <c r="Z72" s="3248"/>
      <c r="AA72" s="3249"/>
      <c r="AB72" s="3256"/>
      <c r="AC72" s="3250"/>
      <c r="AD72" s="3250"/>
      <c r="AE72" s="3257"/>
      <c r="AF72" s="3749"/>
      <c r="AG72" s="3745"/>
      <c r="AH72" s="3745"/>
      <c r="AI72" s="3749"/>
      <c r="AJ72" s="3745"/>
      <c r="AK72" s="3745"/>
      <c r="AL72" s="3199"/>
      <c r="AM72" s="3034"/>
      <c r="AN72" s="3034"/>
      <c r="AO72" s="3034"/>
      <c r="AP72" s="3034"/>
      <c r="AQ72" s="3034"/>
      <c r="AR72" s="3034"/>
      <c r="AS72" s="3034"/>
      <c r="AT72" s="3034"/>
      <c r="AU72" s="3034"/>
      <c r="AV72" s="3034"/>
      <c r="AW72" s="3034"/>
      <c r="AX72" s="3034"/>
      <c r="AY72" s="3034"/>
      <c r="AZ72" s="3034"/>
      <c r="BA72" s="3034"/>
      <c r="BB72" s="3034"/>
      <c r="BC72" s="3034"/>
      <c r="BD72" s="3034"/>
      <c r="BE72" s="3034"/>
      <c r="BF72" s="3034"/>
      <c r="BG72" s="8042"/>
    </row>
    <row customHeight="1" ht="0.75">
      <c r="A73" s="2377" t="s">
        <v>1167</v>
      </c>
      <c r="B73" s="2377"/>
      <c r="C73" s="2377"/>
      <c r="D73" s="2371"/>
      <c r="E73" s="2381"/>
      <c r="F73" s="3747"/>
      <c r="G73" s="3726"/>
      <c r="H73" s="3751"/>
      <c r="I73" s="3752"/>
      <c r="J73" s="3753"/>
      <c r="K73" s="3753"/>
      <c r="L73" s="3745"/>
      <c r="M73" s="3479"/>
      <c r="N73" s="3249"/>
      <c r="O73" s="3249"/>
      <c r="P73" s="3256"/>
      <c r="Q73" s="3249"/>
      <c r="R73" s="3249"/>
      <c r="S73" s="3249"/>
      <c r="T73" s="3249"/>
      <c r="U73" s="3249"/>
      <c r="V73" s="3249"/>
      <c r="W73" s="3249"/>
      <c r="X73" s="3249"/>
      <c r="Y73" s="3249"/>
      <c r="Z73" s="3249"/>
      <c r="AA73" s="3249"/>
      <c r="AB73" s="3249"/>
      <c r="AC73" s="3249"/>
      <c r="AD73" s="3249"/>
      <c r="AE73" s="3258"/>
      <c r="AF73" s="3749"/>
      <c r="AG73" s="3745"/>
      <c r="AH73" s="3745"/>
      <c r="AI73" s="3749"/>
      <c r="AJ73" s="3745"/>
      <c r="AK73" s="3745"/>
      <c r="AL73" s="3199"/>
      <c r="AM73" s="3034"/>
      <c r="AN73" s="3034"/>
      <c r="AO73" s="3034"/>
      <c r="AP73" s="3034"/>
      <c r="AQ73" s="3034"/>
      <c r="AR73" s="3034"/>
      <c r="AS73" s="3034"/>
      <c r="AT73" s="3034"/>
      <c r="AU73" s="3034"/>
      <c r="AV73" s="3034"/>
      <c r="AW73" s="3034"/>
      <c r="AX73" s="3034"/>
      <c r="AY73" s="3034"/>
      <c r="AZ73" s="3034"/>
      <c r="BA73" s="3034"/>
      <c r="BB73" s="3034"/>
      <c r="BC73" s="3034"/>
      <c r="BD73" s="3034"/>
      <c r="BE73" s="3034"/>
      <c r="BF73" s="3034"/>
      <c r="BG73" s="8042"/>
    </row>
    <row customHeight="1" ht="11.25">
      <c r="A74" s="2377" t="s">
        <v>1167</v>
      </c>
      <c r="B74" s="2377" t="s">
        <v>1200</v>
      </c>
      <c r="C74" s="2377"/>
      <c r="D74" s="2371"/>
      <c r="E74" s="2381"/>
      <c r="F74" s="3040"/>
      <c r="G74" s="8027" t="s">
        <v>103</v>
      </c>
      <c r="H74" s="3726" t="s">
        <v>99</v>
      </c>
      <c r="I74" s="3727" t="s">
        <v>1201</v>
      </c>
      <c r="J74" s="3696" t="s">
        <v>1202</v>
      </c>
      <c r="K74" s="3728"/>
      <c r="L74" s="3318" t="s">
        <v>19</v>
      </c>
      <c r="M74" s="3319"/>
      <c r="N74" s="3197"/>
      <c r="O74" s="2388" t="s">
        <v>394</v>
      </c>
      <c r="P74" s="2389"/>
      <c r="Q74" s="2389"/>
      <c r="R74" s="2389"/>
      <c r="S74" s="2389"/>
      <c r="T74" s="2389"/>
      <c r="U74" s="2389"/>
      <c r="V74" s="2389"/>
      <c r="W74" s="2389"/>
      <c r="X74" s="2389"/>
      <c r="Y74" s="2389"/>
      <c r="Z74" s="2389"/>
      <c r="AA74" s="2389"/>
      <c r="AB74" s="2389"/>
      <c r="AC74" s="2389"/>
      <c r="AD74" s="2389"/>
      <c r="AE74" s="2389"/>
      <c r="AF74" s="3717">
        <v>11</v>
      </c>
      <c r="AG74" s="3718" t="s">
        <v>1203</v>
      </c>
      <c r="AH74" s="3718" t="s">
        <v>1204</v>
      </c>
      <c r="AI74" s="3717">
        <v>11</v>
      </c>
      <c r="AJ74" s="3718" t="s">
        <v>1203</v>
      </c>
      <c r="AK74" s="3718" t="s">
        <v>1204</v>
      </c>
      <c r="AL74" s="3199"/>
      <c r="AM74" s="3034"/>
      <c r="AN74" s="3034"/>
      <c r="AO74" s="3034"/>
      <c r="AP74" s="3034"/>
      <c r="AQ74" s="3034"/>
      <c r="AR74" s="3034"/>
      <c r="AS74" s="3034"/>
      <c r="AT74" s="3034"/>
      <c r="AU74" s="3034"/>
      <c r="AV74" s="3034"/>
      <c r="AW74" s="3034"/>
      <c r="AX74" s="3034"/>
      <c r="AY74" s="3034"/>
      <c r="AZ74" s="3034"/>
      <c r="BA74" s="3034"/>
      <c r="BB74" s="3034"/>
      <c r="BC74" s="3034"/>
      <c r="BD74" s="3034"/>
      <c r="BE74" s="3034"/>
      <c r="BF74" s="3034"/>
      <c r="BG74" s="8042"/>
    </row>
    <row customHeight="1" ht="11.25">
      <c r="A75" s="2377" t="s">
        <v>1167</v>
      </c>
      <c r="B75" s="2377"/>
      <c r="C75" s="2377"/>
      <c r="D75" s="2371"/>
      <c r="E75" s="2381"/>
      <c r="F75" s="3040"/>
      <c r="G75" s="3041"/>
      <c r="H75" s="3726" t="s">
        <v>394</v>
      </c>
      <c r="I75" s="3727"/>
      <c r="J75" s="3696"/>
      <c r="K75" s="3728"/>
      <c r="L75" s="3318"/>
      <c r="M75" s="3319"/>
      <c r="N75" s="3719"/>
      <c r="O75" s="3720">
        <v>1</v>
      </c>
      <c r="P75" s="3721" t="s">
        <v>19</v>
      </c>
      <c r="Q75" s="3724" t="s">
        <v>22</v>
      </c>
      <c r="R75" s="3724" t="s">
        <v>22</v>
      </c>
      <c r="S75" s="3724" t="s">
        <v>22</v>
      </c>
      <c r="T75" s="3724" t="s">
        <v>22</v>
      </c>
      <c r="U75" s="3724" t="s">
        <v>22</v>
      </c>
      <c r="V75" s="3724" t="s">
        <v>22</v>
      </c>
      <c r="W75" s="3724" t="s">
        <v>22</v>
      </c>
      <c r="X75" s="3724" t="s">
        <v>22</v>
      </c>
      <c r="Y75" s="3724"/>
      <c r="Z75" s="2386"/>
      <c r="AA75" s="2387"/>
      <c r="AB75" s="2387"/>
      <c r="AC75" s="2391"/>
      <c r="AD75" s="2391"/>
      <c r="AE75" s="2392"/>
      <c r="AF75" s="3717"/>
      <c r="AG75" s="3718"/>
      <c r="AH75" s="3718"/>
      <c r="AI75" s="3717"/>
      <c r="AJ75" s="3718"/>
      <c r="AK75" s="3718"/>
      <c r="AL75" s="3199"/>
      <c r="AM75" s="3034"/>
      <c r="AN75" s="3034"/>
      <c r="AO75" s="3034"/>
      <c r="AP75" s="3034"/>
      <c r="AQ75" s="3034"/>
      <c r="AR75" s="3034"/>
      <c r="AS75" s="3034"/>
      <c r="AT75" s="3034"/>
      <c r="AU75" s="3034"/>
      <c r="AV75" s="3034"/>
      <c r="AW75" s="3034"/>
      <c r="AX75" s="3034"/>
      <c r="AY75" s="3034"/>
      <c r="AZ75" s="3034"/>
      <c r="BA75" s="3034"/>
      <c r="BB75" s="3034"/>
      <c r="BC75" s="3034"/>
      <c r="BD75" s="3034"/>
      <c r="BE75" s="3034"/>
      <c r="BF75" s="3034"/>
      <c r="BG75" s="8042"/>
    </row>
    <row customHeight="1" ht="11.25">
      <c r="A76" s="2377" t="s">
        <v>1167</v>
      </c>
      <c r="B76" s="2377"/>
      <c r="C76" s="2377"/>
      <c r="D76" s="2371"/>
      <c r="E76" s="2381"/>
      <c r="F76" s="3040"/>
      <c r="G76" s="3041"/>
      <c r="H76" s="3726" t="s">
        <v>394</v>
      </c>
      <c r="I76" s="3727"/>
      <c r="J76" s="3696"/>
      <c r="K76" s="3728"/>
      <c r="L76" s="3318"/>
      <c r="M76" s="3319"/>
      <c r="N76" s="3719"/>
      <c r="O76" s="3720"/>
      <c r="P76" s="3722"/>
      <c r="Q76" s="3724"/>
      <c r="R76" s="3724"/>
      <c r="S76" s="3725"/>
      <c r="T76" s="3724"/>
      <c r="U76" s="3724"/>
      <c r="V76" s="3724"/>
      <c r="W76" s="3724"/>
      <c r="X76" s="3724"/>
      <c r="Y76" s="3724"/>
      <c r="Z76" s="3039"/>
      <c r="AA76" s="3005">
        <v>1</v>
      </c>
      <c r="AB76" s="2390" t="s">
        <v>1205</v>
      </c>
      <c r="AC76" s="2380">
        <f>57591+125989</f>
        <v>183580</v>
      </c>
      <c r="AD76" s="2390" t="str">
        <f>AB76</f>
        <v>  За счет платы за технологическое присоединение</v>
      </c>
      <c r="AE76" s="2380">
        <v>127863.98</v>
      </c>
      <c r="AF76" s="3717"/>
      <c r="AG76" s="3718"/>
      <c r="AH76" s="3718"/>
      <c r="AI76" s="3717"/>
      <c r="AJ76" s="3718"/>
      <c r="AK76" s="3718"/>
      <c r="AL76" s="3199"/>
      <c r="AM76" s="3034"/>
      <c r="AN76" s="3034"/>
      <c r="AO76" s="3034"/>
      <c r="AP76" s="3034"/>
      <c r="AQ76" s="3034"/>
      <c r="AR76" s="3034"/>
      <c r="AS76" s="3034"/>
      <c r="AT76" s="3034"/>
      <c r="AU76" s="3034"/>
      <c r="AV76" s="3034"/>
      <c r="AW76" s="3034"/>
      <c r="AX76" s="3034"/>
      <c r="AY76" s="3034"/>
      <c r="AZ76" s="3034"/>
      <c r="BA76" s="3034"/>
      <c r="BB76" s="3034"/>
      <c r="BC76" s="3034"/>
      <c r="BD76" s="3034"/>
      <c r="BE76" s="3034"/>
      <c r="BF76" s="3034"/>
      <c r="BG76" s="8042"/>
    </row>
    <row customHeight="1" ht="11.25">
      <c r="A77" s="2377" t="s">
        <v>1167</v>
      </c>
      <c r="B77" s="2377"/>
      <c r="C77" s="2377"/>
      <c r="D77" s="2371"/>
      <c r="E77" s="2381"/>
      <c r="F77" s="3040"/>
      <c r="G77" s="3041"/>
      <c r="H77" s="3726" t="s">
        <v>394</v>
      </c>
      <c r="I77" s="3727"/>
      <c r="J77" s="3696"/>
      <c r="K77" s="3728"/>
      <c r="L77" s="3318"/>
      <c r="M77" s="3319"/>
      <c r="N77" s="3719"/>
      <c r="O77" s="3720"/>
      <c r="P77" s="3723"/>
      <c r="Q77" s="3724"/>
      <c r="R77" s="3724"/>
      <c r="S77" s="3725"/>
      <c r="T77" s="3724"/>
      <c r="U77" s="3724"/>
      <c r="V77" s="3724"/>
      <c r="W77" s="3724"/>
      <c r="X77" s="3724"/>
      <c r="Y77" s="3724"/>
      <c r="Z77" s="2386"/>
      <c r="AA77" s="2387"/>
      <c r="AB77" s="2452" t="s">
        <v>1206</v>
      </c>
      <c r="AC77" s="2391"/>
      <c r="AD77" s="2391"/>
      <c r="AE77" s="2393"/>
      <c r="AF77" s="3717"/>
      <c r="AG77" s="3718"/>
      <c r="AH77" s="3718"/>
      <c r="AI77" s="3717"/>
      <c r="AJ77" s="3718"/>
      <c r="AK77" s="3718"/>
      <c r="AL77" s="3199"/>
      <c r="AM77" s="3034"/>
      <c r="AN77" s="3034"/>
      <c r="AO77" s="3034"/>
      <c r="AP77" s="3034"/>
      <c r="AQ77" s="3034"/>
      <c r="AR77" s="3034"/>
      <c r="AS77" s="3034"/>
      <c r="AT77" s="3034"/>
      <c r="AU77" s="3034"/>
      <c r="AV77" s="3034"/>
      <c r="AW77" s="3034"/>
      <c r="AX77" s="3034"/>
      <c r="AY77" s="3034"/>
      <c r="AZ77" s="3034"/>
      <c r="BA77" s="3034"/>
      <c r="BB77" s="3034"/>
      <c r="BC77" s="3034"/>
      <c r="BD77" s="3034"/>
      <c r="BE77" s="3034"/>
      <c r="BF77" s="3034"/>
      <c r="BG77" s="8042"/>
    </row>
    <row customHeight="1" ht="11.25">
      <c r="A78" s="2377" t="s">
        <v>1167</v>
      </c>
      <c r="B78" s="2377"/>
      <c r="C78" s="2377"/>
      <c r="D78" s="2371"/>
      <c r="E78" s="2381"/>
      <c r="F78" s="3040"/>
      <c r="G78" s="3041"/>
      <c r="H78" s="3726" t="s">
        <v>394</v>
      </c>
      <c r="I78" s="3727"/>
      <c r="J78" s="3696"/>
      <c r="K78" s="3728"/>
      <c r="L78" s="3318"/>
      <c r="M78" s="3319"/>
      <c r="N78" s="2386"/>
      <c r="O78" s="2387"/>
      <c r="P78" s="2379" t="s">
        <v>1207</v>
      </c>
      <c r="Q78" s="2387"/>
      <c r="R78" s="2387"/>
      <c r="S78" s="2387"/>
      <c r="T78" s="2387"/>
      <c r="U78" s="2387"/>
      <c r="V78" s="2387"/>
      <c r="W78" s="2387"/>
      <c r="X78" s="2387"/>
      <c r="Y78" s="2387"/>
      <c r="Z78" s="2387"/>
      <c r="AA78" s="2387"/>
      <c r="AB78" s="2387"/>
      <c r="AC78" s="2387"/>
      <c r="AD78" s="2387"/>
      <c r="AE78" s="2394"/>
      <c r="AF78" s="3717"/>
      <c r="AG78" s="3718"/>
      <c r="AH78" s="3718"/>
      <c r="AI78" s="3717"/>
      <c r="AJ78" s="3718"/>
      <c r="AK78" s="3718"/>
      <c r="AL78" s="3199"/>
      <c r="AM78" s="3034"/>
      <c r="AN78" s="3034"/>
      <c r="AO78" s="3034"/>
      <c r="AP78" s="3034"/>
      <c r="AQ78" s="3034"/>
      <c r="AR78" s="3034"/>
      <c r="AS78" s="3034"/>
      <c r="AT78" s="3034"/>
      <c r="AU78" s="3034"/>
      <c r="AV78" s="3034"/>
      <c r="AW78" s="3034"/>
      <c r="AX78" s="3034"/>
      <c r="AY78" s="3034"/>
      <c r="AZ78" s="3034"/>
      <c r="BA78" s="3034"/>
      <c r="BB78" s="3034"/>
      <c r="BC78" s="3034"/>
      <c r="BD78" s="3034"/>
      <c r="BE78" s="3034"/>
      <c r="BF78" s="3034"/>
      <c r="BG78" s="8042"/>
    </row>
    <row customHeight="1" ht="11.25">
      <c r="A79" s="2377" t="s">
        <v>1167</v>
      </c>
      <c r="B79" s="2377" t="s">
        <v>1200</v>
      </c>
      <c r="C79" s="2377"/>
      <c r="D79" s="2371"/>
      <c r="E79" s="2381"/>
      <c r="F79" s="3040"/>
      <c r="G79" s="8027" t="s">
        <v>103</v>
      </c>
      <c r="H79" s="3726" t="s">
        <v>102</v>
      </c>
      <c r="I79" s="3727" t="s">
        <v>1201</v>
      </c>
      <c r="J79" s="3696" t="s">
        <v>1208</v>
      </c>
      <c r="K79" s="3728"/>
      <c r="L79" s="3318" t="s">
        <v>19</v>
      </c>
      <c r="M79" s="3319"/>
      <c r="N79" s="3197"/>
      <c r="O79" s="2388" t="s">
        <v>394</v>
      </c>
      <c r="P79" s="2389"/>
      <c r="Q79" s="2389"/>
      <c r="R79" s="2389"/>
      <c r="S79" s="2389"/>
      <c r="T79" s="2389"/>
      <c r="U79" s="2389"/>
      <c r="V79" s="2389"/>
      <c r="W79" s="2389"/>
      <c r="X79" s="2389"/>
      <c r="Y79" s="2389"/>
      <c r="Z79" s="2389"/>
      <c r="AA79" s="2389"/>
      <c r="AB79" s="2389"/>
      <c r="AC79" s="2389"/>
      <c r="AD79" s="2389"/>
      <c r="AE79" s="2389"/>
      <c r="AF79" s="3717">
        <v>10</v>
      </c>
      <c r="AG79" s="3718" t="s">
        <v>1203</v>
      </c>
      <c r="AH79" s="3718" t="s">
        <v>1204</v>
      </c>
      <c r="AI79" s="3717">
        <v>10</v>
      </c>
      <c r="AJ79" s="3718" t="s">
        <v>1203</v>
      </c>
      <c r="AK79" s="3718" t="s">
        <v>1204</v>
      </c>
      <c r="AL79" s="3199"/>
      <c r="AM79" s="3034"/>
      <c r="AN79" s="3034"/>
      <c r="AO79" s="3034"/>
      <c r="AP79" s="3034"/>
      <c r="AQ79" s="3034"/>
      <c r="AR79" s="3034"/>
      <c r="AS79" s="3034"/>
      <c r="AT79" s="3034"/>
      <c r="AU79" s="3034"/>
      <c r="AV79" s="3034"/>
      <c r="AW79" s="3034"/>
      <c r="AX79" s="3034"/>
      <c r="AY79" s="3034"/>
      <c r="AZ79" s="3034"/>
      <c r="BA79" s="3034"/>
      <c r="BB79" s="3034"/>
      <c r="BC79" s="3034"/>
      <c r="BD79" s="3034"/>
      <c r="BE79" s="3034"/>
      <c r="BF79" s="3034"/>
      <c r="BG79" s="8042"/>
    </row>
    <row customHeight="1" ht="11.25">
      <c r="A80" s="2377" t="s">
        <v>1167</v>
      </c>
      <c r="B80" s="2377"/>
      <c r="C80" s="2377"/>
      <c r="D80" s="2371"/>
      <c r="E80" s="2381"/>
      <c r="F80" s="3040"/>
      <c r="G80" s="3041"/>
      <c r="H80" s="3726" t="s">
        <v>99</v>
      </c>
      <c r="I80" s="3727"/>
      <c r="J80" s="3696"/>
      <c r="K80" s="3728"/>
      <c r="L80" s="3318"/>
      <c r="M80" s="3319"/>
      <c r="N80" s="3719"/>
      <c r="O80" s="3720">
        <v>1</v>
      </c>
      <c r="P80" s="3721" t="s">
        <v>19</v>
      </c>
      <c r="Q80" s="3724" t="s">
        <v>22</v>
      </c>
      <c r="R80" s="3724" t="s">
        <v>22</v>
      </c>
      <c r="S80" s="3724" t="s">
        <v>22</v>
      </c>
      <c r="T80" s="3724" t="s">
        <v>22</v>
      </c>
      <c r="U80" s="3724" t="s">
        <v>22</v>
      </c>
      <c r="V80" s="3724" t="s">
        <v>22</v>
      </c>
      <c r="W80" s="3724" t="s">
        <v>22</v>
      </c>
      <c r="X80" s="3724" t="s">
        <v>22</v>
      </c>
      <c r="Y80" s="3724"/>
      <c r="Z80" s="2386"/>
      <c r="AA80" s="2387"/>
      <c r="AB80" s="2387"/>
      <c r="AC80" s="2391"/>
      <c r="AD80" s="2391"/>
      <c r="AE80" s="2392"/>
      <c r="AF80" s="3717"/>
      <c r="AG80" s="3718"/>
      <c r="AH80" s="3718"/>
      <c r="AI80" s="3717"/>
      <c r="AJ80" s="3718"/>
      <c r="AK80" s="3718"/>
      <c r="AL80" s="3199"/>
      <c r="AM80" s="3034"/>
      <c r="AN80" s="3034"/>
      <c r="AO80" s="3034"/>
      <c r="AP80" s="3034"/>
      <c r="AQ80" s="3034"/>
      <c r="AR80" s="3034"/>
      <c r="AS80" s="3034"/>
      <c r="AT80" s="3034"/>
      <c r="AU80" s="3034"/>
      <c r="AV80" s="3034"/>
      <c r="AW80" s="3034"/>
      <c r="AX80" s="3034"/>
      <c r="AY80" s="3034"/>
      <c r="AZ80" s="3034"/>
      <c r="BA80" s="3034"/>
      <c r="BB80" s="3034"/>
      <c r="BC80" s="3034"/>
      <c r="BD80" s="3034"/>
      <c r="BE80" s="3034"/>
      <c r="BF80" s="3034"/>
      <c r="BG80" s="8042"/>
    </row>
    <row customHeight="1" ht="11.25">
      <c r="A81" s="2377" t="s">
        <v>1167</v>
      </c>
      <c r="B81" s="2377"/>
      <c r="C81" s="2377"/>
      <c r="D81" s="2371"/>
      <c r="E81" s="2381"/>
      <c r="F81" s="3040"/>
      <c r="G81" s="3041"/>
      <c r="H81" s="3726" t="s">
        <v>99</v>
      </c>
      <c r="I81" s="3727"/>
      <c r="J81" s="3696"/>
      <c r="K81" s="3728"/>
      <c r="L81" s="3318"/>
      <c r="M81" s="3319"/>
      <c r="N81" s="3719"/>
      <c r="O81" s="3720"/>
      <c r="P81" s="3722"/>
      <c r="Q81" s="3724"/>
      <c r="R81" s="3724"/>
      <c r="S81" s="3725"/>
      <c r="T81" s="3724"/>
      <c r="U81" s="3724"/>
      <c r="V81" s="3724"/>
      <c r="W81" s="3724"/>
      <c r="X81" s="3724"/>
      <c r="Y81" s="3724"/>
      <c r="Z81" s="3039"/>
      <c r="AA81" s="3005">
        <v>1</v>
      </c>
      <c r="AB81" s="2390" t="s">
        <v>1205</v>
      </c>
      <c r="AC81" s="2380">
        <v>42830</v>
      </c>
      <c r="AD81" s="2390" t="str">
        <f>AB81</f>
        <v>  За счет платы за технологическое присоединение</v>
      </c>
      <c r="AE81" s="2380">
        <v>20162.4201</v>
      </c>
      <c r="AF81" s="3717"/>
      <c r="AG81" s="3718"/>
      <c r="AH81" s="3718"/>
      <c r="AI81" s="3717"/>
      <c r="AJ81" s="3718"/>
      <c r="AK81" s="3718"/>
      <c r="AL81" s="3199"/>
      <c r="AM81" s="3034"/>
      <c r="AN81" s="3034"/>
      <c r="AO81" s="3034"/>
      <c r="AP81" s="3034"/>
      <c r="AQ81" s="3034"/>
      <c r="AR81" s="3034"/>
      <c r="AS81" s="3034"/>
      <c r="AT81" s="3034"/>
      <c r="AU81" s="3034"/>
      <c r="AV81" s="3034"/>
      <c r="AW81" s="3034"/>
      <c r="AX81" s="3034"/>
      <c r="AY81" s="3034"/>
      <c r="AZ81" s="3034"/>
      <c r="BA81" s="3034"/>
      <c r="BB81" s="3034"/>
      <c r="BC81" s="3034"/>
      <c r="BD81" s="3034"/>
      <c r="BE81" s="3034"/>
      <c r="BF81" s="3034"/>
      <c r="BG81" s="8042"/>
    </row>
    <row customHeight="1" ht="11.25">
      <c r="A82" s="2377" t="s">
        <v>1167</v>
      </c>
      <c r="B82" s="2377"/>
      <c r="C82" s="2377"/>
      <c r="D82" s="2371"/>
      <c r="E82" s="2381"/>
      <c r="F82" s="3041"/>
      <c r="G82" s="3041"/>
      <c r="H82" s="3041"/>
      <c r="I82" s="3041"/>
      <c r="J82" s="3041"/>
      <c r="K82" s="3041"/>
      <c r="L82" s="3041"/>
      <c r="M82" s="3041"/>
      <c r="N82" s="3041"/>
      <c r="O82" s="3041"/>
      <c r="P82" s="3041"/>
      <c r="Q82" s="3041"/>
      <c r="R82" s="3041"/>
      <c r="S82" s="3041"/>
      <c r="T82" s="3041"/>
      <c r="U82" s="3041"/>
      <c r="V82" s="3041"/>
      <c r="W82" s="3041"/>
      <c r="X82" s="3041"/>
      <c r="Y82" s="3041"/>
      <c r="Z82" s="10998" t="s">
        <v>103</v>
      </c>
      <c r="AA82" s="3025" t="s">
        <v>102</v>
      </c>
      <c r="AB82" s="2390" t="s">
        <v>1209</v>
      </c>
      <c r="AC82" s="2380">
        <v>17496.2355529</v>
      </c>
      <c r="AD82" s="2390" t="str">
        <f>AB82</f>
        <v>      Прочие амортизационные отчисления</v>
      </c>
      <c r="AE82" s="2380">
        <v>12697.13379</v>
      </c>
      <c r="AF82" s="3042"/>
      <c r="AG82" s="2970"/>
      <c r="AH82" s="2970"/>
      <c r="AI82" s="3042"/>
      <c r="AJ82" s="2970"/>
      <c r="AK82" s="3198"/>
      <c r="AL82" s="3199"/>
      <c r="AM82" s="3034"/>
      <c r="AN82" s="3034"/>
      <c r="AO82" s="3034"/>
      <c r="AP82" s="3034"/>
      <c r="AQ82" s="3034"/>
      <c r="AR82" s="3034"/>
      <c r="AS82" s="3034"/>
      <c r="AT82" s="3034"/>
      <c r="AU82" s="3034"/>
      <c r="AV82" s="3034"/>
      <c r="AW82" s="3034"/>
      <c r="AX82" s="3034"/>
      <c r="AY82" s="3034"/>
      <c r="AZ82" s="3034"/>
      <c r="BA82" s="3034"/>
      <c r="BB82" s="3034"/>
      <c r="BC82" s="3034"/>
      <c r="BD82" s="3034"/>
      <c r="BE82" s="3034"/>
      <c r="BF82" s="3034"/>
      <c r="BG82" s="11003"/>
    </row>
    <row customHeight="1" ht="11.25">
      <c r="A83" s="2377" t="s">
        <v>1167</v>
      </c>
      <c r="B83" s="2377"/>
      <c r="C83" s="2377"/>
      <c r="D83" s="2371"/>
      <c r="E83" s="2381"/>
      <c r="F83" s="3040"/>
      <c r="G83" s="3041"/>
      <c r="H83" s="3726" t="s">
        <v>99</v>
      </c>
      <c r="I83" s="3727"/>
      <c r="J83" s="3696"/>
      <c r="K83" s="3728"/>
      <c r="L83" s="3318"/>
      <c r="M83" s="3319"/>
      <c r="N83" s="3719"/>
      <c r="O83" s="3720"/>
      <c r="P83" s="3723"/>
      <c r="Q83" s="3724"/>
      <c r="R83" s="3724"/>
      <c r="S83" s="3725"/>
      <c r="T83" s="3724"/>
      <c r="U83" s="3724"/>
      <c r="V83" s="3724"/>
      <c r="W83" s="3724"/>
      <c r="X83" s="3724"/>
      <c r="Y83" s="3724"/>
      <c r="Z83" s="2386"/>
      <c r="AA83" s="2387"/>
      <c r="AB83" s="2452" t="s">
        <v>1206</v>
      </c>
      <c r="AC83" s="2391"/>
      <c r="AD83" s="2391"/>
      <c r="AE83" s="2393"/>
      <c r="AF83" s="3717"/>
      <c r="AG83" s="3718"/>
      <c r="AH83" s="3718"/>
      <c r="AI83" s="3717"/>
      <c r="AJ83" s="3718"/>
      <c r="AK83" s="3718"/>
      <c r="AL83" s="3199"/>
      <c r="AM83" s="3034"/>
      <c r="AN83" s="3034"/>
      <c r="AO83" s="3034"/>
      <c r="AP83" s="3034"/>
      <c r="AQ83" s="3034"/>
      <c r="AR83" s="3034"/>
      <c r="AS83" s="3034"/>
      <c r="AT83" s="3034"/>
      <c r="AU83" s="3034"/>
      <c r="AV83" s="3034"/>
      <c r="AW83" s="3034"/>
      <c r="AX83" s="3034"/>
      <c r="AY83" s="3034"/>
      <c r="AZ83" s="3034"/>
      <c r="BA83" s="3034"/>
      <c r="BB83" s="3034"/>
      <c r="BC83" s="3034"/>
      <c r="BD83" s="3034"/>
      <c r="BE83" s="3034"/>
      <c r="BF83" s="3034"/>
      <c r="BG83" s="8042"/>
    </row>
    <row customHeight="1" ht="11.25">
      <c r="A84" s="2377" t="s">
        <v>1167</v>
      </c>
      <c r="B84" s="2377"/>
      <c r="C84" s="2377"/>
      <c r="D84" s="2371"/>
      <c r="E84" s="2381"/>
      <c r="F84" s="3040"/>
      <c r="G84" s="3041"/>
      <c r="H84" s="3726" t="s">
        <v>99</v>
      </c>
      <c r="I84" s="3727"/>
      <c r="J84" s="3696"/>
      <c r="K84" s="3728"/>
      <c r="L84" s="3318"/>
      <c r="M84" s="3319"/>
      <c r="N84" s="2386"/>
      <c r="O84" s="2387"/>
      <c r="P84" s="2379" t="s">
        <v>1207</v>
      </c>
      <c r="Q84" s="2387"/>
      <c r="R84" s="2387"/>
      <c r="S84" s="2387"/>
      <c r="T84" s="2387"/>
      <c r="U84" s="2387"/>
      <c r="V84" s="2387"/>
      <c r="W84" s="2387"/>
      <c r="X84" s="2387"/>
      <c r="Y84" s="2387"/>
      <c r="Z84" s="2387"/>
      <c r="AA84" s="2387"/>
      <c r="AB84" s="2387"/>
      <c r="AC84" s="2387"/>
      <c r="AD84" s="2387"/>
      <c r="AE84" s="2394"/>
      <c r="AF84" s="3717"/>
      <c r="AG84" s="3718"/>
      <c r="AH84" s="3718"/>
      <c r="AI84" s="3717"/>
      <c r="AJ84" s="3718"/>
      <c r="AK84" s="3718"/>
      <c r="AL84" s="3199"/>
      <c r="AM84" s="3034"/>
      <c r="AN84" s="3034"/>
      <c r="AO84" s="3034"/>
      <c r="AP84" s="3034"/>
      <c r="AQ84" s="3034"/>
      <c r="AR84" s="3034"/>
      <c r="AS84" s="3034"/>
      <c r="AT84" s="3034"/>
      <c r="AU84" s="3034"/>
      <c r="AV84" s="3034"/>
      <c r="AW84" s="3034"/>
      <c r="AX84" s="3034"/>
      <c r="AY84" s="3034"/>
      <c r="AZ84" s="3034"/>
      <c r="BA84" s="3034"/>
      <c r="BB84" s="3034"/>
      <c r="BC84" s="3034"/>
      <c r="BD84" s="3034"/>
      <c r="BE84" s="3034"/>
      <c r="BF84" s="3034"/>
      <c r="BG84" s="8042"/>
    </row>
    <row customHeight="1" ht="11.25">
      <c r="A85" s="2377" t="s">
        <v>1167</v>
      </c>
      <c r="B85" s="2377" t="s">
        <v>22</v>
      </c>
      <c r="C85" s="2377"/>
      <c r="D85" s="2371"/>
      <c r="E85" s="2381"/>
      <c r="F85" s="3040"/>
      <c r="G85" s="8027" t="s">
        <v>103</v>
      </c>
      <c r="H85" s="3726" t="s">
        <v>90</v>
      </c>
      <c r="I85" s="3727" t="s">
        <v>1210</v>
      </c>
      <c r="J85" s="8161" t="s">
        <v>22</v>
      </c>
      <c r="K85" s="3728"/>
      <c r="L85" s="3318" t="s">
        <v>19</v>
      </c>
      <c r="M85" s="3319"/>
      <c r="N85" s="3197"/>
      <c r="O85" s="2388" t="s">
        <v>394</v>
      </c>
      <c r="P85" s="2389"/>
      <c r="Q85" s="2389"/>
      <c r="R85" s="2389"/>
      <c r="S85" s="2389"/>
      <c r="T85" s="2389"/>
      <c r="U85" s="2389"/>
      <c r="V85" s="2389"/>
      <c r="W85" s="2389"/>
      <c r="X85" s="2389"/>
      <c r="Y85" s="2389"/>
      <c r="Z85" s="2389"/>
      <c r="AA85" s="2389"/>
      <c r="AB85" s="2389"/>
      <c r="AC85" s="2389"/>
      <c r="AD85" s="2389"/>
      <c r="AE85" s="2389"/>
      <c r="AF85" s="3717">
        <v>10</v>
      </c>
      <c r="AG85" s="3718" t="s">
        <v>1203</v>
      </c>
      <c r="AH85" s="3718" t="s">
        <v>1204</v>
      </c>
      <c r="AI85" s="3717">
        <v>10</v>
      </c>
      <c r="AJ85" s="3718" t="s">
        <v>1203</v>
      </c>
      <c r="AK85" s="3718" t="s">
        <v>1204</v>
      </c>
      <c r="AL85" s="3199"/>
      <c r="AM85" s="3034"/>
      <c r="AN85" s="3034"/>
      <c r="AO85" s="3034"/>
      <c r="AP85" s="3034"/>
      <c r="AQ85" s="3034"/>
      <c r="AR85" s="3034"/>
      <c r="AS85" s="3034"/>
      <c r="AT85" s="3034"/>
      <c r="AU85" s="3034"/>
      <c r="AV85" s="3034"/>
      <c r="AW85" s="3034"/>
      <c r="AX85" s="3034"/>
      <c r="AY85" s="3034"/>
      <c r="AZ85" s="3034"/>
      <c r="BA85" s="3034"/>
      <c r="BB85" s="3034"/>
      <c r="BC85" s="3034"/>
      <c r="BD85" s="3034"/>
      <c r="BE85" s="3034"/>
      <c r="BF85" s="3034"/>
      <c r="BG85" s="8042"/>
    </row>
    <row customHeight="1" ht="11.25">
      <c r="A86" s="2377" t="s">
        <v>1167</v>
      </c>
      <c r="B86" s="2377"/>
      <c r="C86" s="2377"/>
      <c r="D86" s="2371"/>
      <c r="E86" s="2381"/>
      <c r="F86" s="3040"/>
      <c r="G86" s="3041"/>
      <c r="H86" s="3726" t="s">
        <v>102</v>
      </c>
      <c r="I86" s="3727"/>
      <c r="J86" s="8161"/>
      <c r="K86" s="3728"/>
      <c r="L86" s="3318"/>
      <c r="M86" s="3319"/>
      <c r="N86" s="3719"/>
      <c r="O86" s="3720">
        <v>1</v>
      </c>
      <c r="P86" s="3721" t="s">
        <v>19</v>
      </c>
      <c r="Q86" s="3724" t="s">
        <v>22</v>
      </c>
      <c r="R86" s="3724" t="s">
        <v>22</v>
      </c>
      <c r="S86" s="3724" t="s">
        <v>22</v>
      </c>
      <c r="T86" s="3724" t="s">
        <v>22</v>
      </c>
      <c r="U86" s="3724" t="s">
        <v>22</v>
      </c>
      <c r="V86" s="3724" t="s">
        <v>22</v>
      </c>
      <c r="W86" s="3724" t="s">
        <v>22</v>
      </c>
      <c r="X86" s="3724" t="s">
        <v>22</v>
      </c>
      <c r="Y86" s="3724"/>
      <c r="Z86" s="2386"/>
      <c r="AA86" s="2387"/>
      <c r="AB86" s="2387"/>
      <c r="AC86" s="2391"/>
      <c r="AD86" s="2391"/>
      <c r="AE86" s="2392"/>
      <c r="AF86" s="3717"/>
      <c r="AG86" s="3718"/>
      <c r="AH86" s="3718"/>
      <c r="AI86" s="3717"/>
      <c r="AJ86" s="3718"/>
      <c r="AK86" s="3718"/>
      <c r="AL86" s="3199"/>
      <c r="AM86" s="3034"/>
      <c r="AN86" s="3034"/>
      <c r="AO86" s="3034"/>
      <c r="AP86" s="3034"/>
      <c r="AQ86" s="3034"/>
      <c r="AR86" s="3034"/>
      <c r="AS86" s="3034"/>
      <c r="AT86" s="3034"/>
      <c r="AU86" s="3034"/>
      <c r="AV86" s="3034"/>
      <c r="AW86" s="3034"/>
      <c r="AX86" s="3034"/>
      <c r="AY86" s="3034"/>
      <c r="AZ86" s="3034"/>
      <c r="BA86" s="3034"/>
      <c r="BB86" s="3034"/>
      <c r="BC86" s="3034"/>
      <c r="BD86" s="3034"/>
      <c r="BE86" s="3034"/>
      <c r="BF86" s="3034"/>
      <c r="BG86" s="8042"/>
    </row>
    <row customHeight="1" ht="11.25">
      <c r="A87" s="2377" t="s">
        <v>1167</v>
      </c>
      <c r="B87" s="2377"/>
      <c r="C87" s="2377"/>
      <c r="D87" s="2371"/>
      <c r="E87" s="2381"/>
      <c r="F87" s="3040"/>
      <c r="G87" s="3041"/>
      <c r="H87" s="3726" t="s">
        <v>102</v>
      </c>
      <c r="I87" s="3727"/>
      <c r="J87" s="8161"/>
      <c r="K87" s="3728"/>
      <c r="L87" s="3318"/>
      <c r="M87" s="3319"/>
      <c r="N87" s="3719"/>
      <c r="O87" s="3720"/>
      <c r="P87" s="3722"/>
      <c r="Q87" s="3724"/>
      <c r="R87" s="3724"/>
      <c r="S87" s="3725"/>
      <c r="T87" s="3724"/>
      <c r="U87" s="3724"/>
      <c r="V87" s="3724"/>
      <c r="W87" s="3724"/>
      <c r="X87" s="3724"/>
      <c r="Y87" s="3724"/>
      <c r="Z87" s="3039"/>
      <c r="AA87" s="3005">
        <v>1</v>
      </c>
      <c r="AB87" s="2390" t="s">
        <v>1209</v>
      </c>
      <c r="AC87" s="2380">
        <v>2267.118</v>
      </c>
      <c r="AD87" s="2390" t="str">
        <f>AB87</f>
        <v>      Прочие амортизационные отчисления</v>
      </c>
      <c r="AE87" s="2380">
        <f>2823.9746</f>
        <v>2823.9746</v>
      </c>
      <c r="AF87" s="3717"/>
      <c r="AG87" s="3718"/>
      <c r="AH87" s="3718"/>
      <c r="AI87" s="3717"/>
      <c r="AJ87" s="3718"/>
      <c r="AK87" s="3718"/>
      <c r="AL87" s="3199"/>
      <c r="AM87" s="3034"/>
      <c r="AN87" s="3034"/>
      <c r="AO87" s="3034"/>
      <c r="AP87" s="3034"/>
      <c r="AQ87" s="3034"/>
      <c r="AR87" s="3034"/>
      <c r="AS87" s="3034"/>
      <c r="AT87" s="3034"/>
      <c r="AU87" s="3034"/>
      <c r="AV87" s="3034"/>
      <c r="AW87" s="3034"/>
      <c r="AX87" s="3034"/>
      <c r="AY87" s="3034"/>
      <c r="AZ87" s="3034"/>
      <c r="BA87" s="3034"/>
      <c r="BB87" s="3034"/>
      <c r="BC87" s="3034"/>
      <c r="BD87" s="3034"/>
      <c r="BE87" s="3034"/>
      <c r="BF87" s="3034"/>
      <c r="BG87" s="8042"/>
    </row>
    <row customHeight="1" ht="11.25">
      <c r="A88" s="2377" t="s">
        <v>1167</v>
      </c>
      <c r="B88" s="2377"/>
      <c r="C88" s="2377"/>
      <c r="D88" s="2371"/>
      <c r="E88" s="2381"/>
      <c r="F88" s="3040"/>
      <c r="G88" s="3041"/>
      <c r="H88" s="3726" t="s">
        <v>102</v>
      </c>
      <c r="I88" s="3727"/>
      <c r="J88" s="8161"/>
      <c r="K88" s="3728"/>
      <c r="L88" s="3318"/>
      <c r="M88" s="3319"/>
      <c r="N88" s="3719"/>
      <c r="O88" s="3720"/>
      <c r="P88" s="3723"/>
      <c r="Q88" s="3724"/>
      <c r="R88" s="3724"/>
      <c r="S88" s="3725"/>
      <c r="T88" s="3724"/>
      <c r="U88" s="3724"/>
      <c r="V88" s="3724"/>
      <c r="W88" s="3724"/>
      <c r="X88" s="3724"/>
      <c r="Y88" s="3724"/>
      <c r="Z88" s="2386"/>
      <c r="AA88" s="2387"/>
      <c r="AB88" s="2452" t="s">
        <v>1206</v>
      </c>
      <c r="AC88" s="2391"/>
      <c r="AD88" s="2391"/>
      <c r="AE88" s="2393"/>
      <c r="AF88" s="3717"/>
      <c r="AG88" s="3718"/>
      <c r="AH88" s="3718"/>
      <c r="AI88" s="3717"/>
      <c r="AJ88" s="3718"/>
      <c r="AK88" s="3718"/>
      <c r="AL88" s="3199"/>
      <c r="AM88" s="3034"/>
      <c r="AN88" s="3034"/>
      <c r="AO88" s="3034"/>
      <c r="AP88" s="3034"/>
      <c r="AQ88" s="3034"/>
      <c r="AR88" s="3034"/>
      <c r="AS88" s="3034"/>
      <c r="AT88" s="3034"/>
      <c r="AU88" s="3034"/>
      <c r="AV88" s="3034"/>
      <c r="AW88" s="3034"/>
      <c r="AX88" s="3034"/>
      <c r="AY88" s="3034"/>
      <c r="AZ88" s="3034"/>
      <c r="BA88" s="3034"/>
      <c r="BB88" s="3034"/>
      <c r="BC88" s="3034"/>
      <c r="BD88" s="3034"/>
      <c r="BE88" s="3034"/>
      <c r="BF88" s="3034"/>
      <c r="BG88" s="8042"/>
    </row>
    <row customHeight="1" ht="11.25">
      <c r="A89" s="2377" t="s">
        <v>1167</v>
      </c>
      <c r="B89" s="2377"/>
      <c r="C89" s="2377"/>
      <c r="D89" s="2371"/>
      <c r="E89" s="2381"/>
      <c r="F89" s="3040"/>
      <c r="G89" s="3041"/>
      <c r="H89" s="3726" t="s">
        <v>102</v>
      </c>
      <c r="I89" s="3727"/>
      <c r="J89" s="8161"/>
      <c r="K89" s="3728"/>
      <c r="L89" s="3318"/>
      <c r="M89" s="3319"/>
      <c r="N89" s="2386"/>
      <c r="O89" s="2387"/>
      <c r="P89" s="2379" t="s">
        <v>1207</v>
      </c>
      <c r="Q89" s="2387"/>
      <c r="R89" s="2387"/>
      <c r="S89" s="2387"/>
      <c r="T89" s="2387"/>
      <c r="U89" s="2387"/>
      <c r="V89" s="2387"/>
      <c r="W89" s="2387"/>
      <c r="X89" s="2387"/>
      <c r="Y89" s="2387"/>
      <c r="Z89" s="2387"/>
      <c r="AA89" s="2387"/>
      <c r="AB89" s="2387"/>
      <c r="AC89" s="2387"/>
      <c r="AD89" s="2387"/>
      <c r="AE89" s="2394"/>
      <c r="AF89" s="3717"/>
      <c r="AG89" s="3718"/>
      <c r="AH89" s="3718"/>
      <c r="AI89" s="3717"/>
      <c r="AJ89" s="3718"/>
      <c r="AK89" s="3718"/>
      <c r="AL89" s="3199"/>
      <c r="AM89" s="3034"/>
      <c r="AN89" s="3034"/>
      <c r="AO89" s="3034"/>
      <c r="AP89" s="3034"/>
      <c r="AQ89" s="3034"/>
      <c r="AR89" s="3034"/>
      <c r="AS89" s="3034"/>
      <c r="AT89" s="3034"/>
      <c r="AU89" s="3034"/>
      <c r="AV89" s="3034"/>
      <c r="AW89" s="3034"/>
      <c r="AX89" s="3034"/>
      <c r="AY89" s="3034"/>
      <c r="AZ89" s="3034"/>
      <c r="BA89" s="3034"/>
      <c r="BB89" s="3034"/>
      <c r="BC89" s="3034"/>
      <c r="BD89" s="3034"/>
      <c r="BE89" s="3034"/>
      <c r="BF89" s="3034"/>
      <c r="BG89" s="8042"/>
    </row>
    <row customHeight="1" ht="11.25">
      <c r="A90" s="2377" t="s">
        <v>1167</v>
      </c>
      <c r="B90" s="2377" t="s">
        <v>1211</v>
      </c>
      <c r="C90" s="2377"/>
      <c r="D90" s="2371"/>
      <c r="E90" s="2381"/>
      <c r="F90" s="3040"/>
      <c r="G90" s="8027" t="s">
        <v>103</v>
      </c>
      <c r="H90" s="3726" t="s">
        <v>91</v>
      </c>
      <c r="I90" s="3727" t="s">
        <v>1212</v>
      </c>
      <c r="J90" s="3696" t="s">
        <v>1213</v>
      </c>
      <c r="K90" s="3728"/>
      <c r="L90" s="3318" t="s">
        <v>19</v>
      </c>
      <c r="M90" s="3319"/>
      <c r="N90" s="3197"/>
      <c r="O90" s="2388" t="s">
        <v>394</v>
      </c>
      <c r="P90" s="2389"/>
      <c r="Q90" s="2389"/>
      <c r="R90" s="2389"/>
      <c r="S90" s="2389"/>
      <c r="T90" s="2389"/>
      <c r="U90" s="2389"/>
      <c r="V90" s="2389"/>
      <c r="W90" s="2389"/>
      <c r="X90" s="2389"/>
      <c r="Y90" s="2389"/>
      <c r="Z90" s="2389"/>
      <c r="AA90" s="2389"/>
      <c r="AB90" s="2389"/>
      <c r="AC90" s="2389"/>
      <c r="AD90" s="2389"/>
      <c r="AE90" s="2389"/>
      <c r="AF90" s="3717">
        <v>5</v>
      </c>
      <c r="AG90" s="3718" t="s">
        <v>1203</v>
      </c>
      <c r="AH90" s="3718" t="s">
        <v>1204</v>
      </c>
      <c r="AI90" s="3717">
        <v>5</v>
      </c>
      <c r="AJ90" s="3718" t="s">
        <v>1203</v>
      </c>
      <c r="AK90" s="3718" t="s">
        <v>1204</v>
      </c>
      <c r="AL90" s="3199"/>
      <c r="AM90" s="3034"/>
      <c r="AN90" s="3034"/>
      <c r="AO90" s="3034"/>
      <c r="AP90" s="3034"/>
      <c r="AQ90" s="3034"/>
      <c r="AR90" s="3034"/>
      <c r="AS90" s="3034"/>
      <c r="AT90" s="3034"/>
      <c r="AU90" s="3034"/>
      <c r="AV90" s="3034"/>
      <c r="AW90" s="3034"/>
      <c r="AX90" s="3034"/>
      <c r="AY90" s="3034"/>
      <c r="AZ90" s="3034"/>
      <c r="BA90" s="3034"/>
      <c r="BB90" s="3034"/>
      <c r="BC90" s="3034"/>
      <c r="BD90" s="3034"/>
      <c r="BE90" s="3034"/>
      <c r="BF90" s="3034"/>
      <c r="BG90" s="8042"/>
    </row>
    <row customHeight="1" ht="11.25">
      <c r="A91" s="2377" t="s">
        <v>1167</v>
      </c>
      <c r="B91" s="2377"/>
      <c r="C91" s="2377"/>
      <c r="D91" s="2371"/>
      <c r="E91" s="2381"/>
      <c r="F91" s="3040"/>
      <c r="G91" s="3041"/>
      <c r="H91" s="3726" t="s">
        <v>90</v>
      </c>
      <c r="I91" s="3727"/>
      <c r="J91" s="3696"/>
      <c r="K91" s="3728"/>
      <c r="L91" s="3318"/>
      <c r="M91" s="3319"/>
      <c r="N91" s="3719"/>
      <c r="O91" s="3720">
        <v>1</v>
      </c>
      <c r="P91" s="3721" t="s">
        <v>19</v>
      </c>
      <c r="Q91" s="3724" t="s">
        <v>22</v>
      </c>
      <c r="R91" s="3724" t="s">
        <v>22</v>
      </c>
      <c r="S91" s="3724" t="s">
        <v>22</v>
      </c>
      <c r="T91" s="3724" t="s">
        <v>22</v>
      </c>
      <c r="U91" s="3724" t="s">
        <v>22</v>
      </c>
      <c r="V91" s="3724" t="s">
        <v>22</v>
      </c>
      <c r="W91" s="3724" t="s">
        <v>22</v>
      </c>
      <c r="X91" s="3724" t="s">
        <v>22</v>
      </c>
      <c r="Y91" s="3724"/>
      <c r="Z91" s="2386"/>
      <c r="AA91" s="2387"/>
      <c r="AB91" s="2387"/>
      <c r="AC91" s="2391"/>
      <c r="AD91" s="2391"/>
      <c r="AE91" s="2392"/>
      <c r="AF91" s="3717"/>
      <c r="AG91" s="3718"/>
      <c r="AH91" s="3718"/>
      <c r="AI91" s="3717"/>
      <c r="AJ91" s="3718"/>
      <c r="AK91" s="3718"/>
      <c r="AL91" s="3199"/>
      <c r="AM91" s="3034"/>
      <c r="AN91" s="3034"/>
      <c r="AO91" s="3034"/>
      <c r="AP91" s="3034"/>
      <c r="AQ91" s="3034"/>
      <c r="AR91" s="3034"/>
      <c r="AS91" s="3034"/>
      <c r="AT91" s="3034"/>
      <c r="AU91" s="3034"/>
      <c r="AV91" s="3034"/>
      <c r="AW91" s="3034"/>
      <c r="AX91" s="3034"/>
      <c r="AY91" s="3034"/>
      <c r="AZ91" s="3034"/>
      <c r="BA91" s="3034"/>
      <c r="BB91" s="3034"/>
      <c r="BC91" s="3034"/>
      <c r="BD91" s="3034"/>
      <c r="BE91" s="3034"/>
      <c r="BF91" s="3034"/>
      <c r="BG91" s="8042"/>
    </row>
    <row customHeight="1" ht="11.25">
      <c r="A92" s="2377" t="s">
        <v>1167</v>
      </c>
      <c r="B92" s="2377"/>
      <c r="C92" s="2377"/>
      <c r="D92" s="2371"/>
      <c r="E92" s="2381"/>
      <c r="F92" s="3040"/>
      <c r="G92" s="3041"/>
      <c r="H92" s="3726" t="s">
        <v>90</v>
      </c>
      <c r="I92" s="3727"/>
      <c r="J92" s="3696"/>
      <c r="K92" s="3728"/>
      <c r="L92" s="3318"/>
      <c r="M92" s="3319"/>
      <c r="N92" s="3719"/>
      <c r="O92" s="3720"/>
      <c r="P92" s="3722"/>
      <c r="Q92" s="3724"/>
      <c r="R92" s="3724"/>
      <c r="S92" s="3725"/>
      <c r="T92" s="3724"/>
      <c r="U92" s="3724"/>
      <c r="V92" s="3724"/>
      <c r="W92" s="3724"/>
      <c r="X92" s="3724"/>
      <c r="Y92" s="3724"/>
      <c r="Z92" s="3039"/>
      <c r="AA92" s="3005">
        <v>1</v>
      </c>
      <c r="AB92" s="2390" t="s">
        <v>1209</v>
      </c>
      <c r="AC92" s="2380">
        <f>1220+2108.6806+14299+56087</f>
        <v>73714.6806</v>
      </c>
      <c r="AD92" s="2390" t="str">
        <f>AB92</f>
        <v>      Прочие амортизационные отчисления</v>
      </c>
      <c r="AE92" s="2380">
        <f>480.57047+2108.68055+13737.92221+51155.2351699999</f>
        <v>67482.4083999999</v>
      </c>
      <c r="AF92" s="3717"/>
      <c r="AG92" s="3718"/>
      <c r="AH92" s="3718"/>
      <c r="AI92" s="3717"/>
      <c r="AJ92" s="3718"/>
      <c r="AK92" s="3718"/>
      <c r="AL92" s="3199"/>
      <c r="AM92" s="3034"/>
      <c r="AN92" s="3034"/>
      <c r="AO92" s="3034"/>
      <c r="AP92" s="3034"/>
      <c r="AQ92" s="3034"/>
      <c r="AR92" s="3034"/>
      <c r="AS92" s="3034"/>
      <c r="AT92" s="3034"/>
      <c r="AU92" s="3034"/>
      <c r="AV92" s="3034"/>
      <c r="AW92" s="3034"/>
      <c r="AX92" s="3034"/>
      <c r="AY92" s="3034"/>
      <c r="AZ92" s="3034"/>
      <c r="BA92" s="3034"/>
      <c r="BB92" s="3034"/>
      <c r="BC92" s="3034"/>
      <c r="BD92" s="3034"/>
      <c r="BE92" s="3034"/>
      <c r="BF92" s="3034"/>
      <c r="BG92" s="8042"/>
    </row>
    <row customHeight="1" ht="11.25">
      <c r="A93" s="2377" t="s">
        <v>1167</v>
      </c>
      <c r="B93" s="2377"/>
      <c r="C93" s="2377"/>
      <c r="D93" s="2371"/>
      <c r="E93" s="2381"/>
      <c r="F93" s="3041"/>
      <c r="G93" s="3041"/>
      <c r="H93" s="3041"/>
      <c r="I93" s="3041"/>
      <c r="J93" s="3041"/>
      <c r="K93" s="3041"/>
      <c r="L93" s="3041"/>
      <c r="M93" s="3041"/>
      <c r="N93" s="3041"/>
      <c r="O93" s="3041"/>
      <c r="P93" s="3041"/>
      <c r="Q93" s="3041"/>
      <c r="R93" s="3041"/>
      <c r="S93" s="3041"/>
      <c r="T93" s="3041"/>
      <c r="U93" s="3041"/>
      <c r="V93" s="3041"/>
      <c r="W93" s="3041"/>
      <c r="X93" s="3041"/>
      <c r="Y93" s="3041"/>
      <c r="Z93" s="8027" t="s">
        <v>103</v>
      </c>
      <c r="AA93" s="3025" t="s">
        <v>102</v>
      </c>
      <c r="AB93" s="2390" t="s">
        <v>1214</v>
      </c>
      <c r="AC93" s="2380">
        <f>5025+13153.5800391</f>
        <v>18178.5800391</v>
      </c>
      <c r="AD93" s="2390" t="str">
        <f>AB93</f>
        <v>  Прибыль направляемая на инвестиции</v>
      </c>
      <c r="AE93" s="2380">
        <f>5025+7454.73739</f>
        <v>12479.73739</v>
      </c>
      <c r="AF93" s="3042"/>
      <c r="AG93" s="2970"/>
      <c r="AH93" s="2970"/>
      <c r="AI93" s="3042"/>
      <c r="AJ93" s="2970"/>
      <c r="AK93" s="3198"/>
      <c r="AL93" s="3199"/>
      <c r="AM93" s="3034"/>
      <c r="AN93" s="3034"/>
      <c r="AO93" s="3034"/>
      <c r="AP93" s="3034"/>
      <c r="AQ93" s="3034"/>
      <c r="AR93" s="3034"/>
      <c r="AS93" s="3034"/>
      <c r="AT93" s="3034"/>
      <c r="AU93" s="3034"/>
      <c r="AV93" s="3034"/>
      <c r="AW93" s="3034"/>
      <c r="AX93" s="3034"/>
      <c r="AY93" s="3034"/>
      <c r="AZ93" s="3034"/>
      <c r="BA93" s="3034"/>
      <c r="BB93" s="3034"/>
      <c r="BC93" s="3034"/>
      <c r="BD93" s="3034"/>
      <c r="BE93" s="3034"/>
      <c r="BF93" s="3034"/>
      <c r="BG93" s="8042"/>
    </row>
    <row customHeight="1" ht="11.25">
      <c r="A94" s="2377" t="s">
        <v>1167</v>
      </c>
      <c r="B94" s="2377"/>
      <c r="C94" s="2377"/>
      <c r="D94" s="2371"/>
      <c r="E94" s="2381"/>
      <c r="F94" s="3040"/>
      <c r="G94" s="3041"/>
      <c r="H94" s="3726" t="s">
        <v>90</v>
      </c>
      <c r="I94" s="3727"/>
      <c r="J94" s="3696"/>
      <c r="K94" s="3728"/>
      <c r="L94" s="3318"/>
      <c r="M94" s="3319"/>
      <c r="N94" s="3719"/>
      <c r="O94" s="3720"/>
      <c r="P94" s="3723"/>
      <c r="Q94" s="3724"/>
      <c r="R94" s="3724"/>
      <c r="S94" s="3725"/>
      <c r="T94" s="3724"/>
      <c r="U94" s="3724"/>
      <c r="V94" s="3724"/>
      <c r="W94" s="3724"/>
      <c r="X94" s="3724"/>
      <c r="Y94" s="3724"/>
      <c r="Z94" s="2386"/>
      <c r="AA94" s="2387"/>
      <c r="AB94" s="2452" t="s">
        <v>1206</v>
      </c>
      <c r="AC94" s="2391"/>
      <c r="AD94" s="2391"/>
      <c r="AE94" s="2393"/>
      <c r="AF94" s="3717"/>
      <c r="AG94" s="3718"/>
      <c r="AH94" s="3718"/>
      <c r="AI94" s="3717"/>
      <c r="AJ94" s="3718"/>
      <c r="AK94" s="3718"/>
      <c r="AL94" s="3199"/>
      <c r="AM94" s="3034"/>
      <c r="AN94" s="3034"/>
      <c r="AO94" s="3034"/>
      <c r="AP94" s="3034"/>
      <c r="AQ94" s="3034"/>
      <c r="AR94" s="3034"/>
      <c r="AS94" s="3034"/>
      <c r="AT94" s="3034"/>
      <c r="AU94" s="3034"/>
      <c r="AV94" s="3034"/>
      <c r="AW94" s="3034"/>
      <c r="AX94" s="3034"/>
      <c r="AY94" s="3034"/>
      <c r="AZ94" s="3034"/>
      <c r="BA94" s="3034"/>
      <c r="BB94" s="3034"/>
      <c r="BC94" s="3034"/>
      <c r="BD94" s="3034"/>
      <c r="BE94" s="3034"/>
      <c r="BF94" s="3034"/>
      <c r="BG94" s="8042"/>
    </row>
    <row customHeight="1" ht="11.25">
      <c r="A95" s="2377" t="s">
        <v>1167</v>
      </c>
      <c r="B95" s="2377"/>
      <c r="C95" s="2377"/>
      <c r="D95" s="2371"/>
      <c r="E95" s="2381"/>
      <c r="F95" s="3040"/>
      <c r="G95" s="3041"/>
      <c r="H95" s="3726" t="s">
        <v>90</v>
      </c>
      <c r="I95" s="3727"/>
      <c r="J95" s="3696"/>
      <c r="K95" s="3728"/>
      <c r="L95" s="3318"/>
      <c r="M95" s="3319"/>
      <c r="N95" s="2386"/>
      <c r="O95" s="2387"/>
      <c r="P95" s="2379" t="s">
        <v>1207</v>
      </c>
      <c r="Q95" s="2387"/>
      <c r="R95" s="2387"/>
      <c r="S95" s="2387"/>
      <c r="T95" s="2387"/>
      <c r="U95" s="2387"/>
      <c r="V95" s="2387"/>
      <c r="W95" s="2387"/>
      <c r="X95" s="2387"/>
      <c r="Y95" s="2387"/>
      <c r="Z95" s="2387"/>
      <c r="AA95" s="2387"/>
      <c r="AB95" s="2387"/>
      <c r="AC95" s="2387"/>
      <c r="AD95" s="2387"/>
      <c r="AE95" s="2394"/>
      <c r="AF95" s="3717"/>
      <c r="AG95" s="3718"/>
      <c r="AH95" s="3718"/>
      <c r="AI95" s="3717"/>
      <c r="AJ95" s="3718"/>
      <c r="AK95" s="3718"/>
      <c r="AL95" s="3199"/>
      <c r="AM95" s="3034"/>
      <c r="AN95" s="3034"/>
      <c r="AO95" s="3034"/>
      <c r="AP95" s="3034"/>
      <c r="AQ95" s="3034"/>
      <c r="AR95" s="3034"/>
      <c r="AS95" s="3034"/>
      <c r="AT95" s="3034"/>
      <c r="AU95" s="3034"/>
      <c r="AV95" s="3034"/>
      <c r="AW95" s="3034"/>
      <c r="AX95" s="3034"/>
      <c r="AY95" s="3034"/>
      <c r="AZ95" s="3034"/>
      <c r="BA95" s="3034"/>
      <c r="BB95" s="3034"/>
      <c r="BC95" s="3034"/>
      <c r="BD95" s="3034"/>
      <c r="BE95" s="3034"/>
      <c r="BF95" s="3034"/>
      <c r="BG95" s="8042"/>
    </row>
    <row customHeight="1" ht="11.25">
      <c r="A96" s="2377" t="s">
        <v>1167</v>
      </c>
      <c r="B96" s="2377" t="s">
        <v>1211</v>
      </c>
      <c r="C96" s="2377"/>
      <c r="D96" s="2371"/>
      <c r="E96" s="2381"/>
      <c r="F96" s="3040"/>
      <c r="G96" s="8027" t="s">
        <v>103</v>
      </c>
      <c r="H96" s="3726" t="s">
        <v>122</v>
      </c>
      <c r="I96" s="3727" t="s">
        <v>1212</v>
      </c>
      <c r="J96" s="3696" t="s">
        <v>1215</v>
      </c>
      <c r="K96" s="3728"/>
      <c r="L96" s="3318" t="s">
        <v>19</v>
      </c>
      <c r="M96" s="3319"/>
      <c r="N96" s="3197"/>
      <c r="O96" s="2388" t="s">
        <v>394</v>
      </c>
      <c r="P96" s="2389"/>
      <c r="Q96" s="2389"/>
      <c r="R96" s="2389"/>
      <c r="S96" s="2389"/>
      <c r="T96" s="2389"/>
      <c r="U96" s="2389"/>
      <c r="V96" s="2389"/>
      <c r="W96" s="2389"/>
      <c r="X96" s="2389"/>
      <c r="Y96" s="2389"/>
      <c r="Z96" s="2389"/>
      <c r="AA96" s="2389"/>
      <c r="AB96" s="2389"/>
      <c r="AC96" s="2389"/>
      <c r="AD96" s="2389"/>
      <c r="AE96" s="2389"/>
      <c r="AF96" s="3717">
        <v>8</v>
      </c>
      <c r="AG96" s="3718" t="s">
        <v>1203</v>
      </c>
      <c r="AH96" s="3718" t="s">
        <v>1204</v>
      </c>
      <c r="AI96" s="3717">
        <v>8</v>
      </c>
      <c r="AJ96" s="3718" t="s">
        <v>1203</v>
      </c>
      <c r="AK96" s="3718" t="s">
        <v>1204</v>
      </c>
      <c r="AL96" s="3199"/>
      <c r="AM96" s="3034"/>
      <c r="AN96" s="3034"/>
      <c r="AO96" s="3034"/>
      <c r="AP96" s="3034"/>
      <c r="AQ96" s="3034"/>
      <c r="AR96" s="3034"/>
      <c r="AS96" s="3034"/>
      <c r="AT96" s="3034"/>
      <c r="AU96" s="3034"/>
      <c r="AV96" s="3034"/>
      <c r="AW96" s="3034"/>
      <c r="AX96" s="3034"/>
      <c r="AY96" s="3034"/>
      <c r="AZ96" s="3034"/>
      <c r="BA96" s="3034"/>
      <c r="BB96" s="3034"/>
      <c r="BC96" s="3034"/>
      <c r="BD96" s="3034"/>
      <c r="BE96" s="3034"/>
      <c r="BF96" s="3034"/>
      <c r="BG96" s="8042"/>
    </row>
    <row customHeight="1" ht="11.25">
      <c r="A97" s="2377" t="s">
        <v>1167</v>
      </c>
      <c r="B97" s="2377"/>
      <c r="C97" s="2377"/>
      <c r="D97" s="2371"/>
      <c r="E97" s="2381"/>
      <c r="F97" s="3040"/>
      <c r="G97" s="3041"/>
      <c r="H97" s="3726" t="s">
        <v>91</v>
      </c>
      <c r="I97" s="3727"/>
      <c r="J97" s="3696"/>
      <c r="K97" s="3728"/>
      <c r="L97" s="3318"/>
      <c r="M97" s="3319"/>
      <c r="N97" s="3719"/>
      <c r="O97" s="3720">
        <v>1</v>
      </c>
      <c r="P97" s="3721" t="s">
        <v>19</v>
      </c>
      <c r="Q97" s="3724" t="s">
        <v>22</v>
      </c>
      <c r="R97" s="3724" t="s">
        <v>22</v>
      </c>
      <c r="S97" s="3724" t="s">
        <v>22</v>
      </c>
      <c r="T97" s="3724" t="s">
        <v>22</v>
      </c>
      <c r="U97" s="3724" t="s">
        <v>22</v>
      </c>
      <c r="V97" s="3724" t="s">
        <v>22</v>
      </c>
      <c r="W97" s="3724" t="s">
        <v>22</v>
      </c>
      <c r="X97" s="3724" t="s">
        <v>22</v>
      </c>
      <c r="Y97" s="3724"/>
      <c r="Z97" s="2386"/>
      <c r="AA97" s="2387"/>
      <c r="AB97" s="2387"/>
      <c r="AC97" s="2391"/>
      <c r="AD97" s="2391"/>
      <c r="AE97" s="2392"/>
      <c r="AF97" s="3717"/>
      <c r="AG97" s="3718"/>
      <c r="AH97" s="3718"/>
      <c r="AI97" s="3717"/>
      <c r="AJ97" s="3718"/>
      <c r="AK97" s="3718"/>
      <c r="AL97" s="3199"/>
      <c r="AM97" s="3034"/>
      <c r="AN97" s="3034"/>
      <c r="AO97" s="3034"/>
      <c r="AP97" s="3034"/>
      <c r="AQ97" s="3034"/>
      <c r="AR97" s="3034"/>
      <c r="AS97" s="3034"/>
      <c r="AT97" s="3034"/>
      <c r="AU97" s="3034"/>
      <c r="AV97" s="3034"/>
      <c r="AW97" s="3034"/>
      <c r="AX97" s="3034"/>
      <c r="AY97" s="3034"/>
      <c r="AZ97" s="3034"/>
      <c r="BA97" s="3034"/>
      <c r="BB97" s="3034"/>
      <c r="BC97" s="3034"/>
      <c r="BD97" s="3034"/>
      <c r="BE97" s="3034"/>
      <c r="BF97" s="3034"/>
      <c r="BG97" s="8042"/>
    </row>
    <row customHeight="1" ht="11.25">
      <c r="A98" s="2377" t="s">
        <v>1167</v>
      </c>
      <c r="B98" s="2377"/>
      <c r="C98" s="2377"/>
      <c r="D98" s="2371"/>
      <c r="E98" s="2381"/>
      <c r="F98" s="3040"/>
      <c r="G98" s="3041"/>
      <c r="H98" s="3726" t="s">
        <v>91</v>
      </c>
      <c r="I98" s="3727"/>
      <c r="J98" s="3696"/>
      <c r="K98" s="3728"/>
      <c r="L98" s="3318"/>
      <c r="M98" s="3319"/>
      <c r="N98" s="3719"/>
      <c r="O98" s="3720"/>
      <c r="P98" s="3722"/>
      <c r="Q98" s="3724"/>
      <c r="R98" s="3724"/>
      <c r="S98" s="3725"/>
      <c r="T98" s="3724"/>
      <c r="U98" s="3724"/>
      <c r="V98" s="3724"/>
      <c r="W98" s="3724"/>
      <c r="X98" s="3724"/>
      <c r="Y98" s="3724"/>
      <c r="Z98" s="3039"/>
      <c r="AA98" s="3005">
        <v>1</v>
      </c>
      <c r="AB98" s="2390" t="s">
        <v>1209</v>
      </c>
      <c r="AC98" s="2380">
        <f>19065.37+2423.12+7098.33208+11000.3116+929.5+4697.1+3432+2695.9+17793.07598+679.40391+6181.48983+3185.1+18147.30735+498.945+276.09+4000+624.2+172412.07093</f>
        <v>275139.31668</v>
      </c>
      <c r="AD98" s="2390" t="str">
        <f>AB98</f>
        <v>      Прочие амортизационные отчисления</v>
      </c>
      <c r="AE98" s="2380">
        <f>19477.44041+2423.12131+7287.73015+11249.37214+962.97629+4877.82853+1076.07158+2806.37336+17793.07598+679.40391+7048.71726+3185.14655+17649.32294+498.945+276.09+4253.15167+89785.0343</f>
        <v>191329.80138</v>
      </c>
      <c r="AF98" s="3717"/>
      <c r="AG98" s="3718"/>
      <c r="AH98" s="3718"/>
      <c r="AI98" s="3717"/>
      <c r="AJ98" s="3718"/>
      <c r="AK98" s="3718"/>
      <c r="AL98" s="3199"/>
      <c r="AM98" s="3034"/>
      <c r="AN98" s="3034"/>
      <c r="AO98" s="3034"/>
      <c r="AP98" s="3034"/>
      <c r="AQ98" s="3034"/>
      <c r="AR98" s="3034"/>
      <c r="AS98" s="3034"/>
      <c r="AT98" s="3034"/>
      <c r="AU98" s="3034"/>
      <c r="AV98" s="3034"/>
      <c r="AW98" s="3034"/>
      <c r="AX98" s="3034"/>
      <c r="AY98" s="3034"/>
      <c r="AZ98" s="3034"/>
      <c r="BA98" s="3034"/>
      <c r="BB98" s="3034"/>
      <c r="BC98" s="3034"/>
      <c r="BD98" s="3034"/>
      <c r="BE98" s="3034"/>
      <c r="BF98" s="3034"/>
      <c r="BG98" s="8042"/>
    </row>
    <row customHeight="1" ht="11.25">
      <c r="A99" s="2377" t="s">
        <v>1167</v>
      </c>
      <c r="B99" s="2377"/>
      <c r="C99" s="2377"/>
      <c r="D99" s="2371"/>
      <c r="E99" s="2381"/>
      <c r="F99" s="3041"/>
      <c r="G99" s="3041"/>
      <c r="H99" s="3041"/>
      <c r="I99" s="3041"/>
      <c r="J99" s="3041"/>
      <c r="K99" s="3041"/>
      <c r="L99" s="3041"/>
      <c r="M99" s="3041"/>
      <c r="N99" s="3041"/>
      <c r="O99" s="3041"/>
      <c r="P99" s="3041"/>
      <c r="Q99" s="3041"/>
      <c r="R99" s="3041"/>
      <c r="S99" s="3041"/>
      <c r="T99" s="3041"/>
      <c r="U99" s="3041"/>
      <c r="V99" s="3041"/>
      <c r="W99" s="3041"/>
      <c r="X99" s="3041"/>
      <c r="Y99" s="3041"/>
      <c r="Z99" s="8027" t="s">
        <v>103</v>
      </c>
      <c r="AA99" s="3025" t="s">
        <v>102</v>
      </c>
      <c r="AB99" s="2390" t="s">
        <v>1214</v>
      </c>
      <c r="AC99" s="2380">
        <v>237587.83069</v>
      </c>
      <c r="AD99" s="2390" t="str">
        <f>AB99</f>
        <v>  Прибыль направляемая на инвестиции</v>
      </c>
      <c r="AE99" s="2380">
        <f>793.3786+171900.67349</f>
        <v>172694.05209</v>
      </c>
      <c r="AF99" s="3042"/>
      <c r="AG99" s="2970"/>
      <c r="AH99" s="2970"/>
      <c r="AI99" s="3042"/>
      <c r="AJ99" s="2970"/>
      <c r="AK99" s="3198"/>
      <c r="AL99" s="3199"/>
      <c r="AM99" s="3034"/>
      <c r="AN99" s="3034"/>
      <c r="AO99" s="3034"/>
      <c r="AP99" s="3034"/>
      <c r="AQ99" s="3034"/>
      <c r="AR99" s="3034"/>
      <c r="AS99" s="3034"/>
      <c r="AT99" s="3034"/>
      <c r="AU99" s="3034"/>
      <c r="AV99" s="3034"/>
      <c r="AW99" s="3034"/>
      <c r="AX99" s="3034"/>
      <c r="AY99" s="3034"/>
      <c r="AZ99" s="3034"/>
      <c r="BA99" s="3034"/>
      <c r="BB99" s="3034"/>
      <c r="BC99" s="3034"/>
      <c r="BD99" s="3034"/>
      <c r="BE99" s="3034"/>
      <c r="BF99" s="3034"/>
      <c r="BG99" s="8042"/>
    </row>
    <row customHeight="1" ht="11.25">
      <c r="A100" s="2377" t="s">
        <v>1167</v>
      </c>
      <c r="B100" s="2377"/>
      <c r="C100" s="2377"/>
      <c r="D100" s="2371"/>
      <c r="E100" s="2381"/>
      <c r="F100" s="3040"/>
      <c r="G100" s="3041"/>
      <c r="H100" s="3726" t="s">
        <v>91</v>
      </c>
      <c r="I100" s="3727"/>
      <c r="J100" s="3696"/>
      <c r="K100" s="3728"/>
      <c r="L100" s="3318"/>
      <c r="M100" s="3319"/>
      <c r="N100" s="3719"/>
      <c r="O100" s="3720"/>
      <c r="P100" s="3723"/>
      <c r="Q100" s="3724"/>
      <c r="R100" s="3724"/>
      <c r="S100" s="3725"/>
      <c r="T100" s="3724"/>
      <c r="U100" s="3724"/>
      <c r="V100" s="3724"/>
      <c r="W100" s="3724"/>
      <c r="X100" s="3724"/>
      <c r="Y100" s="3724"/>
      <c r="Z100" s="2386"/>
      <c r="AA100" s="2387"/>
      <c r="AB100" s="2452" t="s">
        <v>1206</v>
      </c>
      <c r="AC100" s="2391"/>
      <c r="AD100" s="2391"/>
      <c r="AE100" s="2393"/>
      <c r="AF100" s="3717"/>
      <c r="AG100" s="3718"/>
      <c r="AH100" s="3718"/>
      <c r="AI100" s="3717"/>
      <c r="AJ100" s="3718"/>
      <c r="AK100" s="3718"/>
      <c r="AL100" s="3199"/>
      <c r="AM100" s="3034"/>
      <c r="AN100" s="3034"/>
      <c r="AO100" s="3034"/>
      <c r="AP100" s="3034"/>
      <c r="AQ100" s="3034"/>
      <c r="AR100" s="3034"/>
      <c r="AS100" s="3034"/>
      <c r="AT100" s="3034"/>
      <c r="AU100" s="3034"/>
      <c r="AV100" s="3034"/>
      <c r="AW100" s="3034"/>
      <c r="AX100" s="3034"/>
      <c r="AY100" s="3034"/>
      <c r="AZ100" s="3034"/>
      <c r="BA100" s="3034"/>
      <c r="BB100" s="3034"/>
      <c r="BC100" s="3034"/>
      <c r="BD100" s="3034"/>
      <c r="BE100" s="3034"/>
      <c r="BF100" s="3034"/>
      <c r="BG100" s="8042"/>
    </row>
    <row customHeight="1" ht="11.25">
      <c r="A101" s="2377" t="s">
        <v>1167</v>
      </c>
      <c r="B101" s="2377"/>
      <c r="C101" s="2377"/>
      <c r="D101" s="2371"/>
      <c r="E101" s="2381"/>
      <c r="F101" s="3040"/>
      <c r="G101" s="3041"/>
      <c r="H101" s="3726" t="s">
        <v>91</v>
      </c>
      <c r="I101" s="3727"/>
      <c r="J101" s="3696"/>
      <c r="K101" s="3728"/>
      <c r="L101" s="3318"/>
      <c r="M101" s="3319"/>
      <c r="N101" s="2386"/>
      <c r="O101" s="2387"/>
      <c r="P101" s="2379" t="s">
        <v>1207</v>
      </c>
      <c r="Q101" s="2387"/>
      <c r="R101" s="2387"/>
      <c r="S101" s="2387"/>
      <c r="T101" s="2387"/>
      <c r="U101" s="2387"/>
      <c r="V101" s="2387"/>
      <c r="W101" s="2387"/>
      <c r="X101" s="2387"/>
      <c r="Y101" s="2387"/>
      <c r="Z101" s="2387"/>
      <c r="AA101" s="2387"/>
      <c r="AB101" s="2387"/>
      <c r="AC101" s="2387"/>
      <c r="AD101" s="2387"/>
      <c r="AE101" s="2394"/>
      <c r="AF101" s="3717"/>
      <c r="AG101" s="3718"/>
      <c r="AH101" s="3718"/>
      <c r="AI101" s="3717"/>
      <c r="AJ101" s="3718"/>
      <c r="AK101" s="3718"/>
      <c r="AL101" s="3199"/>
      <c r="AM101" s="3034"/>
      <c r="AN101" s="3034"/>
      <c r="AO101" s="3034"/>
      <c r="AP101" s="3034"/>
      <c r="AQ101" s="3034"/>
      <c r="AR101" s="3034"/>
      <c r="AS101" s="3034"/>
      <c r="AT101" s="3034"/>
      <c r="AU101" s="3034"/>
      <c r="AV101" s="3034"/>
      <c r="AW101" s="3034"/>
      <c r="AX101" s="3034"/>
      <c r="AY101" s="3034"/>
      <c r="AZ101" s="3034"/>
      <c r="BA101" s="3034"/>
      <c r="BB101" s="3034"/>
      <c r="BC101" s="3034"/>
      <c r="BD101" s="3034"/>
      <c r="BE101" s="3034"/>
      <c r="BF101" s="3034"/>
      <c r="BG101" s="8042"/>
    </row>
    <row customHeight="1" ht="11.25">
      <c r="A102" s="2377" t="s">
        <v>1167</v>
      </c>
      <c r="B102" s="2377" t="s">
        <v>22</v>
      </c>
      <c r="C102" s="2377"/>
      <c r="D102" s="2371"/>
      <c r="E102" s="2381"/>
      <c r="F102" s="3040"/>
      <c r="G102" s="8027" t="s">
        <v>103</v>
      </c>
      <c r="H102" s="3726" t="s">
        <v>92</v>
      </c>
      <c r="I102" s="3727" t="s">
        <v>1216</v>
      </c>
      <c r="J102" s="8161" t="s">
        <v>22</v>
      </c>
      <c r="K102" s="3728"/>
      <c r="L102" s="3318" t="s">
        <v>19</v>
      </c>
      <c r="M102" s="3319"/>
      <c r="N102" s="3197"/>
      <c r="O102" s="2388" t="s">
        <v>394</v>
      </c>
      <c r="P102" s="2389"/>
      <c r="Q102" s="2389"/>
      <c r="R102" s="2389"/>
      <c r="S102" s="2389"/>
      <c r="T102" s="2389"/>
      <c r="U102" s="2389"/>
      <c r="V102" s="2389"/>
      <c r="W102" s="2389"/>
      <c r="X102" s="2389"/>
      <c r="Y102" s="2389"/>
      <c r="Z102" s="2389"/>
      <c r="AA102" s="2389"/>
      <c r="AB102" s="2389"/>
      <c r="AC102" s="2389"/>
      <c r="AD102" s="2389"/>
      <c r="AE102" s="2389"/>
      <c r="AF102" s="3717">
        <v>11</v>
      </c>
      <c r="AG102" s="3718" t="s">
        <v>1203</v>
      </c>
      <c r="AH102" s="3718" t="s">
        <v>1204</v>
      </c>
      <c r="AI102" s="3717">
        <v>11</v>
      </c>
      <c r="AJ102" s="3718" t="s">
        <v>1203</v>
      </c>
      <c r="AK102" s="3718" t="s">
        <v>1204</v>
      </c>
      <c r="AL102" s="3199"/>
      <c r="AM102" s="3034"/>
      <c r="AN102" s="3034"/>
      <c r="AO102" s="3034"/>
      <c r="AP102" s="3034"/>
      <c r="AQ102" s="3034"/>
      <c r="AR102" s="3034"/>
      <c r="AS102" s="3034"/>
      <c r="AT102" s="3034"/>
      <c r="AU102" s="3034"/>
      <c r="AV102" s="3034"/>
      <c r="AW102" s="3034"/>
      <c r="AX102" s="3034"/>
      <c r="AY102" s="3034"/>
      <c r="AZ102" s="3034"/>
      <c r="BA102" s="3034"/>
      <c r="BB102" s="3034"/>
      <c r="BC102" s="3034"/>
      <c r="BD102" s="3034"/>
      <c r="BE102" s="3034"/>
      <c r="BF102" s="3034"/>
      <c r="BG102" s="8042"/>
    </row>
    <row customHeight="1" ht="11.25">
      <c r="A103" s="2377" t="s">
        <v>1167</v>
      </c>
      <c r="B103" s="2377"/>
      <c r="C103" s="2377"/>
      <c r="D103" s="2371"/>
      <c r="E103" s="2381"/>
      <c r="F103" s="3040"/>
      <c r="G103" s="3041"/>
      <c r="H103" s="3726" t="s">
        <v>122</v>
      </c>
      <c r="I103" s="3727"/>
      <c r="J103" s="8161"/>
      <c r="K103" s="3728"/>
      <c r="L103" s="3318"/>
      <c r="M103" s="3319"/>
      <c r="N103" s="3719"/>
      <c r="O103" s="3720">
        <v>1</v>
      </c>
      <c r="P103" s="3721" t="s">
        <v>19</v>
      </c>
      <c r="Q103" s="3724" t="s">
        <v>22</v>
      </c>
      <c r="R103" s="3724" t="s">
        <v>22</v>
      </c>
      <c r="S103" s="3724" t="s">
        <v>22</v>
      </c>
      <c r="T103" s="3724" t="s">
        <v>22</v>
      </c>
      <c r="U103" s="3724" t="s">
        <v>22</v>
      </c>
      <c r="V103" s="3724" t="s">
        <v>22</v>
      </c>
      <c r="W103" s="3724" t="s">
        <v>22</v>
      </c>
      <c r="X103" s="3724" t="s">
        <v>22</v>
      </c>
      <c r="Y103" s="3724"/>
      <c r="Z103" s="2386"/>
      <c r="AA103" s="2387"/>
      <c r="AB103" s="2387"/>
      <c r="AC103" s="2391"/>
      <c r="AD103" s="2391"/>
      <c r="AE103" s="2392"/>
      <c r="AF103" s="3717"/>
      <c r="AG103" s="3718"/>
      <c r="AH103" s="3718"/>
      <c r="AI103" s="3717"/>
      <c r="AJ103" s="3718"/>
      <c r="AK103" s="3718"/>
      <c r="AL103" s="3199"/>
      <c r="AM103" s="3034"/>
      <c r="AN103" s="3034"/>
      <c r="AO103" s="3034"/>
      <c r="AP103" s="3034"/>
      <c r="AQ103" s="3034"/>
      <c r="AR103" s="3034"/>
      <c r="AS103" s="3034"/>
      <c r="AT103" s="3034"/>
      <c r="AU103" s="3034"/>
      <c r="AV103" s="3034"/>
      <c r="AW103" s="3034"/>
      <c r="AX103" s="3034"/>
      <c r="AY103" s="3034"/>
      <c r="AZ103" s="3034"/>
      <c r="BA103" s="3034"/>
      <c r="BB103" s="3034"/>
      <c r="BC103" s="3034"/>
      <c r="BD103" s="3034"/>
      <c r="BE103" s="3034"/>
      <c r="BF103" s="3034"/>
      <c r="BG103" s="8042"/>
    </row>
    <row customHeight="1" ht="11.25">
      <c r="A104" s="2377" t="s">
        <v>1167</v>
      </c>
      <c r="B104" s="2377"/>
      <c r="C104" s="2377"/>
      <c r="D104" s="2371"/>
      <c r="E104" s="2381"/>
      <c r="F104" s="3040"/>
      <c r="G104" s="3041"/>
      <c r="H104" s="3726" t="s">
        <v>122</v>
      </c>
      <c r="I104" s="3727"/>
      <c r="J104" s="8161"/>
      <c r="K104" s="3728"/>
      <c r="L104" s="3318"/>
      <c r="M104" s="3319"/>
      <c r="N104" s="3719"/>
      <c r="O104" s="3720"/>
      <c r="P104" s="3722"/>
      <c r="Q104" s="3724"/>
      <c r="R104" s="3724"/>
      <c r="S104" s="3725"/>
      <c r="T104" s="3724"/>
      <c r="U104" s="3724"/>
      <c r="V104" s="3724"/>
      <c r="W104" s="3724"/>
      <c r="X104" s="3724"/>
      <c r="Y104" s="3724"/>
      <c r="Z104" s="3039"/>
      <c r="AA104" s="3005">
        <v>1</v>
      </c>
      <c r="AB104" s="2390" t="s">
        <v>1209</v>
      </c>
      <c r="AC104" s="2380">
        <f>149.46017+108.94179+3833.403+734.49666+5539.5+433.75</f>
        <v>10799.55162</v>
      </c>
      <c r="AD104" s="2390" t="str">
        <f>AB104</f>
        <v>      Прочие амортизационные отчисления</v>
      </c>
      <c r="AE104" s="2380">
        <v>10808.33645</v>
      </c>
      <c r="AF104" s="3717"/>
      <c r="AG104" s="3718"/>
      <c r="AH104" s="3718"/>
      <c r="AI104" s="3717"/>
      <c r="AJ104" s="3718"/>
      <c r="AK104" s="3718"/>
      <c r="AL104" s="3199"/>
      <c r="AM104" s="3034"/>
      <c r="AN104" s="3034"/>
      <c r="AO104" s="3034"/>
      <c r="AP104" s="3034"/>
      <c r="AQ104" s="3034"/>
      <c r="AR104" s="3034"/>
      <c r="AS104" s="3034"/>
      <c r="AT104" s="3034"/>
      <c r="AU104" s="3034"/>
      <c r="AV104" s="3034"/>
      <c r="AW104" s="3034"/>
      <c r="AX104" s="3034"/>
      <c r="AY104" s="3034"/>
      <c r="AZ104" s="3034"/>
      <c r="BA104" s="3034"/>
      <c r="BB104" s="3034"/>
      <c r="BC104" s="3034"/>
      <c r="BD104" s="3034"/>
      <c r="BE104" s="3034"/>
      <c r="BF104" s="3034"/>
      <c r="BG104" s="8042"/>
    </row>
    <row customHeight="1" ht="11.25">
      <c r="A105" s="2377" t="s">
        <v>1167</v>
      </c>
      <c r="B105" s="2377"/>
      <c r="C105" s="2377"/>
      <c r="D105" s="2371"/>
      <c r="E105" s="2381"/>
      <c r="F105" s="3040"/>
      <c r="G105" s="3041"/>
      <c r="H105" s="3726" t="s">
        <v>122</v>
      </c>
      <c r="I105" s="3727"/>
      <c r="J105" s="8161"/>
      <c r="K105" s="3728"/>
      <c r="L105" s="3318"/>
      <c r="M105" s="3319"/>
      <c r="N105" s="3719"/>
      <c r="O105" s="3720"/>
      <c r="P105" s="3723"/>
      <c r="Q105" s="3724"/>
      <c r="R105" s="3724"/>
      <c r="S105" s="3725"/>
      <c r="T105" s="3724"/>
      <c r="U105" s="3724"/>
      <c r="V105" s="3724"/>
      <c r="W105" s="3724"/>
      <c r="X105" s="3724"/>
      <c r="Y105" s="3724"/>
      <c r="Z105" s="2386"/>
      <c r="AA105" s="2387"/>
      <c r="AB105" s="2452" t="s">
        <v>1206</v>
      </c>
      <c r="AC105" s="2391"/>
      <c r="AD105" s="2391"/>
      <c r="AE105" s="2393"/>
      <c r="AF105" s="3717"/>
      <c r="AG105" s="3718"/>
      <c r="AH105" s="3718"/>
      <c r="AI105" s="3717"/>
      <c r="AJ105" s="3718"/>
      <c r="AK105" s="3718"/>
      <c r="AL105" s="3199"/>
      <c r="AM105" s="3034"/>
      <c r="AN105" s="3034"/>
      <c r="AO105" s="3034"/>
      <c r="AP105" s="3034"/>
      <c r="AQ105" s="3034"/>
      <c r="AR105" s="3034"/>
      <c r="AS105" s="3034"/>
      <c r="AT105" s="3034"/>
      <c r="AU105" s="3034"/>
      <c r="AV105" s="3034"/>
      <c r="AW105" s="3034"/>
      <c r="AX105" s="3034"/>
      <c r="AY105" s="3034"/>
      <c r="AZ105" s="3034"/>
      <c r="BA105" s="3034"/>
      <c r="BB105" s="3034"/>
      <c r="BC105" s="3034"/>
      <c r="BD105" s="3034"/>
      <c r="BE105" s="3034"/>
      <c r="BF105" s="3034"/>
      <c r="BG105" s="8042"/>
    </row>
    <row customHeight="1" ht="11.25">
      <c r="A106" s="2377" t="s">
        <v>1167</v>
      </c>
      <c r="B106" s="2377"/>
      <c r="C106" s="2377"/>
      <c r="D106" s="2371"/>
      <c r="E106" s="2381"/>
      <c r="F106" s="3040"/>
      <c r="G106" s="3041"/>
      <c r="H106" s="3726" t="s">
        <v>122</v>
      </c>
      <c r="I106" s="3727"/>
      <c r="J106" s="8161"/>
      <c r="K106" s="3728"/>
      <c r="L106" s="3318"/>
      <c r="M106" s="3319"/>
      <c r="N106" s="2386"/>
      <c r="O106" s="2387"/>
      <c r="P106" s="2379" t="s">
        <v>1207</v>
      </c>
      <c r="Q106" s="2387"/>
      <c r="R106" s="2387"/>
      <c r="S106" s="2387"/>
      <c r="T106" s="2387"/>
      <c r="U106" s="2387"/>
      <c r="V106" s="2387"/>
      <c r="W106" s="2387"/>
      <c r="X106" s="2387"/>
      <c r="Y106" s="2387"/>
      <c r="Z106" s="2387"/>
      <c r="AA106" s="2387"/>
      <c r="AB106" s="2387"/>
      <c r="AC106" s="2387"/>
      <c r="AD106" s="2387"/>
      <c r="AE106" s="2394"/>
      <c r="AF106" s="3717"/>
      <c r="AG106" s="3718"/>
      <c r="AH106" s="3718"/>
      <c r="AI106" s="3717"/>
      <c r="AJ106" s="3718"/>
      <c r="AK106" s="3718"/>
      <c r="AL106" s="3199"/>
      <c r="AM106" s="3034"/>
      <c r="AN106" s="3034"/>
      <c r="AO106" s="3034"/>
      <c r="AP106" s="3034"/>
      <c r="AQ106" s="3034"/>
      <c r="AR106" s="3034"/>
      <c r="AS106" s="3034"/>
      <c r="AT106" s="3034"/>
      <c r="AU106" s="3034"/>
      <c r="AV106" s="3034"/>
      <c r="AW106" s="3034"/>
      <c r="AX106" s="3034"/>
      <c r="AY106" s="3034"/>
      <c r="AZ106" s="3034"/>
      <c r="BA106" s="3034"/>
      <c r="BB106" s="3034"/>
      <c r="BC106" s="3034"/>
      <c r="BD106" s="3034"/>
      <c r="BE106" s="3034"/>
      <c r="BF106" s="3034"/>
      <c r="BG106" s="8042"/>
    </row>
    <row customHeight="1" ht="11.25">
      <c r="A107" s="2377" t="s">
        <v>1167</v>
      </c>
      <c r="B107" s="2377" t="s">
        <v>22</v>
      </c>
      <c r="C107" s="2377"/>
      <c r="D107" s="2371"/>
      <c r="E107" s="2381"/>
      <c r="F107" s="3040"/>
      <c r="G107" s="10998" t="s">
        <v>103</v>
      </c>
      <c r="H107" s="3726" t="s">
        <v>93</v>
      </c>
      <c r="I107" s="3727" t="s">
        <v>1217</v>
      </c>
      <c r="J107" s="11005" t="s">
        <v>22</v>
      </c>
      <c r="K107" s="3728"/>
      <c r="L107" s="3318" t="s">
        <v>19</v>
      </c>
      <c r="M107" s="3319"/>
      <c r="N107" s="3197"/>
      <c r="O107" s="2388" t="s">
        <v>394</v>
      </c>
      <c r="P107" s="2389"/>
      <c r="Q107" s="2389"/>
      <c r="R107" s="2389"/>
      <c r="S107" s="2389"/>
      <c r="T107" s="2389"/>
      <c r="U107" s="2389"/>
      <c r="V107" s="2389"/>
      <c r="W107" s="2389"/>
      <c r="X107" s="2389"/>
      <c r="Y107" s="2389"/>
      <c r="Z107" s="2389"/>
      <c r="AA107" s="2389"/>
      <c r="AB107" s="2389"/>
      <c r="AC107" s="2389"/>
      <c r="AD107" s="2389"/>
      <c r="AE107" s="2389"/>
      <c r="AF107" s="3717">
        <v>2</v>
      </c>
      <c r="AG107" s="3718" t="s">
        <v>1218</v>
      </c>
      <c r="AH107" s="3718" t="s">
        <v>1219</v>
      </c>
      <c r="AI107" s="3717">
        <v>2</v>
      </c>
      <c r="AJ107" s="3718" t="s">
        <v>1220</v>
      </c>
      <c r="AK107" s="3718" t="s">
        <v>1221</v>
      </c>
      <c r="AL107" s="3199"/>
      <c r="AM107" s="3034"/>
      <c r="AN107" s="3034"/>
      <c r="AO107" s="3034"/>
      <c r="AP107" s="3034"/>
      <c r="AQ107" s="3034"/>
      <c r="AR107" s="3034"/>
      <c r="AS107" s="3034"/>
      <c r="AT107" s="3034"/>
      <c r="AU107" s="3034"/>
      <c r="AV107" s="3034"/>
      <c r="AW107" s="3034"/>
      <c r="AX107" s="3034"/>
      <c r="AY107" s="3034"/>
      <c r="AZ107" s="3034"/>
      <c r="BA107" s="3034"/>
      <c r="BB107" s="3034"/>
      <c r="BC107" s="3034"/>
      <c r="BD107" s="3034"/>
      <c r="BE107" s="3034"/>
      <c r="BF107" s="3034"/>
      <c r="BG107" s="11003"/>
    </row>
    <row customHeight="1" ht="11.25">
      <c r="A108" s="2377" t="s">
        <v>1167</v>
      </c>
      <c r="B108" s="2377"/>
      <c r="C108" s="2377"/>
      <c r="D108" s="2371"/>
      <c r="E108" s="2381"/>
      <c r="F108" s="3040"/>
      <c r="G108" s="3041"/>
      <c r="H108" s="3726" t="s">
        <v>92</v>
      </c>
      <c r="I108" s="3727"/>
      <c r="J108" s="11005"/>
      <c r="K108" s="3728"/>
      <c r="L108" s="3318"/>
      <c r="M108" s="3319"/>
      <c r="N108" s="3719"/>
      <c r="O108" s="3720">
        <v>1</v>
      </c>
      <c r="P108" s="3721" t="s">
        <v>19</v>
      </c>
      <c r="Q108" s="3724" t="s">
        <v>22</v>
      </c>
      <c r="R108" s="3724" t="s">
        <v>22</v>
      </c>
      <c r="S108" s="3724" t="s">
        <v>22</v>
      </c>
      <c r="T108" s="3724" t="s">
        <v>22</v>
      </c>
      <c r="U108" s="3724" t="s">
        <v>22</v>
      </c>
      <c r="V108" s="3724" t="s">
        <v>22</v>
      </c>
      <c r="W108" s="3724" t="s">
        <v>22</v>
      </c>
      <c r="X108" s="3724" t="s">
        <v>22</v>
      </c>
      <c r="Y108" s="3724"/>
      <c r="Z108" s="2386"/>
      <c r="AA108" s="2387"/>
      <c r="AB108" s="2387"/>
      <c r="AC108" s="2391"/>
      <c r="AD108" s="2391"/>
      <c r="AE108" s="2392"/>
      <c r="AF108" s="3717"/>
      <c r="AG108" s="3718"/>
      <c r="AH108" s="3718"/>
      <c r="AI108" s="3717"/>
      <c r="AJ108" s="3718"/>
      <c r="AK108" s="3718"/>
      <c r="AL108" s="3199"/>
      <c r="AM108" s="3034"/>
      <c r="AN108" s="3034"/>
      <c r="AO108" s="3034"/>
      <c r="AP108" s="3034"/>
      <c r="AQ108" s="3034"/>
      <c r="AR108" s="3034"/>
      <c r="AS108" s="3034"/>
      <c r="AT108" s="3034"/>
      <c r="AU108" s="3034"/>
      <c r="AV108" s="3034"/>
      <c r="AW108" s="3034"/>
      <c r="AX108" s="3034"/>
      <c r="AY108" s="3034"/>
      <c r="AZ108" s="3034"/>
      <c r="BA108" s="3034"/>
      <c r="BB108" s="3034"/>
      <c r="BC108" s="3034"/>
      <c r="BD108" s="3034"/>
      <c r="BE108" s="3034"/>
      <c r="BF108" s="3034"/>
      <c r="BG108" s="11003"/>
    </row>
    <row customHeight="1" ht="11.25">
      <c r="A109" s="2377" t="s">
        <v>1167</v>
      </c>
      <c r="B109" s="2377"/>
      <c r="C109" s="2377"/>
      <c r="D109" s="2371"/>
      <c r="E109" s="2381"/>
      <c r="F109" s="3040"/>
      <c r="G109" s="3041"/>
      <c r="H109" s="3726" t="s">
        <v>92</v>
      </c>
      <c r="I109" s="3727"/>
      <c r="J109" s="11005"/>
      <c r="K109" s="3728"/>
      <c r="L109" s="3318"/>
      <c r="M109" s="3319"/>
      <c r="N109" s="3719"/>
      <c r="O109" s="3720"/>
      <c r="P109" s="3722"/>
      <c r="Q109" s="3724"/>
      <c r="R109" s="3724"/>
      <c r="S109" s="3725"/>
      <c r="T109" s="3724"/>
      <c r="U109" s="3724"/>
      <c r="V109" s="3724"/>
      <c r="W109" s="3724"/>
      <c r="X109" s="3724"/>
      <c r="Y109" s="3724"/>
      <c r="Z109" s="3039"/>
      <c r="AA109" s="3005">
        <v>1</v>
      </c>
      <c r="AB109" s="2390" t="s">
        <v>1209</v>
      </c>
      <c r="AC109" s="2380">
        <v>4516.48922</v>
      </c>
      <c r="AD109" s="2390" t="str">
        <f>AB109</f>
        <v>      Прочие амортизационные отчисления</v>
      </c>
      <c r="AE109" s="2380">
        <v>4513.69696</v>
      </c>
      <c r="AF109" s="3717"/>
      <c r="AG109" s="3718"/>
      <c r="AH109" s="3718"/>
      <c r="AI109" s="3717"/>
      <c r="AJ109" s="3718"/>
      <c r="AK109" s="3718"/>
      <c r="AL109" s="3199"/>
      <c r="AM109" s="3034"/>
      <c r="AN109" s="3034"/>
      <c r="AO109" s="3034"/>
      <c r="AP109" s="3034"/>
      <c r="AQ109" s="3034"/>
      <c r="AR109" s="3034"/>
      <c r="AS109" s="3034"/>
      <c r="AT109" s="3034"/>
      <c r="AU109" s="3034"/>
      <c r="AV109" s="3034"/>
      <c r="AW109" s="3034"/>
      <c r="AX109" s="3034"/>
      <c r="AY109" s="3034"/>
      <c r="AZ109" s="3034"/>
      <c r="BA109" s="3034"/>
      <c r="BB109" s="3034"/>
      <c r="BC109" s="3034"/>
      <c r="BD109" s="3034"/>
      <c r="BE109" s="3034"/>
      <c r="BF109" s="3034"/>
      <c r="BG109" s="11003"/>
    </row>
    <row customHeight="1" ht="11.25">
      <c r="A110" s="2377" t="s">
        <v>1167</v>
      </c>
      <c r="B110" s="2377"/>
      <c r="C110" s="2377"/>
      <c r="D110" s="2371"/>
      <c r="E110" s="2381"/>
      <c r="F110" s="3040"/>
      <c r="G110" s="3041"/>
      <c r="H110" s="3726" t="s">
        <v>92</v>
      </c>
      <c r="I110" s="3727"/>
      <c r="J110" s="11005"/>
      <c r="K110" s="3728"/>
      <c r="L110" s="3318"/>
      <c r="M110" s="3319"/>
      <c r="N110" s="3719"/>
      <c r="O110" s="3720"/>
      <c r="P110" s="3723"/>
      <c r="Q110" s="3724"/>
      <c r="R110" s="3724"/>
      <c r="S110" s="3725"/>
      <c r="T110" s="3724"/>
      <c r="U110" s="3724"/>
      <c r="V110" s="3724"/>
      <c r="W110" s="3724"/>
      <c r="X110" s="3724"/>
      <c r="Y110" s="3724"/>
      <c r="Z110" s="2386"/>
      <c r="AA110" s="2387"/>
      <c r="AB110" s="2452" t="s">
        <v>1206</v>
      </c>
      <c r="AC110" s="2391"/>
      <c r="AD110" s="2391"/>
      <c r="AE110" s="2393"/>
      <c r="AF110" s="3717"/>
      <c r="AG110" s="3718"/>
      <c r="AH110" s="3718"/>
      <c r="AI110" s="3717"/>
      <c r="AJ110" s="3718"/>
      <c r="AK110" s="3718"/>
      <c r="AL110" s="3199"/>
      <c r="AM110" s="3034"/>
      <c r="AN110" s="3034"/>
      <c r="AO110" s="3034"/>
      <c r="AP110" s="3034"/>
      <c r="AQ110" s="3034"/>
      <c r="AR110" s="3034"/>
      <c r="AS110" s="3034"/>
      <c r="AT110" s="3034"/>
      <c r="AU110" s="3034"/>
      <c r="AV110" s="3034"/>
      <c r="AW110" s="3034"/>
      <c r="AX110" s="3034"/>
      <c r="AY110" s="3034"/>
      <c r="AZ110" s="3034"/>
      <c r="BA110" s="3034"/>
      <c r="BB110" s="3034"/>
      <c r="BC110" s="3034"/>
      <c r="BD110" s="3034"/>
      <c r="BE110" s="3034"/>
      <c r="BF110" s="3034"/>
      <c r="BG110" s="11003"/>
    </row>
    <row customHeight="1" ht="11.25">
      <c r="A111" s="2377" t="s">
        <v>1167</v>
      </c>
      <c r="B111" s="2377"/>
      <c r="C111" s="2377"/>
      <c r="D111" s="2371"/>
      <c r="E111" s="2381"/>
      <c r="F111" s="3040"/>
      <c r="G111" s="3041"/>
      <c r="H111" s="3726" t="s">
        <v>92</v>
      </c>
      <c r="I111" s="3727"/>
      <c r="J111" s="11005"/>
      <c r="K111" s="3728"/>
      <c r="L111" s="3318"/>
      <c r="M111" s="3319"/>
      <c r="N111" s="2386"/>
      <c r="O111" s="2387"/>
      <c r="P111" s="2379" t="s">
        <v>1207</v>
      </c>
      <c r="Q111" s="2387"/>
      <c r="R111" s="2387"/>
      <c r="S111" s="2387"/>
      <c r="T111" s="2387"/>
      <c r="U111" s="2387"/>
      <c r="V111" s="2387"/>
      <c r="W111" s="2387"/>
      <c r="X111" s="2387"/>
      <c r="Y111" s="2387"/>
      <c r="Z111" s="2387"/>
      <c r="AA111" s="2387"/>
      <c r="AB111" s="2387"/>
      <c r="AC111" s="2387"/>
      <c r="AD111" s="2387"/>
      <c r="AE111" s="2394"/>
      <c r="AF111" s="3717"/>
      <c r="AG111" s="3718"/>
      <c r="AH111" s="3718"/>
      <c r="AI111" s="3717"/>
      <c r="AJ111" s="3718"/>
      <c r="AK111" s="3718"/>
      <c r="AL111" s="3199"/>
      <c r="AM111" s="3034"/>
      <c r="AN111" s="3034"/>
      <c r="AO111" s="3034"/>
      <c r="AP111" s="3034"/>
      <c r="AQ111" s="3034"/>
      <c r="AR111" s="3034"/>
      <c r="AS111" s="3034"/>
      <c r="AT111" s="3034"/>
      <c r="AU111" s="3034"/>
      <c r="AV111" s="3034"/>
      <c r="AW111" s="3034"/>
      <c r="AX111" s="3034"/>
      <c r="AY111" s="3034"/>
      <c r="AZ111" s="3034"/>
      <c r="BA111" s="3034"/>
      <c r="BB111" s="3034"/>
      <c r="BC111" s="3034"/>
      <c r="BD111" s="3034"/>
      <c r="BE111" s="3034"/>
      <c r="BF111" s="3034"/>
      <c r="BG111" s="11003"/>
    </row>
    <row customHeight="1" ht="12">
      <c r="A112" s="2377" t="s">
        <v>1167</v>
      </c>
      <c r="B112" s="2377"/>
      <c r="C112" s="2377"/>
      <c r="D112" s="2371"/>
      <c r="E112" s="2381"/>
      <c r="F112" s="3748"/>
      <c r="G112" s="2401"/>
      <c r="H112" s="2401"/>
      <c r="I112" s="3746" t="s">
        <v>1199</v>
      </c>
      <c r="J112" s="3746"/>
      <c r="K112" s="3746"/>
      <c r="L112" s="2384"/>
      <c r="M112" s="2384"/>
      <c r="N112" s="2385"/>
      <c r="O112" s="2385"/>
      <c r="P112" s="2385"/>
      <c r="Q112" s="2385"/>
      <c r="R112" s="2385"/>
      <c r="S112" s="2385"/>
      <c r="T112" s="2385"/>
      <c r="U112" s="2385"/>
      <c r="V112" s="2385"/>
      <c r="W112" s="2385"/>
      <c r="X112" s="2385"/>
      <c r="Y112" s="2385"/>
      <c r="Z112" s="2385"/>
      <c r="AA112" s="2385"/>
      <c r="AB112" s="2385"/>
      <c r="AC112" s="2385"/>
      <c r="AD112" s="2385"/>
      <c r="AE112" s="2385"/>
      <c r="AF112" s="2385"/>
      <c r="AG112" s="2384"/>
      <c r="AH112" s="2384"/>
      <c r="AI112" s="2385"/>
      <c r="AJ112" s="2384"/>
      <c r="AK112" s="2385"/>
      <c r="AL112" s="3199"/>
      <c r="AM112" s="3034"/>
      <c r="AN112" s="3034"/>
      <c r="AO112" s="3034"/>
      <c r="AP112" s="3034"/>
      <c r="AQ112" s="3034"/>
      <c r="AR112" s="3034"/>
      <c r="AS112" s="3034"/>
      <c r="AT112" s="3034"/>
      <c r="AU112" s="3034"/>
      <c r="AV112" s="3034"/>
      <c r="AW112" s="3034"/>
      <c r="AX112" s="3034"/>
      <c r="AY112" s="3034"/>
      <c r="AZ112" s="3034"/>
      <c r="BA112" s="3034"/>
      <c r="BB112" s="3034"/>
      <c r="BC112" s="3034"/>
      <c r="BD112" s="3034"/>
      <c r="BE112" s="3034"/>
      <c r="BF112" s="3034"/>
      <c r="BG112" s="8042"/>
    </row>
    <row customHeight="1" ht="0.75">
      <c r="A113" s="2377" t="s">
        <v>1167</v>
      </c>
      <c r="B113" s="2377"/>
      <c r="C113" s="2377"/>
      <c r="D113" s="2371"/>
      <c r="E113" s="2381"/>
      <c r="F113" s="3747">
        <v>2024</v>
      </c>
      <c r="G113" s="3726"/>
      <c r="H113" s="3751" t="s">
        <v>394</v>
      </c>
      <c r="I113" s="3752"/>
      <c r="J113" s="3753"/>
      <c r="K113" s="3753"/>
      <c r="L113" s="3745"/>
      <c r="M113" s="3479"/>
      <c r="N113" s="3247"/>
      <c r="O113" s="3246"/>
      <c r="P113" s="3247"/>
      <c r="Q113" s="3247"/>
      <c r="R113" s="3247"/>
      <c r="S113" s="3247"/>
      <c r="T113" s="3247"/>
      <c r="U113" s="3247"/>
      <c r="V113" s="3247"/>
      <c r="W113" s="3247"/>
      <c r="X113" s="3247"/>
      <c r="Y113" s="3247"/>
      <c r="Z113" s="3247"/>
      <c r="AA113" s="3247"/>
      <c r="AB113" s="3247"/>
      <c r="AC113" s="3247"/>
      <c r="AD113" s="3247"/>
      <c r="AE113" s="3247"/>
      <c r="AF113" s="3749"/>
      <c r="AG113" s="3745"/>
      <c r="AH113" s="3745"/>
      <c r="AI113" s="3749"/>
      <c r="AJ113" s="3745"/>
      <c r="AK113" s="3745"/>
      <c r="AL113" s="3199"/>
      <c r="AM113" s="3034"/>
      <c r="AN113" s="3034"/>
      <c r="AO113" s="3034"/>
      <c r="AP113" s="3034"/>
      <c r="AQ113" s="3034"/>
      <c r="AR113" s="3034"/>
      <c r="AS113" s="3034"/>
      <c r="AT113" s="3034"/>
      <c r="AU113" s="3034"/>
      <c r="AV113" s="3034"/>
      <c r="AW113" s="3034"/>
      <c r="AX113" s="3034"/>
      <c r="AY113" s="3034"/>
      <c r="AZ113" s="3034"/>
      <c r="BA113" s="3034"/>
      <c r="BB113" s="3034"/>
      <c r="BC113" s="3034"/>
      <c r="BD113" s="3034"/>
      <c r="BE113" s="3034"/>
      <c r="BF113" s="3034"/>
      <c r="BG113" s="8042"/>
    </row>
    <row customHeight="1" ht="0.75">
      <c r="A114" s="2377" t="s">
        <v>1167</v>
      </c>
      <c r="B114" s="2377"/>
      <c r="C114" s="2377"/>
      <c r="D114" s="2371"/>
      <c r="E114" s="2381"/>
      <c r="F114" s="3747"/>
      <c r="G114" s="3726"/>
      <c r="H114" s="3751"/>
      <c r="I114" s="3752"/>
      <c r="J114" s="3753"/>
      <c r="K114" s="3753"/>
      <c r="L114" s="3745"/>
      <c r="M114" s="3479"/>
      <c r="N114" s="3754"/>
      <c r="O114" s="3755"/>
      <c r="P114" s="3799"/>
      <c r="Q114" s="3750"/>
      <c r="R114" s="3750"/>
      <c r="S114" s="3750"/>
      <c r="T114" s="3750"/>
      <c r="U114" s="3750"/>
      <c r="V114" s="3750"/>
      <c r="W114" s="3750"/>
      <c r="X114" s="3750"/>
      <c r="Y114" s="3750"/>
      <c r="Z114" s="3248"/>
      <c r="AA114" s="3249"/>
      <c r="AB114" s="3249"/>
      <c r="AC114" s="3250"/>
      <c r="AD114" s="3250"/>
      <c r="AE114" s="3251"/>
      <c r="AF114" s="3749"/>
      <c r="AG114" s="3745"/>
      <c r="AH114" s="3745"/>
      <c r="AI114" s="3749"/>
      <c r="AJ114" s="3745"/>
      <c r="AK114" s="3745"/>
      <c r="AL114" s="3199"/>
      <c r="AM114" s="3034"/>
      <c r="AN114" s="3034"/>
      <c r="AO114" s="3034"/>
      <c r="AP114" s="3034"/>
      <c r="AQ114" s="3034"/>
      <c r="AR114" s="3034"/>
      <c r="AS114" s="3034"/>
      <c r="AT114" s="3034"/>
      <c r="AU114" s="3034"/>
      <c r="AV114" s="3034"/>
      <c r="AW114" s="3034"/>
      <c r="AX114" s="3034"/>
      <c r="AY114" s="3034"/>
      <c r="AZ114" s="3034"/>
      <c r="BA114" s="3034"/>
      <c r="BB114" s="3034"/>
      <c r="BC114" s="3034"/>
      <c r="BD114" s="3034"/>
      <c r="BE114" s="3034"/>
      <c r="BF114" s="3034"/>
      <c r="BG114" s="8042"/>
    </row>
    <row customHeight="1" ht="0.75">
      <c r="A115" s="2377" t="s">
        <v>1167</v>
      </c>
      <c r="B115" s="2377"/>
      <c r="C115" s="2377"/>
      <c r="D115" s="2371"/>
      <c r="E115" s="2381"/>
      <c r="F115" s="3747"/>
      <c r="G115" s="3726"/>
      <c r="H115" s="3751"/>
      <c r="I115" s="3752"/>
      <c r="J115" s="3753"/>
      <c r="K115" s="3753"/>
      <c r="L115" s="3745"/>
      <c r="M115" s="3479"/>
      <c r="N115" s="3754"/>
      <c r="O115" s="3755"/>
      <c r="P115" s="3800"/>
      <c r="Q115" s="3750"/>
      <c r="R115" s="3750"/>
      <c r="S115" s="3750"/>
      <c r="T115" s="3750"/>
      <c r="U115" s="3750"/>
      <c r="V115" s="3750"/>
      <c r="W115" s="3750"/>
      <c r="X115" s="3750"/>
      <c r="Y115" s="3750"/>
      <c r="Z115" s="3252"/>
      <c r="AA115" s="3253"/>
      <c r="AB115" s="3254"/>
      <c r="AC115" s="3255"/>
      <c r="AD115" s="3254"/>
      <c r="AE115" s="3255"/>
      <c r="AF115" s="3749"/>
      <c r="AG115" s="3745"/>
      <c r="AH115" s="3745"/>
      <c r="AI115" s="3749"/>
      <c r="AJ115" s="3745"/>
      <c r="AK115" s="3745"/>
      <c r="AL115" s="3199"/>
      <c r="AM115" s="3034"/>
      <c r="AN115" s="3034"/>
      <c r="AO115" s="3034"/>
      <c r="AP115" s="3034"/>
      <c r="AQ115" s="3034"/>
      <c r="AR115" s="3034"/>
      <c r="AS115" s="3034"/>
      <c r="AT115" s="3034"/>
      <c r="AU115" s="3034"/>
      <c r="AV115" s="3034"/>
      <c r="AW115" s="3034"/>
      <c r="AX115" s="3034"/>
      <c r="AY115" s="3034"/>
      <c r="AZ115" s="3034"/>
      <c r="BA115" s="3034"/>
      <c r="BB115" s="3034"/>
      <c r="BC115" s="3034"/>
      <c r="BD115" s="3034"/>
      <c r="BE115" s="3034"/>
      <c r="BF115" s="3034"/>
      <c r="BG115" s="8042"/>
    </row>
    <row customHeight="1" ht="0.75">
      <c r="A116" s="2377" t="s">
        <v>1167</v>
      </c>
      <c r="B116" s="2377"/>
      <c r="C116" s="2377"/>
      <c r="D116" s="2371"/>
      <c r="E116" s="2381"/>
      <c r="F116" s="3747"/>
      <c r="G116" s="3726"/>
      <c r="H116" s="3751"/>
      <c r="I116" s="3752"/>
      <c r="J116" s="3753"/>
      <c r="K116" s="3753"/>
      <c r="L116" s="3745"/>
      <c r="M116" s="3479"/>
      <c r="N116" s="3754"/>
      <c r="O116" s="3755"/>
      <c r="P116" s="3801"/>
      <c r="Q116" s="3750"/>
      <c r="R116" s="3750"/>
      <c r="S116" s="3750"/>
      <c r="T116" s="3750"/>
      <c r="U116" s="3750"/>
      <c r="V116" s="3750"/>
      <c r="W116" s="3750"/>
      <c r="X116" s="3750"/>
      <c r="Y116" s="3750"/>
      <c r="Z116" s="3248"/>
      <c r="AA116" s="3249"/>
      <c r="AB116" s="3256"/>
      <c r="AC116" s="3250"/>
      <c r="AD116" s="3250"/>
      <c r="AE116" s="3257"/>
      <c r="AF116" s="3749"/>
      <c r="AG116" s="3745"/>
      <c r="AH116" s="3745"/>
      <c r="AI116" s="3749"/>
      <c r="AJ116" s="3745"/>
      <c r="AK116" s="3745"/>
      <c r="AL116" s="3199"/>
      <c r="AM116" s="3034"/>
      <c r="AN116" s="3034"/>
      <c r="AO116" s="3034"/>
      <c r="AP116" s="3034"/>
      <c r="AQ116" s="3034"/>
      <c r="AR116" s="3034"/>
      <c r="AS116" s="3034"/>
      <c r="AT116" s="3034"/>
      <c r="AU116" s="3034"/>
      <c r="AV116" s="3034"/>
      <c r="AW116" s="3034"/>
      <c r="AX116" s="3034"/>
      <c r="AY116" s="3034"/>
      <c r="AZ116" s="3034"/>
      <c r="BA116" s="3034"/>
      <c r="BB116" s="3034"/>
      <c r="BC116" s="3034"/>
      <c r="BD116" s="3034"/>
      <c r="BE116" s="3034"/>
      <c r="BF116" s="3034"/>
      <c r="BG116" s="8042"/>
    </row>
    <row customHeight="1" ht="0.75">
      <c r="A117" s="2377" t="s">
        <v>1167</v>
      </c>
      <c r="B117" s="2377"/>
      <c r="C117" s="2377"/>
      <c r="D117" s="2371"/>
      <c r="E117" s="2381"/>
      <c r="F117" s="3747"/>
      <c r="G117" s="3726"/>
      <c r="H117" s="3751"/>
      <c r="I117" s="3752"/>
      <c r="J117" s="3753"/>
      <c r="K117" s="3753"/>
      <c r="L117" s="3745"/>
      <c r="M117" s="3479"/>
      <c r="N117" s="3249"/>
      <c r="O117" s="3249"/>
      <c r="P117" s="3256"/>
      <c r="Q117" s="3249"/>
      <c r="R117" s="3249"/>
      <c r="S117" s="3249"/>
      <c r="T117" s="3249"/>
      <c r="U117" s="3249"/>
      <c r="V117" s="3249"/>
      <c r="W117" s="3249"/>
      <c r="X117" s="3249"/>
      <c r="Y117" s="3249"/>
      <c r="Z117" s="3249"/>
      <c r="AA117" s="3249"/>
      <c r="AB117" s="3249"/>
      <c r="AC117" s="3249"/>
      <c r="AD117" s="3249"/>
      <c r="AE117" s="3258"/>
      <c r="AF117" s="3749"/>
      <c r="AG117" s="3745"/>
      <c r="AH117" s="3745"/>
      <c r="AI117" s="3749"/>
      <c r="AJ117" s="3745"/>
      <c r="AK117" s="3745"/>
      <c r="AL117" s="3199"/>
      <c r="AM117" s="3034"/>
      <c r="AN117" s="3034"/>
      <c r="AO117" s="3034"/>
      <c r="AP117" s="3034"/>
      <c r="AQ117" s="3034"/>
      <c r="AR117" s="3034"/>
      <c r="AS117" s="3034"/>
      <c r="AT117" s="3034"/>
      <c r="AU117" s="3034"/>
      <c r="AV117" s="3034"/>
      <c r="AW117" s="3034"/>
      <c r="AX117" s="3034"/>
      <c r="AY117" s="3034"/>
      <c r="AZ117" s="3034"/>
      <c r="BA117" s="3034"/>
      <c r="BB117" s="3034"/>
      <c r="BC117" s="3034"/>
      <c r="BD117" s="3034"/>
      <c r="BE117" s="3034"/>
      <c r="BF117" s="3034"/>
      <c r="BG117" s="8042"/>
    </row>
    <row customHeight="1" ht="12">
      <c r="A118" s="2377" t="s">
        <v>1167</v>
      </c>
      <c r="B118" s="2377"/>
      <c r="C118" s="2377"/>
      <c r="D118" s="2371"/>
      <c r="E118" s="2381"/>
      <c r="F118" s="3748"/>
      <c r="G118" s="2401"/>
      <c r="H118" s="2401"/>
      <c r="I118" s="3746" t="s">
        <v>1199</v>
      </c>
      <c r="J118" s="3746"/>
      <c r="K118" s="3746"/>
      <c r="L118" s="2384"/>
      <c r="M118" s="2384"/>
      <c r="N118" s="2385"/>
      <c r="O118" s="2385"/>
      <c r="P118" s="2385"/>
      <c r="Q118" s="2385"/>
      <c r="R118" s="2385"/>
      <c r="S118" s="2385"/>
      <c r="T118" s="2385"/>
      <c r="U118" s="2385"/>
      <c r="V118" s="2385"/>
      <c r="W118" s="2385"/>
      <c r="X118" s="2385"/>
      <c r="Y118" s="2385"/>
      <c r="Z118" s="2385"/>
      <c r="AA118" s="2385"/>
      <c r="AB118" s="2385"/>
      <c r="AC118" s="2385"/>
      <c r="AD118" s="2385"/>
      <c r="AE118" s="2385"/>
      <c r="AF118" s="2385"/>
      <c r="AG118" s="2384"/>
      <c r="AH118" s="2384"/>
      <c r="AI118" s="2385"/>
      <c r="AJ118" s="2384"/>
      <c r="AK118" s="2385"/>
      <c r="AL118" s="3199"/>
      <c r="AM118" s="3034"/>
      <c r="AN118" s="3034"/>
      <c r="AO118" s="3034"/>
      <c r="AP118" s="3034"/>
      <c r="AQ118" s="3034"/>
      <c r="AR118" s="3034"/>
      <c r="AS118" s="3034"/>
      <c r="AT118" s="3034"/>
      <c r="AU118" s="3034"/>
      <c r="AV118" s="3034"/>
      <c r="AW118" s="3034"/>
      <c r="AX118" s="3034"/>
      <c r="AY118" s="3034"/>
      <c r="AZ118" s="3034"/>
      <c r="BA118" s="3034"/>
      <c r="BB118" s="3034"/>
      <c r="BC118" s="3034"/>
      <c r="BD118" s="3034"/>
      <c r="BE118" s="3034"/>
      <c r="BF118" s="3034"/>
      <c r="BG118" s="8042"/>
    </row>
    <row customHeight="1" ht="0.75">
      <c r="A119" s="2377" t="s">
        <v>1167</v>
      </c>
      <c r="B119" s="2377"/>
      <c r="C119" s="2377"/>
      <c r="D119" s="2371"/>
      <c r="E119" s="2381"/>
      <c r="F119" s="3747">
        <v>2025</v>
      </c>
      <c r="G119" s="3726"/>
      <c r="H119" s="3751" t="s">
        <v>394</v>
      </c>
      <c r="I119" s="3752"/>
      <c r="J119" s="3753"/>
      <c r="K119" s="3753"/>
      <c r="L119" s="3745"/>
      <c r="M119" s="3479"/>
      <c r="N119" s="3247"/>
      <c r="O119" s="3246"/>
      <c r="P119" s="3247"/>
      <c r="Q119" s="3247"/>
      <c r="R119" s="3247"/>
      <c r="S119" s="3247"/>
      <c r="T119" s="3247"/>
      <c r="U119" s="3247"/>
      <c r="V119" s="3247"/>
      <c r="W119" s="3247"/>
      <c r="X119" s="3247"/>
      <c r="Y119" s="3247"/>
      <c r="Z119" s="3247"/>
      <c r="AA119" s="3247"/>
      <c r="AB119" s="3247"/>
      <c r="AC119" s="3247"/>
      <c r="AD119" s="3247"/>
      <c r="AE119" s="3247"/>
      <c r="AF119" s="3749"/>
      <c r="AG119" s="3745"/>
      <c r="AH119" s="3745"/>
      <c r="AI119" s="3749"/>
      <c r="AJ119" s="3745"/>
      <c r="AK119" s="3745"/>
      <c r="AL119" s="3199"/>
      <c r="AM119" s="3034"/>
      <c r="AN119" s="3034"/>
      <c r="AO119" s="3034"/>
      <c r="AP119" s="3034"/>
      <c r="AQ119" s="3034"/>
      <c r="AR119" s="3034"/>
      <c r="AS119" s="3034"/>
      <c r="AT119" s="3034"/>
      <c r="AU119" s="3034"/>
      <c r="AV119" s="3034"/>
      <c r="AW119" s="3034"/>
      <c r="AX119" s="3034"/>
      <c r="AY119" s="3034"/>
      <c r="AZ119" s="3034"/>
      <c r="BA119" s="3034"/>
      <c r="BB119" s="3034"/>
      <c r="BC119" s="3034"/>
      <c r="BD119" s="3034"/>
      <c r="BE119" s="3034"/>
      <c r="BF119" s="3034"/>
      <c r="BG119" s="8042"/>
    </row>
    <row customHeight="1" ht="0.75">
      <c r="A120" s="2377" t="s">
        <v>1167</v>
      </c>
      <c r="B120" s="2377"/>
      <c r="C120" s="2377"/>
      <c r="D120" s="2371"/>
      <c r="E120" s="2381"/>
      <c r="F120" s="3747"/>
      <c r="G120" s="3726"/>
      <c r="H120" s="3751"/>
      <c r="I120" s="3752"/>
      <c r="J120" s="3753"/>
      <c r="K120" s="3753"/>
      <c r="L120" s="3745"/>
      <c r="M120" s="3479"/>
      <c r="N120" s="3754"/>
      <c r="O120" s="3755"/>
      <c r="P120" s="3799"/>
      <c r="Q120" s="3750"/>
      <c r="R120" s="3750"/>
      <c r="S120" s="3750"/>
      <c r="T120" s="3750"/>
      <c r="U120" s="3750"/>
      <c r="V120" s="3750"/>
      <c r="W120" s="3750"/>
      <c r="X120" s="3750"/>
      <c r="Y120" s="3750"/>
      <c r="Z120" s="3248"/>
      <c r="AA120" s="3249"/>
      <c r="AB120" s="3249"/>
      <c r="AC120" s="3250"/>
      <c r="AD120" s="3250"/>
      <c r="AE120" s="3251"/>
      <c r="AF120" s="3749"/>
      <c r="AG120" s="3745"/>
      <c r="AH120" s="3745"/>
      <c r="AI120" s="3749"/>
      <c r="AJ120" s="3745"/>
      <c r="AK120" s="3745"/>
      <c r="AL120" s="3199"/>
      <c r="AM120" s="3034"/>
      <c r="AN120" s="3034"/>
      <c r="AO120" s="3034"/>
      <c r="AP120" s="3034"/>
      <c r="AQ120" s="3034"/>
      <c r="AR120" s="3034"/>
      <c r="AS120" s="3034"/>
      <c r="AT120" s="3034"/>
      <c r="AU120" s="3034"/>
      <c r="AV120" s="3034"/>
      <c r="AW120" s="3034"/>
      <c r="AX120" s="3034"/>
      <c r="AY120" s="3034"/>
      <c r="AZ120" s="3034"/>
      <c r="BA120" s="3034"/>
      <c r="BB120" s="3034"/>
      <c r="BC120" s="3034"/>
      <c r="BD120" s="3034"/>
      <c r="BE120" s="3034"/>
      <c r="BF120" s="3034"/>
      <c r="BG120" s="8042"/>
    </row>
    <row customHeight="1" ht="0.75">
      <c r="A121" s="2377" t="s">
        <v>1167</v>
      </c>
      <c r="B121" s="2377"/>
      <c r="C121" s="2377"/>
      <c r="D121" s="2371"/>
      <c r="E121" s="2381"/>
      <c r="F121" s="3747"/>
      <c r="G121" s="3726"/>
      <c r="H121" s="3751"/>
      <c r="I121" s="3752"/>
      <c r="J121" s="3753"/>
      <c r="K121" s="3753"/>
      <c r="L121" s="3745"/>
      <c r="M121" s="3479"/>
      <c r="N121" s="3754"/>
      <c r="O121" s="3755"/>
      <c r="P121" s="3800"/>
      <c r="Q121" s="3750"/>
      <c r="R121" s="3750"/>
      <c r="S121" s="3750"/>
      <c r="T121" s="3750"/>
      <c r="U121" s="3750"/>
      <c r="V121" s="3750"/>
      <c r="W121" s="3750"/>
      <c r="X121" s="3750"/>
      <c r="Y121" s="3750"/>
      <c r="Z121" s="3252"/>
      <c r="AA121" s="3253"/>
      <c r="AB121" s="3254"/>
      <c r="AC121" s="3255"/>
      <c r="AD121" s="3254"/>
      <c r="AE121" s="3255"/>
      <c r="AF121" s="3749"/>
      <c r="AG121" s="3745"/>
      <c r="AH121" s="3745"/>
      <c r="AI121" s="3749"/>
      <c r="AJ121" s="3745"/>
      <c r="AK121" s="3745"/>
      <c r="AL121" s="3199"/>
      <c r="AM121" s="3034"/>
      <c r="AN121" s="3034"/>
      <c r="AO121" s="3034"/>
      <c r="AP121" s="3034"/>
      <c r="AQ121" s="3034"/>
      <c r="AR121" s="3034"/>
      <c r="AS121" s="3034"/>
      <c r="AT121" s="3034"/>
      <c r="AU121" s="3034"/>
      <c r="AV121" s="3034"/>
      <c r="AW121" s="3034"/>
      <c r="AX121" s="3034"/>
      <c r="AY121" s="3034"/>
      <c r="AZ121" s="3034"/>
      <c r="BA121" s="3034"/>
      <c r="BB121" s="3034"/>
      <c r="BC121" s="3034"/>
      <c r="BD121" s="3034"/>
      <c r="BE121" s="3034"/>
      <c r="BF121" s="3034"/>
      <c r="BG121" s="8042"/>
    </row>
    <row customHeight="1" ht="0.75">
      <c r="A122" s="2377" t="s">
        <v>1167</v>
      </c>
      <c r="B122" s="2377"/>
      <c r="C122" s="2377"/>
      <c r="D122" s="2371"/>
      <c r="E122" s="2381"/>
      <c r="F122" s="3747"/>
      <c r="G122" s="3726"/>
      <c r="H122" s="3751"/>
      <c r="I122" s="3752"/>
      <c r="J122" s="3753"/>
      <c r="K122" s="3753"/>
      <c r="L122" s="3745"/>
      <c r="M122" s="3479"/>
      <c r="N122" s="3754"/>
      <c r="O122" s="3755"/>
      <c r="P122" s="3801"/>
      <c r="Q122" s="3750"/>
      <c r="R122" s="3750"/>
      <c r="S122" s="3750"/>
      <c r="T122" s="3750"/>
      <c r="U122" s="3750"/>
      <c r="V122" s="3750"/>
      <c r="W122" s="3750"/>
      <c r="X122" s="3750"/>
      <c r="Y122" s="3750"/>
      <c r="Z122" s="3248"/>
      <c r="AA122" s="3249"/>
      <c r="AB122" s="3256"/>
      <c r="AC122" s="3250"/>
      <c r="AD122" s="3250"/>
      <c r="AE122" s="3257"/>
      <c r="AF122" s="3749"/>
      <c r="AG122" s="3745"/>
      <c r="AH122" s="3745"/>
      <c r="AI122" s="3749"/>
      <c r="AJ122" s="3745"/>
      <c r="AK122" s="3745"/>
      <c r="AL122" s="3199"/>
      <c r="AM122" s="3034"/>
      <c r="AN122" s="3034"/>
      <c r="AO122" s="3034"/>
      <c r="AP122" s="3034"/>
      <c r="AQ122" s="3034"/>
      <c r="AR122" s="3034"/>
      <c r="AS122" s="3034"/>
      <c r="AT122" s="3034"/>
      <c r="AU122" s="3034"/>
      <c r="AV122" s="3034"/>
      <c r="AW122" s="3034"/>
      <c r="AX122" s="3034"/>
      <c r="AY122" s="3034"/>
      <c r="AZ122" s="3034"/>
      <c r="BA122" s="3034"/>
      <c r="BB122" s="3034"/>
      <c r="BC122" s="3034"/>
      <c r="BD122" s="3034"/>
      <c r="BE122" s="3034"/>
      <c r="BF122" s="3034"/>
      <c r="BG122" s="8042"/>
    </row>
    <row customHeight="1" ht="0.75">
      <c r="A123" s="2377" t="s">
        <v>1167</v>
      </c>
      <c r="B123" s="2377"/>
      <c r="C123" s="2377"/>
      <c r="D123" s="2371"/>
      <c r="E123" s="2381"/>
      <c r="F123" s="3747"/>
      <c r="G123" s="3726"/>
      <c r="H123" s="3751"/>
      <c r="I123" s="3752"/>
      <c r="J123" s="3753"/>
      <c r="K123" s="3753"/>
      <c r="L123" s="3745"/>
      <c r="M123" s="3479"/>
      <c r="N123" s="3249"/>
      <c r="O123" s="3249"/>
      <c r="P123" s="3256"/>
      <c r="Q123" s="3249"/>
      <c r="R123" s="3249"/>
      <c r="S123" s="3249"/>
      <c r="T123" s="3249"/>
      <c r="U123" s="3249"/>
      <c r="V123" s="3249"/>
      <c r="W123" s="3249"/>
      <c r="X123" s="3249"/>
      <c r="Y123" s="3249"/>
      <c r="Z123" s="3249"/>
      <c r="AA123" s="3249"/>
      <c r="AB123" s="3249"/>
      <c r="AC123" s="3249"/>
      <c r="AD123" s="3249"/>
      <c r="AE123" s="3258"/>
      <c r="AF123" s="3749"/>
      <c r="AG123" s="3745"/>
      <c r="AH123" s="3745"/>
      <c r="AI123" s="3749"/>
      <c r="AJ123" s="3745"/>
      <c r="AK123" s="3745"/>
      <c r="AL123" s="3199"/>
      <c r="AM123" s="3034"/>
      <c r="AN123" s="3034"/>
      <c r="AO123" s="3034"/>
      <c r="AP123" s="3034"/>
      <c r="AQ123" s="3034"/>
      <c r="AR123" s="3034"/>
      <c r="AS123" s="3034"/>
      <c r="AT123" s="3034"/>
      <c r="AU123" s="3034"/>
      <c r="AV123" s="3034"/>
      <c r="AW123" s="3034"/>
      <c r="AX123" s="3034"/>
      <c r="AY123" s="3034"/>
      <c r="AZ123" s="3034"/>
      <c r="BA123" s="3034"/>
      <c r="BB123" s="3034"/>
      <c r="BC123" s="3034"/>
      <c r="BD123" s="3034"/>
      <c r="BE123" s="3034"/>
      <c r="BF123" s="3034"/>
      <c r="BG123" s="8042"/>
    </row>
    <row customHeight="1" ht="12">
      <c r="A124" s="2377" t="s">
        <v>1167</v>
      </c>
      <c r="B124" s="2377"/>
      <c r="C124" s="2377"/>
      <c r="D124" s="2371"/>
      <c r="E124" s="2381"/>
      <c r="F124" s="3748"/>
      <c r="G124" s="2401"/>
      <c r="H124" s="2401"/>
      <c r="I124" s="3746" t="s">
        <v>1199</v>
      </c>
      <c r="J124" s="3746"/>
      <c r="K124" s="3746"/>
      <c r="L124" s="2384"/>
      <c r="M124" s="2384"/>
      <c r="N124" s="2385"/>
      <c r="O124" s="2385"/>
      <c r="P124" s="2385"/>
      <c r="Q124" s="2385"/>
      <c r="R124" s="2385"/>
      <c r="S124" s="2385"/>
      <c r="T124" s="2385"/>
      <c r="U124" s="2385"/>
      <c r="V124" s="2385"/>
      <c r="W124" s="2385"/>
      <c r="X124" s="2385"/>
      <c r="Y124" s="2385"/>
      <c r="Z124" s="2385"/>
      <c r="AA124" s="2385"/>
      <c r="AB124" s="2385"/>
      <c r="AC124" s="2385"/>
      <c r="AD124" s="2385"/>
      <c r="AE124" s="2385"/>
      <c r="AF124" s="2385"/>
      <c r="AG124" s="2384"/>
      <c r="AH124" s="2384"/>
      <c r="AI124" s="2385"/>
      <c r="AJ124" s="2384"/>
      <c r="AK124" s="2385"/>
      <c r="AL124" s="3199"/>
      <c r="AM124" s="3034"/>
      <c r="AN124" s="3034"/>
      <c r="AO124" s="3034"/>
      <c r="AP124" s="3034"/>
      <c r="AQ124" s="3034"/>
      <c r="AR124" s="3034"/>
      <c r="AS124" s="3034"/>
      <c r="AT124" s="3034"/>
      <c r="AU124" s="3034"/>
      <c r="AV124" s="3034"/>
      <c r="AW124" s="3034"/>
      <c r="AX124" s="3034"/>
      <c r="AY124" s="3034"/>
      <c r="AZ124" s="3034"/>
      <c r="BA124" s="3034"/>
      <c r="BB124" s="3034"/>
      <c r="BC124" s="3034"/>
      <c r="BD124" s="3034"/>
      <c r="BE124" s="3034"/>
      <c r="BF124" s="3034"/>
      <c r="BG124" s="8042"/>
    </row>
    <row customHeight="1" ht="10.5">
      <c r="E125" s="2118"/>
      <c r="F125" s="2129"/>
      <c r="G125" s="2129"/>
      <c r="H125" s="2383"/>
      <c r="I125" s="2129"/>
      <c r="J125" s="2129"/>
      <c r="K125" s="2129"/>
      <c r="L125" s="2342"/>
      <c r="M125" s="2342"/>
      <c r="N125" s="2129"/>
      <c r="O125" s="2129"/>
      <c r="P125" s="2129"/>
      <c r="Q125" s="2129"/>
      <c r="R125" s="2129"/>
      <c r="S125" s="2129"/>
      <c r="T125" s="2129"/>
      <c r="U125" s="2129"/>
      <c r="V125" s="2129"/>
      <c r="W125" s="2129"/>
      <c r="X125" s="2129"/>
      <c r="Y125" s="2129"/>
      <c r="Z125" s="2129"/>
      <c r="AA125" s="2129"/>
      <c r="AB125" s="2129"/>
      <c r="AC125" s="2129"/>
      <c r="AD125" s="2342"/>
      <c r="AE125" s="2129"/>
      <c r="AF125" s="2129"/>
      <c r="AG125" s="2129"/>
      <c r="AH125" s="2360"/>
      <c r="AI125" s="2353"/>
      <c r="AJ125" s="2129"/>
      <c r="AK125" s="2129"/>
      <c r="AL125" s="2118"/>
      <c r="AM125" s="2118"/>
      <c r="AN125" s="2118"/>
      <c r="AO125" s="2118"/>
      <c r="AP125" s="2118"/>
      <c r="AQ125" s="2118"/>
      <c r="AR125" s="2118"/>
      <c r="AS125" s="2118"/>
      <c r="AT125" s="2118"/>
      <c r="AU125" s="2118"/>
      <c r="AV125" s="2118"/>
      <c r="AW125" s="2118"/>
      <c r="AX125" s="2118"/>
      <c r="AY125" s="2118"/>
      <c r="AZ125" s="2118"/>
      <c r="BA125" s="2118"/>
      <c r="BB125" s="2118"/>
      <c r="BC125" s="2118"/>
      <c r="BD125" s="2118"/>
      <c r="BE125" s="2118"/>
      <c r="BF125" s="2118"/>
      <c r="BG125" s="1969">
        <v>10</v>
      </c>
    </row>
    <row customHeight="1" ht="13.5">
      <c r="E126" s="2118"/>
      <c r="F126" s="2125" t="s">
        <v>1222</v>
      </c>
      <c r="G126" s="2125"/>
      <c r="H126" s="2382"/>
      <c r="I126" s="2125"/>
      <c r="J126" s="2125"/>
      <c r="K126" s="2122"/>
      <c r="L126" s="2338"/>
      <c r="M126" s="2338"/>
      <c r="N126" s="2124"/>
      <c r="O126" s="2124"/>
      <c r="P126" s="2124"/>
      <c r="Q126" s="2124"/>
      <c r="R126" s="2124"/>
      <c r="S126" s="2124"/>
      <c r="T126" s="2124"/>
      <c r="U126" s="2124"/>
      <c r="V126" s="2124"/>
      <c r="W126" s="2124"/>
      <c r="X126" s="2124"/>
      <c r="Y126" s="2124"/>
      <c r="Z126" s="2122"/>
      <c r="AA126" s="2122"/>
      <c r="AB126" s="2122"/>
      <c r="AC126" s="2122"/>
      <c r="AD126" s="2338"/>
      <c r="AE126" s="2122"/>
      <c r="AF126" s="2122"/>
      <c r="AG126" s="2122"/>
      <c r="AH126" s="2357"/>
      <c r="AI126" s="2350"/>
      <c r="AJ126" s="2122"/>
      <c r="AK126" s="2122"/>
      <c r="AL126" s="2118"/>
      <c r="AM126" s="2118"/>
      <c r="AN126" s="2118"/>
      <c r="AO126" s="2118"/>
      <c r="AP126" s="2118"/>
      <c r="AQ126" s="2118"/>
      <c r="AR126" s="2118"/>
      <c r="AS126" s="2118"/>
      <c r="AT126" s="2118"/>
      <c r="AU126" s="2118"/>
      <c r="AV126" s="2118"/>
      <c r="AW126" s="2118"/>
      <c r="AX126" s="2118"/>
      <c r="AY126" s="2118"/>
      <c r="AZ126" s="2118"/>
      <c r="BA126" s="2118"/>
      <c r="BB126" s="2118"/>
      <c r="BC126" s="2118"/>
      <c r="BD126" s="2118"/>
      <c r="BE126" s="2118"/>
      <c r="BF126" s="2118"/>
      <c r="BG126" s="1969">
        <v>13</v>
      </c>
    </row>
    <row customHeight="1" ht="10.5">
      <c r="BG127" s="1969">
        <v>10</v>
      </c>
    </row>
    <row customHeight="1" ht="10.5">
      <c r="E128" s="2118"/>
      <c r="F128" s="3618"/>
      <c r="G128" s="3618"/>
      <c r="H128" s="3618"/>
      <c r="I128" s="3618"/>
      <c r="J128" s="3618"/>
      <c r="K128" s="2122"/>
      <c r="L128" s="2338"/>
      <c r="M128" s="2338"/>
      <c r="N128" s="2124"/>
      <c r="O128" s="2124"/>
      <c r="P128" s="2124"/>
      <c r="Q128" s="2124"/>
      <c r="R128" s="2124"/>
      <c r="S128" s="2124"/>
      <c r="T128" s="2124"/>
      <c r="U128" s="2124"/>
      <c r="V128" s="2124"/>
      <c r="W128" s="2124"/>
      <c r="X128" s="2124"/>
      <c r="Y128" s="2124"/>
      <c r="Z128" s="2122"/>
      <c r="AA128" s="2122"/>
      <c r="AB128" s="2122"/>
      <c r="AC128" s="2122"/>
      <c r="AD128" s="2338"/>
      <c r="AE128" s="2122"/>
      <c r="AF128" s="2122"/>
      <c r="AG128" s="2122"/>
      <c r="AH128" s="2357"/>
      <c r="AI128" s="2350"/>
      <c r="AJ128" s="2122"/>
      <c r="AK128" s="2122"/>
      <c r="AL128" s="2118"/>
      <c r="AM128" s="2118"/>
      <c r="AN128" s="2118"/>
      <c r="AO128" s="2118"/>
      <c r="AP128" s="2118"/>
      <c r="AQ128" s="2118"/>
      <c r="AR128" s="2118"/>
      <c r="AS128" s="2118"/>
      <c r="AT128" s="2118"/>
      <c r="AU128" s="2118"/>
      <c r="AV128" s="2118"/>
      <c r="AW128" s="2118"/>
      <c r="AX128" s="2118"/>
      <c r="AY128" s="2118"/>
      <c r="AZ128" s="2118"/>
      <c r="BA128" s="2118"/>
      <c r="BB128" s="2118"/>
      <c r="BC128" s="2118"/>
      <c r="BD128" s="2118"/>
      <c r="BE128" s="2118"/>
      <c r="BF128" s="2118"/>
      <c r="BG128" s="1969">
        <v>10</v>
      </c>
    </row>
    <row customHeight="1" ht="10.5">
      <c r="E129" s="2118"/>
      <c r="F129" s="3618"/>
      <c r="G129" s="3618"/>
      <c r="H129" s="3618"/>
      <c r="I129" s="3618"/>
      <c r="J129" s="3618"/>
      <c r="K129" s="2122"/>
      <c r="L129" s="2338"/>
      <c r="M129" s="2338"/>
      <c r="N129" s="2124"/>
      <c r="O129" s="2124"/>
      <c r="P129" s="2124"/>
      <c r="Q129" s="2124"/>
      <c r="R129" s="2124"/>
      <c r="S129" s="2124"/>
      <c r="T129" s="2124"/>
      <c r="U129" s="2124"/>
      <c r="V129" s="2124"/>
      <c r="W129" s="2124"/>
      <c r="X129" s="2124"/>
      <c r="Y129" s="2124"/>
      <c r="Z129" s="2122"/>
      <c r="AA129" s="2122"/>
      <c r="AB129" s="2122"/>
      <c r="AC129" s="2122"/>
      <c r="AD129" s="2338"/>
      <c r="AE129" s="2122"/>
      <c r="AF129" s="2122"/>
      <c r="AG129" s="2122"/>
      <c r="AH129" s="2357"/>
      <c r="AI129" s="2350"/>
      <c r="AJ129" s="2122"/>
      <c r="AK129" s="2122"/>
      <c r="AL129" s="2118"/>
      <c r="AM129" s="2118"/>
      <c r="AN129" s="2118"/>
      <c r="AO129" s="2118"/>
      <c r="AP129" s="2118"/>
      <c r="AQ129" s="2118"/>
      <c r="AR129" s="2118"/>
      <c r="AS129" s="2118"/>
      <c r="AT129" s="2118"/>
      <c r="AU129" s="2118"/>
      <c r="AV129" s="2118"/>
      <c r="AW129" s="2118"/>
      <c r="AX129" s="2118"/>
      <c r="AY129" s="2118"/>
      <c r="AZ129" s="2118"/>
      <c r="BA129" s="2118"/>
      <c r="BB129" s="2118"/>
      <c r="BC129" s="2118"/>
      <c r="BD129" s="2118"/>
      <c r="BE129" s="2118"/>
      <c r="BF129" s="2118"/>
      <c r="BG129" s="1969">
        <v>10</v>
      </c>
    </row>
    <row customHeight="1" ht="10.5">
      <c r="E130" s="2118"/>
      <c r="F130" s="3618"/>
      <c r="G130" s="3618"/>
      <c r="H130" s="3618"/>
      <c r="I130" s="3618"/>
      <c r="J130" s="3618"/>
      <c r="K130" s="2122"/>
      <c r="L130" s="2338"/>
      <c r="M130" s="2338"/>
      <c r="N130" s="2124"/>
      <c r="O130" s="2124"/>
      <c r="P130" s="2124"/>
      <c r="Q130" s="2124"/>
      <c r="R130" s="2124"/>
      <c r="S130" s="2124"/>
      <c r="T130" s="2124"/>
      <c r="U130" s="2124"/>
      <c r="V130" s="2124"/>
      <c r="W130" s="2124"/>
      <c r="X130" s="2124"/>
      <c r="Y130" s="2124"/>
      <c r="Z130" s="2122"/>
      <c r="AA130" s="2122"/>
      <c r="AB130" s="2122"/>
      <c r="AC130" s="2122"/>
      <c r="AD130" s="2338"/>
      <c r="AE130" s="2122"/>
      <c r="AF130" s="2122"/>
      <c r="AG130" s="2122"/>
      <c r="AH130" s="2357"/>
      <c r="AI130" s="2350"/>
      <c r="AJ130" s="2122"/>
      <c r="AK130" s="2122"/>
      <c r="AL130" s="2118"/>
      <c r="AM130" s="2118"/>
      <c r="AN130" s="2118"/>
      <c r="AO130" s="2118"/>
      <c r="AP130" s="2118"/>
      <c r="AQ130" s="2118"/>
      <c r="AR130" s="2118"/>
      <c r="AS130" s="2118"/>
      <c r="AT130" s="2118"/>
      <c r="AU130" s="2118"/>
      <c r="AV130" s="2118"/>
      <c r="AW130" s="2118"/>
      <c r="AX130" s="2118"/>
      <c r="AY130" s="2118"/>
      <c r="AZ130" s="2118"/>
      <c r="BA130" s="2118"/>
      <c r="BB130" s="2118"/>
      <c r="BC130" s="2118"/>
      <c r="BD130" s="2118"/>
      <c r="BE130" s="2118"/>
      <c r="BF130" s="2118"/>
      <c r="BG130" s="1969">
        <v>10</v>
      </c>
    </row>
    <row customHeight="1" ht="10.5" hidden="1">
      <c r="A131" s="2106" t="s">
        <v>82</v>
      </c>
      <c r="B131" s="2106">
        <v>0</v>
      </c>
      <c r="C131" s="2106">
        <v>0</v>
      </c>
      <c r="D131" s="1628">
        <v>0</v>
      </c>
      <c r="E131" s="1720">
        <v>3</v>
      </c>
      <c r="F131" s="1969">
        <v>14</v>
      </c>
      <c r="G131" s="1969">
        <v>3</v>
      </c>
      <c r="H131" s="2366">
        <v>7</v>
      </c>
      <c r="I131" s="1969">
        <v>16</v>
      </c>
      <c r="J131" s="1969">
        <v>16</v>
      </c>
      <c r="K131" s="1969">
        <v>25</v>
      </c>
      <c r="L131" s="2336">
        <v>7</v>
      </c>
      <c r="M131" s="2336">
        <v>15</v>
      </c>
      <c r="N131" s="1969">
        <v>3</v>
      </c>
      <c r="O131" s="1969">
        <v>4</v>
      </c>
      <c r="P131" s="1969">
        <v>8</v>
      </c>
      <c r="Q131" s="1969">
        <v>21</v>
      </c>
      <c r="R131" s="1969">
        <v>14</v>
      </c>
      <c r="S131" s="1969">
        <v>17</v>
      </c>
      <c r="T131" s="1969">
        <v>17</v>
      </c>
      <c r="U131" s="1969">
        <v>9</v>
      </c>
      <c r="V131" s="1969">
        <v>12</v>
      </c>
      <c r="W131" s="1969">
        <v>9</v>
      </c>
      <c r="X131" s="1969">
        <v>21</v>
      </c>
      <c r="Y131" s="1969">
        <v>12</v>
      </c>
      <c r="Z131" s="1969">
        <v>3</v>
      </c>
      <c r="AA131" s="1969">
        <v>6</v>
      </c>
      <c r="AB131" s="1969">
        <v>38</v>
      </c>
      <c r="AC131" s="1969">
        <v>15</v>
      </c>
      <c r="AD131" s="2336">
        <v>0</v>
      </c>
      <c r="AE131" s="1969">
        <v>0</v>
      </c>
      <c r="AF131" s="1969">
        <v>16</v>
      </c>
      <c r="AG131" s="1969">
        <v>16</v>
      </c>
      <c r="AH131" s="2355">
        <v>16</v>
      </c>
      <c r="AI131" s="2348">
        <v>0</v>
      </c>
      <c r="AJ131" s="1969">
        <v>0</v>
      </c>
      <c r="AK131" s="1969">
        <v>0</v>
      </c>
      <c r="AL131" s="1969">
        <v>8</v>
      </c>
      <c r="AM131" s="1969">
        <v>8</v>
      </c>
      <c r="AN131" s="1969">
        <v>8</v>
      </c>
      <c r="AO131" s="1969">
        <v>8</v>
      </c>
      <c r="AP131" s="1969">
        <v>8</v>
      </c>
      <c r="AQ131" s="1969">
        <v>8</v>
      </c>
      <c r="AR131" s="1969">
        <v>8</v>
      </c>
      <c r="AS131" s="1969">
        <v>8</v>
      </c>
      <c r="AT131" s="1969">
        <v>8</v>
      </c>
      <c r="AU131" s="1969">
        <v>8</v>
      </c>
      <c r="AV131" s="1969">
        <v>8</v>
      </c>
      <c r="AW131" s="1969">
        <v>8</v>
      </c>
      <c r="AX131" s="1969">
        <v>8</v>
      </c>
      <c r="AY131" s="1969">
        <v>8</v>
      </c>
      <c r="AZ131" s="1969">
        <v>8</v>
      </c>
      <c r="BA131" s="1969">
        <v>8</v>
      </c>
      <c r="BB131" s="1969">
        <v>8</v>
      </c>
      <c r="BC131" s="1969">
        <v>8</v>
      </c>
      <c r="BD131" s="1969">
        <v>8</v>
      </c>
      <c r="BE131" s="1969">
        <v>8</v>
      </c>
      <c r="BF131" s="1969">
        <v>8</v>
      </c>
      <c r="BG131" s="1969">
        <v>10</v>
      </c>
    </row>
  </sheetData>
  <sheetProtection formatColumns="0" formatRows="0" autoFilter="0" sort="0" insertRows="0" insertColumns="1" deleteRows="0" deleteColumns="0"/>
  <mergeCells count="527">
    <mergeCell ref="AB9:AE10"/>
    <mergeCell ref="S11:Y11"/>
    <mergeCell ref="N10:Y10"/>
    <mergeCell ref="K9:Y9"/>
    <mergeCell ref="N11:O12"/>
    <mergeCell ref="P11:P12"/>
    <mergeCell ref="Q11:Q12"/>
    <mergeCell ref="F130:J130"/>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29:J129"/>
    <mergeCell ref="F128:J128"/>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P22:P24"/>
    <mergeCell ref="Q22:Q24"/>
    <mergeCell ref="R22:R24"/>
    <mergeCell ref="G21:G25"/>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P28:P30"/>
    <mergeCell ref="Q28:Q30"/>
    <mergeCell ref="R28:R30"/>
    <mergeCell ref="G27:G31"/>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P34:P36"/>
    <mergeCell ref="Q34:Q36"/>
    <mergeCell ref="R34:R36"/>
    <mergeCell ref="G33:G37"/>
    <mergeCell ref="AJ33:AJ37"/>
    <mergeCell ref="AK33:AK37"/>
    <mergeCell ref="I38:K38"/>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M33:M37"/>
    <mergeCell ref="N34:N36"/>
    <mergeCell ref="O34:O36"/>
    <mergeCell ref="P40:P42"/>
    <mergeCell ref="Q40:Q42"/>
    <mergeCell ref="R40:R42"/>
    <mergeCell ref="G39:G43"/>
    <mergeCell ref="AJ39:AJ43"/>
    <mergeCell ref="AK39:AK43"/>
    <mergeCell ref="I44:K44"/>
    <mergeCell ref="F39:F44"/>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P46:P48"/>
    <mergeCell ref="Q46:Q48"/>
    <mergeCell ref="R46:R48"/>
    <mergeCell ref="G45:G49"/>
    <mergeCell ref="AJ45:AJ49"/>
    <mergeCell ref="AK45:AK49"/>
    <mergeCell ref="I50:K50"/>
    <mergeCell ref="F45:F50"/>
    <mergeCell ref="AF45:AF49"/>
    <mergeCell ref="AG45:AG49"/>
    <mergeCell ref="AH45:AH49"/>
    <mergeCell ref="AI45:AI49"/>
    <mergeCell ref="S46:S48"/>
    <mergeCell ref="T46:T48"/>
    <mergeCell ref="U46:U48"/>
    <mergeCell ref="V46:V48"/>
    <mergeCell ref="W46:W48"/>
    <mergeCell ref="X46:X48"/>
    <mergeCell ref="Y46:Y48"/>
    <mergeCell ref="H45:H49"/>
    <mergeCell ref="I45:I49"/>
    <mergeCell ref="J45:J49"/>
    <mergeCell ref="K45:K49"/>
    <mergeCell ref="L45:L49"/>
    <mergeCell ref="M45:M49"/>
    <mergeCell ref="N46:N48"/>
    <mergeCell ref="O46:O48"/>
    <mergeCell ref="P52:P54"/>
    <mergeCell ref="Q52:Q54"/>
    <mergeCell ref="R52:R54"/>
    <mergeCell ref="G51:G55"/>
    <mergeCell ref="AJ51:AJ55"/>
    <mergeCell ref="AK51:AK55"/>
    <mergeCell ref="I56:K56"/>
    <mergeCell ref="F51:F56"/>
    <mergeCell ref="AF51:AF55"/>
    <mergeCell ref="AG51:AG55"/>
    <mergeCell ref="AH51:AH55"/>
    <mergeCell ref="AI51:AI55"/>
    <mergeCell ref="S52:S54"/>
    <mergeCell ref="T52:T54"/>
    <mergeCell ref="U52:U54"/>
    <mergeCell ref="V52:V54"/>
    <mergeCell ref="W52:W54"/>
    <mergeCell ref="X52:X54"/>
    <mergeCell ref="Y52:Y54"/>
    <mergeCell ref="H51:H55"/>
    <mergeCell ref="I51:I55"/>
    <mergeCell ref="J51:J55"/>
    <mergeCell ref="K51:K55"/>
    <mergeCell ref="L51:L55"/>
    <mergeCell ref="M51:M55"/>
    <mergeCell ref="N52:N54"/>
    <mergeCell ref="O52:O54"/>
    <mergeCell ref="P58:P60"/>
    <mergeCell ref="Q58:Q60"/>
    <mergeCell ref="R58:R60"/>
    <mergeCell ref="G57:G61"/>
    <mergeCell ref="AJ57:AJ61"/>
    <mergeCell ref="AK57:AK61"/>
    <mergeCell ref="I62:K62"/>
    <mergeCell ref="F57:F62"/>
    <mergeCell ref="AF57:AF61"/>
    <mergeCell ref="AG57:AG61"/>
    <mergeCell ref="AH57:AH61"/>
    <mergeCell ref="AI57:AI61"/>
    <mergeCell ref="S58:S60"/>
    <mergeCell ref="T58:T60"/>
    <mergeCell ref="U58:U60"/>
    <mergeCell ref="V58:V60"/>
    <mergeCell ref="W58:W60"/>
    <mergeCell ref="X58:X60"/>
    <mergeCell ref="Y58:Y60"/>
    <mergeCell ref="H57:H61"/>
    <mergeCell ref="I57:I61"/>
    <mergeCell ref="J57:J61"/>
    <mergeCell ref="K57:K61"/>
    <mergeCell ref="L57:L61"/>
    <mergeCell ref="M57:M61"/>
    <mergeCell ref="N58:N60"/>
    <mergeCell ref="O58:O60"/>
    <mergeCell ref="P64:P66"/>
    <mergeCell ref="Q64:Q66"/>
    <mergeCell ref="R64:R66"/>
    <mergeCell ref="G63:G67"/>
    <mergeCell ref="AJ63:AJ67"/>
    <mergeCell ref="AK63:AK67"/>
    <mergeCell ref="I68:K68"/>
    <mergeCell ref="F63:F68"/>
    <mergeCell ref="AF63:AF67"/>
    <mergeCell ref="AG63:AG67"/>
    <mergeCell ref="AH63:AH67"/>
    <mergeCell ref="AI63:AI67"/>
    <mergeCell ref="S64:S66"/>
    <mergeCell ref="T64:T66"/>
    <mergeCell ref="U64:U66"/>
    <mergeCell ref="V64:V66"/>
    <mergeCell ref="W64:W66"/>
    <mergeCell ref="X64:X66"/>
    <mergeCell ref="Y64:Y66"/>
    <mergeCell ref="H63:H67"/>
    <mergeCell ref="I63:I67"/>
    <mergeCell ref="J63:J67"/>
    <mergeCell ref="K63:K67"/>
    <mergeCell ref="L63:L67"/>
    <mergeCell ref="M63:M67"/>
    <mergeCell ref="N64:N66"/>
    <mergeCell ref="O64:O66"/>
    <mergeCell ref="P70:P72"/>
    <mergeCell ref="Q70:Q72"/>
    <mergeCell ref="R70:R72"/>
    <mergeCell ref="G69:G73"/>
    <mergeCell ref="AJ69:AJ73"/>
    <mergeCell ref="AK69:AK73"/>
    <mergeCell ref="I112:K112"/>
    <mergeCell ref="F69:F112"/>
    <mergeCell ref="AF69:AF73"/>
    <mergeCell ref="AG69:AG73"/>
    <mergeCell ref="AH69:AH73"/>
    <mergeCell ref="AI69:AI73"/>
    <mergeCell ref="S70:S72"/>
    <mergeCell ref="T70:T72"/>
    <mergeCell ref="U70:U72"/>
    <mergeCell ref="V70:V72"/>
    <mergeCell ref="W70:W72"/>
    <mergeCell ref="X70:X72"/>
    <mergeCell ref="Y70:Y72"/>
    <mergeCell ref="H69:H73"/>
    <mergeCell ref="I69:I73"/>
    <mergeCell ref="J69:J73"/>
    <mergeCell ref="K69:K73"/>
    <mergeCell ref="L69:L73"/>
    <mergeCell ref="M69:M73"/>
    <mergeCell ref="N70:N72"/>
    <mergeCell ref="O70:O72"/>
    <mergeCell ref="P114:P116"/>
    <mergeCell ref="Q114:Q116"/>
    <mergeCell ref="R114:R116"/>
    <mergeCell ref="G113:G117"/>
    <mergeCell ref="AJ113:AJ117"/>
    <mergeCell ref="AK113:AK117"/>
    <mergeCell ref="I118:K118"/>
    <mergeCell ref="F113:F118"/>
    <mergeCell ref="AF113:AF117"/>
    <mergeCell ref="AG113:AG117"/>
    <mergeCell ref="AH113:AH117"/>
    <mergeCell ref="AI113:AI117"/>
    <mergeCell ref="S114:S116"/>
    <mergeCell ref="T114:T116"/>
    <mergeCell ref="U114:U116"/>
    <mergeCell ref="V114:V116"/>
    <mergeCell ref="W114:W116"/>
    <mergeCell ref="X114:X116"/>
    <mergeCell ref="Y114:Y116"/>
    <mergeCell ref="H113:H117"/>
    <mergeCell ref="I113:I117"/>
    <mergeCell ref="J113:J117"/>
    <mergeCell ref="K113:K117"/>
    <mergeCell ref="L113:L117"/>
    <mergeCell ref="M113:M117"/>
    <mergeCell ref="N114:N116"/>
    <mergeCell ref="O114:O116"/>
    <mergeCell ref="P120:P122"/>
    <mergeCell ref="Q120:Q122"/>
    <mergeCell ref="R120:R122"/>
    <mergeCell ref="G119:G123"/>
    <mergeCell ref="AJ119:AJ123"/>
    <mergeCell ref="AK119:AK123"/>
    <mergeCell ref="I124:K124"/>
    <mergeCell ref="F119:F124"/>
    <mergeCell ref="AF119:AF123"/>
    <mergeCell ref="AG119:AG123"/>
    <mergeCell ref="AH119:AH123"/>
    <mergeCell ref="AI119:AI123"/>
    <mergeCell ref="S120:S122"/>
    <mergeCell ref="T120:T122"/>
    <mergeCell ref="U120:U122"/>
    <mergeCell ref="V120:V122"/>
    <mergeCell ref="W120:W122"/>
    <mergeCell ref="X120:X122"/>
    <mergeCell ref="Y120:Y122"/>
    <mergeCell ref="H119:H123"/>
    <mergeCell ref="I119:I123"/>
    <mergeCell ref="J119:J123"/>
    <mergeCell ref="K119:K123"/>
    <mergeCell ref="L119:L123"/>
    <mergeCell ref="M119:M123"/>
    <mergeCell ref="N120:N122"/>
    <mergeCell ref="O120:O122"/>
    <mergeCell ref="H74:H78"/>
    <mergeCell ref="I74:I78"/>
    <mergeCell ref="J74:J78"/>
    <mergeCell ref="K74:K78"/>
    <mergeCell ref="L74:L78"/>
    <mergeCell ref="M74:M78"/>
    <mergeCell ref="AF74:AF78"/>
    <mergeCell ref="AG74:AG78"/>
    <mergeCell ref="AH74:AH78"/>
    <mergeCell ref="AI74:AI78"/>
    <mergeCell ref="AJ74:AJ78"/>
    <mergeCell ref="AK74:AK78"/>
    <mergeCell ref="N75:N77"/>
    <mergeCell ref="O75:O77"/>
    <mergeCell ref="P75:P77"/>
    <mergeCell ref="Q75:Q77"/>
    <mergeCell ref="R75:R77"/>
    <mergeCell ref="S75:S77"/>
    <mergeCell ref="T75:T77"/>
    <mergeCell ref="U75:U77"/>
    <mergeCell ref="V75:V77"/>
    <mergeCell ref="W75:W77"/>
    <mergeCell ref="X75:X77"/>
    <mergeCell ref="Y75:Y77"/>
    <mergeCell ref="G74:G78"/>
    <mergeCell ref="H79:H84"/>
    <mergeCell ref="I79:I84"/>
    <mergeCell ref="J79:J84"/>
    <mergeCell ref="K79:K84"/>
    <mergeCell ref="L79:L84"/>
    <mergeCell ref="M79:M84"/>
    <mergeCell ref="AF79:AF84"/>
    <mergeCell ref="AG79:AG84"/>
    <mergeCell ref="AH79:AH84"/>
    <mergeCell ref="AI79:AI84"/>
    <mergeCell ref="AJ79:AJ84"/>
    <mergeCell ref="AK79:AK84"/>
    <mergeCell ref="N80:N83"/>
    <mergeCell ref="O80:O83"/>
    <mergeCell ref="P80:P83"/>
    <mergeCell ref="Q80:Q83"/>
    <mergeCell ref="R80:R83"/>
    <mergeCell ref="S80:S83"/>
    <mergeCell ref="T80:T83"/>
    <mergeCell ref="U80:U83"/>
    <mergeCell ref="V80:V83"/>
    <mergeCell ref="W80:W83"/>
    <mergeCell ref="X80:X83"/>
    <mergeCell ref="Y80:Y83"/>
    <mergeCell ref="G79:G84"/>
    <mergeCell ref="H85:H89"/>
    <mergeCell ref="I85:I89"/>
    <mergeCell ref="J85:J89"/>
    <mergeCell ref="K85:K89"/>
    <mergeCell ref="L85:L89"/>
    <mergeCell ref="M85:M89"/>
    <mergeCell ref="AF85:AF89"/>
    <mergeCell ref="AG85:AG89"/>
    <mergeCell ref="AH85:AH89"/>
    <mergeCell ref="AI85:AI89"/>
    <mergeCell ref="AJ85:AJ89"/>
    <mergeCell ref="AK85:AK89"/>
    <mergeCell ref="N86:N88"/>
    <mergeCell ref="O86:O88"/>
    <mergeCell ref="P86:P88"/>
    <mergeCell ref="Q86:Q88"/>
    <mergeCell ref="R86:R88"/>
    <mergeCell ref="S86:S88"/>
    <mergeCell ref="T86:T88"/>
    <mergeCell ref="U86:U88"/>
    <mergeCell ref="V86:V88"/>
    <mergeCell ref="W86:W88"/>
    <mergeCell ref="X86:X88"/>
    <mergeCell ref="Y86:Y88"/>
    <mergeCell ref="G85:G89"/>
    <mergeCell ref="H90:H95"/>
    <mergeCell ref="I90:I95"/>
    <mergeCell ref="J90:J95"/>
    <mergeCell ref="K90:K95"/>
    <mergeCell ref="L90:L95"/>
    <mergeCell ref="M90:M95"/>
    <mergeCell ref="AF90:AF95"/>
    <mergeCell ref="AG90:AG95"/>
    <mergeCell ref="AH90:AH95"/>
    <mergeCell ref="AI90:AI95"/>
    <mergeCell ref="AJ90:AJ95"/>
    <mergeCell ref="AK90:AK95"/>
    <mergeCell ref="N91:N94"/>
    <mergeCell ref="O91:O94"/>
    <mergeCell ref="P91:P94"/>
    <mergeCell ref="Q91:Q94"/>
    <mergeCell ref="R91:R94"/>
    <mergeCell ref="S91:S94"/>
    <mergeCell ref="T91:T94"/>
    <mergeCell ref="U91:U94"/>
    <mergeCell ref="V91:V94"/>
    <mergeCell ref="W91:W94"/>
    <mergeCell ref="X91:X94"/>
    <mergeCell ref="Y91:Y94"/>
    <mergeCell ref="G90:G95"/>
    <mergeCell ref="H96:H101"/>
    <mergeCell ref="I96:I101"/>
    <mergeCell ref="J96:J101"/>
    <mergeCell ref="K96:K101"/>
    <mergeCell ref="L96:L101"/>
    <mergeCell ref="M96:M101"/>
    <mergeCell ref="AF96:AF101"/>
    <mergeCell ref="AG96:AG101"/>
    <mergeCell ref="AH96:AH101"/>
    <mergeCell ref="AI96:AI101"/>
    <mergeCell ref="AJ96:AJ101"/>
    <mergeCell ref="AK96:AK101"/>
    <mergeCell ref="N97:N100"/>
    <mergeCell ref="O97:O100"/>
    <mergeCell ref="P97:P100"/>
    <mergeCell ref="Q97:Q100"/>
    <mergeCell ref="R97:R100"/>
    <mergeCell ref="S97:S100"/>
    <mergeCell ref="T97:T100"/>
    <mergeCell ref="U97:U100"/>
    <mergeCell ref="V97:V100"/>
    <mergeCell ref="W97:W100"/>
    <mergeCell ref="X97:X100"/>
    <mergeCell ref="Y97:Y100"/>
    <mergeCell ref="G96:G101"/>
    <mergeCell ref="H102:H106"/>
    <mergeCell ref="I102:I106"/>
    <mergeCell ref="J102:J106"/>
    <mergeCell ref="K102:K106"/>
    <mergeCell ref="L102:L106"/>
    <mergeCell ref="M102:M106"/>
    <mergeCell ref="AF102:AF106"/>
    <mergeCell ref="AG102:AG106"/>
    <mergeCell ref="AH102:AH106"/>
    <mergeCell ref="AI102:AI106"/>
    <mergeCell ref="AJ102:AJ106"/>
    <mergeCell ref="AK102:AK106"/>
    <mergeCell ref="N103:N105"/>
    <mergeCell ref="O103:O105"/>
    <mergeCell ref="P103:P105"/>
    <mergeCell ref="Q103:Q105"/>
    <mergeCell ref="R103:R105"/>
    <mergeCell ref="S103:S105"/>
    <mergeCell ref="T103:T105"/>
    <mergeCell ref="U103:U105"/>
    <mergeCell ref="V103:V105"/>
    <mergeCell ref="W103:W105"/>
    <mergeCell ref="X103:X105"/>
    <mergeCell ref="Y103:Y105"/>
    <mergeCell ref="G102:G106"/>
    <mergeCell ref="H107:H111"/>
    <mergeCell ref="I107:I111"/>
    <mergeCell ref="J107:J111"/>
    <mergeCell ref="K107:K111"/>
    <mergeCell ref="L107:L111"/>
    <mergeCell ref="M107:M111"/>
    <mergeCell ref="AF107:AF111"/>
    <mergeCell ref="AG107:AG111"/>
    <mergeCell ref="AH107:AH111"/>
    <mergeCell ref="AI107:AI111"/>
    <mergeCell ref="AJ107:AJ111"/>
    <mergeCell ref="AK107:AK111"/>
    <mergeCell ref="N108:N110"/>
    <mergeCell ref="O108:O110"/>
    <mergeCell ref="P108:P110"/>
    <mergeCell ref="Q108:Q110"/>
    <mergeCell ref="R108:R110"/>
    <mergeCell ref="S108:S110"/>
    <mergeCell ref="T108:T110"/>
    <mergeCell ref="U108:U110"/>
    <mergeCell ref="V108:V110"/>
    <mergeCell ref="W108:W110"/>
    <mergeCell ref="X108:X110"/>
    <mergeCell ref="Y108:Y110"/>
    <mergeCell ref="G107:G111"/>
  </mergeCells>
  <dataValidations count="496">
    <dataValidation type="whole" allowBlank="1" showErrorMessage="1" errorTitle="Ошибка" error="Допускается ввод только неотрицательных целых чисел!" sqref="AI111">
      <formula1>0</formula1>
      <formula2>9.99999999999999E+23</formula2>
    </dataValidation>
    <dataValidation type="whole" allowBlank="1" showErrorMessage="1" errorTitle="Ошибка" error="Допускается ввод только неотрицательных целых чисел!" sqref="AF111">
      <formula1>0</formula1>
      <formula2>9.99999999999999E+23</formula2>
    </dataValidation>
    <dataValidation type="whole" allowBlank="1" showErrorMessage="1" errorTitle="Ошибка" error="Допускается ввод только неотрицательных целых чисел!" sqref="AI110">
      <formula1>0</formula1>
      <formula2>9.99999999999999E+23</formula2>
    </dataValidation>
    <dataValidation type="whole" allowBlank="1" showErrorMessage="1" errorTitle="Ошибка" error="Допускается ввод только неотрицательных целых чисел!" sqref="AF110">
      <formula1>0</formula1>
      <formula2>9.99999999999999E+23</formula2>
    </dataValidation>
    <dataValidation type="textLength" operator="lessThanOrEqual" allowBlank="1" showInputMessage="1" showErrorMessage="1" errorTitle="Ошибка" error="Допускается ввод не более 900 символов!" sqref="K1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0">
      <formula1>"a"</formula1>
    </dataValidation>
    <dataValidation type="whole" allowBlank="1" showErrorMessage="1" errorTitle="Ошибка" error="Допускается ввод только неотрицательных целых чисел!" sqref="AI109">
      <formula1>0</formula1>
      <formula2>9.99999999999999E+23</formula2>
    </dataValidation>
    <dataValidation type="whole" allowBlank="1" showErrorMessage="1" errorTitle="Ошибка" error="Допускается ввод только неотрицательных целых чисел!" sqref="AF109">
      <formula1>0</formula1>
      <formula2>9.99999999999999E+23</formula2>
    </dataValidation>
    <dataValidation type="decimal" allowBlank="1" showErrorMessage="1" errorTitle="Ошибка" error="Допускается ввод только неотрицательных чисел!" sqref="AE109">
      <formula1>0</formula1>
      <formula2>9.99999999999999E+23</formula2>
    </dataValidation>
    <dataValidation type="decimal" allowBlank="1" showErrorMessage="1" errorTitle="Ошибка" error="Допускается ввод только неотрицательных чисел!" sqref="AC109">
      <formula1>0</formula1>
      <formula2>9.99999999999999E+23</formula2>
    </dataValidation>
    <dataValidation type="textLength" operator="lessThanOrEqual" allowBlank="1" showInputMessage="1" showErrorMessage="1" errorTitle="Ошибка" error="Допускается ввод не более 900 символов!" sqref="K1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9">
      <formula1>"a"</formula1>
    </dataValidation>
    <dataValidation type="whole" allowBlank="1" showErrorMessage="1" errorTitle="Ошибка" error="Допускается ввод только неотрицательных целых чисел!" sqref="AI108">
      <formula1>0</formula1>
      <formula2>9.99999999999999E+23</formula2>
    </dataValidation>
    <dataValidation type="whole" allowBlank="1" showErrorMessage="1" errorTitle="Ошибка" error="Допускается ввод только неотрицательных целых чисел!" sqref="AF108">
      <formula1>0</formula1>
      <formula2>9.99999999999999E+23</formula2>
    </dataValidation>
    <dataValidation type="textLength" operator="lessThanOrEqual" allowBlank="1" showInputMessage="1" showErrorMessage="1" errorTitle="Ошибка" error="Допускается ввод не более 900 символов!" sqref="K1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8">
      <formula1>"a"</formula1>
    </dataValidation>
    <dataValidation type="whole" allowBlank="1" showErrorMessage="1" errorTitle="Ошибка" error="Допускается ввод только неотрицательных целых чисел!" sqref="AI107">
      <formula1>0</formula1>
      <formula2>9.99999999999999E+23</formula2>
    </dataValidation>
    <dataValidation type="whole" allowBlank="1" showErrorMessage="1" errorTitle="Ошибка" error="Допускается ввод только неотрицательных целых чисел!" sqref="AF107">
      <formula1>0</formula1>
      <formula2>9.99999999999999E+23</formula2>
    </dataValidation>
    <dataValidation type="textLength" operator="lessThanOrEqual" allowBlank="1" showInputMessage="1" showErrorMessage="1" errorTitle="Ошибка" error="Допускается ввод не более 900 символов!" sqref="M107">
      <formula1>900</formula1>
    </dataValidation>
    <dataValidation type="textLength" operator="lessThanOrEqual" allowBlank="1" showInputMessage="1" showErrorMessage="1" errorTitle="Ошибка" error="Допускается ввод не более 900 символов!" sqref="K1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7">
      <formula1>"a"</formula1>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decimal" allowBlank="1" showErrorMessage="1" errorTitle="Ошибка" error="Допускается ввод только неотрицательных чисел!" sqref="AE82">
      <formula1>0</formula1>
      <formula2>9.99999999999999E+23</formula2>
    </dataValidation>
    <dataValidation type="decimal" allowBlank="1" showErrorMessage="1" errorTitle="Ошибка" error="Допускается ввод только неотрицательных чисел!" sqref="AC82">
      <formula1>0</formula1>
      <formula2>9.99999999999999E+23</formula2>
    </dataValidation>
    <dataValidation type="textLength" operator="lessThanOrEqual" allowBlank="1" showInputMessage="1" showErrorMessage="1" errorTitle="Ошибка" error="Допускается ввод не более 900 символов!" sqref="K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textLength" operator="lessThanOrEqual" allowBlank="1" showInputMessage="1" showErrorMessage="1" errorTitle="Ошибка" error="Допускается ввод не более 900 символов!" sqref="K24">
      <formula1>900</formula1>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textLength" operator="lessThanOrEqual" allowBlank="1" showInputMessage="1" showErrorMessage="1" errorTitle="Ошибка" error="Допускается ввод не более 900 символов!" sqref="M45">
      <formula1>900</formula1>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textLength" operator="lessThanOrEqual" allowBlank="1" showInputMessage="1" showErrorMessage="1" errorTitle="Ошибка" error="Допускается ввод не более 900 символов!" sqref="K47">
      <formula1>900</formula1>
    </dataValidation>
    <dataValidation type="decimal" allowBlank="1" showErrorMessage="1" errorTitle="Ошибка" error="Допускается ввод только неотрицательных чисел!" sqref="AC47">
      <formula1>0</formula1>
      <formula2>9.99999999999999E+23</formula2>
    </dataValidation>
    <dataValidation type="decimal" allowBlank="1" showErrorMessage="1" errorTitle="Ошибка" error="Допускается ввод только неотрицательных чисел!" sqref="AE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textLength" operator="lessThanOrEqual" allowBlank="1" showInputMessage="1" showErrorMessage="1" errorTitle="Ошибка" error="Допускается ввод не более 900 символов!" sqref="K48">
      <formula1>900</formula1>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textLength" operator="lessThanOrEqual" allowBlank="1" showInputMessage="1" showErrorMessage="1" errorTitle="Ошибка" error="Допускается ввод не более 900 символов!" sqref="M51">
      <formula1>900</formula1>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textLength" operator="lessThanOrEqual" allowBlank="1" showInputMessage="1" showErrorMessage="1" errorTitle="Ошибка" error="Допускается ввод не более 900 символов!" sqref="K53">
      <formula1>900</formula1>
    </dataValidation>
    <dataValidation type="decimal" allowBlank="1" showErrorMessage="1" errorTitle="Ошибка" error="Допускается ввод только неотрицательных чисел!" sqref="AC53">
      <formula1>0</formula1>
      <formula2>9.99999999999999E+23</formula2>
    </dataValidation>
    <dataValidation type="decimal" allowBlank="1" showErrorMessage="1" errorTitle="Ошибка" error="Допускается ввод только неотрицательных чисел!" sqref="AE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textLength" operator="lessThanOrEqual" allowBlank="1" showInputMessage="1" showErrorMessage="1" errorTitle="Ошибка" error="Допускается ввод не более 900 символов!" sqref="K54">
      <formula1>900</formula1>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textLength" operator="lessThanOrEqual" allowBlank="1" showInputMessage="1" showErrorMessage="1" errorTitle="Ошибка" error="Допускается ввод не более 900 символов!" sqref="M57">
      <formula1>900</formula1>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textLength" operator="lessThanOrEqual" allowBlank="1" showInputMessage="1" showErrorMessage="1" errorTitle="Ошибка" error="Допускается ввод не более 900 символов!" sqref="K58">
      <formula1>900</formula1>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textLength" operator="lessThanOrEqual" allowBlank="1" showInputMessage="1" showErrorMessage="1" errorTitle="Ошибка" error="Допускается ввод не более 900 символов!" sqref="K59">
      <formula1>900</formula1>
    </dataValidation>
    <dataValidation type="decimal" allowBlank="1" showErrorMessage="1" errorTitle="Ошибка" error="Допускается ввод только неотрицательных чисел!" sqref="AC59">
      <formula1>0</formula1>
      <formula2>9.99999999999999E+23</formula2>
    </dataValidation>
    <dataValidation type="decimal" allowBlank="1" showErrorMessage="1" errorTitle="Ошибка" error="Допускается ввод только неотрицательных чисел!" sqref="AE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textLength" operator="lessThanOrEqual" allowBlank="1" showInputMessage="1" showErrorMessage="1" errorTitle="Ошибка" error="Допускается ввод не более 900 символов!" sqref="K60">
      <formula1>900</formula1>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textLength" operator="lessThanOrEqual" allowBlank="1" showInputMessage="1" showErrorMessage="1" errorTitle="Ошибка" error="Допускается ввод не более 900 символов!" sqref="K63">
      <formula1>900</formula1>
    </dataValidation>
    <dataValidation type="textLength" operator="lessThanOrEqual" allowBlank="1" showInputMessage="1" showErrorMessage="1" errorTitle="Ошибка" error="Допускается ввод не более 900 символов!" sqref="M63">
      <formula1>900</formula1>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textLength" operator="lessThanOrEqual" allowBlank="1" showInputMessage="1" showErrorMessage="1" errorTitle="Ошибка" error="Допускается ввод не более 900 символов!" sqref="K64">
      <formula1>900</formula1>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textLength" operator="lessThanOrEqual" allowBlank="1" showInputMessage="1" showErrorMessage="1" errorTitle="Ошибка" error="Допускается ввод не более 900 символов!" sqref="K65">
      <formula1>900</formula1>
    </dataValidation>
    <dataValidation type="decimal" allowBlank="1" showErrorMessage="1" errorTitle="Ошибка" error="Допускается ввод только неотрицательных чисел!" sqref="AC65">
      <formula1>0</formula1>
      <formula2>9.99999999999999E+23</formula2>
    </dataValidation>
    <dataValidation type="decimal" allowBlank="1" showErrorMessage="1" errorTitle="Ошибка" error="Допускается ввод только неотрицательных чисел!" sqref="AE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textLength" operator="lessThanOrEqual" allowBlank="1" showInputMessage="1" showErrorMessage="1" errorTitle="Ошибка" error="Допускается ввод не более 900 символов!" sqref="K66">
      <formula1>900</formula1>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textLength" operator="lessThanOrEqual" allowBlank="1" showInputMessage="1" showErrorMessage="1" errorTitle="Ошибка" error="Допускается ввод не более 900 символов!" sqref="M69">
      <formula1>900</formula1>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textLength" operator="lessThanOrEqual" allowBlank="1" showInputMessage="1" showErrorMessage="1" errorTitle="Ошибка" error="Допускается ввод не более 900 символов!" sqref="K70">
      <formula1>900</formula1>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1">
      <formula1>"a"</formula1>
    </dataValidation>
    <dataValidation type="textLength" operator="lessThanOrEqual" allowBlank="1" showInputMessage="1" showErrorMessage="1" errorTitle="Ошибка" error="Допускается ввод не более 900 символов!" sqref="K71">
      <formula1>900</formula1>
    </dataValidation>
    <dataValidation type="decimal" allowBlank="1" showErrorMessage="1" errorTitle="Ошибка" error="Допускается ввод только неотрицательных чисел!" sqref="AC71">
      <formula1>0</formula1>
      <formula2>9.99999999999999E+23</formula2>
    </dataValidation>
    <dataValidation type="decimal" allowBlank="1" showErrorMessage="1" errorTitle="Ошибка" error="Допускается ввод только неотрицательных чисел!" sqref="AE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3">
      <formula1>"a"</formula1>
    </dataValidation>
    <dataValidation type="textLength" operator="lessThanOrEqual" allowBlank="1" showInputMessage="1" showErrorMessage="1" errorTitle="Ошибка" error="Допускается ввод не более 900 символов!" sqref="K113">
      <formula1>900</formula1>
    </dataValidation>
    <dataValidation type="textLength" operator="lessThanOrEqual" allowBlank="1" showInputMessage="1" showErrorMessage="1" errorTitle="Ошибка" error="Допускается ввод не более 900 символов!" sqref="M113">
      <formula1>900</formula1>
    </dataValidation>
    <dataValidation type="whole" allowBlank="1" showErrorMessage="1" errorTitle="Ошибка" error="Допускается ввод только неотрицательных целых чисел!" sqref="AF113">
      <formula1>0</formula1>
      <formula2>9.99999999999999E+23</formula2>
    </dataValidation>
    <dataValidation type="whole" allowBlank="1" showErrorMessage="1" errorTitle="Ошибка" error="Допускается ввод только неотрицательных целых чисел!" sqref="AI11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4">
      <formula1>"a"</formula1>
    </dataValidation>
    <dataValidation type="textLength" operator="lessThanOrEqual" allowBlank="1" showInputMessage="1" showErrorMessage="1" errorTitle="Ошибка" error="Допускается ввод не более 900 символов!" sqref="K114">
      <formula1>900</formula1>
    </dataValidation>
    <dataValidation type="whole" allowBlank="1" showErrorMessage="1" errorTitle="Ошибка" error="Допускается ввод только неотрицательных целых чисел!" sqref="AF114">
      <formula1>0</formula1>
      <formula2>9.99999999999999E+23</formula2>
    </dataValidation>
    <dataValidation type="whole" allowBlank="1" showErrorMessage="1" errorTitle="Ошибка" error="Допускается ввод только неотрицательных целых чисел!" sqref="AI11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5">
      <formula1>"a"</formula1>
    </dataValidation>
    <dataValidation type="textLength" operator="lessThanOrEqual" allowBlank="1" showInputMessage="1" showErrorMessage="1" errorTitle="Ошибка" error="Допускается ввод не более 900 символов!" sqref="K115">
      <formula1>900</formula1>
    </dataValidation>
    <dataValidation type="decimal" allowBlank="1" showErrorMessage="1" errorTitle="Ошибка" error="Допускается ввод только неотрицательных чисел!" sqref="AC115">
      <formula1>0</formula1>
      <formula2>9.99999999999999E+23</formula2>
    </dataValidation>
    <dataValidation type="decimal" allowBlank="1" showErrorMessage="1" errorTitle="Ошибка" error="Допускается ввод только неотрицательных чисел!" sqref="AE115">
      <formula1>0</formula1>
      <formula2>9.99999999999999E+23</formula2>
    </dataValidation>
    <dataValidation type="whole" allowBlank="1" showErrorMessage="1" errorTitle="Ошибка" error="Допускается ввод только неотрицательных целых чисел!" sqref="AF115">
      <formula1>0</formula1>
      <formula2>9.99999999999999E+23</formula2>
    </dataValidation>
    <dataValidation type="whole" allowBlank="1" showErrorMessage="1" errorTitle="Ошибка" error="Допускается ввод только неотрицательных целых чисел!" sqref="AI1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6">
      <formula1>"a"</formula1>
    </dataValidation>
    <dataValidation type="textLength" operator="lessThanOrEqual" allowBlank="1" showInputMessage="1" showErrorMessage="1" errorTitle="Ошибка" error="Допускается ввод не более 900 символов!" sqref="K116">
      <formula1>900</formula1>
    </dataValidation>
    <dataValidation type="whole" allowBlank="1" showErrorMessage="1" errorTitle="Ошибка" error="Допускается ввод только неотрицательных целых чисел!" sqref="AF116">
      <formula1>0</formula1>
      <formula2>9.99999999999999E+23</formula2>
    </dataValidation>
    <dataValidation type="whole" allowBlank="1" showErrorMessage="1" errorTitle="Ошибка" error="Допускается ввод только неотрицательных целых чисел!" sqref="AI116">
      <formula1>0</formula1>
      <formula2>9.99999999999999E+23</formula2>
    </dataValidation>
    <dataValidation type="whole" allowBlank="1" showErrorMessage="1" errorTitle="Ошибка" error="Допускается ввод только неотрицательных целых чисел!" sqref="AF117">
      <formula1>0</formula1>
      <formula2>9.99999999999999E+23</formula2>
    </dataValidation>
    <dataValidation type="whole" allowBlank="1" showErrorMessage="1" errorTitle="Ошибка" error="Допускается ввод только неотрицательных целых чисел!" sqref="AI1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9">
      <formula1>"a"</formula1>
    </dataValidation>
    <dataValidation type="textLength" operator="lessThanOrEqual" allowBlank="1" showInputMessage="1" showErrorMessage="1" errorTitle="Ошибка" error="Допускается ввод не более 900 символов!" sqref="K119">
      <formula1>900</formula1>
    </dataValidation>
    <dataValidation type="textLength" operator="lessThanOrEqual" allowBlank="1" showInputMessage="1" showErrorMessage="1" errorTitle="Ошибка" error="Допускается ввод не более 900 символов!" sqref="M119">
      <formula1>900</formula1>
    </dataValidation>
    <dataValidation type="whole" allowBlank="1" showErrorMessage="1" errorTitle="Ошибка" error="Допускается ввод только неотрицательных целых чисел!" sqref="AF119">
      <formula1>0</formula1>
      <formula2>9.99999999999999E+23</formula2>
    </dataValidation>
    <dataValidation type="whole" allowBlank="1" showErrorMessage="1" errorTitle="Ошибка" error="Допускается ввод только неотрицательных целых чисел!" sqref="AI1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0">
      <formula1>"a"</formula1>
    </dataValidation>
    <dataValidation type="textLength" operator="lessThanOrEqual" allowBlank="1" showInputMessage="1" showErrorMessage="1" errorTitle="Ошибка" error="Допускается ввод не более 900 символов!" sqref="K120">
      <formula1>900</formula1>
    </dataValidation>
    <dataValidation type="whole" allowBlank="1" showErrorMessage="1" errorTitle="Ошибка" error="Допускается ввод только неотрицательных целых чисел!" sqref="AF120">
      <formula1>0</formula1>
      <formula2>9.99999999999999E+23</formula2>
    </dataValidation>
    <dataValidation type="whole" allowBlank="1" showErrorMessage="1" errorTitle="Ошибка" error="Допускается ввод только неотрицательных целых чисел!" sqref="AI12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1">
      <formula1>"a"</formula1>
    </dataValidation>
    <dataValidation type="textLength" operator="lessThanOrEqual" allowBlank="1" showInputMessage="1" showErrorMessage="1" errorTitle="Ошибка" error="Допускается ввод не более 900 символов!" sqref="K121">
      <formula1>900</formula1>
    </dataValidation>
    <dataValidation type="decimal" allowBlank="1" showErrorMessage="1" errorTitle="Ошибка" error="Допускается ввод только неотрицательных чисел!" sqref="AC121">
      <formula1>0</formula1>
      <formula2>9.99999999999999E+23</formula2>
    </dataValidation>
    <dataValidation type="decimal" allowBlank="1" showErrorMessage="1" errorTitle="Ошибка" error="Допускается ввод только неотрицательных чисел!" sqref="AE121">
      <formula1>0</formula1>
      <formula2>9.99999999999999E+23</formula2>
    </dataValidation>
    <dataValidation type="whole" allowBlank="1" showErrorMessage="1" errorTitle="Ошибка" error="Допускается ввод только неотрицательных целых чисел!" sqref="AF121">
      <formula1>0</formula1>
      <formula2>9.99999999999999E+23</formula2>
    </dataValidation>
    <dataValidation type="whole" allowBlank="1" showErrorMessage="1" errorTitle="Ошибка" error="Допускается ввод только неотрицательных целых чисел!" sqref="AI1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2">
      <formula1>"a"</formula1>
    </dataValidation>
    <dataValidation type="textLength" operator="lessThanOrEqual" allowBlank="1" showInputMessage="1" showErrorMessage="1" errorTitle="Ошибка" error="Допускается ввод не более 900 символов!" sqref="K122">
      <formula1>900</formula1>
    </dataValidation>
    <dataValidation type="whole" allowBlank="1" showErrorMessage="1" errorTitle="Ошибка" error="Допускается ввод только неотрицательных целых чисел!" sqref="AF122">
      <formula1>0</formula1>
      <formula2>9.99999999999999E+23</formula2>
    </dataValidation>
    <dataValidation type="whole" allowBlank="1" showErrorMessage="1" errorTitle="Ошибка" error="Допускается ввод только неотрицательных целых чисел!" sqref="AI122">
      <formula1>0</formula1>
      <formula2>9.99999999999999E+23</formula2>
    </dataValidation>
    <dataValidation type="whole" allowBlank="1" showErrorMessage="1" errorTitle="Ошибка" error="Допускается ввод только неотрицательных целых чисел!" sqref="AF123">
      <formula1>0</formula1>
      <formula2>9.99999999999999E+23</formula2>
    </dataValidation>
    <dataValidation type="whole" allowBlank="1" showErrorMessage="1" errorTitle="Ошибка" error="Допускается ввод только неотрицательных целых чисел!" sqref="AI1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textLength" operator="lessThanOrEqual" allowBlank="1" showInputMessage="1" showErrorMessage="1" errorTitle="Ошибка" error="Допускается ввод не более 900 символов!" sqref="K74">
      <formula1>900</formula1>
    </dataValidation>
    <dataValidation type="textLength" operator="lessThanOrEqual" allowBlank="1" showInputMessage="1" showErrorMessage="1" errorTitle="Ошибка" error="Допускается ввод не более 900 символов!" sqref="M74">
      <formula1>900</formula1>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textLength" operator="lessThanOrEqual" allowBlank="1" showInputMessage="1" showErrorMessage="1" errorTitle="Ошибка" error="Допускается ввод не более 900 символов!" sqref="K76">
      <formula1>900</formula1>
    </dataValidation>
    <dataValidation type="decimal" allowBlank="1" showErrorMessage="1" errorTitle="Ошибка" error="Допускается ввод только неотрицательных чисел!" sqref="AC76">
      <formula1>0</formula1>
      <formula2>9.99999999999999E+23</formula2>
    </dataValidation>
    <dataValidation type="decimal" allowBlank="1" showErrorMessage="1" errorTitle="Ошибка" error="Допускается ввод только неотрицательных чисел!" sqref="AE76">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textLength" operator="lessThanOrEqual" allowBlank="1" showInputMessage="1" showErrorMessage="1" errorTitle="Ошибка" error="Допускается ввод не более 900 символов!" sqref="K77">
      <formula1>900</formula1>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9">
      <formula1>"a"</formula1>
    </dataValidation>
    <dataValidation type="textLength" operator="lessThanOrEqual" allowBlank="1" showInputMessage="1" showErrorMessage="1" errorTitle="Ошибка" error="Допускается ввод не более 900 символов!" sqref="K79">
      <formula1>900</formula1>
    </dataValidation>
    <dataValidation type="textLength" operator="lessThanOrEqual" allowBlank="1" showInputMessage="1" showErrorMessage="1" errorTitle="Ошибка" error="Допускается ввод не более 900 символов!" sqref="M79">
      <formula1>900</formula1>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textLength" operator="lessThanOrEqual" allowBlank="1" showInputMessage="1" showErrorMessage="1" errorTitle="Ошибка" error="Допускается ввод не более 900 символов!" sqref="K80">
      <formula1>900</formula1>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textLength" operator="lessThanOrEqual" allowBlank="1" showInputMessage="1" showErrorMessage="1" errorTitle="Ошибка" error="Допускается ввод не более 900 символов!" sqref="K81">
      <formula1>900</formula1>
    </dataValidation>
    <dataValidation type="decimal" allowBlank="1" showErrorMessage="1" errorTitle="Ошибка" error="Допускается ввод только неотрицательных чисел!" sqref="AC81">
      <formula1>0</formula1>
      <formula2>9.99999999999999E+23</formula2>
    </dataValidation>
    <dataValidation type="decimal" allowBlank="1" showErrorMessage="1" errorTitle="Ошибка" error="Допускается ввод только неотрицательных чисел!" sqref="AE81">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3">
      <formula1>"a"</formula1>
    </dataValidation>
    <dataValidation type="textLength" operator="lessThanOrEqual" allowBlank="1" showInputMessage="1" showErrorMessage="1" errorTitle="Ошибка" error="Допускается ввод не более 900 символов!" sqref="K83">
      <formula1>900</formula1>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5">
      <formula1>"a"</formula1>
    </dataValidation>
    <dataValidation type="textLength" operator="lessThanOrEqual" allowBlank="1" showInputMessage="1" showErrorMessage="1" errorTitle="Ошибка" error="Допускается ввод не более 900 символов!" sqref="K85">
      <formula1>900</formula1>
    </dataValidation>
    <dataValidation type="textLength" operator="lessThanOrEqual" allowBlank="1" showInputMessage="1" showErrorMessage="1" errorTitle="Ошибка" error="Допускается ввод не более 900 символов!" sqref="M85">
      <formula1>900</formula1>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6">
      <formula1>"a"</formula1>
    </dataValidation>
    <dataValidation type="textLength" operator="lessThanOrEqual" allowBlank="1" showInputMessage="1" showErrorMessage="1" errorTitle="Ошибка" error="Допускается ввод не более 900 символов!" sqref="K86">
      <formula1>900</formula1>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textLength" operator="lessThanOrEqual" allowBlank="1" showInputMessage="1" showErrorMessage="1" errorTitle="Ошибка" error="Допускается ввод не более 900 символов!" sqref="K87">
      <formula1>900</formula1>
    </dataValidation>
    <dataValidation type="decimal" allowBlank="1" showErrorMessage="1" errorTitle="Ошибка" error="Допускается ввод только неотрицательных чисел!" sqref="AC87">
      <formula1>0</formula1>
      <formula2>9.99999999999999E+23</formula2>
    </dataValidation>
    <dataValidation type="decimal" allowBlank="1" showErrorMessage="1" errorTitle="Ошибка" error="Допускается ввод только неотрицательных чисел!" sqref="AE87">
      <formula1>0</formula1>
      <formula2>9.99999999999999E+23</formula2>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8">
      <formula1>"a"</formula1>
    </dataValidation>
    <dataValidation type="textLength" operator="lessThanOrEqual" allowBlank="1" showInputMessage="1" showErrorMessage="1" errorTitle="Ошибка" error="Допускается ввод не более 900 символов!" sqref="K88">
      <formula1>900</formula1>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0">
      <formula1>"a"</formula1>
    </dataValidation>
    <dataValidation type="textLength" operator="lessThanOrEqual" allowBlank="1" showInputMessage="1" showErrorMessage="1" errorTitle="Ошибка" error="Допускается ввод не более 900 символов!" sqref="K90">
      <formula1>900</formula1>
    </dataValidation>
    <dataValidation type="textLength" operator="lessThanOrEqual" allowBlank="1" showInputMessage="1" showErrorMessage="1" errorTitle="Ошибка" error="Допускается ввод не более 900 символов!" sqref="M90">
      <formula1>900</formula1>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1">
      <formula1>"a"</formula1>
    </dataValidation>
    <dataValidation type="textLength" operator="lessThanOrEqual" allowBlank="1" showInputMessage="1" showErrorMessage="1" errorTitle="Ошибка" error="Допускается ввод не более 900 символов!" sqref="K91">
      <formula1>900</formula1>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textLength" operator="lessThanOrEqual" allowBlank="1" showInputMessage="1" showErrorMessage="1" errorTitle="Ошибка" error="Допускается ввод не более 900 символов!" sqref="K92">
      <formula1>900</formula1>
    </dataValidation>
    <dataValidation type="decimal" allowBlank="1" showErrorMessage="1" errorTitle="Ошибка" error="Допускается ввод только неотрицательных чисел!" sqref="AC92">
      <formula1>0</formula1>
      <formula2>9.99999999999999E+23</formula2>
    </dataValidation>
    <dataValidation type="decimal" allowBlank="1" showErrorMessage="1" errorTitle="Ошибка" error="Допускается ввод только неотрицательных чисел!" sqref="AE92">
      <formula1>0</formula1>
      <formula2>9.99999999999999E+23</formula2>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4">
      <formula1>"a"</formula1>
    </dataValidation>
    <dataValidation type="textLength" operator="lessThanOrEqual" allowBlank="1" showInputMessage="1" showErrorMessage="1" errorTitle="Ошибка" error="Допускается ввод не более 900 символов!" sqref="K94">
      <formula1>900</formula1>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6">
      <formula1>"a"</formula1>
    </dataValidation>
    <dataValidation type="textLength" operator="lessThanOrEqual" allowBlank="1" showInputMessage="1" showErrorMessage="1" errorTitle="Ошибка" error="Допускается ввод не более 900 символов!" sqref="K96">
      <formula1>900</formula1>
    </dataValidation>
    <dataValidation type="textLength" operator="lessThanOrEqual" allowBlank="1" showInputMessage="1" showErrorMessage="1" errorTitle="Ошибка" error="Допускается ввод не более 900 символов!" sqref="M96">
      <formula1>900</formula1>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7">
      <formula1>"a"</formula1>
    </dataValidation>
    <dataValidation type="textLength" operator="lessThanOrEqual" allowBlank="1" showInputMessage="1" showErrorMessage="1" errorTitle="Ошибка" error="Допускается ввод не более 900 символов!" sqref="K97">
      <formula1>900</formula1>
    </dataValidation>
    <dataValidation type="whole" allowBlank="1" showErrorMessage="1" errorTitle="Ошибка" error="Допускается ввод только неотрицательных целых чисел!" sqref="AF97">
      <formula1>0</formula1>
      <formula2>9.99999999999999E+23</formula2>
    </dataValidation>
    <dataValidation type="whole" allowBlank="1" showErrorMessage="1" errorTitle="Ошибка" error="Допускается ввод только неотрицательных целых чисел!" sqref="AI9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8">
      <formula1>"a"</formula1>
    </dataValidation>
    <dataValidation type="textLength" operator="lessThanOrEqual" allowBlank="1" showInputMessage="1" showErrorMessage="1" errorTitle="Ошибка" error="Допускается ввод не более 900 символов!" sqref="K98">
      <formula1>900</formula1>
    </dataValidation>
    <dataValidation type="decimal" allowBlank="1" showErrorMessage="1" errorTitle="Ошибка" error="Допускается ввод только неотрицательных чисел!" sqref="AC98">
      <formula1>0</formula1>
      <formula2>9.99999999999999E+23</formula2>
    </dataValidation>
    <dataValidation type="decimal" allowBlank="1" showErrorMessage="1" errorTitle="Ошибка" error="Допускается ввод только неотрицательных чисел!" sqref="AE98">
      <formula1>0</formula1>
      <formula2>9.99999999999999E+23</formula2>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0">
      <formula1>"a"</formula1>
    </dataValidation>
    <dataValidation type="textLength" operator="lessThanOrEqual" allowBlank="1" showInputMessage="1" showErrorMessage="1" errorTitle="Ошибка" error="Допускается ввод не более 900 символов!" sqref="K100">
      <formula1>900</formula1>
    </dataValidation>
    <dataValidation type="whole" allowBlank="1" showErrorMessage="1" errorTitle="Ошибка" error="Допускается ввод только неотрицательных целых чисел!" sqref="AF100">
      <formula1>0</formula1>
      <formula2>9.99999999999999E+23</formula2>
    </dataValidation>
    <dataValidation type="whole" allowBlank="1" showErrorMessage="1" errorTitle="Ошибка" error="Допускается ввод только неотрицательных целых чисел!" sqref="AI100">
      <formula1>0</formula1>
      <formula2>9.99999999999999E+23</formula2>
    </dataValidation>
    <dataValidation type="whole" allowBlank="1" showErrorMessage="1" errorTitle="Ошибка" error="Допускается ввод только неотрицательных целых чисел!" sqref="AF101">
      <formula1>0</formula1>
      <formula2>9.99999999999999E+23</formula2>
    </dataValidation>
    <dataValidation type="whole" allowBlank="1" showErrorMessage="1" errorTitle="Ошибка" error="Допускается ввод только неотрицательных целых чисел!" sqref="AI10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2">
      <formula1>"a"</formula1>
    </dataValidation>
    <dataValidation type="textLength" operator="lessThanOrEqual" allowBlank="1" showInputMessage="1" showErrorMessage="1" errorTitle="Ошибка" error="Допускается ввод не более 900 символов!" sqref="K102">
      <formula1>900</formula1>
    </dataValidation>
    <dataValidation type="textLength" operator="lessThanOrEqual" allowBlank="1" showInputMessage="1" showErrorMessage="1" errorTitle="Ошибка" error="Допускается ввод не более 900 символов!" sqref="M102">
      <formula1>900</formula1>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3">
      <formula1>"a"</formula1>
    </dataValidation>
    <dataValidation type="textLength" operator="lessThanOrEqual" allowBlank="1" showInputMessage="1" showErrorMessage="1" errorTitle="Ошибка" error="Допускается ввод не более 900 символов!" sqref="K103">
      <formula1>900</formula1>
    </dataValidation>
    <dataValidation type="whole" allowBlank="1" showErrorMessage="1" errorTitle="Ошибка" error="Допускается ввод только неотрицательных целых чисел!" sqref="AF103">
      <formula1>0</formula1>
      <formula2>9.99999999999999E+23</formula2>
    </dataValidation>
    <dataValidation type="whole" allowBlank="1" showErrorMessage="1" errorTitle="Ошибка" error="Допускается ввод только неотрицательных целых чисел!" sqref="AI10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textLength" operator="lessThanOrEqual" allowBlank="1" showInputMessage="1" showErrorMessage="1" errorTitle="Ошибка" error="Допускается ввод не более 900 символов!" sqref="K104">
      <formula1>900</formula1>
    </dataValidation>
    <dataValidation type="decimal" allowBlank="1" showErrorMessage="1" errorTitle="Ошибка" error="Допускается ввод только неотрицательных чисел!" sqref="AC104">
      <formula1>0</formula1>
      <formula2>9.99999999999999E+23</formula2>
    </dataValidation>
    <dataValidation type="decimal" allowBlank="1" showErrorMessage="1" errorTitle="Ошибка" error="Допускается ввод только неотрицательных чисел!" sqref="AE104">
      <formula1>0</formula1>
      <formula2>9.99999999999999E+23</formula2>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5">
      <formula1>"a"</formula1>
    </dataValidation>
    <dataValidation type="textLength" operator="lessThanOrEqual" allowBlank="1" showInputMessage="1" showErrorMessage="1" errorTitle="Ошибка" error="Допускается ввод не более 900 символов!" sqref="K105">
      <formula1>900</formula1>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whole" allowBlank="1" showErrorMessage="1" errorTitle="Ошибка" error="Допускается ввод только неотрицательных целых чисел!" sqref="AF106">
      <formula1>0</formula1>
      <formula2>9.99999999999999E+23</formula2>
    </dataValidation>
    <dataValidation type="whole" allowBlank="1" showErrorMessage="1" errorTitle="Ошибка" error="Допускается ввод только неотрицательных целых чисел!" sqref="AI10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textLength" operator="lessThanOrEqual" allowBlank="1" showInputMessage="1" showErrorMessage="1" errorTitle="Ошибка" error="Допускается ввод не более 900 символов!" sqref="K93">
      <formula1>900</formula1>
    </dataValidation>
    <dataValidation type="decimal" allowBlank="1" showErrorMessage="1" errorTitle="Ошибка" error="Допускается ввод только неотрицательных чисел!" sqref="AC93">
      <formula1>0</formula1>
      <formula2>9.99999999999999E+23</formula2>
    </dataValidation>
    <dataValidation type="decimal" allowBlank="1" showErrorMessage="1" errorTitle="Ошибка" error="Допускается ввод только неотрицательных чисел!" sqref="AE93">
      <formula1>0</formula1>
      <formula2>9.99999999999999E+23</formula2>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9">
      <formula1>"a"</formula1>
    </dataValidation>
    <dataValidation type="textLength" operator="lessThanOrEqual" allowBlank="1" showInputMessage="1" showErrorMessage="1" errorTitle="Ошибка" error="Допускается ввод не более 900 символов!" sqref="K99">
      <formula1>900</formula1>
    </dataValidation>
    <dataValidation type="decimal" allowBlank="1" showErrorMessage="1" errorTitle="Ошибка" error="Допускается ввод только неотрицательных чисел!" sqref="AC99">
      <formula1>0</formula1>
      <formula2>9.99999999999999E+23</formula2>
    </dataValidation>
    <dataValidation type="decimal" allowBlank="1" showErrorMessage="1" errorTitle="Ошибка" error="Допускается ввод только неотрицательных чисел!" sqref="AE99">
      <formula1>0</formula1>
      <formula2>9.99999999999999E+23</formula2>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3315A-E03F-C51D-5983-8C53E926E6D6}" mc:Ignorable="x14ac xr xr2 xr3">
  <sheetPr>
    <tabColor theme="9" tint="-0.25"/>
  </sheetPr>
  <dimension ref="A1:AK59"/>
  <sheetViews>
    <sheetView showGridLines="0" zoomScale="85" workbookViewId="0">
      <pane xSplit="9" ySplit="13" topLeftCell="J14" activePane="bottomRight" state="frozen"/>
      <selection pane="bottomLeft" activeCell="A14" sqref="A14"/>
      <selection pane="topRight" activeCell="J1" sqref="J1"/>
      <selection pane="bottomRight" activeCell="AK1" sqref="AK1:AK59"/>
    </sheetView>
  </sheetViews>
  <sheetFormatPr defaultColWidth="9.140625" customHeight="1" defaultRowHeight="10.5"/>
  <cols>
    <col min="1" max="3" style="66327" width="4.140625" hidden="1" customWidth="1"/>
    <col min="4" max="4" style="66852" width="4.140625" hidden="1" customWidth="1"/>
    <col min="5" max="5" style="66903" width="3.00390625" customWidth="1"/>
    <col min="6" max="6" style="66903" width="6.00390625" customWidth="1"/>
    <col min="7" max="7" style="66903" width="60.00390625" customWidth="1"/>
    <col min="8" max="9" style="66903" width="21.7109375" hidden="1" customWidth="1"/>
    <col min="10" max="10" style="66903" width="0.140625" customWidth="1"/>
    <col min="11" max="23" style="66903" width="21.7109375" hidden="1" customWidth="1"/>
    <col min="24" max="24" style="66903" width="0.140625" customWidth="1"/>
    <col min="25" max="25" style="66903" width="1.00390625" customWidth="1"/>
    <col min="26" max="36" style="66903" width="8.00390625" customWidth="1"/>
    <col min="37" max="37" style="66903" width="9.140625" hidden="1"/>
  </cols>
  <sheetData>
    <row s="66852" customFormat="1" customHeight="1" ht="10.5" hidden="1">
      <c r="A1" s="2377"/>
      <c r="B1" s="2377"/>
      <c r="C1" s="2377"/>
      <c r="E1" s="1748"/>
      <c r="K1" s="8176"/>
      <c r="L1" s="8176"/>
      <c r="M1" s="8176"/>
      <c r="N1" s="8176"/>
      <c r="O1" s="8176"/>
      <c r="P1" s="8176"/>
      <c r="Q1" s="8176"/>
      <c r="R1" s="8176"/>
      <c r="S1" s="8176"/>
      <c r="T1" s="8176"/>
      <c r="U1" s="8176"/>
      <c r="V1" s="8176"/>
      <c r="W1" s="8176"/>
      <c r="X1" s="8176"/>
      <c r="AK1" s="2371" t="s">
        <v>14</v>
      </c>
    </row>
    <row customHeight="1" ht="10.5" hidden="1">
      <c r="K2" s="8042"/>
      <c r="L2" s="8042"/>
      <c r="M2" s="8042"/>
      <c r="N2" s="8042"/>
      <c r="O2" s="8042"/>
      <c r="P2" s="8042"/>
      <c r="Q2" s="8042"/>
      <c r="R2" s="8042"/>
      <c r="S2" s="8042"/>
      <c r="T2" s="8042"/>
      <c r="U2" s="8042"/>
      <c r="V2" s="8042"/>
      <c r="W2" s="8042"/>
      <c r="X2" s="8042"/>
      <c r="AK2" s="2366">
        <v>0</v>
      </c>
    </row>
    <row s="67156" customFormat="1" customHeight="1" ht="10.5" hidden="1">
      <c r="A3" s="2377"/>
      <c r="B3" s="2377"/>
      <c r="C3" s="2377"/>
      <c r="D3" s="2371"/>
      <c r="E3" s="1573"/>
      <c r="K3" s="8177"/>
      <c r="L3" s="8177"/>
      <c r="M3" s="8177"/>
      <c r="N3" s="8177"/>
      <c r="O3" s="8177"/>
      <c r="P3" s="8177"/>
      <c r="Q3" s="8177"/>
      <c r="R3" s="8177"/>
      <c r="S3" s="8177"/>
      <c r="T3" s="8177"/>
      <c r="U3" s="8177"/>
      <c r="V3" s="8177"/>
      <c r="W3" s="8177"/>
      <c r="X3" s="8177"/>
      <c r="AK3" s="2367">
        <v>0</v>
      </c>
    </row>
    <row customHeight="1" ht="3">
      <c r="K4" s="8042"/>
      <c r="L4" s="8042"/>
      <c r="M4" s="8042"/>
      <c r="N4" s="8042"/>
      <c r="O4" s="8042"/>
      <c r="P4" s="8042"/>
      <c r="Q4" s="8042"/>
      <c r="R4" s="8042"/>
      <c r="S4" s="8042"/>
      <c r="T4" s="8042"/>
      <c r="U4" s="8042"/>
      <c r="V4" s="8042"/>
      <c r="W4" s="8042"/>
      <c r="X4" s="8042"/>
      <c r="AK4" s="2366">
        <v>3</v>
      </c>
    </row>
    <row customHeight="1" ht="27.299999999999997">
      <c r="F5" s="345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3459"/>
      <c r="H5" s="3459"/>
      <c r="I5" s="3459"/>
      <c r="J5" s="3459"/>
      <c r="K5" s="8178"/>
      <c r="L5" s="8178"/>
      <c r="M5" s="8178"/>
      <c r="N5" s="8178"/>
      <c r="O5" s="8178"/>
      <c r="P5" s="8178"/>
      <c r="Q5" s="8178"/>
      <c r="R5" s="8178"/>
      <c r="S5" s="8178"/>
      <c r="T5" s="8178"/>
      <c r="U5" s="8178"/>
      <c r="V5" s="8178"/>
      <c r="W5" s="8178"/>
      <c r="X5" s="8178"/>
      <c r="AK5" s="2366">
        <v>26</v>
      </c>
    </row>
    <row customHeight="1" ht="10.5">
      <c r="F6" s="3387" t="str">
        <f>IF(org=0,"Не определено",org)</f>
        <v>ПАО "ТГК-2"</v>
      </c>
      <c r="G6" s="3387"/>
      <c r="H6" s="3387"/>
      <c r="I6" s="3387"/>
      <c r="J6" s="3387"/>
      <c r="K6" s="8179"/>
      <c r="L6" s="8179"/>
      <c r="M6" s="8179"/>
      <c r="N6" s="8179"/>
      <c r="O6" s="8179"/>
      <c r="P6" s="8179"/>
      <c r="Q6" s="8179"/>
      <c r="R6" s="8179"/>
      <c r="S6" s="8179"/>
      <c r="T6" s="8179"/>
      <c r="U6" s="8179"/>
      <c r="V6" s="8179"/>
      <c r="W6" s="8179"/>
      <c r="X6" s="8179"/>
      <c r="AK6" s="2366">
        <v>10</v>
      </c>
    </row>
    <row customHeight="1" ht="11.549999999999999">
      <c r="E7" s="2381"/>
      <c r="F7" s="2438"/>
      <c r="G7" s="2438"/>
      <c r="H7" s="2438"/>
      <c r="I7" s="2438"/>
      <c r="J7" s="2438"/>
      <c r="K7" s="8181" t="s">
        <v>22</v>
      </c>
      <c r="L7" s="8181"/>
      <c r="M7" s="8181" t="s">
        <v>22</v>
      </c>
      <c r="N7" s="8181" t="s">
        <v>22</v>
      </c>
      <c r="O7" s="8181" t="s">
        <v>22</v>
      </c>
      <c r="P7" s="8181" t="s">
        <v>22</v>
      </c>
      <c r="Q7" s="8181" t="s">
        <v>22</v>
      </c>
      <c r="R7" s="8181" t="s">
        <v>22</v>
      </c>
      <c r="S7" s="8181" t="s">
        <v>22</v>
      </c>
      <c r="T7" s="8181" t="s">
        <v>22</v>
      </c>
      <c r="U7" s="8181" t="s">
        <v>22</v>
      </c>
      <c r="V7" s="8181" t="s">
        <v>22</v>
      </c>
      <c r="W7" s="8181" t="s">
        <v>22</v>
      </c>
      <c r="X7" s="8181"/>
      <c r="Y7" s="2368"/>
      <c r="Z7" s="2368"/>
      <c r="AA7" s="2368"/>
      <c r="AB7" s="2368"/>
      <c r="AC7" s="2368"/>
      <c r="AD7" s="2368"/>
      <c r="AE7" s="2368"/>
      <c r="AF7" s="2368"/>
      <c r="AG7" s="2368"/>
      <c r="AH7" s="2368"/>
      <c r="AI7" s="2368"/>
      <c r="AJ7" s="2368"/>
      <c r="AK7" s="2366">
        <v>11</v>
      </c>
    </row>
    <row s="65923" customFormat="1" customHeight="1" ht="4.2">
      <c r="A8" s="2378"/>
      <c r="B8" s="2378"/>
      <c r="C8" s="2378"/>
      <c r="E8" s="2439"/>
      <c r="F8" s="2440"/>
      <c r="G8" s="2440"/>
      <c r="H8" s="2440"/>
      <c r="I8" s="2440"/>
      <c r="J8" s="2440"/>
      <c r="K8" s="8185" t="s">
        <v>1167</v>
      </c>
      <c r="L8" s="8185"/>
      <c r="M8" s="8185"/>
      <c r="N8" s="8185"/>
      <c r="O8" s="8185"/>
      <c r="P8" s="8185"/>
      <c r="Q8" s="8185"/>
      <c r="R8" s="8185"/>
      <c r="S8" s="8185"/>
      <c r="T8" s="8185"/>
      <c r="U8" s="8185"/>
      <c r="V8" s="8185"/>
      <c r="W8" s="8185"/>
      <c r="X8" s="8185"/>
      <c r="Y8" s="2439"/>
      <c r="Z8" s="2439"/>
      <c r="AA8" s="2439"/>
      <c r="AB8" s="2439"/>
      <c r="AC8" s="2439"/>
      <c r="AD8" s="2439"/>
      <c r="AE8" s="2439"/>
      <c r="AF8" s="2439"/>
      <c r="AG8" s="2439"/>
      <c r="AH8" s="2439"/>
      <c r="AI8" s="2439"/>
      <c r="AJ8" s="2439"/>
      <c r="AK8" s="1722">
        <v>4</v>
      </c>
    </row>
    <row customHeight="1" ht="10.5">
      <c r="E9" s="2381"/>
      <c r="F9" s="3630" t="s">
        <v>318</v>
      </c>
      <c r="G9" s="3631"/>
      <c r="H9" s="3631"/>
      <c r="I9" s="3631"/>
      <c r="J9" s="3631"/>
      <c r="K9" s="8188"/>
      <c r="L9" s="8188"/>
      <c r="M9" s="8188"/>
      <c r="N9" s="8188"/>
      <c r="O9" s="8188"/>
      <c r="P9" s="8188"/>
      <c r="Q9" s="8188"/>
      <c r="R9" s="8188"/>
      <c r="S9" s="8188"/>
      <c r="T9" s="8188"/>
      <c r="U9" s="8188"/>
      <c r="V9" s="8188"/>
      <c r="W9" s="8188"/>
      <c r="X9" s="8188"/>
      <c r="Y9" s="2451"/>
      <c r="Z9" s="2368"/>
      <c r="AA9" s="2368"/>
      <c r="AB9" s="2368"/>
      <c r="AC9" s="2368"/>
      <c r="AD9" s="2368"/>
      <c r="AE9" s="2368"/>
      <c r="AF9" s="2368"/>
      <c r="AG9" s="2368"/>
      <c r="AH9" s="2368"/>
      <c r="AI9" s="2368"/>
      <c r="AJ9" s="2368"/>
      <c r="AK9" s="2366">
        <v>10</v>
      </c>
    </row>
    <row customHeight="1" ht="25.2">
      <c r="E10" s="2368"/>
      <c r="F10" s="3634" t="s">
        <v>88</v>
      </c>
      <c r="G10" s="3639" t="s">
        <v>1223</v>
      </c>
      <c r="H10" s="3637" t="s">
        <v>1224</v>
      </c>
      <c r="I10" s="3637"/>
      <c r="J10" s="3637"/>
      <c r="K10" s="8193" t="s">
        <v>1224</v>
      </c>
      <c r="L10" s="8193"/>
      <c r="M10" s="8193"/>
      <c r="N10" s="8193"/>
      <c r="O10" s="8193"/>
      <c r="P10" s="8193"/>
      <c r="Q10" s="8193"/>
      <c r="R10" s="8193"/>
      <c r="S10" s="8193"/>
      <c r="T10" s="8193"/>
      <c r="U10" s="8193"/>
      <c r="V10" s="8193"/>
      <c r="W10" s="8193"/>
      <c r="X10" s="8193"/>
      <c r="Y10" s="2444"/>
      <c r="Z10" s="2368"/>
      <c r="AA10" s="2368"/>
      <c r="AB10" s="2368"/>
      <c r="AC10" s="2368"/>
      <c r="AD10" s="2368"/>
      <c r="AE10" s="2368"/>
      <c r="AF10" s="2368"/>
      <c r="AG10" s="2368"/>
      <c r="AH10" s="2368"/>
      <c r="AI10" s="2368"/>
      <c r="AJ10" s="2368"/>
      <c r="AK10" s="2366">
        <v>24</v>
      </c>
    </row>
    <row customHeight="1" ht="25.5">
      <c r="E11" s="2368"/>
      <c r="F11" s="3635"/>
      <c r="G11" s="3639"/>
      <c r="H11" s="3638">
        <f>INDEX(IP_MAIN_LIST_NAME_IP,MATCH(H8,IP_MAIN_LIST_IP_ID,0))&amp;" ("&amp;INDEX(IP_MAIN_START_DATE,MATCH(H8,IP_MAIN_LIST_IP_ID,0))&amp;"-"&amp;INDEX(IP_MAIN_END_DATE,MATCH(H8,IP_MAIN_LIST_IP_ID,0))&amp;")"</f>
      </c>
      <c r="I11" s="3638"/>
      <c r="J11" s="3638"/>
      <c r="K11" s="8197" t="str">
        <f>INDEX(IP_MAIN_LIST_NAME_IP,MATCH(K8,IP_MAIN_LIST_IP_ID,0))&amp;" ("&amp;INDEX(IP_MAIN_START_DATE,MATCH(K8,IP_MAIN_LIST_IP_ID,0))&amp;"-"&amp;INDEX(IP_MAIN_END_DATE,MATCH(K8,IP_MAIN_LIST_IP_ID,0))&amp;")"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 (01.01.2014-31.12.2025)</v>
      </c>
      <c r="L11" s="8197"/>
      <c r="M11" s="8197"/>
      <c r="N11" s="8197"/>
      <c r="O11" s="8197"/>
      <c r="P11" s="8197"/>
      <c r="Q11" s="8197"/>
      <c r="R11" s="8197"/>
      <c r="S11" s="8197"/>
      <c r="T11" s="8197"/>
      <c r="U11" s="8197"/>
      <c r="V11" s="8197"/>
      <c r="W11" s="8197"/>
      <c r="X11" s="8197"/>
      <c r="Y11" s="2444"/>
      <c r="Z11" s="2368"/>
      <c r="AA11" s="2368"/>
      <c r="AB11" s="2368"/>
      <c r="AC11" s="2368"/>
      <c r="AD11" s="2368"/>
      <c r="AE11" s="2368"/>
      <c r="AF11" s="2368"/>
      <c r="AG11" s="2368"/>
      <c r="AH11" s="2368"/>
      <c r="AI11" s="2368"/>
      <c r="AJ11" s="2368"/>
      <c r="AK11" s="2366">
        <v>24</v>
      </c>
    </row>
    <row customHeight="1" ht="10.5">
      <c r="F12" s="3636"/>
      <c r="G12" s="3639"/>
      <c r="H12" s="2437" t="s">
        <v>1225</v>
      </c>
      <c r="I12" s="2443"/>
      <c r="J12" s="2437"/>
      <c r="K12" s="8201" t="s">
        <v>1225</v>
      </c>
      <c r="L12" s="8202">
        <v>2014</v>
      </c>
      <c r="M12" s="8202">
        <v>2015</v>
      </c>
      <c r="N12" s="8202">
        <v>2016</v>
      </c>
      <c r="O12" s="8202">
        <v>2017</v>
      </c>
      <c r="P12" s="8202">
        <v>2018</v>
      </c>
      <c r="Q12" s="8202">
        <v>2019</v>
      </c>
      <c r="R12" s="8202">
        <v>2020</v>
      </c>
      <c r="S12" s="8202">
        <v>2021</v>
      </c>
      <c r="T12" s="8202">
        <v>2022</v>
      </c>
      <c r="U12" s="8202">
        <v>2023</v>
      </c>
      <c r="V12" s="8202">
        <v>2024</v>
      </c>
      <c r="W12" s="8202">
        <v>2025</v>
      </c>
      <c r="X12" s="8201"/>
      <c r="Y12" s="2445"/>
      <c r="AK12" s="2366">
        <v>10</v>
      </c>
    </row>
    <row customHeight="1" ht="10.5" hidden="1">
      <c r="F13" s="2437">
        <v>1</v>
      </c>
      <c r="G13" s="2437">
        <v>2</v>
      </c>
      <c r="H13" s="2437">
        <v>3</v>
      </c>
      <c r="I13" s="2437">
        <v>4</v>
      </c>
      <c r="J13" s="2437">
        <v>5</v>
      </c>
      <c r="K13" s="8201">
        <v>3</v>
      </c>
      <c r="L13" s="8201">
        <v>4</v>
      </c>
      <c r="M13" s="8201">
        <v>4</v>
      </c>
      <c r="N13" s="8201">
        <v>4</v>
      </c>
      <c r="O13" s="8201">
        <v>4</v>
      </c>
      <c r="P13" s="8201">
        <v>4</v>
      </c>
      <c r="Q13" s="8201">
        <v>4</v>
      </c>
      <c r="R13" s="8201">
        <v>4</v>
      </c>
      <c r="S13" s="8201">
        <v>4</v>
      </c>
      <c r="T13" s="8201">
        <v>4</v>
      </c>
      <c r="U13" s="8201">
        <v>4</v>
      </c>
      <c r="V13" s="8201">
        <v>4</v>
      </c>
      <c r="W13" s="8201">
        <v>4</v>
      </c>
      <c r="X13" s="8201">
        <v>5</v>
      </c>
      <c r="Y13" s="2445"/>
      <c r="AK13" s="2366">
        <v>0</v>
      </c>
    </row>
    <row customHeight="1" ht="11.549999999999999">
      <c r="F14" s="2436" t="s">
        <v>1226</v>
      </c>
      <c r="G14" s="3632" t="s">
        <v>1227</v>
      </c>
      <c r="H14" s="3632"/>
      <c r="I14" s="3632"/>
      <c r="J14" s="3632"/>
      <c r="K14" s="8206"/>
      <c r="L14" s="8206"/>
      <c r="M14" s="8206"/>
      <c r="N14" s="8206"/>
      <c r="O14" s="8206"/>
      <c r="P14" s="8206"/>
      <c r="Q14" s="8206"/>
      <c r="R14" s="8206"/>
      <c r="S14" s="8206"/>
      <c r="T14" s="8206"/>
      <c r="U14" s="8206"/>
      <c r="V14" s="8206"/>
      <c r="W14" s="8206"/>
      <c r="X14" s="8206"/>
      <c r="Y14" s="2445"/>
      <c r="AK14" s="2366">
        <v>11</v>
      </c>
    </row>
    <row customHeight="1" ht="11.549999999999999">
      <c r="F15" s="2441">
        <v>1</v>
      </c>
      <c r="G15" s="1901" t="s">
        <v>1228</v>
      </c>
      <c r="H15" s="2447">
        <f>SUM(I15:J15)</f>
        <v>0</v>
      </c>
      <c r="I15" s="2447">
        <f>SUM(I16:I27)</f>
        <v>0</v>
      </c>
      <c r="J15" s="2436"/>
      <c r="K15" s="8209">
        <f>SUM(L15:X15)</f>
        <v>0</v>
      </c>
      <c r="L15" s="8209">
        <f>SUM(L16:L27)</f>
        <v>0</v>
      </c>
      <c r="M15" s="8209">
        <f>SUM(M16:M27)</f>
        <v>0</v>
      </c>
      <c r="N15" s="8209">
        <f>SUM(N16:N27)</f>
        <v>0</v>
      </c>
      <c r="O15" s="8209">
        <f>SUM(O16:O27)</f>
        <v>0</v>
      </c>
      <c r="P15" s="8209">
        <f>SUM(P16:P27)</f>
        <v>0</v>
      </c>
      <c r="Q15" s="8209">
        <f>SUM(Q16:Q27)</f>
        <v>0</v>
      </c>
      <c r="R15" s="8209">
        <f>SUM(R16:R27)</f>
        <v>0</v>
      </c>
      <c r="S15" s="8209">
        <f>SUM(S16:S27)</f>
        <v>0</v>
      </c>
      <c r="T15" s="8209">
        <f>SUM(T16:T27)</f>
        <v>0</v>
      </c>
      <c r="U15" s="8209">
        <f>SUM(U16:U27)</f>
        <v>0</v>
      </c>
      <c r="V15" s="8209">
        <f>SUM(V16:V27)</f>
        <v>0</v>
      </c>
      <c r="W15" s="8209">
        <f>SUM(W16:W27)</f>
        <v>0</v>
      </c>
      <c r="X15" s="8193"/>
      <c r="Y15" s="2445"/>
      <c r="AK15" s="2366">
        <v>11</v>
      </c>
    </row>
    <row customHeight="1" ht="24">
      <c r="F16" s="2441" t="s">
        <v>652</v>
      </c>
      <c r="G16" s="2448" t="s">
        <v>1229</v>
      </c>
      <c r="H16" s="2447">
        <f>SUM(I16:J16)</f>
        <v>0</v>
      </c>
      <c r="I16" s="2446"/>
      <c r="J16" s="2436"/>
      <c r="K16" s="8209">
        <f>SUM(L16:X16)</f>
        <v>0</v>
      </c>
      <c r="L16" s="8212"/>
      <c r="M16" s="8212"/>
      <c r="N16" s="8212"/>
      <c r="O16" s="8212"/>
      <c r="P16" s="8212"/>
      <c r="Q16" s="8212"/>
      <c r="R16" s="8212"/>
      <c r="S16" s="8212"/>
      <c r="T16" s="8212"/>
      <c r="U16" s="8212"/>
      <c r="V16" s="8212"/>
      <c r="W16" s="8212"/>
      <c r="X16" s="8193"/>
      <c r="Y16" s="2445"/>
      <c r="AK16" s="2366">
        <v>23</v>
      </c>
    </row>
    <row customHeight="1" ht="24">
      <c r="F17" s="2441" t="s">
        <v>658</v>
      </c>
      <c r="G17" s="2448" t="s">
        <v>1230</v>
      </c>
      <c r="H17" s="2447">
        <f>SUM(I17:J17)</f>
        <v>0</v>
      </c>
      <c r="I17" s="2446"/>
      <c r="J17" s="2436"/>
      <c r="K17" s="8209">
        <f>SUM(L17:X17)</f>
        <v>0</v>
      </c>
      <c r="L17" s="8212"/>
      <c r="M17" s="8212"/>
      <c r="N17" s="8212"/>
      <c r="O17" s="8212"/>
      <c r="P17" s="8212"/>
      <c r="Q17" s="8212"/>
      <c r="R17" s="8212"/>
      <c r="S17" s="8212"/>
      <c r="T17" s="8212"/>
      <c r="U17" s="8212"/>
      <c r="V17" s="8212"/>
      <c r="W17" s="8212"/>
      <c r="X17" s="8193"/>
      <c r="Y17" s="2445"/>
      <c r="AK17" s="2366">
        <v>23</v>
      </c>
    </row>
    <row customHeight="1" ht="35.699999999999996">
      <c r="F18" s="2441" t="s">
        <v>661</v>
      </c>
      <c r="G18" s="2448" t="s">
        <v>1231</v>
      </c>
      <c r="H18" s="2447">
        <f>SUM(I18:J18)</f>
        <v>0</v>
      </c>
      <c r="I18" s="2446"/>
      <c r="J18" s="2436"/>
      <c r="K18" s="8209">
        <f>SUM(L18:X18)</f>
        <v>0</v>
      </c>
      <c r="L18" s="8212"/>
      <c r="M18" s="8212"/>
      <c r="N18" s="8212"/>
      <c r="O18" s="8212"/>
      <c r="P18" s="8212"/>
      <c r="Q18" s="8212"/>
      <c r="R18" s="8212"/>
      <c r="S18" s="8212"/>
      <c r="T18" s="8212"/>
      <c r="U18" s="8212"/>
      <c r="V18" s="8212"/>
      <c r="W18" s="8212"/>
      <c r="X18" s="8193"/>
      <c r="Y18" s="2445"/>
      <c r="AK18" s="2366">
        <v>34</v>
      </c>
    </row>
    <row customHeight="1" ht="35.699999999999996">
      <c r="F19" s="2441" t="s">
        <v>664</v>
      </c>
      <c r="G19" s="2448" t="s">
        <v>1232</v>
      </c>
      <c r="H19" s="2447">
        <f>SUM(I19:J19)</f>
        <v>0</v>
      </c>
      <c r="I19" s="2446"/>
      <c r="J19" s="2436"/>
      <c r="K19" s="8209">
        <f>SUM(L19:X19)</f>
        <v>0</v>
      </c>
      <c r="L19" s="8212"/>
      <c r="M19" s="8212"/>
      <c r="N19" s="8212"/>
      <c r="O19" s="8212"/>
      <c r="P19" s="8212"/>
      <c r="Q19" s="8212"/>
      <c r="R19" s="8212"/>
      <c r="S19" s="8212"/>
      <c r="T19" s="8212"/>
      <c r="U19" s="8212"/>
      <c r="V19" s="8212"/>
      <c r="W19" s="8212"/>
      <c r="X19" s="8193"/>
      <c r="Y19" s="2445"/>
      <c r="AK19" s="2366">
        <v>34</v>
      </c>
    </row>
    <row customHeight="1" ht="48.29999999999999">
      <c r="F20" s="2441" t="s">
        <v>1233</v>
      </c>
      <c r="G20" s="2448" t="s">
        <v>1234</v>
      </c>
      <c r="H20" s="2447">
        <f>SUM(I20:J20)</f>
        <v>0</v>
      </c>
      <c r="I20" s="2446"/>
      <c r="J20" s="2436"/>
      <c r="K20" s="8209">
        <f>SUM(L20:X20)</f>
        <v>0</v>
      </c>
      <c r="L20" s="8212"/>
      <c r="M20" s="8212"/>
      <c r="N20" s="8212"/>
      <c r="O20" s="8212"/>
      <c r="P20" s="8212"/>
      <c r="Q20" s="8212"/>
      <c r="R20" s="8212"/>
      <c r="S20" s="8212"/>
      <c r="T20" s="8212"/>
      <c r="U20" s="8212"/>
      <c r="V20" s="8212"/>
      <c r="W20" s="8212"/>
      <c r="X20" s="8193"/>
      <c r="Y20" s="2445"/>
      <c r="AK20" s="2366">
        <v>46</v>
      </c>
    </row>
    <row customHeight="1" ht="35.699999999999996">
      <c r="F21" s="2441" t="s">
        <v>1235</v>
      </c>
      <c r="G21" s="2448" t="s">
        <v>1236</v>
      </c>
      <c r="H21" s="2447">
        <f>SUM(I21:J21)</f>
        <v>0</v>
      </c>
      <c r="I21" s="2446"/>
      <c r="J21" s="2436"/>
      <c r="K21" s="8209">
        <f>SUM(L21:X21)</f>
        <v>0</v>
      </c>
      <c r="L21" s="8212"/>
      <c r="M21" s="8212"/>
      <c r="N21" s="8212"/>
      <c r="O21" s="8212"/>
      <c r="P21" s="8212"/>
      <c r="Q21" s="8212"/>
      <c r="R21" s="8212"/>
      <c r="S21" s="8212"/>
      <c r="T21" s="8212"/>
      <c r="U21" s="8212"/>
      <c r="V21" s="8212"/>
      <c r="W21" s="8212"/>
      <c r="X21" s="8193"/>
      <c r="Y21" s="2445"/>
      <c r="AK21" s="2366">
        <v>34</v>
      </c>
    </row>
    <row customHeight="1" ht="35.699999999999996">
      <c r="F22" s="2441" t="s">
        <v>1237</v>
      </c>
      <c r="G22" s="2448" t="s">
        <v>1238</v>
      </c>
      <c r="H22" s="2447">
        <f>SUM(I22:J22)</f>
        <v>0</v>
      </c>
      <c r="I22" s="2446"/>
      <c r="J22" s="2436"/>
      <c r="K22" s="8209">
        <f>SUM(L22:X22)</f>
        <v>0</v>
      </c>
      <c r="L22" s="8212"/>
      <c r="M22" s="8212"/>
      <c r="N22" s="8212"/>
      <c r="O22" s="8212"/>
      <c r="P22" s="8212"/>
      <c r="Q22" s="8212"/>
      <c r="R22" s="8212"/>
      <c r="S22" s="8212"/>
      <c r="T22" s="8212"/>
      <c r="U22" s="8212"/>
      <c r="V22" s="8212"/>
      <c r="W22" s="8212"/>
      <c r="X22" s="8193"/>
      <c r="Y22" s="2445"/>
      <c r="AK22" s="2366">
        <v>34</v>
      </c>
    </row>
    <row customHeight="1" ht="24">
      <c r="F23" s="2441" t="s">
        <v>1239</v>
      </c>
      <c r="G23" s="2448" t="s">
        <v>1240</v>
      </c>
      <c r="H23" s="2447">
        <f>SUM(I23:J23)</f>
        <v>0</v>
      </c>
      <c r="I23" s="2446"/>
      <c r="J23" s="2436"/>
      <c r="K23" s="8209">
        <f>SUM(L23:X23)</f>
        <v>0</v>
      </c>
      <c r="L23" s="8212"/>
      <c r="M23" s="8212"/>
      <c r="N23" s="8212"/>
      <c r="O23" s="8212"/>
      <c r="P23" s="8212"/>
      <c r="Q23" s="8212"/>
      <c r="R23" s="8212"/>
      <c r="S23" s="8212"/>
      <c r="T23" s="8212"/>
      <c r="U23" s="8212"/>
      <c r="V23" s="8212"/>
      <c r="W23" s="8212"/>
      <c r="X23" s="8193"/>
      <c r="Y23" s="2445"/>
      <c r="AK23" s="2366">
        <v>23</v>
      </c>
    </row>
    <row customHeight="1" ht="24">
      <c r="F24" s="2441" t="s">
        <v>1241</v>
      </c>
      <c r="G24" s="2448" t="s">
        <v>1242</v>
      </c>
      <c r="H24" s="2447">
        <f>SUM(I24:J24)</f>
        <v>0</v>
      </c>
      <c r="I24" s="2446"/>
      <c r="J24" s="2436"/>
      <c r="K24" s="8209">
        <f>SUM(L24:X24)</f>
        <v>0</v>
      </c>
      <c r="L24" s="8212"/>
      <c r="M24" s="8212"/>
      <c r="N24" s="8212"/>
      <c r="O24" s="8212"/>
      <c r="P24" s="8212"/>
      <c r="Q24" s="8212"/>
      <c r="R24" s="8212"/>
      <c r="S24" s="8212"/>
      <c r="T24" s="8212"/>
      <c r="U24" s="8212"/>
      <c r="V24" s="8212"/>
      <c r="W24" s="8212"/>
      <c r="X24" s="8193"/>
      <c r="Y24" s="2445"/>
      <c r="AK24" s="2366">
        <v>23</v>
      </c>
    </row>
    <row customHeight="1" ht="35.699999999999996">
      <c r="F25" s="2441" t="s">
        <v>1243</v>
      </c>
      <c r="G25" s="2448" t="s">
        <v>1244</v>
      </c>
      <c r="H25" s="2447">
        <f>SUM(I25:J25)</f>
        <v>0</v>
      </c>
      <c r="I25" s="2446"/>
      <c r="J25" s="2436"/>
      <c r="K25" s="8209">
        <f>SUM(L25:X25)</f>
        <v>0</v>
      </c>
      <c r="L25" s="8212"/>
      <c r="M25" s="8212"/>
      <c r="N25" s="8212"/>
      <c r="O25" s="8212"/>
      <c r="P25" s="8212"/>
      <c r="Q25" s="8212"/>
      <c r="R25" s="8212"/>
      <c r="S25" s="8212"/>
      <c r="T25" s="8212"/>
      <c r="U25" s="8212"/>
      <c r="V25" s="8212"/>
      <c r="W25" s="8212"/>
      <c r="X25" s="8193"/>
      <c r="Y25" s="2445"/>
      <c r="AK25" s="2366">
        <v>34</v>
      </c>
    </row>
    <row customHeight="1" ht="35.699999999999996">
      <c r="F26" s="2441" t="s">
        <v>1245</v>
      </c>
      <c r="G26" s="2448" t="s">
        <v>1246</v>
      </c>
      <c r="H26" s="2447">
        <f>SUM(I26:J26)</f>
        <v>0</v>
      </c>
      <c r="I26" s="2446"/>
      <c r="J26" s="2436"/>
      <c r="K26" s="8209">
        <f>SUM(L26:X26)</f>
        <v>0</v>
      </c>
      <c r="L26" s="8212"/>
      <c r="M26" s="8212"/>
      <c r="N26" s="8212"/>
      <c r="O26" s="8212"/>
      <c r="P26" s="8212"/>
      <c r="Q26" s="8212"/>
      <c r="R26" s="8212"/>
      <c r="S26" s="8212"/>
      <c r="T26" s="8212"/>
      <c r="U26" s="8212"/>
      <c r="V26" s="8212"/>
      <c r="W26" s="8212"/>
      <c r="X26" s="8193"/>
      <c r="Y26" s="2445"/>
      <c r="AK26" s="2366">
        <v>34</v>
      </c>
    </row>
    <row customHeight="1" ht="11.549999999999999">
      <c r="F27" s="2441" t="s">
        <v>1247</v>
      </c>
      <c r="G27" s="2448" t="s">
        <v>1248</v>
      </c>
      <c r="H27" s="2447">
        <f>SUM(I27:J27)</f>
        <v>0</v>
      </c>
      <c r="I27" s="2446"/>
      <c r="J27" s="2436"/>
      <c r="K27" s="8209">
        <f>SUM(L27:X27)</f>
        <v>0</v>
      </c>
      <c r="L27" s="8212"/>
      <c r="M27" s="8212"/>
      <c r="N27" s="8212"/>
      <c r="O27" s="8212"/>
      <c r="P27" s="8212"/>
      <c r="Q27" s="8212"/>
      <c r="R27" s="8212"/>
      <c r="S27" s="8212"/>
      <c r="T27" s="8212"/>
      <c r="U27" s="8212"/>
      <c r="V27" s="8212"/>
      <c r="W27" s="8212"/>
      <c r="X27" s="8193"/>
      <c r="Y27" s="2445"/>
      <c r="AK27" s="2366">
        <v>11</v>
      </c>
    </row>
    <row customHeight="1" ht="11.549999999999999">
      <c r="F28" s="2441">
        <v>2</v>
      </c>
      <c r="G28" s="1901" t="s">
        <v>1249</v>
      </c>
      <c r="H28" s="2447">
        <f>SUM(I28:J28)</f>
        <v>0</v>
      </c>
      <c r="I28" s="2447">
        <f>SUM(I29:I31)</f>
        <v>0</v>
      </c>
      <c r="J28" s="2436"/>
      <c r="K28" s="8209">
        <f>SUM(L28:X28)</f>
        <v>0</v>
      </c>
      <c r="L28" s="8209">
        <f>SUM(L29:L31)</f>
        <v>0</v>
      </c>
      <c r="M28" s="8209">
        <f>SUM(M29:M31)</f>
        <v>0</v>
      </c>
      <c r="N28" s="8209">
        <f>SUM(N29:N31)</f>
        <v>0</v>
      </c>
      <c r="O28" s="8209">
        <f>SUM(O29:O31)</f>
        <v>0</v>
      </c>
      <c r="P28" s="8209">
        <f>SUM(P29:P31)</f>
        <v>0</v>
      </c>
      <c r="Q28" s="8209">
        <f>SUM(Q29:Q31)</f>
        <v>0</v>
      </c>
      <c r="R28" s="8209">
        <f>SUM(R29:R31)</f>
        <v>0</v>
      </c>
      <c r="S28" s="8209">
        <f>SUM(S29:S31)</f>
        <v>0</v>
      </c>
      <c r="T28" s="8209">
        <f>SUM(T29:T31)</f>
        <v>0</v>
      </c>
      <c r="U28" s="8209">
        <f>SUM(U29:U31)</f>
        <v>0</v>
      </c>
      <c r="V28" s="8209">
        <f>SUM(V29:V31)</f>
        <v>0</v>
      </c>
      <c r="W28" s="8209">
        <f>SUM(W29:W31)</f>
        <v>0</v>
      </c>
      <c r="X28" s="8193"/>
      <c r="Y28" s="2445"/>
      <c r="AK28" s="2366">
        <v>11</v>
      </c>
    </row>
    <row customHeight="1" ht="11.549999999999999">
      <c r="F29" s="2441" t="s">
        <v>860</v>
      </c>
      <c r="G29" s="2448" t="s">
        <v>1250</v>
      </c>
      <c r="H29" s="2447">
        <f>SUM(I29:J29)</f>
        <v>0</v>
      </c>
      <c r="I29" s="2446"/>
      <c r="J29" s="2436"/>
      <c r="K29" s="8209">
        <f>SUM(L29:X29)</f>
        <v>0</v>
      </c>
      <c r="L29" s="8212"/>
      <c r="M29" s="8212"/>
      <c r="N29" s="8212"/>
      <c r="O29" s="8212"/>
      <c r="P29" s="8212"/>
      <c r="Q29" s="8212"/>
      <c r="R29" s="8212"/>
      <c r="S29" s="8212"/>
      <c r="T29" s="8212"/>
      <c r="U29" s="8212"/>
      <c r="V29" s="8212"/>
      <c r="W29" s="8212"/>
      <c r="X29" s="8193"/>
      <c r="Y29" s="2445"/>
      <c r="AK29" s="2366">
        <v>11</v>
      </c>
    </row>
    <row customHeight="1" ht="11.549999999999999">
      <c r="F30" s="2441" t="s">
        <v>325</v>
      </c>
      <c r="G30" s="2448" t="s">
        <v>1251</v>
      </c>
      <c r="H30" s="2447">
        <f>SUM(I30:J30)</f>
        <v>0</v>
      </c>
      <c r="I30" s="2446"/>
      <c r="J30" s="2436"/>
      <c r="K30" s="8209">
        <f>SUM(L30:X30)</f>
        <v>0</v>
      </c>
      <c r="L30" s="8212"/>
      <c r="M30" s="8212"/>
      <c r="N30" s="8212"/>
      <c r="O30" s="8212"/>
      <c r="P30" s="8212"/>
      <c r="Q30" s="8212"/>
      <c r="R30" s="8212"/>
      <c r="S30" s="8212"/>
      <c r="T30" s="8212"/>
      <c r="U30" s="8212"/>
      <c r="V30" s="8212"/>
      <c r="W30" s="8212"/>
      <c r="X30" s="8193"/>
      <c r="Y30" s="2445"/>
      <c r="AK30" s="2366">
        <v>11</v>
      </c>
    </row>
    <row customHeight="1" ht="11.549999999999999">
      <c r="F31" s="2441" t="s">
        <v>328</v>
      </c>
      <c r="G31" s="2448" t="s">
        <v>1252</v>
      </c>
      <c r="H31" s="2447">
        <f>SUM(I31:J31)</f>
        <v>0</v>
      </c>
      <c r="I31" s="2446"/>
      <c r="J31" s="2436"/>
      <c r="K31" s="8209">
        <f>SUM(L31:X31)</f>
        <v>0</v>
      </c>
      <c r="L31" s="8212"/>
      <c r="M31" s="8212"/>
      <c r="N31" s="8212"/>
      <c r="O31" s="8212"/>
      <c r="P31" s="8212"/>
      <c r="Q31" s="8212"/>
      <c r="R31" s="8212"/>
      <c r="S31" s="8212"/>
      <c r="T31" s="8212"/>
      <c r="U31" s="8212"/>
      <c r="V31" s="8212"/>
      <c r="W31" s="8212"/>
      <c r="X31" s="8193"/>
      <c r="Y31" s="2445"/>
      <c r="AK31" s="2366">
        <v>11</v>
      </c>
    </row>
    <row customHeight="1" ht="11.549999999999999">
      <c r="F32" s="2441">
        <v>3</v>
      </c>
      <c r="G32" s="1901" t="s">
        <v>1253</v>
      </c>
      <c r="H32" s="2447">
        <f>SUM(I32:J32)</f>
        <v>0</v>
      </c>
      <c r="I32" s="2447">
        <f>SUM(I33:I34)</f>
        <v>0</v>
      </c>
      <c r="J32" s="2436"/>
      <c r="K32" s="8209">
        <f>SUM(L32:X32)</f>
        <v>0</v>
      </c>
      <c r="L32" s="8209">
        <f>SUM(L33:L34)</f>
        <v>0</v>
      </c>
      <c r="M32" s="8209">
        <f>SUM(M33:M34)</f>
        <v>0</v>
      </c>
      <c r="N32" s="8209">
        <f>SUM(N33:N34)</f>
        <v>0</v>
      </c>
      <c r="O32" s="8209">
        <f>SUM(O33:O34)</f>
        <v>0</v>
      </c>
      <c r="P32" s="8209">
        <f>SUM(P33:P34)</f>
        <v>0</v>
      </c>
      <c r="Q32" s="8209">
        <f>SUM(Q33:Q34)</f>
        <v>0</v>
      </c>
      <c r="R32" s="8209">
        <f>SUM(R33:R34)</f>
        <v>0</v>
      </c>
      <c r="S32" s="8209">
        <f>SUM(S33:S34)</f>
        <v>0</v>
      </c>
      <c r="T32" s="8209">
        <f>SUM(T33:T34)</f>
        <v>0</v>
      </c>
      <c r="U32" s="8209">
        <f>SUM(U33:U34)</f>
        <v>0</v>
      </c>
      <c r="V32" s="8209">
        <f>SUM(V33:V34)</f>
        <v>0</v>
      </c>
      <c r="W32" s="8209">
        <f>SUM(W33:W34)</f>
        <v>0</v>
      </c>
      <c r="X32" s="8193"/>
      <c r="Y32" s="2445"/>
      <c r="AK32" s="2366">
        <v>11</v>
      </c>
    </row>
    <row customHeight="1" ht="48.29999999999999">
      <c r="F33" s="2441" t="s">
        <v>342</v>
      </c>
      <c r="G33" s="2448" t="s">
        <v>1254</v>
      </c>
      <c r="H33" s="2447">
        <f>SUM(I33:J33)</f>
        <v>0</v>
      </c>
      <c r="I33" s="2446"/>
      <c r="J33" s="2436"/>
      <c r="K33" s="8209">
        <f>SUM(L33:X33)</f>
        <v>0</v>
      </c>
      <c r="L33" s="8212"/>
      <c r="M33" s="8212"/>
      <c r="N33" s="8212"/>
      <c r="O33" s="8212"/>
      <c r="P33" s="8212"/>
      <c r="Q33" s="8212"/>
      <c r="R33" s="8212"/>
      <c r="S33" s="8212"/>
      <c r="T33" s="8212"/>
      <c r="U33" s="8212"/>
      <c r="V33" s="8212"/>
      <c r="W33" s="8212"/>
      <c r="X33" s="8193"/>
      <c r="Y33" s="2445"/>
      <c r="AK33" s="2366">
        <v>46</v>
      </c>
    </row>
    <row customHeight="1" ht="11.549999999999999">
      <c r="F34" s="2441" t="s">
        <v>350</v>
      </c>
      <c r="G34" s="2448" t="s">
        <v>1255</v>
      </c>
      <c r="H34" s="2447">
        <f>SUM(I34:J34)</f>
        <v>0</v>
      </c>
      <c r="I34" s="2446"/>
      <c r="J34" s="2436"/>
      <c r="K34" s="8209">
        <f>SUM(L34:X34)</f>
        <v>0</v>
      </c>
      <c r="L34" s="8212"/>
      <c r="M34" s="8212"/>
      <c r="N34" s="8212"/>
      <c r="O34" s="8212"/>
      <c r="P34" s="8212"/>
      <c r="Q34" s="8212"/>
      <c r="R34" s="8212"/>
      <c r="S34" s="8212"/>
      <c r="T34" s="8212"/>
      <c r="U34" s="8212"/>
      <c r="V34" s="8212"/>
      <c r="W34" s="8212"/>
      <c r="X34" s="8193"/>
      <c r="Y34" s="2445"/>
      <c r="AK34" s="2366">
        <v>11</v>
      </c>
    </row>
    <row customHeight="1" ht="11.549999999999999">
      <c r="F35" s="2441">
        <v>4</v>
      </c>
      <c r="G35" s="1901" t="s">
        <v>1256</v>
      </c>
      <c r="H35" s="2447">
        <f>SUM(I35:J35)</f>
        <v>0</v>
      </c>
      <c r="I35" s="2446"/>
      <c r="J35" s="2436"/>
      <c r="K35" s="8209">
        <f>SUM(L35:X35)</f>
        <v>0</v>
      </c>
      <c r="L35" s="8212"/>
      <c r="M35" s="8212"/>
      <c r="N35" s="8212"/>
      <c r="O35" s="8212"/>
      <c r="P35" s="8212"/>
      <c r="Q35" s="8212"/>
      <c r="R35" s="8212"/>
      <c r="S35" s="8212"/>
      <c r="T35" s="8212"/>
      <c r="U35" s="8212"/>
      <c r="V35" s="8212"/>
      <c r="W35" s="8212"/>
      <c r="X35" s="8193"/>
      <c r="Y35" s="2445"/>
      <c r="AK35" s="2366">
        <v>11</v>
      </c>
    </row>
    <row customHeight="1" ht="11.549999999999999">
      <c r="F36" s="2441"/>
      <c r="G36" s="1904" t="s">
        <v>1257</v>
      </c>
      <c r="H36" s="2447">
        <f>SUM(I36:J36)</f>
        <v>0</v>
      </c>
      <c r="I36" s="2447">
        <f>SUM(I15,I28,I32,I35)</f>
        <v>0</v>
      </c>
      <c r="J36" s="2436"/>
      <c r="K36" s="8209">
        <f>SUM(L36:X36)</f>
        <v>0</v>
      </c>
      <c r="L36" s="8209">
        <f>SUM(L15,L28,L32,L35)</f>
        <v>0</v>
      </c>
      <c r="M36" s="8209">
        <f>SUM(M15,M28,M32,M35)</f>
        <v>0</v>
      </c>
      <c r="N36" s="8209">
        <f>SUM(N15,N28,N32,N35)</f>
        <v>0</v>
      </c>
      <c r="O36" s="8209">
        <f>SUM(O15,O28,O32,O35)</f>
        <v>0</v>
      </c>
      <c r="P36" s="8209">
        <f>SUM(P15,P28,P32,P35)</f>
        <v>0</v>
      </c>
      <c r="Q36" s="8209">
        <f>SUM(Q15,Q28,Q32,Q35)</f>
        <v>0</v>
      </c>
      <c r="R36" s="8209">
        <f>SUM(R15,R28,R32,R35)</f>
        <v>0</v>
      </c>
      <c r="S36" s="8209">
        <f>SUM(S15,S28,S32,S35)</f>
        <v>0</v>
      </c>
      <c r="T36" s="8209">
        <f>SUM(T15,T28,T32,T35)</f>
        <v>0</v>
      </c>
      <c r="U36" s="8209">
        <f>SUM(U15,U28,U32,U35)</f>
        <v>0</v>
      </c>
      <c r="V36" s="8209">
        <f>SUM(V15,V28,V32,V35)</f>
        <v>0</v>
      </c>
      <c r="W36" s="8209">
        <f>SUM(W15,W28,W32,W35)</f>
        <v>0</v>
      </c>
      <c r="X36" s="8193"/>
      <c r="Y36" s="2445"/>
      <c r="AK36" s="2366">
        <v>11</v>
      </c>
    </row>
    <row customHeight="1" ht="29.25">
      <c r="F37" s="2442" t="s">
        <v>1258</v>
      </c>
      <c r="G37" s="3633" t="s">
        <v>1259</v>
      </c>
      <c r="H37" s="3633"/>
      <c r="I37" s="3633"/>
      <c r="J37" s="3633"/>
      <c r="K37" s="8215"/>
      <c r="L37" s="8215"/>
      <c r="M37" s="8215"/>
      <c r="N37" s="8215"/>
      <c r="O37" s="8215"/>
      <c r="P37" s="8215"/>
      <c r="Q37" s="8215"/>
      <c r="R37" s="8215"/>
      <c r="S37" s="8215"/>
      <c r="T37" s="8215"/>
      <c r="U37" s="8215"/>
      <c r="V37" s="8215"/>
      <c r="W37" s="8215"/>
      <c r="X37" s="8215"/>
      <c r="Y37" s="2445"/>
      <c r="AK37" s="2366">
        <v>28</v>
      </c>
    </row>
    <row customHeight="1" ht="24">
      <c r="F38" s="2441" t="s">
        <v>99</v>
      </c>
      <c r="G38" s="1901" t="s">
        <v>1260</v>
      </c>
      <c r="H38" s="2447">
        <f>SUM(I38:J38)</f>
        <v>0</v>
      </c>
      <c r="I38" s="2447">
        <f>SUM(I39,I44,I47)</f>
        <v>0</v>
      </c>
      <c r="J38" s="2436"/>
      <c r="K38" s="8209">
        <f>SUM(L38:X38)</f>
        <v>0</v>
      </c>
      <c r="L38" s="8209">
        <f>SUM(L39,L44,L47)</f>
        <v>0</v>
      </c>
      <c r="M38" s="8209">
        <f>SUM(M39,M44,M47)</f>
        <v>0</v>
      </c>
      <c r="N38" s="8209">
        <f>SUM(N39,N44,N47)</f>
        <v>0</v>
      </c>
      <c r="O38" s="8209">
        <f>SUM(O39,O44,O47)</f>
        <v>0</v>
      </c>
      <c r="P38" s="8209">
        <f>SUM(P39,P44,P47)</f>
        <v>0</v>
      </c>
      <c r="Q38" s="8209">
        <f>SUM(Q39,Q44,Q47)</f>
        <v>0</v>
      </c>
      <c r="R38" s="8209">
        <f>SUM(R39,R44,R47)</f>
        <v>0</v>
      </c>
      <c r="S38" s="8209">
        <f>SUM(S39,S44,S47)</f>
        <v>0</v>
      </c>
      <c r="T38" s="8209">
        <f>SUM(T39,T44,T47)</f>
        <v>0</v>
      </c>
      <c r="U38" s="8209">
        <f>SUM(U39,U44,U47)</f>
        <v>0</v>
      </c>
      <c r="V38" s="8209">
        <f>SUM(V39,V44,V47)</f>
        <v>0</v>
      </c>
      <c r="W38" s="8209">
        <f>SUM(W39,W44,W47)</f>
        <v>0</v>
      </c>
      <c r="X38" s="8193"/>
      <c r="Y38" s="2445"/>
      <c r="AK38" s="2366">
        <v>23</v>
      </c>
    </row>
    <row customHeight="1" ht="11.549999999999999">
      <c r="F39" s="2441" t="s">
        <v>652</v>
      </c>
      <c r="G39" s="2448" t="s">
        <v>1228</v>
      </c>
      <c r="H39" s="2447">
        <f>SUM(I39:J39)</f>
        <v>0</v>
      </c>
      <c r="I39" s="2447">
        <f>SUM(I40:I43)</f>
        <v>0</v>
      </c>
      <c r="J39" s="2436"/>
      <c r="K39" s="8209">
        <f>SUM(L39:X39)</f>
        <v>0</v>
      </c>
      <c r="L39" s="8209">
        <f>SUM(L40:L43)</f>
        <v>0</v>
      </c>
      <c r="M39" s="8209">
        <f>SUM(M40:M43)</f>
        <v>0</v>
      </c>
      <c r="N39" s="8209">
        <f>SUM(N40:N43)</f>
        <v>0</v>
      </c>
      <c r="O39" s="8209">
        <f>SUM(O40:O43)</f>
        <v>0</v>
      </c>
      <c r="P39" s="8209">
        <f>SUM(P40:P43)</f>
        <v>0</v>
      </c>
      <c r="Q39" s="8209">
        <f>SUM(Q40:Q43)</f>
        <v>0</v>
      </c>
      <c r="R39" s="8209">
        <f>SUM(R40:R43)</f>
        <v>0</v>
      </c>
      <c r="S39" s="8209">
        <f>SUM(S40:S43)</f>
        <v>0</v>
      </c>
      <c r="T39" s="8209">
        <f>SUM(T40:T43)</f>
        <v>0</v>
      </c>
      <c r="U39" s="8209">
        <f>SUM(U40:U43)</f>
        <v>0</v>
      </c>
      <c r="V39" s="8209">
        <f>SUM(V40:V43)</f>
        <v>0</v>
      </c>
      <c r="W39" s="8209">
        <f>SUM(W40:W43)</f>
        <v>0</v>
      </c>
      <c r="X39" s="8193"/>
      <c r="Y39" s="2445"/>
      <c r="AK39" s="2366">
        <v>11</v>
      </c>
    </row>
    <row customHeight="1" ht="24">
      <c r="F40" s="2441" t="s">
        <v>1261</v>
      </c>
      <c r="G40" s="2449" t="s">
        <v>1262</v>
      </c>
      <c r="H40" s="2447">
        <f>SUM(I40:J40)</f>
        <v>0</v>
      </c>
      <c r="I40" s="2446"/>
      <c r="J40" s="2436"/>
      <c r="K40" s="8209">
        <f>SUM(L40:X40)</f>
        <v>0</v>
      </c>
      <c r="L40" s="8212"/>
      <c r="M40" s="8212"/>
      <c r="N40" s="8212"/>
      <c r="O40" s="8212"/>
      <c r="P40" s="8212"/>
      <c r="Q40" s="8212"/>
      <c r="R40" s="8212"/>
      <c r="S40" s="8212"/>
      <c r="T40" s="8212"/>
      <c r="U40" s="8212"/>
      <c r="V40" s="8212"/>
      <c r="W40" s="8212"/>
      <c r="X40" s="8193"/>
      <c r="Y40" s="2445"/>
      <c r="AK40" s="2366">
        <v>23</v>
      </c>
    </row>
    <row customHeight="1" ht="11.549999999999999">
      <c r="F41" s="2441" t="s">
        <v>1263</v>
      </c>
      <c r="G41" s="2449" t="s">
        <v>1264</v>
      </c>
      <c r="H41" s="2447">
        <f>SUM(I41:J41)</f>
        <v>0</v>
      </c>
      <c r="I41" s="2446"/>
      <c r="J41" s="2436"/>
      <c r="K41" s="8209">
        <f>SUM(L41:X41)</f>
        <v>0</v>
      </c>
      <c r="L41" s="8212"/>
      <c r="M41" s="8212"/>
      <c r="N41" s="8212"/>
      <c r="O41" s="8212"/>
      <c r="P41" s="8212"/>
      <c r="Q41" s="8212"/>
      <c r="R41" s="8212"/>
      <c r="S41" s="8212"/>
      <c r="T41" s="8212"/>
      <c r="U41" s="8212"/>
      <c r="V41" s="8212"/>
      <c r="W41" s="8212"/>
      <c r="X41" s="8193"/>
      <c r="Y41" s="2445"/>
      <c r="AK41" s="2366">
        <v>11</v>
      </c>
    </row>
    <row customHeight="1" ht="11.549999999999999">
      <c r="F42" s="2441" t="s">
        <v>1265</v>
      </c>
      <c r="G42" s="2449" t="s">
        <v>1266</v>
      </c>
      <c r="H42" s="2447">
        <f>SUM(I42:J42)</f>
        <v>0</v>
      </c>
      <c r="I42" s="2446"/>
      <c r="J42" s="2436"/>
      <c r="K42" s="8209">
        <f>SUM(L42:X42)</f>
        <v>0</v>
      </c>
      <c r="L42" s="8212"/>
      <c r="M42" s="8212"/>
      <c r="N42" s="8212"/>
      <c r="O42" s="8212"/>
      <c r="P42" s="8212"/>
      <c r="Q42" s="8212"/>
      <c r="R42" s="8212"/>
      <c r="S42" s="8212"/>
      <c r="T42" s="8212"/>
      <c r="U42" s="8212"/>
      <c r="V42" s="8212"/>
      <c r="W42" s="8212"/>
      <c r="X42" s="8193"/>
      <c r="Y42" s="2445"/>
      <c r="AK42" s="2366">
        <v>11</v>
      </c>
    </row>
    <row customHeight="1" ht="35.699999999999996">
      <c r="F43" s="2441" t="s">
        <v>1267</v>
      </c>
      <c r="G43" s="2449" t="s">
        <v>1268</v>
      </c>
      <c r="H43" s="2447">
        <f>SUM(I43:J43)</f>
        <v>0</v>
      </c>
      <c r="I43" s="2446"/>
      <c r="J43" s="2436"/>
      <c r="K43" s="8209">
        <f>SUM(L43:X43)</f>
        <v>0</v>
      </c>
      <c r="L43" s="8212"/>
      <c r="M43" s="8212"/>
      <c r="N43" s="8212"/>
      <c r="O43" s="8212"/>
      <c r="P43" s="8212"/>
      <c r="Q43" s="8212"/>
      <c r="R43" s="8212"/>
      <c r="S43" s="8212"/>
      <c r="T43" s="8212"/>
      <c r="U43" s="8212"/>
      <c r="V43" s="8212"/>
      <c r="W43" s="8212"/>
      <c r="X43" s="8193"/>
      <c r="Y43" s="2445"/>
      <c r="AK43" s="2366">
        <v>34</v>
      </c>
    </row>
    <row customHeight="1" ht="11.549999999999999">
      <c r="F44" s="2441" t="s">
        <v>658</v>
      </c>
      <c r="G44" s="2448" t="s">
        <v>1253</v>
      </c>
      <c r="H44" s="2447">
        <f>SUM(I44:J44)</f>
        <v>0</v>
      </c>
      <c r="I44" s="2447">
        <f>SUM(I45:I46)</f>
        <v>0</v>
      </c>
      <c r="J44" s="2436"/>
      <c r="K44" s="8209">
        <f>SUM(L44:X44)</f>
        <v>0</v>
      </c>
      <c r="L44" s="8209">
        <f>SUM(L45:L46)</f>
        <v>0</v>
      </c>
      <c r="M44" s="8209">
        <f>SUM(M45:M46)</f>
        <v>0</v>
      </c>
      <c r="N44" s="8209">
        <f>SUM(N45:N46)</f>
        <v>0</v>
      </c>
      <c r="O44" s="8209">
        <f>SUM(O45:O46)</f>
        <v>0</v>
      </c>
      <c r="P44" s="8209">
        <f>SUM(P45:P46)</f>
        <v>0</v>
      </c>
      <c r="Q44" s="8209">
        <f>SUM(Q45:Q46)</f>
        <v>0</v>
      </c>
      <c r="R44" s="8209">
        <f>SUM(R45:R46)</f>
        <v>0</v>
      </c>
      <c r="S44" s="8209">
        <f>SUM(S45:S46)</f>
        <v>0</v>
      </c>
      <c r="T44" s="8209">
        <f>SUM(T45:T46)</f>
        <v>0</v>
      </c>
      <c r="U44" s="8209">
        <f>SUM(U45:U46)</f>
        <v>0</v>
      </c>
      <c r="V44" s="8209">
        <f>SUM(V45:V46)</f>
        <v>0</v>
      </c>
      <c r="W44" s="8209">
        <f>SUM(W45:W46)</f>
        <v>0</v>
      </c>
      <c r="X44" s="8193"/>
      <c r="Y44" s="2445"/>
      <c r="AK44" s="2366">
        <v>11</v>
      </c>
    </row>
    <row customHeight="1" ht="48.29999999999999">
      <c r="F45" s="2441" t="s">
        <v>1269</v>
      </c>
      <c r="G45" s="2449" t="s">
        <v>1254</v>
      </c>
      <c r="H45" s="2447">
        <f>SUM(I45:J45)</f>
        <v>0</v>
      </c>
      <c r="I45" s="2446"/>
      <c r="J45" s="2436"/>
      <c r="K45" s="8209">
        <f>SUM(L45:X45)</f>
        <v>0</v>
      </c>
      <c r="L45" s="8212"/>
      <c r="M45" s="8212"/>
      <c r="N45" s="8212"/>
      <c r="O45" s="8212"/>
      <c r="P45" s="8212"/>
      <c r="Q45" s="8212"/>
      <c r="R45" s="8212"/>
      <c r="S45" s="8212"/>
      <c r="T45" s="8212"/>
      <c r="U45" s="8212"/>
      <c r="V45" s="8212"/>
      <c r="W45" s="8212"/>
      <c r="X45" s="8193"/>
      <c r="Y45" s="2445"/>
      <c r="AK45" s="2366">
        <v>46</v>
      </c>
    </row>
    <row customHeight="1" ht="11.549999999999999">
      <c r="F46" s="2441" t="s">
        <v>1270</v>
      </c>
      <c r="G46" s="2449" t="s">
        <v>1255</v>
      </c>
      <c r="H46" s="2447">
        <f>SUM(I46:J46)</f>
        <v>0</v>
      </c>
      <c r="I46" s="2446"/>
      <c r="J46" s="2436"/>
      <c r="K46" s="8209">
        <f>SUM(L46:X46)</f>
        <v>0</v>
      </c>
      <c r="L46" s="8212"/>
      <c r="M46" s="8212"/>
      <c r="N46" s="8212"/>
      <c r="O46" s="8212"/>
      <c r="P46" s="8212"/>
      <c r="Q46" s="8212"/>
      <c r="R46" s="8212"/>
      <c r="S46" s="8212"/>
      <c r="T46" s="8212"/>
      <c r="U46" s="8212"/>
      <c r="V46" s="8212"/>
      <c r="W46" s="8212"/>
      <c r="X46" s="8193"/>
      <c r="Y46" s="2445"/>
      <c r="AK46" s="2366">
        <v>11</v>
      </c>
    </row>
    <row customHeight="1" ht="11.549999999999999">
      <c r="F47" s="2441" t="s">
        <v>661</v>
      </c>
      <c r="G47" s="2448" t="s">
        <v>1271</v>
      </c>
      <c r="H47" s="2447">
        <f>SUM(I47:J47)</f>
        <v>0</v>
      </c>
      <c r="I47" s="2446"/>
      <c r="J47" s="2436"/>
      <c r="K47" s="8209">
        <f>SUM(L47:X47)</f>
        <v>0</v>
      </c>
      <c r="L47" s="8212"/>
      <c r="M47" s="8212"/>
      <c r="N47" s="8212"/>
      <c r="O47" s="8212"/>
      <c r="P47" s="8212"/>
      <c r="Q47" s="8212"/>
      <c r="R47" s="8212"/>
      <c r="S47" s="8212"/>
      <c r="T47" s="8212"/>
      <c r="U47" s="8212"/>
      <c r="V47" s="8212"/>
      <c r="W47" s="8212"/>
      <c r="X47" s="8193"/>
      <c r="Y47" s="2445"/>
      <c r="AK47" s="2366">
        <v>11</v>
      </c>
    </row>
    <row customHeight="1" ht="24">
      <c r="F48" s="2441" t="s">
        <v>102</v>
      </c>
      <c r="G48" s="1901" t="s">
        <v>1272</v>
      </c>
      <c r="H48" s="2447">
        <f>SUM(I48:J48)</f>
        <v>0</v>
      </c>
      <c r="I48" s="2447">
        <f>SUM(I49,I54,I57)</f>
        <v>0</v>
      </c>
      <c r="J48" s="2436"/>
      <c r="K48" s="8209">
        <f>SUM(L48:X48)</f>
        <v>0</v>
      </c>
      <c r="L48" s="8209">
        <f>SUM(L49,L54,L57)</f>
        <v>0</v>
      </c>
      <c r="M48" s="8209">
        <f>SUM(M49,M54,M57)</f>
        <v>0</v>
      </c>
      <c r="N48" s="8209">
        <f>SUM(N49,N54,N57)</f>
        <v>0</v>
      </c>
      <c r="O48" s="8209">
        <f>SUM(O49,O54,O57)</f>
        <v>0</v>
      </c>
      <c r="P48" s="8209">
        <f>SUM(P49,P54,P57)</f>
        <v>0</v>
      </c>
      <c r="Q48" s="8209">
        <f>SUM(Q49,Q54,Q57)</f>
        <v>0</v>
      </c>
      <c r="R48" s="8209">
        <f>SUM(R49,R54,R57)</f>
        <v>0</v>
      </c>
      <c r="S48" s="8209">
        <f>SUM(S49,S54,S57)</f>
        <v>0</v>
      </c>
      <c r="T48" s="8209">
        <f>SUM(T49,T54,T57)</f>
        <v>0</v>
      </c>
      <c r="U48" s="8209">
        <f>SUM(U49,U54,U57)</f>
        <v>0</v>
      </c>
      <c r="V48" s="8209">
        <f>SUM(V49,V54,V57)</f>
        <v>0</v>
      </c>
      <c r="W48" s="8209">
        <f>SUM(W49,W54,W57)</f>
        <v>0</v>
      </c>
      <c r="X48" s="8193"/>
      <c r="Y48" s="2445"/>
      <c r="AK48" s="2366">
        <v>23</v>
      </c>
    </row>
    <row customHeight="1" ht="11.549999999999999">
      <c r="F49" s="2441" t="s">
        <v>860</v>
      </c>
      <c r="G49" s="2448" t="s">
        <v>1228</v>
      </c>
      <c r="H49" s="2447">
        <f>SUM(I49:J49)</f>
        <v>0</v>
      </c>
      <c r="I49" s="2447">
        <f>SUM(I50:I53)</f>
        <v>0</v>
      </c>
      <c r="J49" s="2436"/>
      <c r="K49" s="8209">
        <f>SUM(L49:X49)</f>
        <v>0</v>
      </c>
      <c r="L49" s="8209">
        <f>SUM(L50:L53)</f>
        <v>0</v>
      </c>
      <c r="M49" s="8209">
        <f>SUM(M50:M53)</f>
        <v>0</v>
      </c>
      <c r="N49" s="8209">
        <f>SUM(N50:N53)</f>
        <v>0</v>
      </c>
      <c r="O49" s="8209">
        <f>SUM(O50:O53)</f>
        <v>0</v>
      </c>
      <c r="P49" s="8209">
        <f>SUM(P50:P53)</f>
        <v>0</v>
      </c>
      <c r="Q49" s="8209">
        <f>SUM(Q50:Q53)</f>
        <v>0</v>
      </c>
      <c r="R49" s="8209">
        <f>SUM(R50:R53)</f>
        <v>0</v>
      </c>
      <c r="S49" s="8209">
        <f>SUM(S50:S53)</f>
        <v>0</v>
      </c>
      <c r="T49" s="8209">
        <f>SUM(T50:T53)</f>
        <v>0</v>
      </c>
      <c r="U49" s="8209">
        <f>SUM(U50:U53)</f>
        <v>0</v>
      </c>
      <c r="V49" s="8209">
        <f>SUM(V50:V53)</f>
        <v>0</v>
      </c>
      <c r="W49" s="8209">
        <f>SUM(W50:W53)</f>
        <v>0</v>
      </c>
      <c r="X49" s="8193"/>
      <c r="Y49" s="2445"/>
      <c r="AK49" s="2366">
        <v>11</v>
      </c>
    </row>
    <row customHeight="1" ht="24">
      <c r="F50" s="2441" t="s">
        <v>863</v>
      </c>
      <c r="G50" s="2449" t="s">
        <v>1262</v>
      </c>
      <c r="H50" s="2447">
        <f>SUM(I50:J50)</f>
        <v>0</v>
      </c>
      <c r="I50" s="2446"/>
      <c r="J50" s="2436"/>
      <c r="K50" s="8209">
        <f>SUM(L50:X50)</f>
        <v>0</v>
      </c>
      <c r="L50" s="8212"/>
      <c r="M50" s="8212"/>
      <c r="N50" s="8212"/>
      <c r="O50" s="8212"/>
      <c r="P50" s="8212"/>
      <c r="Q50" s="8212"/>
      <c r="R50" s="8212"/>
      <c r="S50" s="8212"/>
      <c r="T50" s="8212"/>
      <c r="U50" s="8212"/>
      <c r="V50" s="8212"/>
      <c r="W50" s="8212"/>
      <c r="X50" s="8193"/>
      <c r="Y50" s="2445"/>
      <c r="AK50" s="2366">
        <v>23</v>
      </c>
    </row>
    <row customHeight="1" ht="11.549999999999999">
      <c r="F51" s="2441" t="s">
        <v>866</v>
      </c>
      <c r="G51" s="2449" t="s">
        <v>1264</v>
      </c>
      <c r="H51" s="2447">
        <f>SUM(I51:J51)</f>
        <v>0</v>
      </c>
      <c r="I51" s="2446"/>
      <c r="J51" s="2436"/>
      <c r="K51" s="8209">
        <f>SUM(L51:X51)</f>
        <v>0</v>
      </c>
      <c r="L51" s="8212"/>
      <c r="M51" s="8212"/>
      <c r="N51" s="8212"/>
      <c r="O51" s="8212"/>
      <c r="P51" s="8212"/>
      <c r="Q51" s="8212"/>
      <c r="R51" s="8212"/>
      <c r="S51" s="8212"/>
      <c r="T51" s="8212"/>
      <c r="U51" s="8212"/>
      <c r="V51" s="8212"/>
      <c r="W51" s="8212"/>
      <c r="X51" s="8193"/>
      <c r="Y51" s="2445"/>
      <c r="AK51" s="2366">
        <v>11</v>
      </c>
    </row>
    <row customHeight="1" ht="11.549999999999999">
      <c r="F52" s="2441" t="s">
        <v>1273</v>
      </c>
      <c r="G52" s="2449" t="s">
        <v>1266</v>
      </c>
      <c r="H52" s="2447">
        <f>SUM(I52:J52)</f>
        <v>0</v>
      </c>
      <c r="I52" s="2446"/>
      <c r="J52" s="2436"/>
      <c r="K52" s="8209">
        <f>SUM(L52:X52)</f>
        <v>0</v>
      </c>
      <c r="L52" s="8212"/>
      <c r="M52" s="8212"/>
      <c r="N52" s="8212"/>
      <c r="O52" s="8212"/>
      <c r="P52" s="8212"/>
      <c r="Q52" s="8212"/>
      <c r="R52" s="8212"/>
      <c r="S52" s="8212"/>
      <c r="T52" s="8212"/>
      <c r="U52" s="8212"/>
      <c r="V52" s="8212"/>
      <c r="W52" s="8212"/>
      <c r="X52" s="8193"/>
      <c r="Y52" s="2445"/>
      <c r="AK52" s="2366">
        <v>11</v>
      </c>
    </row>
    <row customHeight="1" ht="35.699999999999996">
      <c r="F53" s="2441" t="s">
        <v>1274</v>
      </c>
      <c r="G53" s="2449" t="s">
        <v>1268</v>
      </c>
      <c r="H53" s="2447">
        <f>SUM(I53:J53)</f>
        <v>0</v>
      </c>
      <c r="I53" s="2446"/>
      <c r="J53" s="2436"/>
      <c r="K53" s="8209">
        <f>SUM(L53:X53)</f>
        <v>0</v>
      </c>
      <c r="L53" s="8212"/>
      <c r="M53" s="8212"/>
      <c r="N53" s="8212"/>
      <c r="O53" s="8212"/>
      <c r="P53" s="8212"/>
      <c r="Q53" s="8212"/>
      <c r="R53" s="8212"/>
      <c r="S53" s="8212"/>
      <c r="T53" s="8212"/>
      <c r="U53" s="8212"/>
      <c r="V53" s="8212"/>
      <c r="W53" s="8212"/>
      <c r="X53" s="8193"/>
      <c r="Y53" s="2445"/>
      <c r="AK53" s="2366">
        <v>34</v>
      </c>
    </row>
    <row customHeight="1" ht="11.549999999999999">
      <c r="F54" s="2441" t="s">
        <v>325</v>
      </c>
      <c r="G54" s="2448" t="s">
        <v>1253</v>
      </c>
      <c r="H54" s="2447">
        <f>SUM(I54:J54)</f>
        <v>0</v>
      </c>
      <c r="I54" s="2447">
        <f>SUM(I55:I56)</f>
        <v>0</v>
      </c>
      <c r="J54" s="2436"/>
      <c r="K54" s="8209">
        <f>SUM(L54:X54)</f>
        <v>0</v>
      </c>
      <c r="L54" s="8209">
        <f>SUM(L55:L56)</f>
        <v>0</v>
      </c>
      <c r="M54" s="8209">
        <f>SUM(M55:M56)</f>
        <v>0</v>
      </c>
      <c r="N54" s="8209">
        <f>SUM(N55:N56)</f>
        <v>0</v>
      </c>
      <c r="O54" s="8209">
        <f>SUM(O55:O56)</f>
        <v>0</v>
      </c>
      <c r="P54" s="8209">
        <f>SUM(P55:P56)</f>
        <v>0</v>
      </c>
      <c r="Q54" s="8209">
        <f>SUM(Q55:Q56)</f>
        <v>0</v>
      </c>
      <c r="R54" s="8209">
        <f>SUM(R55:R56)</f>
        <v>0</v>
      </c>
      <c r="S54" s="8209">
        <f>SUM(S55:S56)</f>
        <v>0</v>
      </c>
      <c r="T54" s="8209">
        <f>SUM(T55:T56)</f>
        <v>0</v>
      </c>
      <c r="U54" s="8209">
        <f>SUM(U55:U56)</f>
        <v>0</v>
      </c>
      <c r="V54" s="8209">
        <f>SUM(V55:V56)</f>
        <v>0</v>
      </c>
      <c r="W54" s="8209">
        <f>SUM(W55:W56)</f>
        <v>0</v>
      </c>
      <c r="X54" s="8193"/>
      <c r="Y54" s="2445"/>
      <c r="AK54" s="2366">
        <v>11</v>
      </c>
    </row>
    <row customHeight="1" ht="48.29999999999999">
      <c r="F55" s="2441" t="s">
        <v>870</v>
      </c>
      <c r="G55" s="2449" t="s">
        <v>1254</v>
      </c>
      <c r="H55" s="2447">
        <f>SUM(I55:J55)</f>
        <v>0</v>
      </c>
      <c r="I55" s="2446"/>
      <c r="J55" s="2436"/>
      <c r="K55" s="8209">
        <f>SUM(L55:X55)</f>
        <v>0</v>
      </c>
      <c r="L55" s="8212"/>
      <c r="M55" s="8212"/>
      <c r="N55" s="8212"/>
      <c r="O55" s="8212"/>
      <c r="P55" s="8212"/>
      <c r="Q55" s="8212"/>
      <c r="R55" s="8212"/>
      <c r="S55" s="8212"/>
      <c r="T55" s="8212"/>
      <c r="U55" s="8212"/>
      <c r="V55" s="8212"/>
      <c r="W55" s="8212"/>
      <c r="X55" s="8193"/>
      <c r="Y55" s="2445"/>
      <c r="AK55" s="2366">
        <v>46</v>
      </c>
    </row>
    <row customHeight="1" ht="11.549999999999999">
      <c r="F56" s="2441" t="s">
        <v>872</v>
      </c>
      <c r="G56" s="2449" t="s">
        <v>1255</v>
      </c>
      <c r="H56" s="2447">
        <f>SUM(I56:J56)</f>
        <v>0</v>
      </c>
      <c r="I56" s="2446"/>
      <c r="J56" s="2436"/>
      <c r="K56" s="8209">
        <f>SUM(L56:X56)</f>
        <v>0</v>
      </c>
      <c r="L56" s="8212"/>
      <c r="M56" s="8212"/>
      <c r="N56" s="8212"/>
      <c r="O56" s="8212"/>
      <c r="P56" s="8212"/>
      <c r="Q56" s="8212"/>
      <c r="R56" s="8212"/>
      <c r="S56" s="8212"/>
      <c r="T56" s="8212"/>
      <c r="U56" s="8212"/>
      <c r="V56" s="8212"/>
      <c r="W56" s="8212"/>
      <c r="X56" s="8193"/>
      <c r="Y56" s="2445"/>
      <c r="AK56" s="2366">
        <v>11</v>
      </c>
    </row>
    <row customHeight="1" ht="11.549999999999999">
      <c r="F57" s="2441" t="s">
        <v>328</v>
      </c>
      <c r="G57" s="2448" t="s">
        <v>1271</v>
      </c>
      <c r="H57" s="2447">
        <f>SUM(I57:J57)</f>
        <v>0</v>
      </c>
      <c r="I57" s="2446"/>
      <c r="J57" s="2436"/>
      <c r="K57" s="8209">
        <f>SUM(L57:X57)</f>
        <v>0</v>
      </c>
      <c r="L57" s="8212"/>
      <c r="M57" s="8212"/>
      <c r="N57" s="8212"/>
      <c r="O57" s="8212"/>
      <c r="P57" s="8212"/>
      <c r="Q57" s="8212"/>
      <c r="R57" s="8212"/>
      <c r="S57" s="8212"/>
      <c r="T57" s="8212"/>
      <c r="U57" s="8212"/>
      <c r="V57" s="8212"/>
      <c r="W57" s="8212"/>
      <c r="X57" s="8193"/>
      <c r="Y57" s="2445"/>
      <c r="AK57" s="2366">
        <v>11</v>
      </c>
    </row>
    <row customHeight="1" ht="11.549999999999999">
      <c r="F58" s="2441"/>
      <c r="G58" s="2450" t="s">
        <v>1257</v>
      </c>
      <c r="H58" s="2447">
        <f>SUM(I58:J58)</f>
        <v>0</v>
      </c>
      <c r="I58" s="2447">
        <f>SUM(I38,I48)</f>
        <v>0</v>
      </c>
      <c r="J58" s="2436"/>
      <c r="K58" s="8209">
        <f>SUM(L58:X58)</f>
        <v>0</v>
      </c>
      <c r="L58" s="8209">
        <f>SUM(L38,L48)</f>
        <v>0</v>
      </c>
      <c r="M58" s="8209">
        <f>SUM(M38,M48)</f>
        <v>0</v>
      </c>
      <c r="N58" s="8209">
        <f>SUM(N38,N48)</f>
        <v>0</v>
      </c>
      <c r="O58" s="8209">
        <f>SUM(O38,O48)</f>
        <v>0</v>
      </c>
      <c r="P58" s="8209">
        <f>SUM(P38,P48)</f>
        <v>0</v>
      </c>
      <c r="Q58" s="8209">
        <f>SUM(Q38,Q48)</f>
        <v>0</v>
      </c>
      <c r="R58" s="8209">
        <f>SUM(R38,R48)</f>
        <v>0</v>
      </c>
      <c r="S58" s="8209">
        <f>SUM(S38,S48)</f>
        <v>0</v>
      </c>
      <c r="T58" s="8209">
        <f>SUM(T38,T48)</f>
        <v>0</v>
      </c>
      <c r="U58" s="8209">
        <f>SUM(U38,U48)</f>
        <v>0</v>
      </c>
      <c r="V58" s="8209">
        <f>SUM(V38,V48)</f>
        <v>0</v>
      </c>
      <c r="W58" s="8209">
        <f>SUM(W38,W48)</f>
        <v>0</v>
      </c>
      <c r="X58" s="8193"/>
      <c r="Y58" s="2445"/>
      <c r="AK58" s="2366">
        <v>11</v>
      </c>
    </row>
    <row customHeight="1" ht="10.5" hidden="1">
      <c r="A59" s="2377" t="s">
        <v>82</v>
      </c>
      <c r="B59" s="2377">
        <v>0</v>
      </c>
      <c r="C59" s="2377">
        <v>0</v>
      </c>
      <c r="D59" s="2371">
        <v>0</v>
      </c>
      <c r="E59" s="1720">
        <v>3</v>
      </c>
      <c r="F59" s="2366">
        <v>6</v>
      </c>
      <c r="G59" s="2366">
        <v>60</v>
      </c>
      <c r="H59" s="2366">
        <v>0</v>
      </c>
      <c r="I59" s="2366">
        <v>0</v>
      </c>
      <c r="J59" s="2366">
        <v>0</v>
      </c>
      <c r="K59" s="8042">
        <v>0</v>
      </c>
      <c r="L59" s="8042">
        <v>0</v>
      </c>
      <c r="M59" s="8042">
        <v>0</v>
      </c>
      <c r="N59" s="8042">
        <v>0</v>
      </c>
      <c r="O59" s="8042">
        <v>0</v>
      </c>
      <c r="P59" s="8042">
        <v>0</v>
      </c>
      <c r="Q59" s="8042">
        <v>0</v>
      </c>
      <c r="R59" s="8042">
        <v>0</v>
      </c>
      <c r="S59" s="8042">
        <v>0</v>
      </c>
      <c r="T59" s="8042">
        <v>0</v>
      </c>
      <c r="U59" s="8042">
        <v>0</v>
      </c>
      <c r="V59" s="8042">
        <v>0</v>
      </c>
      <c r="W59" s="8042">
        <v>0</v>
      </c>
      <c r="X59" s="8042">
        <v>0</v>
      </c>
      <c r="Y59" s="2366">
        <v>1</v>
      </c>
      <c r="Z59" s="2366">
        <v>8</v>
      </c>
      <c r="AA59" s="2366">
        <v>8</v>
      </c>
      <c r="AB59" s="2366">
        <v>8</v>
      </c>
      <c r="AC59" s="2366">
        <v>8</v>
      </c>
      <c r="AD59" s="2366">
        <v>8</v>
      </c>
      <c r="AE59" s="2366">
        <v>8</v>
      </c>
      <c r="AF59" s="2366">
        <v>8</v>
      </c>
      <c r="AG59" s="2366">
        <v>8</v>
      </c>
      <c r="AH59" s="2366">
        <v>8</v>
      </c>
      <c r="AI59" s="2366">
        <v>8</v>
      </c>
      <c r="AJ59" s="2366">
        <v>8</v>
      </c>
      <c r="AK59" s="2366">
        <v>10</v>
      </c>
    </row>
  </sheetData>
  <sheetProtection formatColumns="0" formatRows="0" autoFilter="0" sort="0" insertRows="0" insertColumns="1" deleteRows="0" deleteColumns="0"/>
  <mergeCells count="11">
    <mergeCell ref="F5:J5"/>
    <mergeCell ref="F6:J6"/>
    <mergeCell ref="F9:J9"/>
    <mergeCell ref="G14:J14"/>
    <mergeCell ref="G37:J37"/>
    <mergeCell ref="F10:F12"/>
    <mergeCell ref="H10:J10"/>
    <mergeCell ref="H11:J11"/>
    <mergeCell ref="G10:G12"/>
    <mergeCell ref="K10:X10"/>
    <mergeCell ref="K11:X11"/>
  </mergeCells>
  <dataValidations count="1">
    <dataValidation type="decimal" allowBlank="1" showErrorMessage="1" errorTitle="Ошибка" error="Допускается ввод только неотрицательных чисел!" sqref="I29:I31 I33:I35 I40:I43 I45:I47 I50:I53 I55:I57 I16:I27 L16:W16 L17:W17 L18:W18 L19:W19 L20:W20 L21:W21 L22:W22 L23:W23 L24:W24 L25:W25 L26:W26 L27:W27 L29:W29 L30:W30 L31:W31 L33:W33 L34:W34 L35:W35 L40:W40 L41:W41 L42:W42 L43:W43 L45:W45 L46:W46 L47:W47 L50:W50 L51:W51 L52:W52 L53:W53 L55:W55 L56:W56 L57:W5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91A49-1EED-9CEA-44D4-B889FEFCC8C3}" mc:Ignorable="x14ac xr xr2 xr3">
  <sheetPr>
    <tabColor theme="9" tint="-0.25"/>
  </sheetPr>
  <dimension ref="A1:GC32"/>
  <sheetViews>
    <sheetView showGridLines="0" zoomScale="90" workbookViewId="0">
      <pane xSplit="14" ySplit="17" topLeftCell="O21" activePane="bottomRight" state="frozen"/>
      <selection pane="bottomLeft" activeCell="A18" sqref="A18"/>
      <selection pane="topRight" activeCell="O1" sqref="O1"/>
      <selection pane="bottomRight" activeCell="U24" sqref="U24"/>
    </sheetView>
  </sheetViews>
  <sheetFormatPr defaultColWidth="9.140625" customHeight="1" defaultRowHeight="12"/>
  <cols>
    <col min="1" max="1" style="66804" width="4.7109375" hidden="1" customWidth="1"/>
    <col min="2" max="2" style="66806" width="4.7109375" hidden="1" customWidth="1"/>
    <col min="3" max="4" style="66804" width="4.7109375" hidden="1" customWidth="1"/>
    <col min="5" max="5" style="66804" width="3.00390625" customWidth="1"/>
    <col min="6" max="6" style="66804" width="6.00390625" customWidth="1"/>
    <col min="7" max="7" style="66804" width="18.00390625" customWidth="1"/>
    <col min="8" max="8" style="66804" width="27.00390625" customWidth="1"/>
    <col min="9" max="9" style="66804" width="18.00390625" customWidth="1"/>
    <col min="10" max="14" style="66804" width="0.8515625" hidden="1" customWidth="1"/>
    <col min="15" max="28" style="66804" width="21.7109375" customWidth="1"/>
    <col min="29" max="71" style="66804" width="0.8515625" customWidth="1"/>
    <col min="72" max="79" style="66804" width="21.7109375" hidden="1" customWidth="1"/>
    <col min="80" max="81" style="66804" width="29.140625" hidden="1" customWidth="1"/>
    <col min="82" max="89" style="66804" width="21.7109375" hidden="1" customWidth="1"/>
    <col min="90" max="102" style="66804" width="0.7109375" hidden="1" customWidth="1"/>
    <col min="103" max="114" style="66804" width="21.7109375" hidden="1" customWidth="1"/>
    <col min="115" max="178" style="66804" width="0.7109375" hidden="1" customWidth="1"/>
    <col min="179" max="179" style="66804" width="0.140625" customWidth="1"/>
    <col min="180" max="184" style="66804" width="8.00390625" customWidth="1"/>
    <col min="185" max="185" style="66804" width="9.140625" hidden="1"/>
  </cols>
  <sheetData>
    <row s="66606" customFormat="1" customHeight="1" ht="12" hidden="1">
      <c r="B1" s="2134"/>
      <c r="C1" s="2135"/>
      <c r="D1" s="2135"/>
      <c r="GC1" s="2133" t="s">
        <v>14</v>
      </c>
    </row>
    <row s="66606" customFormat="1" customHeight="1" ht="12" hidden="1">
      <c r="B2" s="2134"/>
      <c r="C2" s="2135"/>
      <c r="D2" s="2135"/>
      <c r="E2" s="2135"/>
      <c r="F2" s="2135"/>
      <c r="G2" s="2135"/>
      <c r="H2" s="2135"/>
      <c r="I2" s="2135"/>
      <c r="J2" s="2135"/>
      <c r="K2" s="2135"/>
      <c r="L2" s="2135"/>
      <c r="M2" s="2135"/>
      <c r="N2" s="2135"/>
      <c r="O2" s="2135"/>
      <c r="P2" s="2135"/>
      <c r="Q2" s="2135"/>
      <c r="R2" s="2135"/>
      <c r="S2" s="2135"/>
      <c r="T2" s="2135"/>
      <c r="U2" s="2135"/>
      <c r="V2" s="2135"/>
      <c r="W2" s="2135"/>
      <c r="X2" s="2135"/>
      <c r="Y2" s="2135"/>
      <c r="Z2" s="2135"/>
      <c r="AA2" s="2135"/>
      <c r="AB2" s="2136"/>
      <c r="AC2" s="2135"/>
      <c r="AD2" s="2135"/>
      <c r="AE2" s="2135"/>
      <c r="AF2" s="2135"/>
      <c r="AG2" s="2135"/>
      <c r="AH2" s="2135"/>
      <c r="AI2" s="2135"/>
      <c r="AJ2" s="2135"/>
      <c r="AK2" s="2135"/>
      <c r="AL2" s="2135"/>
      <c r="AM2" s="2135"/>
      <c r="AN2" s="2135"/>
      <c r="AO2" s="2135"/>
      <c r="AP2" s="2135"/>
      <c r="AQ2" s="2135"/>
      <c r="AR2" s="2135"/>
      <c r="AS2" s="2135"/>
      <c r="AT2" s="2135"/>
      <c r="AU2" s="2135"/>
      <c r="AV2" s="2135"/>
      <c r="AW2" s="2135"/>
      <c r="AX2" s="2135"/>
      <c r="AY2" s="2135"/>
      <c r="AZ2" s="2135"/>
      <c r="BA2" s="2135"/>
      <c r="BB2" s="2135"/>
      <c r="BC2" s="2135"/>
      <c r="BD2" s="2135"/>
      <c r="BE2" s="2135"/>
      <c r="BF2" s="2135"/>
      <c r="BG2" s="2135"/>
      <c r="BH2" s="2135"/>
      <c r="BI2" s="2135"/>
      <c r="BJ2" s="2135"/>
      <c r="BK2" s="2135"/>
      <c r="BL2" s="2135"/>
      <c r="BM2" s="2135"/>
      <c r="BN2" s="2135"/>
      <c r="BO2" s="2135"/>
      <c r="BP2" s="2135"/>
      <c r="BQ2" s="2135"/>
      <c r="BR2" s="2135"/>
      <c r="BS2" s="2135"/>
      <c r="BT2" s="2135"/>
      <c r="BU2" s="2135"/>
      <c r="BV2" s="2135"/>
      <c r="BW2" s="2135"/>
      <c r="BX2" s="2135"/>
      <c r="BY2" s="2135"/>
      <c r="BZ2" s="2135"/>
      <c r="CA2" s="2135"/>
      <c r="CB2" s="2135"/>
      <c r="CC2" s="2135"/>
      <c r="CD2" s="2135"/>
      <c r="CE2" s="2135"/>
      <c r="CF2" s="2135"/>
      <c r="CG2" s="2135"/>
      <c r="CH2" s="2135"/>
      <c r="CI2" s="2135"/>
      <c r="CJ2" s="2135"/>
      <c r="CK2" s="2135"/>
      <c r="CL2" s="2135"/>
      <c r="CM2" s="2135"/>
      <c r="CN2" s="2135"/>
      <c r="CO2" s="2135"/>
      <c r="CP2" s="2135"/>
      <c r="CQ2" s="2135"/>
      <c r="CR2" s="2135"/>
      <c r="CS2" s="2135"/>
      <c r="CT2" s="2135"/>
      <c r="CU2" s="2135"/>
      <c r="CV2" s="2135"/>
      <c r="CW2" s="2135"/>
      <c r="CX2" s="2135"/>
      <c r="CY2" s="2135"/>
      <c r="CZ2" s="2135"/>
      <c r="DA2" s="2135"/>
      <c r="DB2" s="2135"/>
      <c r="DC2" s="2135"/>
      <c r="DD2" s="2135"/>
      <c r="DE2" s="2135"/>
      <c r="DF2" s="2135"/>
      <c r="DG2" s="2135"/>
      <c r="DH2" s="2135"/>
      <c r="DI2" s="2135"/>
      <c r="DJ2" s="2135"/>
      <c r="DK2" s="2135"/>
      <c r="DL2" s="2135"/>
      <c r="DM2" s="2135"/>
      <c r="DN2" s="2135"/>
      <c r="DO2" s="2135"/>
      <c r="DP2" s="2135"/>
      <c r="DQ2" s="2135"/>
      <c r="DR2" s="2135"/>
      <c r="DS2" s="2135"/>
      <c r="DT2" s="2135"/>
      <c r="DU2" s="2135"/>
      <c r="DV2" s="2135"/>
      <c r="DW2" s="2135"/>
      <c r="DX2" s="2135"/>
      <c r="DY2" s="2135"/>
      <c r="DZ2" s="2135"/>
      <c r="EA2" s="2135"/>
      <c r="EB2" s="2135"/>
      <c r="EC2" s="2135"/>
      <c r="ED2" s="2135"/>
      <c r="EE2" s="2135"/>
      <c r="EF2" s="2135"/>
      <c r="EG2" s="2135"/>
      <c r="EH2" s="2135"/>
      <c r="EI2" s="2135"/>
      <c r="EJ2" s="2135"/>
      <c r="EK2" s="2135"/>
      <c r="EL2" s="2135"/>
      <c r="EM2" s="2135"/>
      <c r="EN2" s="2135"/>
      <c r="EO2" s="2135"/>
      <c r="EP2" s="2135"/>
      <c r="EQ2" s="2135"/>
      <c r="ER2" s="2135"/>
      <c r="ES2" s="2135"/>
      <c r="ET2" s="2135"/>
      <c r="EU2" s="2135"/>
      <c r="EV2" s="2135"/>
      <c r="EW2" s="2135"/>
      <c r="EX2" s="2135"/>
      <c r="EY2" s="2135"/>
      <c r="EZ2" s="2135"/>
      <c r="FA2" s="2135"/>
      <c r="FB2" s="2135"/>
      <c r="FC2" s="2135"/>
      <c r="FD2" s="2135"/>
      <c r="FE2" s="2135"/>
      <c r="FF2" s="2135"/>
      <c r="FG2" s="2135"/>
      <c r="FH2" s="2135"/>
      <c r="FI2" s="2135"/>
      <c r="FJ2" s="2135"/>
      <c r="FK2" s="2135"/>
      <c r="FL2" s="2135"/>
      <c r="FM2" s="2135"/>
      <c r="FN2" s="2135"/>
      <c r="FO2" s="2135"/>
      <c r="FP2" s="2135"/>
      <c r="FQ2" s="2135"/>
      <c r="FR2" s="2135"/>
      <c r="FS2" s="2135"/>
      <c r="FT2" s="2135"/>
      <c r="FU2" s="2135"/>
      <c r="FV2" s="2135"/>
      <c r="FW2" s="2135"/>
      <c r="GC2" s="2133">
        <v>0</v>
      </c>
    </row>
    <row s="66606" customFormat="1" customHeight="1" ht="12" hidden="1">
      <c r="B3" s="2134"/>
      <c r="C3" s="2135"/>
      <c r="D3" s="2135"/>
      <c r="E3" s="2135"/>
      <c r="F3" s="2135"/>
      <c r="G3" s="2135"/>
      <c r="H3" s="2135"/>
      <c r="I3" s="2135"/>
      <c r="J3" s="2135"/>
      <c r="K3" s="2135"/>
      <c r="L3" s="2135"/>
      <c r="M3" s="2135"/>
      <c r="N3" s="2135"/>
      <c r="O3" s="2135"/>
      <c r="P3" s="2135"/>
      <c r="Q3" s="2135"/>
      <c r="R3" s="2135"/>
      <c r="S3" s="2135"/>
      <c r="T3" s="2135"/>
      <c r="U3" s="2135"/>
      <c r="V3" s="2135"/>
      <c r="W3" s="2135"/>
      <c r="X3" s="2135"/>
      <c r="Y3" s="2135"/>
      <c r="Z3" s="2135"/>
      <c r="AA3" s="2135"/>
      <c r="AB3" s="2136"/>
      <c r="AC3" s="2135"/>
      <c r="AD3" s="2135"/>
      <c r="AE3" s="2135"/>
      <c r="AF3" s="2135"/>
      <c r="AG3" s="2135"/>
      <c r="AH3" s="2135"/>
      <c r="AI3" s="2135"/>
      <c r="AJ3" s="2135"/>
      <c r="AK3" s="2135"/>
      <c r="AL3" s="2135"/>
      <c r="AM3" s="2135"/>
      <c r="AN3" s="2135"/>
      <c r="AO3" s="2135"/>
      <c r="AP3" s="2135"/>
      <c r="AQ3" s="2135"/>
      <c r="AR3" s="2135"/>
      <c r="AS3" s="2135"/>
      <c r="AT3" s="2135"/>
      <c r="AU3" s="2135"/>
      <c r="AV3" s="2135"/>
      <c r="AW3" s="2135"/>
      <c r="AX3" s="2135"/>
      <c r="AY3" s="2135"/>
      <c r="AZ3" s="2135"/>
      <c r="BA3" s="2135"/>
      <c r="BB3" s="2135"/>
      <c r="BC3" s="2135"/>
      <c r="BD3" s="2135"/>
      <c r="BE3" s="2135"/>
      <c r="BF3" s="2135"/>
      <c r="BG3" s="2135"/>
      <c r="BH3" s="2135"/>
      <c r="BI3" s="2135"/>
      <c r="BJ3" s="2135"/>
      <c r="BK3" s="2135"/>
      <c r="BL3" s="2135"/>
      <c r="BM3" s="2135"/>
      <c r="BN3" s="2135"/>
      <c r="BO3" s="2135"/>
      <c r="BP3" s="2135"/>
      <c r="BQ3" s="2135"/>
      <c r="BR3" s="2135"/>
      <c r="BS3" s="2135"/>
      <c r="BT3" s="2135"/>
      <c r="BU3" s="2135"/>
      <c r="BV3" s="2135"/>
      <c r="BW3" s="2135"/>
      <c r="BX3" s="2135"/>
      <c r="BY3" s="2135"/>
      <c r="BZ3" s="2135"/>
      <c r="CA3" s="2135"/>
      <c r="CB3" s="2135"/>
      <c r="CC3" s="2135"/>
      <c r="CD3" s="2135"/>
      <c r="CE3" s="2135"/>
      <c r="CF3" s="2135"/>
      <c r="CG3" s="2135"/>
      <c r="CH3" s="2135"/>
      <c r="CI3" s="2135"/>
      <c r="CJ3" s="2135"/>
      <c r="CK3" s="2135"/>
      <c r="CL3" s="2135"/>
      <c r="CM3" s="2135"/>
      <c r="CN3" s="2135"/>
      <c r="CO3" s="2135"/>
      <c r="CP3" s="2135"/>
      <c r="CQ3" s="2135"/>
      <c r="CR3" s="2135"/>
      <c r="CS3" s="2135"/>
      <c r="CT3" s="2135"/>
      <c r="CU3" s="2135"/>
      <c r="CV3" s="2135"/>
      <c r="CW3" s="2135"/>
      <c r="CX3" s="2135"/>
      <c r="CY3" s="2135"/>
      <c r="CZ3" s="2135"/>
      <c r="DA3" s="2135"/>
      <c r="DB3" s="2135"/>
      <c r="DC3" s="2135"/>
      <c r="DD3" s="2135"/>
      <c r="DE3" s="2135"/>
      <c r="DF3" s="2135"/>
      <c r="DG3" s="2135"/>
      <c r="DH3" s="2135"/>
      <c r="DI3" s="2135"/>
      <c r="DJ3" s="2135"/>
      <c r="DK3" s="2135"/>
      <c r="DL3" s="2135"/>
      <c r="DM3" s="2135"/>
      <c r="DN3" s="2135"/>
      <c r="DO3" s="2135"/>
      <c r="DP3" s="2135"/>
      <c r="DQ3" s="2135"/>
      <c r="DR3" s="2135"/>
      <c r="DS3" s="2135"/>
      <c r="DT3" s="2135"/>
      <c r="DU3" s="2135"/>
      <c r="DV3" s="2135"/>
      <c r="DW3" s="2135"/>
      <c r="DX3" s="2135"/>
      <c r="DY3" s="2135"/>
      <c r="DZ3" s="2135"/>
      <c r="EA3" s="2135"/>
      <c r="EB3" s="2135"/>
      <c r="EC3" s="2135"/>
      <c r="ED3" s="2135"/>
      <c r="EE3" s="2135"/>
      <c r="EF3" s="2135"/>
      <c r="EG3" s="2135"/>
      <c r="EH3" s="2135"/>
      <c r="EI3" s="2135"/>
      <c r="EJ3" s="2135"/>
      <c r="EK3" s="2135"/>
      <c r="EL3" s="2135"/>
      <c r="EM3" s="2135"/>
      <c r="EN3" s="2135"/>
      <c r="EO3" s="2135"/>
      <c r="EP3" s="2135"/>
      <c r="EQ3" s="2135"/>
      <c r="ER3" s="2135"/>
      <c r="ES3" s="2135"/>
      <c r="ET3" s="2135"/>
      <c r="EU3" s="2135"/>
      <c r="EV3" s="2135"/>
      <c r="EW3" s="2135"/>
      <c r="EX3" s="2135"/>
      <c r="EY3" s="2135"/>
      <c r="EZ3" s="2135"/>
      <c r="FA3" s="2135"/>
      <c r="FB3" s="2135"/>
      <c r="FC3" s="2135"/>
      <c r="FD3" s="2135"/>
      <c r="FE3" s="2135"/>
      <c r="FF3" s="2135"/>
      <c r="FG3" s="2135"/>
      <c r="FH3" s="2135"/>
      <c r="FI3" s="2135"/>
      <c r="FJ3" s="2135"/>
      <c r="FK3" s="2135"/>
      <c r="FL3" s="2135"/>
      <c r="FM3" s="2135"/>
      <c r="FN3" s="2135"/>
      <c r="FO3" s="2135"/>
      <c r="FP3" s="2135"/>
      <c r="FQ3" s="2135"/>
      <c r="FR3" s="2135"/>
      <c r="FS3" s="2135"/>
      <c r="FT3" s="2135"/>
      <c r="FU3" s="2135"/>
      <c r="FV3" s="2135"/>
      <c r="FW3" s="2135"/>
      <c r="GC3" s="2133">
        <v>0</v>
      </c>
    </row>
    <row customHeight="1" ht="10.5">
      <c r="B4" s="2138"/>
      <c r="C4" s="2139"/>
      <c r="D4" s="2139"/>
      <c r="E4" s="2139"/>
      <c r="F4" s="2139"/>
      <c r="G4" s="2139"/>
      <c r="H4" s="2140"/>
      <c r="I4" s="2140"/>
      <c r="J4" s="2140"/>
      <c r="K4" s="2140"/>
      <c r="L4" s="2140"/>
      <c r="M4" s="2141"/>
      <c r="N4" s="2141"/>
      <c r="O4" s="2141"/>
      <c r="P4" s="2141"/>
      <c r="Q4" s="2141"/>
      <c r="R4" s="2141"/>
      <c r="S4" s="2141"/>
      <c r="T4" s="2141"/>
      <c r="U4" s="2141"/>
      <c r="V4" s="2141"/>
      <c r="W4" s="2141"/>
      <c r="X4" s="2141"/>
      <c r="Y4" s="2141"/>
      <c r="Z4" s="2141"/>
      <c r="AA4" s="2141"/>
      <c r="AB4" s="2141"/>
      <c r="AC4" s="2141"/>
      <c r="AD4" s="2141"/>
      <c r="AE4" s="2141"/>
      <c r="AF4" s="2141"/>
      <c r="AG4" s="2141"/>
      <c r="AH4" s="2141"/>
      <c r="AI4" s="2141"/>
      <c r="AJ4" s="2141"/>
      <c r="AK4" s="2141"/>
      <c r="AL4" s="2141"/>
      <c r="AM4" s="2141"/>
      <c r="AN4" s="2141"/>
      <c r="AO4" s="2141"/>
      <c r="AP4" s="2141"/>
      <c r="AQ4" s="2141"/>
      <c r="AR4" s="2141"/>
      <c r="AS4" s="2141"/>
      <c r="AT4" s="2141"/>
      <c r="AU4" s="2141"/>
      <c r="AV4" s="2141"/>
      <c r="AW4" s="2141"/>
      <c r="AX4" s="2141"/>
      <c r="AY4" s="2141"/>
      <c r="AZ4" s="2141"/>
      <c r="BA4" s="2141"/>
      <c r="BB4" s="2141"/>
      <c r="BC4" s="2141"/>
      <c r="BD4" s="2141"/>
      <c r="BE4" s="2141"/>
      <c r="BF4" s="2141"/>
      <c r="BG4" s="2141"/>
      <c r="BH4" s="2141"/>
      <c r="BI4" s="2141"/>
      <c r="BJ4" s="2141"/>
      <c r="BK4" s="2141"/>
      <c r="BL4" s="2141"/>
      <c r="BM4" s="2141"/>
      <c r="BN4" s="2141"/>
      <c r="BO4" s="2141"/>
      <c r="BP4" s="2141"/>
      <c r="BQ4" s="2141"/>
      <c r="BR4" s="2141"/>
      <c r="BS4" s="2141"/>
      <c r="BT4" s="2141"/>
      <c r="BU4" s="2141"/>
      <c r="BV4" s="2141"/>
      <c r="BW4" s="2141"/>
      <c r="BX4" s="2141"/>
      <c r="BY4" s="2141"/>
      <c r="BZ4" s="2141"/>
      <c r="CA4" s="2141"/>
      <c r="CB4" s="2141"/>
      <c r="CC4" s="2141"/>
      <c r="CD4" s="2141"/>
      <c r="CE4" s="2141"/>
      <c r="CF4" s="2141"/>
      <c r="CG4" s="2141"/>
      <c r="CH4" s="2141"/>
      <c r="CI4" s="2141"/>
      <c r="CJ4" s="2141"/>
      <c r="CK4" s="2141"/>
      <c r="CL4" s="2141"/>
      <c r="CM4" s="2141"/>
      <c r="CN4" s="2141"/>
      <c r="CO4" s="2141"/>
      <c r="CP4" s="2141"/>
      <c r="CQ4" s="2141"/>
      <c r="CR4" s="2141"/>
      <c r="CS4" s="2141"/>
      <c r="CT4" s="2141"/>
      <c r="CU4" s="2141"/>
      <c r="CV4" s="2141"/>
      <c r="CW4" s="2141"/>
      <c r="CX4" s="2141"/>
      <c r="CY4" s="2141"/>
      <c r="CZ4" s="2141"/>
      <c r="DA4" s="2141"/>
      <c r="DB4" s="2141"/>
      <c r="DC4" s="2141"/>
      <c r="DD4" s="2141"/>
      <c r="DE4" s="2141"/>
      <c r="DF4" s="2141"/>
      <c r="DG4" s="2141"/>
      <c r="DH4" s="2141"/>
      <c r="DI4" s="2141"/>
      <c r="DJ4" s="2141"/>
      <c r="DK4" s="2141"/>
      <c r="DL4" s="2141"/>
      <c r="DM4" s="2141"/>
      <c r="DN4" s="2141"/>
      <c r="DO4" s="2141"/>
      <c r="DP4" s="2141"/>
      <c r="DQ4" s="2141"/>
      <c r="DR4" s="2141"/>
      <c r="DS4" s="2141"/>
      <c r="DT4" s="2141"/>
      <c r="DU4" s="2141"/>
      <c r="DV4" s="2141"/>
      <c r="DW4" s="2141"/>
      <c r="DX4" s="2141"/>
      <c r="DY4" s="2141"/>
      <c r="DZ4" s="2141"/>
      <c r="EA4" s="2141"/>
      <c r="EB4" s="2141"/>
      <c r="EC4" s="2141"/>
      <c r="ED4" s="2141"/>
      <c r="EE4" s="2141"/>
      <c r="EF4" s="2141"/>
      <c r="EG4" s="2141"/>
      <c r="EH4" s="2141"/>
      <c r="EI4" s="2141"/>
      <c r="EJ4" s="2141"/>
      <c r="EK4" s="2141"/>
      <c r="EL4" s="2141"/>
      <c r="EM4" s="2141"/>
      <c r="EN4" s="2141"/>
      <c r="EO4" s="2141"/>
      <c r="EP4" s="2141"/>
      <c r="EQ4" s="2141"/>
      <c r="ER4" s="2141"/>
      <c r="ES4" s="2141"/>
      <c r="ET4" s="2141"/>
      <c r="EU4" s="2141"/>
      <c r="EV4" s="2141"/>
      <c r="EW4" s="2141"/>
      <c r="EX4" s="2141"/>
      <c r="EY4" s="2141"/>
      <c r="EZ4" s="2141"/>
      <c r="FA4" s="2141"/>
      <c r="FB4" s="2141"/>
      <c r="FC4" s="2141"/>
      <c r="FD4" s="2141"/>
      <c r="FE4" s="2141"/>
      <c r="FF4" s="2141"/>
      <c r="FG4" s="2141"/>
      <c r="FH4" s="2141"/>
      <c r="FI4" s="2141"/>
      <c r="FJ4" s="2141"/>
      <c r="FK4" s="2141"/>
      <c r="FL4" s="2141"/>
      <c r="FM4" s="2141"/>
      <c r="FN4" s="2141"/>
      <c r="FO4" s="2141"/>
      <c r="FP4" s="2141"/>
      <c r="FQ4" s="2141"/>
      <c r="FR4" s="2141"/>
      <c r="FS4" s="2141"/>
      <c r="FT4" s="2141"/>
      <c r="FU4" s="2141"/>
      <c r="FV4" s="2141"/>
      <c r="FW4" s="2141"/>
      <c r="GC4" s="2137">
        <v>10</v>
      </c>
    </row>
    <row s="66550" customFormat="1" customHeight="1" ht="27.299999999999997">
      <c r="B5" s="3083"/>
      <c r="E5" s="3085"/>
      <c r="F5" s="364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3380"/>
      <c r="H5" s="3380"/>
      <c r="I5" s="3380"/>
      <c r="J5" s="3380"/>
      <c r="K5" s="3380"/>
      <c r="L5" s="3380"/>
      <c r="M5" s="3380"/>
      <c r="N5" s="3380"/>
      <c r="O5" s="3380"/>
      <c r="P5" s="3380"/>
      <c r="Q5" s="3380"/>
      <c r="R5" s="3380"/>
      <c r="S5" s="3380"/>
      <c r="T5" s="3380"/>
      <c r="U5" s="3380"/>
      <c r="V5" s="3380"/>
      <c r="W5" s="3380"/>
      <c r="X5" s="3380"/>
      <c r="Y5" s="3380"/>
      <c r="Z5" s="3380"/>
      <c r="AA5" s="3380"/>
      <c r="AB5" s="3380"/>
      <c r="AC5" s="3380"/>
      <c r="AD5" s="3380"/>
      <c r="AE5" s="3380"/>
      <c r="AF5" s="3380"/>
      <c r="AG5" s="3380"/>
      <c r="AH5" s="3380"/>
      <c r="AI5" s="3380"/>
      <c r="AJ5" s="3380"/>
      <c r="AK5" s="3380"/>
      <c r="AL5" s="3380"/>
      <c r="AM5" s="3380"/>
      <c r="AN5" s="3380"/>
      <c r="AO5" s="3380"/>
      <c r="AP5" s="3380"/>
      <c r="AQ5" s="3380"/>
      <c r="AR5" s="3380"/>
      <c r="AS5" s="3380"/>
      <c r="AT5" s="3380"/>
      <c r="AU5" s="3380"/>
      <c r="AV5" s="3380"/>
      <c r="AW5" s="3380"/>
      <c r="AX5" s="3380"/>
      <c r="AY5" s="3380"/>
      <c r="AZ5" s="3380"/>
      <c r="BA5" s="3380"/>
      <c r="BB5" s="3380"/>
      <c r="BC5" s="3380"/>
      <c r="BD5" s="3380"/>
      <c r="BE5" s="3380"/>
      <c r="BF5" s="3380"/>
      <c r="BG5" s="3380"/>
      <c r="BH5" s="3380"/>
      <c r="BI5" s="3380"/>
      <c r="BJ5" s="3380"/>
      <c r="BK5" s="3380"/>
      <c r="BL5" s="3380"/>
      <c r="BM5" s="3380"/>
      <c r="BN5" s="3380"/>
      <c r="BO5" s="3380"/>
      <c r="BP5" s="3380"/>
      <c r="BQ5" s="3380"/>
      <c r="BR5" s="3380"/>
      <c r="BS5" s="3380"/>
      <c r="GC5" s="3084">
        <v>26</v>
      </c>
    </row>
    <row s="67332" customFormat="1" customHeight="1" ht="18.75">
      <c r="B6" s="2154"/>
      <c r="E6" s="2156"/>
      <c r="F6" s="3425" t="str">
        <f>IF(org=0,"Не определено",org)</f>
        <v>ПАО "ТГК-2"</v>
      </c>
      <c r="G6" s="3426"/>
      <c r="H6" s="3426"/>
      <c r="I6" s="3426"/>
      <c r="J6" s="3426"/>
      <c r="K6" s="3426"/>
      <c r="L6" s="3426"/>
      <c r="M6" s="3426"/>
      <c r="N6" s="3426"/>
      <c r="O6" s="3426"/>
      <c r="P6" s="3426"/>
      <c r="Q6" s="3426"/>
      <c r="R6" s="3426"/>
      <c r="S6" s="3426"/>
      <c r="T6" s="3426"/>
      <c r="U6" s="3426"/>
      <c r="V6" s="3426"/>
      <c r="W6" s="3426"/>
      <c r="X6" s="3426"/>
      <c r="Y6" s="3426"/>
      <c r="Z6" s="3426"/>
      <c r="AA6" s="3426"/>
      <c r="AB6" s="3426"/>
      <c r="AC6" s="3426"/>
      <c r="AD6" s="3426"/>
      <c r="AE6" s="3426"/>
      <c r="AF6" s="3426"/>
      <c r="AG6" s="3426"/>
      <c r="AH6" s="3426"/>
      <c r="AI6" s="3426"/>
      <c r="AJ6" s="3426"/>
      <c r="AK6" s="3426"/>
      <c r="AL6" s="3426"/>
      <c r="AM6" s="3426"/>
      <c r="AN6" s="3426"/>
      <c r="AO6" s="3426"/>
      <c r="AP6" s="3426"/>
      <c r="AQ6" s="3426"/>
      <c r="AR6" s="3426"/>
      <c r="AS6" s="3426"/>
      <c r="AT6" s="3426"/>
      <c r="AU6" s="3426"/>
      <c r="AV6" s="3426"/>
      <c r="AW6" s="3426"/>
      <c r="AX6" s="3426"/>
      <c r="AY6" s="3426"/>
      <c r="AZ6" s="3426"/>
      <c r="BA6" s="3426"/>
      <c r="BB6" s="3426"/>
      <c r="BC6" s="3426"/>
      <c r="BD6" s="3426"/>
      <c r="BE6" s="3426"/>
      <c r="BF6" s="3426"/>
      <c r="BG6" s="3426"/>
      <c r="BH6" s="3426"/>
      <c r="BI6" s="3426"/>
      <c r="BJ6" s="3426"/>
      <c r="BK6" s="3426"/>
      <c r="BL6" s="3426"/>
      <c r="BM6" s="3426"/>
      <c r="BN6" s="3426"/>
      <c r="BO6" s="3426"/>
      <c r="BP6" s="3426"/>
      <c r="BQ6" s="3426"/>
      <c r="BR6" s="3426"/>
      <c r="BS6" s="3426"/>
      <c r="GC6" s="2155">
        <v>18</v>
      </c>
    </row>
    <row s="66559" customFormat="1" customHeight="1" ht="10.5">
      <c r="B7" s="2143"/>
      <c r="E7" s="2144"/>
      <c r="F7" s="2144"/>
      <c r="G7" s="2146"/>
      <c r="H7" s="2140"/>
      <c r="I7" s="2140"/>
      <c r="J7" s="2140"/>
      <c r="K7" s="2140"/>
      <c r="L7" s="2140"/>
      <c r="M7" s="2144"/>
      <c r="N7" s="2144"/>
      <c r="O7" s="2144"/>
      <c r="P7" s="2144"/>
      <c r="Q7" s="2144"/>
      <c r="R7" s="2144"/>
      <c r="S7" s="2144"/>
      <c r="T7" s="2144"/>
      <c r="U7" s="2144"/>
      <c r="V7" s="2144"/>
      <c r="W7" s="2144"/>
      <c r="X7" s="2144"/>
      <c r="Y7" s="2144"/>
      <c r="Z7" s="2144"/>
      <c r="AA7" s="2144"/>
      <c r="AB7" s="2144"/>
      <c r="AC7" s="2144"/>
      <c r="AD7" s="2144"/>
      <c r="AE7" s="2144"/>
      <c r="AF7" s="2144"/>
      <c r="AG7" s="2144"/>
      <c r="AH7" s="2144"/>
      <c r="AI7" s="2144"/>
      <c r="AJ7" s="2144"/>
      <c r="AK7" s="2144"/>
      <c r="AL7" s="2144"/>
      <c r="AM7" s="2144"/>
      <c r="AN7" s="2144"/>
      <c r="AO7" s="2144"/>
      <c r="AP7" s="2144"/>
      <c r="AQ7" s="2144"/>
      <c r="AR7" s="2144"/>
      <c r="AS7" s="2144"/>
      <c r="AT7" s="2144"/>
      <c r="AU7" s="2144"/>
      <c r="AV7" s="2144"/>
      <c r="AW7" s="2144"/>
      <c r="AX7" s="2144"/>
      <c r="AY7" s="2144"/>
      <c r="AZ7" s="2144"/>
      <c r="BA7" s="2144"/>
      <c r="BB7" s="2144"/>
      <c r="BC7" s="2144"/>
      <c r="BD7" s="2144"/>
      <c r="BE7" s="2144"/>
      <c r="BF7" s="2144"/>
      <c r="BG7" s="2144"/>
      <c r="BH7" s="2144"/>
      <c r="BI7" s="2144"/>
      <c r="BJ7" s="2144"/>
      <c r="BK7" s="2144"/>
      <c r="BL7" s="2144"/>
      <c r="BM7" s="2144"/>
      <c r="BN7" s="2144"/>
      <c r="BO7" s="2144"/>
      <c r="BP7" s="2144"/>
      <c r="BQ7" s="2144"/>
      <c r="BR7" s="2144"/>
      <c r="BS7" s="2144"/>
      <c r="BT7" s="2144"/>
      <c r="BU7" s="2144"/>
      <c r="BV7" s="2144"/>
      <c r="BW7" s="2144"/>
      <c r="BX7" s="2144"/>
      <c r="BY7" s="2144"/>
      <c r="BZ7" s="2144"/>
      <c r="CA7" s="2144"/>
      <c r="CB7" s="2144"/>
      <c r="CC7" s="2144"/>
      <c r="CD7" s="2144"/>
      <c r="CE7" s="2144"/>
      <c r="CF7" s="2144"/>
      <c r="CG7" s="2144"/>
      <c r="CH7" s="2144"/>
      <c r="CI7" s="2144"/>
      <c r="CJ7" s="2144"/>
      <c r="CK7" s="2144"/>
      <c r="CL7" s="2144"/>
      <c r="CM7" s="2144"/>
      <c r="CN7" s="2144"/>
      <c r="CO7" s="2144"/>
      <c r="CP7" s="2144"/>
      <c r="CQ7" s="2144"/>
      <c r="CR7" s="2144"/>
      <c r="CS7" s="2144"/>
      <c r="CT7" s="2144"/>
      <c r="CU7" s="2144"/>
      <c r="CV7" s="2144"/>
      <c r="CW7" s="2144"/>
      <c r="CX7" s="2144"/>
      <c r="CY7" s="2144"/>
      <c r="CZ7" s="2144"/>
      <c r="DA7" s="2144"/>
      <c r="DB7" s="2144"/>
      <c r="DC7" s="2144"/>
      <c r="DD7" s="2144"/>
      <c r="DE7" s="2144"/>
      <c r="DF7" s="2144"/>
      <c r="DG7" s="2144"/>
      <c r="DH7" s="2144"/>
      <c r="DI7" s="2144"/>
      <c r="DJ7" s="2144"/>
      <c r="DK7" s="2144"/>
      <c r="DL7" s="2144"/>
      <c r="DM7" s="2144"/>
      <c r="DN7" s="2144"/>
      <c r="DO7" s="2144"/>
      <c r="DP7" s="2144"/>
      <c r="DQ7" s="2144"/>
      <c r="DR7" s="2144"/>
      <c r="DS7" s="2144"/>
      <c r="DT7" s="2144"/>
      <c r="DU7" s="2144"/>
      <c r="DV7" s="2144"/>
      <c r="DW7" s="2144"/>
      <c r="DX7" s="2144"/>
      <c r="DY7" s="2144"/>
      <c r="DZ7" s="2144"/>
      <c r="EA7" s="2144"/>
      <c r="EB7" s="2144"/>
      <c r="EC7" s="2144"/>
      <c r="ED7" s="2144"/>
      <c r="EE7" s="2144"/>
      <c r="EF7" s="2144"/>
      <c r="EG7" s="2144"/>
      <c r="EH7" s="2144"/>
      <c r="EI7" s="2144"/>
      <c r="EJ7" s="2144"/>
      <c r="EK7" s="2144"/>
      <c r="EL7" s="2144"/>
      <c r="EM7" s="2144"/>
      <c r="EN7" s="2144"/>
      <c r="EO7" s="2144"/>
      <c r="EP7" s="2144"/>
      <c r="EQ7" s="2144"/>
      <c r="ER7" s="2144"/>
      <c r="ES7" s="2144"/>
      <c r="ET7" s="2144"/>
      <c r="EU7" s="2144"/>
      <c r="EV7" s="2144"/>
      <c r="EW7" s="2144"/>
      <c r="EX7" s="2144"/>
      <c r="EY7" s="2144"/>
      <c r="EZ7" s="2144"/>
      <c r="FA7" s="2144"/>
      <c r="FB7" s="2144"/>
      <c r="FC7" s="2144"/>
      <c r="FD7" s="2144"/>
      <c r="FE7" s="2144"/>
      <c r="FF7" s="2144"/>
      <c r="FG7" s="2144"/>
      <c r="FH7" s="2144"/>
      <c r="FI7" s="2144"/>
      <c r="FJ7" s="2144"/>
      <c r="FK7" s="2144"/>
      <c r="FL7" s="2144"/>
      <c r="FM7" s="2144"/>
      <c r="FN7" s="2144"/>
      <c r="FO7" s="2144"/>
      <c r="FP7" s="2144"/>
      <c r="FQ7" s="2144"/>
      <c r="FR7" s="2144"/>
      <c r="FS7" s="2144"/>
      <c r="FT7" s="2144"/>
      <c r="FU7" s="2144"/>
      <c r="FV7" s="2144"/>
      <c r="FW7" s="2144"/>
      <c r="GC7" s="2142">
        <v>10</v>
      </c>
    </row>
    <row s="66559" customFormat="1" customHeight="1" ht="11.25" hidden="1">
      <c r="B8" s="2145"/>
      <c r="F8" s="2267"/>
      <c r="G8" s="1974"/>
      <c r="H8" s="1571"/>
      <c r="I8" s="1571"/>
      <c r="J8" s="1571"/>
      <c r="K8" s="1571"/>
      <c r="L8" s="1571"/>
      <c r="M8" s="2267"/>
      <c r="N8" s="2267"/>
      <c r="O8" s="3661" t="s">
        <v>1275</v>
      </c>
      <c r="P8" s="3662"/>
      <c r="Q8" s="3662"/>
      <c r="R8" s="3662"/>
      <c r="S8" s="3662"/>
      <c r="T8" s="3662"/>
      <c r="U8" s="3662"/>
      <c r="V8" s="3662"/>
      <c r="W8" s="3662"/>
      <c r="X8" s="3662"/>
      <c r="Y8" s="3662"/>
      <c r="Z8" s="3662"/>
      <c r="AA8" s="3662"/>
      <c r="AB8" s="3662"/>
      <c r="AC8" s="3662"/>
      <c r="AD8" s="3662"/>
      <c r="AE8" s="3662"/>
      <c r="AF8" s="3662"/>
      <c r="AG8" s="3662"/>
      <c r="AH8" s="3662"/>
      <c r="AI8" s="3662"/>
      <c r="AJ8" s="3662"/>
      <c r="AK8" s="3662"/>
      <c r="AL8" s="3662"/>
      <c r="AM8" s="3662"/>
      <c r="AN8" s="3662"/>
      <c r="AO8" s="3662"/>
      <c r="AP8" s="3662"/>
      <c r="AQ8" s="3662"/>
      <c r="AR8" s="3662"/>
      <c r="AS8" s="3662"/>
      <c r="AT8" s="3662"/>
      <c r="AU8" s="3662"/>
      <c r="AV8" s="3662"/>
      <c r="AW8" s="3662"/>
      <c r="AX8" s="3662"/>
      <c r="AY8" s="3662"/>
      <c r="AZ8" s="3662"/>
      <c r="BA8" s="3662"/>
      <c r="BB8" s="3662"/>
      <c r="BC8" s="3662"/>
      <c r="BD8" s="3662"/>
      <c r="BE8" s="3662"/>
      <c r="BF8" s="3662"/>
      <c r="BG8" s="3662"/>
      <c r="BH8" s="3662"/>
      <c r="BI8" s="3662"/>
      <c r="BJ8" s="3662"/>
      <c r="BK8" s="3662"/>
      <c r="BL8" s="3662"/>
      <c r="BM8" s="3662"/>
      <c r="BN8" s="3662"/>
      <c r="BO8" s="3662"/>
      <c r="BP8" s="3662"/>
      <c r="BQ8" s="3662"/>
      <c r="BR8" s="3662"/>
      <c r="BS8" s="3663"/>
      <c r="BT8" s="3650"/>
      <c r="BU8" s="3651"/>
      <c r="BV8" s="3651"/>
      <c r="BW8" s="3651"/>
      <c r="BX8" s="3651"/>
      <c r="BY8" s="3651"/>
      <c r="BZ8" s="3651"/>
      <c r="CA8" s="3651"/>
      <c r="CB8" s="3651"/>
      <c r="CC8" s="3651"/>
      <c r="CD8" s="3651"/>
      <c r="CE8" s="3651"/>
      <c r="CF8" s="3651"/>
      <c r="CG8" s="3651"/>
      <c r="CH8" s="3651"/>
      <c r="CI8" s="3651"/>
      <c r="CJ8" s="3651"/>
      <c r="CK8" s="3651"/>
      <c r="CL8" s="3651"/>
      <c r="CM8" s="3651"/>
      <c r="CN8" s="3651"/>
      <c r="CO8" s="3651"/>
      <c r="CP8" s="3651"/>
      <c r="CQ8" s="3651"/>
      <c r="CR8" s="3651"/>
      <c r="CS8" s="3651"/>
      <c r="CT8" s="3651"/>
      <c r="CU8" s="3651"/>
      <c r="CV8" s="3651"/>
      <c r="CW8" s="3651"/>
      <c r="CX8" s="3652"/>
      <c r="CY8" s="3653"/>
      <c r="CZ8" s="3654"/>
      <c r="DA8" s="3654"/>
      <c r="DB8" s="3654"/>
      <c r="DC8" s="3654"/>
      <c r="DD8" s="3654"/>
      <c r="DE8" s="3654"/>
      <c r="DF8" s="3654"/>
      <c r="DG8" s="3654"/>
      <c r="DH8" s="3654"/>
      <c r="DI8" s="3654"/>
      <c r="DJ8" s="3654"/>
      <c r="DK8" s="3654"/>
      <c r="DL8" s="3654"/>
      <c r="DM8" s="3654"/>
      <c r="DN8" s="3654"/>
      <c r="DO8" s="3654"/>
      <c r="DP8" s="3654"/>
      <c r="DQ8" s="3654"/>
      <c r="DR8" s="3654"/>
      <c r="DS8" s="3654"/>
      <c r="DT8" s="3654"/>
      <c r="DU8" s="3654"/>
      <c r="DV8" s="3654"/>
      <c r="DW8" s="3654"/>
      <c r="DX8" s="3655"/>
      <c r="DY8" s="3656" t="s">
        <v>1276</v>
      </c>
      <c r="DZ8" s="3657"/>
      <c r="EA8" s="3657"/>
      <c r="EB8" s="3657"/>
      <c r="EC8" s="3657"/>
      <c r="ED8" s="3657"/>
      <c r="EE8" s="3657"/>
      <c r="EF8" s="3657"/>
      <c r="EG8" s="3657"/>
      <c r="EH8" s="3657"/>
      <c r="EI8" s="3657"/>
      <c r="EJ8" s="3657"/>
      <c r="EK8" s="3657"/>
      <c r="EL8" s="3657"/>
      <c r="EM8" s="3657"/>
      <c r="EN8" s="3657"/>
      <c r="EO8" s="3657"/>
      <c r="EP8" s="3657"/>
      <c r="EQ8" s="3657"/>
      <c r="ER8" s="3657"/>
      <c r="ES8" s="3657"/>
      <c r="ET8" s="3657"/>
      <c r="EU8" s="3657"/>
      <c r="EV8" s="3657"/>
      <c r="EW8" s="3657"/>
      <c r="EX8" s="3657"/>
      <c r="EY8" s="3657"/>
      <c r="EZ8" s="3657"/>
      <c r="FA8" s="3657"/>
      <c r="FB8" s="3657"/>
      <c r="FC8" s="3657"/>
      <c r="FD8" s="3657"/>
      <c r="FE8" s="3657"/>
      <c r="FF8" s="3657"/>
      <c r="FG8" s="3657"/>
      <c r="FH8" s="3657"/>
      <c r="FI8" s="3657"/>
      <c r="FJ8" s="3657"/>
      <c r="FK8" s="3657"/>
      <c r="FL8" s="3657"/>
      <c r="FM8" s="3657"/>
      <c r="FN8" s="3657"/>
      <c r="FO8" s="3657"/>
      <c r="FP8" s="3657"/>
      <c r="FQ8" s="3657"/>
      <c r="FR8" s="3657"/>
      <c r="FS8" s="3657"/>
      <c r="FT8" s="3657"/>
      <c r="FU8" s="3657"/>
      <c r="FV8" s="3657"/>
      <c r="FW8" s="3658"/>
      <c r="FX8" s="2267"/>
      <c r="GC8" s="2144">
        <v>0</v>
      </c>
    </row>
    <row s="66559" customFormat="1" customHeight="1" ht="11.25" hidden="1">
      <c r="B9" s="2145"/>
      <c r="F9" s="2267"/>
      <c r="G9" s="1974"/>
      <c r="H9" s="1571"/>
      <c r="I9" s="1571"/>
      <c r="J9" s="1571"/>
      <c r="K9" s="1571"/>
      <c r="L9" s="1571"/>
      <c r="M9" s="2267"/>
      <c r="N9" s="2267"/>
      <c r="O9" s="2267"/>
      <c r="P9" s="2267"/>
      <c r="Q9" s="2267"/>
      <c r="R9" s="2267"/>
      <c r="S9" s="2267"/>
      <c r="T9" s="2267"/>
      <c r="U9" s="2267"/>
      <c r="V9" s="2267"/>
      <c r="W9" s="2267"/>
      <c r="X9" s="2267"/>
      <c r="Y9" s="2267"/>
      <c r="Z9" s="2267"/>
      <c r="AA9" s="2267"/>
      <c r="AB9" s="2267"/>
      <c r="AC9" s="2267"/>
      <c r="AD9" s="2267"/>
      <c r="AE9" s="2267"/>
      <c r="AF9" s="2267"/>
      <c r="AG9" s="2267"/>
      <c r="AH9" s="2267"/>
      <c r="AI9" s="2267"/>
      <c r="AJ9" s="2267"/>
      <c r="AK9" s="2267"/>
      <c r="AL9" s="2267"/>
      <c r="AM9" s="2267"/>
      <c r="AN9" s="2267"/>
      <c r="AO9" s="2267"/>
      <c r="AP9" s="2267"/>
      <c r="AQ9" s="2267"/>
      <c r="AR9" s="2267"/>
      <c r="AS9" s="2267"/>
      <c r="AT9" s="2267"/>
      <c r="AU9" s="2267"/>
      <c r="AV9" s="2267"/>
      <c r="AW9" s="2267"/>
      <c r="AX9" s="2267"/>
      <c r="AY9" s="2267"/>
      <c r="AZ9" s="2267"/>
      <c r="BA9" s="2267"/>
      <c r="BB9" s="2267"/>
      <c r="BC9" s="2267"/>
      <c r="BD9" s="2267"/>
      <c r="BE9" s="2267"/>
      <c r="BF9" s="2267"/>
      <c r="BG9" s="2267"/>
      <c r="BH9" s="2267"/>
      <c r="BI9" s="2267"/>
      <c r="BJ9" s="2267"/>
      <c r="BK9" s="2267"/>
      <c r="BL9" s="2267"/>
      <c r="BM9" s="2267"/>
      <c r="BN9" s="2267"/>
      <c r="BO9" s="2267"/>
      <c r="BP9" s="2267"/>
      <c r="BQ9" s="2267"/>
      <c r="BR9" s="2267"/>
      <c r="BS9" s="2267"/>
      <c r="BT9" s="2267"/>
      <c r="BU9" s="2267"/>
      <c r="BV9" s="2267"/>
      <c r="BW9" s="2267"/>
      <c r="BX9" s="2267"/>
      <c r="BY9" s="2267"/>
      <c r="BZ9" s="2267"/>
      <c r="CA9" s="2267"/>
      <c r="CB9" s="2267"/>
      <c r="CC9" s="2267"/>
      <c r="CD9" s="2267"/>
      <c r="CE9" s="2267"/>
      <c r="CF9" s="2267"/>
      <c r="CG9" s="2267"/>
      <c r="CH9" s="2267"/>
      <c r="CI9" s="2267"/>
      <c r="CJ9" s="2267"/>
      <c r="CK9" s="2267"/>
      <c r="CL9" s="2267"/>
      <c r="CM9" s="2267"/>
      <c r="CN9" s="2267"/>
      <c r="CO9" s="2267"/>
      <c r="CP9" s="2267"/>
      <c r="CQ9" s="2267"/>
      <c r="CR9" s="2267"/>
      <c r="CS9" s="2267"/>
      <c r="CT9" s="2267"/>
      <c r="CU9" s="2267"/>
      <c r="CV9" s="2267"/>
      <c r="CW9" s="2267"/>
      <c r="CX9" s="2267"/>
      <c r="CY9" s="2267"/>
      <c r="CZ9" s="2267"/>
      <c r="DA9" s="2267"/>
      <c r="DB9" s="2267"/>
      <c r="DC9" s="2267"/>
      <c r="DD9" s="2267"/>
      <c r="DE9" s="2267"/>
      <c r="DF9" s="2267"/>
      <c r="DG9" s="2267"/>
      <c r="DH9" s="2267"/>
      <c r="DI9" s="2267"/>
      <c r="DJ9" s="2267"/>
      <c r="DK9" s="2267"/>
      <c r="DL9" s="2267"/>
      <c r="DM9" s="2267"/>
      <c r="DN9" s="2267"/>
      <c r="DO9" s="2267"/>
      <c r="DP9" s="2267"/>
      <c r="DQ9" s="2267"/>
      <c r="DR9" s="2267"/>
      <c r="DS9" s="2267"/>
      <c r="DT9" s="2267"/>
      <c r="DU9" s="2267"/>
      <c r="DV9" s="2267"/>
      <c r="DW9" s="2267"/>
      <c r="DX9" s="2267"/>
      <c r="DY9" s="2267"/>
      <c r="DZ9" s="2267"/>
      <c r="EA9" s="2267"/>
      <c r="EB9" s="2267"/>
      <c r="EC9" s="2267"/>
      <c r="ED9" s="2267"/>
      <c r="EE9" s="2267"/>
      <c r="EF9" s="2267"/>
      <c r="EG9" s="2267"/>
      <c r="EH9" s="2267"/>
      <c r="EI9" s="2267"/>
      <c r="EJ9" s="2267"/>
      <c r="EK9" s="2267"/>
      <c r="EL9" s="2267"/>
      <c r="EM9" s="2267"/>
      <c r="EN9" s="2267"/>
      <c r="EO9" s="2267"/>
      <c r="EP9" s="2267"/>
      <c r="EQ9" s="2267"/>
      <c r="ER9" s="2267"/>
      <c r="ES9" s="2267"/>
      <c r="ET9" s="2267"/>
      <c r="EU9" s="2267"/>
      <c r="EV9" s="2267"/>
      <c r="EW9" s="2267"/>
      <c r="EX9" s="2267"/>
      <c r="EY9" s="2267"/>
      <c r="EZ9" s="2267"/>
      <c r="FA9" s="2267"/>
      <c r="FB9" s="2267"/>
      <c r="FC9" s="2267"/>
      <c r="FD9" s="2267"/>
      <c r="FE9" s="2267"/>
      <c r="FF9" s="2267"/>
      <c r="FG9" s="2267"/>
      <c r="FH9" s="2267"/>
      <c r="FI9" s="2267"/>
      <c r="FJ9" s="2267"/>
      <c r="FK9" s="2267"/>
      <c r="FL9" s="2267"/>
      <c r="FM9" s="2267"/>
      <c r="FN9" s="2267"/>
      <c r="FO9" s="2267"/>
      <c r="FP9" s="2267"/>
      <c r="FQ9" s="2267"/>
      <c r="FR9" s="2267"/>
      <c r="FS9" s="2267"/>
      <c r="FT9" s="2267"/>
      <c r="FU9" s="2267"/>
      <c r="FV9" s="2267"/>
      <c r="FW9" s="3659"/>
      <c r="FX9" s="2267"/>
      <c r="GC9" s="2144">
        <v>0</v>
      </c>
    </row>
    <row s="66559" customFormat="1" customHeight="1" ht="11.549999999999999">
      <c r="B10" s="2145"/>
      <c r="F10" s="3640" t="s">
        <v>318</v>
      </c>
      <c r="G10" s="3641"/>
      <c r="H10" s="3641"/>
      <c r="I10" s="3641"/>
      <c r="J10" s="3641"/>
      <c r="K10" s="3641"/>
      <c r="L10" s="3641"/>
      <c r="M10" s="3641"/>
      <c r="N10" s="3641"/>
      <c r="O10" s="3641"/>
      <c r="P10" s="3641"/>
      <c r="Q10" s="3641"/>
      <c r="R10" s="3641"/>
      <c r="S10" s="3641"/>
      <c r="T10" s="3641"/>
      <c r="U10" s="3641"/>
      <c r="V10" s="3641"/>
      <c r="W10" s="3641"/>
      <c r="X10" s="3641"/>
      <c r="Y10" s="3641"/>
      <c r="Z10" s="3641"/>
      <c r="AA10" s="3641"/>
      <c r="AB10" s="3641"/>
      <c r="AC10" s="3641"/>
      <c r="AD10" s="3641"/>
      <c r="AE10" s="3641"/>
      <c r="AF10" s="3641"/>
      <c r="AG10" s="3641"/>
      <c r="AH10" s="3641"/>
      <c r="AI10" s="3641"/>
      <c r="AJ10" s="3641"/>
      <c r="AK10" s="3641"/>
      <c r="AL10" s="3641"/>
      <c r="AM10" s="3641"/>
      <c r="AN10" s="3641"/>
      <c r="AO10" s="3641"/>
      <c r="AP10" s="3641"/>
      <c r="AQ10" s="3641"/>
      <c r="AR10" s="3641"/>
      <c r="AS10" s="3641"/>
      <c r="AT10" s="3641"/>
      <c r="AU10" s="3641"/>
      <c r="AV10" s="3641"/>
      <c r="AW10" s="3641"/>
      <c r="AX10" s="3641"/>
      <c r="AY10" s="3641"/>
      <c r="AZ10" s="3641"/>
      <c r="BA10" s="3641"/>
      <c r="BB10" s="3641"/>
      <c r="BC10" s="3641"/>
      <c r="BD10" s="3641"/>
      <c r="BE10" s="3641"/>
      <c r="BF10" s="3641"/>
      <c r="BG10" s="3641"/>
      <c r="BH10" s="3641"/>
      <c r="BI10" s="3641"/>
      <c r="BJ10" s="3641"/>
      <c r="BK10" s="3641"/>
      <c r="BL10" s="3641"/>
      <c r="BM10" s="3641"/>
      <c r="BN10" s="3641"/>
      <c r="BO10" s="3641"/>
      <c r="BP10" s="3641"/>
      <c r="BQ10" s="3641"/>
      <c r="BR10" s="3641"/>
      <c r="BS10" s="3641"/>
      <c r="BT10" s="3641"/>
      <c r="BU10" s="3641"/>
      <c r="BV10" s="3641"/>
      <c r="BW10" s="3641"/>
      <c r="BX10" s="3641"/>
      <c r="BY10" s="3641"/>
      <c r="BZ10" s="3641"/>
      <c r="CA10" s="3641"/>
      <c r="CB10" s="3641"/>
      <c r="CC10" s="3641"/>
      <c r="CD10" s="3641"/>
      <c r="CE10" s="3641"/>
      <c r="CF10" s="3641"/>
      <c r="CG10" s="3641"/>
      <c r="CH10" s="3641"/>
      <c r="CI10" s="3641"/>
      <c r="CJ10" s="3641"/>
      <c r="CK10" s="3641"/>
      <c r="CL10" s="3641"/>
      <c r="CM10" s="3641"/>
      <c r="CN10" s="3641"/>
      <c r="CO10" s="3641"/>
      <c r="CP10" s="3641"/>
      <c r="CQ10" s="3641"/>
      <c r="CR10" s="3641"/>
      <c r="CS10" s="3641"/>
      <c r="CT10" s="3641"/>
      <c r="CU10" s="3641"/>
      <c r="CV10" s="3641"/>
      <c r="CW10" s="3641"/>
      <c r="CX10" s="3641"/>
      <c r="CY10" s="3641"/>
      <c r="CZ10" s="3641"/>
      <c r="DA10" s="3641"/>
      <c r="DB10" s="3641"/>
      <c r="DC10" s="3641"/>
      <c r="DD10" s="3641"/>
      <c r="DE10" s="3641"/>
      <c r="DF10" s="3641"/>
      <c r="DG10" s="3641"/>
      <c r="DH10" s="3641"/>
      <c r="DI10" s="3641"/>
      <c r="DJ10" s="3641"/>
      <c r="DK10" s="3641"/>
      <c r="DL10" s="3641"/>
      <c r="DM10" s="3641"/>
      <c r="DN10" s="3641"/>
      <c r="DO10" s="3641"/>
      <c r="DP10" s="3641"/>
      <c r="DQ10" s="3641"/>
      <c r="DR10" s="3641"/>
      <c r="DS10" s="3641"/>
      <c r="DT10" s="3641"/>
      <c r="DU10" s="3641"/>
      <c r="DV10" s="3641"/>
      <c r="DW10" s="3641"/>
      <c r="DX10" s="3641"/>
      <c r="DY10" s="3641"/>
      <c r="DZ10" s="3641"/>
      <c r="EA10" s="3641"/>
      <c r="EB10" s="3641"/>
      <c r="EC10" s="3641"/>
      <c r="ED10" s="3641"/>
      <c r="EE10" s="3641"/>
      <c r="EF10" s="3641"/>
      <c r="EG10" s="3641"/>
      <c r="EH10" s="3641"/>
      <c r="EI10" s="3641"/>
      <c r="EJ10" s="3641"/>
      <c r="EK10" s="3641"/>
      <c r="EL10" s="3641"/>
      <c r="EM10" s="3641"/>
      <c r="EN10" s="3641"/>
      <c r="EO10" s="3641"/>
      <c r="EP10" s="3641"/>
      <c r="EQ10" s="3641"/>
      <c r="ER10" s="3641"/>
      <c r="ES10" s="3641"/>
      <c r="ET10" s="3641"/>
      <c r="EU10" s="3641"/>
      <c r="EV10" s="3641"/>
      <c r="EW10" s="3641"/>
      <c r="EX10" s="3641"/>
      <c r="EY10" s="3641"/>
      <c r="EZ10" s="3641"/>
      <c r="FA10" s="3641"/>
      <c r="FB10" s="3641"/>
      <c r="FC10" s="3641"/>
      <c r="FD10" s="3641"/>
      <c r="FE10" s="3641"/>
      <c r="FF10" s="3641"/>
      <c r="FG10" s="3641"/>
      <c r="FH10" s="3641"/>
      <c r="FI10" s="3641"/>
      <c r="FJ10" s="3641"/>
      <c r="FK10" s="3641"/>
      <c r="FL10" s="3641"/>
      <c r="FM10" s="3641"/>
      <c r="FN10" s="3641"/>
      <c r="FO10" s="3641"/>
      <c r="FP10" s="3641"/>
      <c r="FQ10" s="3641"/>
      <c r="FR10" s="3641"/>
      <c r="FS10" s="3641"/>
      <c r="FT10" s="3641"/>
      <c r="FU10" s="3641"/>
      <c r="FV10" s="3642"/>
      <c r="FW10" s="3659"/>
      <c r="FX10" s="2267"/>
      <c r="GC10" s="2144">
        <v>11</v>
      </c>
    </row>
    <row customHeight="1" ht="12.75">
      <c r="E11" s="2148"/>
      <c r="F11" s="3416" t="s">
        <v>88</v>
      </c>
      <c r="G11" s="3416" t="s">
        <v>1277</v>
      </c>
      <c r="H11" s="3648" t="s">
        <v>1278</v>
      </c>
      <c r="I11" s="3648" t="s">
        <v>1279</v>
      </c>
      <c r="J11" s="3649"/>
      <c r="K11" s="3649"/>
      <c r="L11" s="3649"/>
      <c r="M11" s="3649"/>
      <c r="N11" s="3649"/>
      <c r="O11" s="3420" t="s">
        <v>1280</v>
      </c>
      <c r="P11" s="3420"/>
      <c r="Q11" s="3420"/>
      <c r="R11" s="3420"/>
      <c r="S11" s="3420"/>
      <c r="T11" s="3420"/>
      <c r="U11" s="3420"/>
      <c r="V11" s="3420"/>
      <c r="W11" s="3420"/>
      <c r="X11" s="3420"/>
      <c r="Y11" s="3420"/>
      <c r="Z11" s="3420"/>
      <c r="AA11" s="3420"/>
      <c r="AB11" s="3420"/>
      <c r="AC11" s="3645"/>
      <c r="AD11" s="3645"/>
      <c r="AE11" s="3645"/>
      <c r="AF11" s="3645"/>
      <c r="AG11" s="3645"/>
      <c r="AH11" s="3645"/>
      <c r="AI11" s="3645"/>
      <c r="AJ11" s="3645"/>
      <c r="AK11" s="3645"/>
      <c r="AL11" s="3645"/>
      <c r="AM11" s="3645"/>
      <c r="AN11" s="3645"/>
      <c r="AO11" s="3645"/>
      <c r="AP11" s="3645"/>
      <c r="AQ11" s="3645"/>
      <c r="AR11" s="3645"/>
      <c r="AS11" s="3645"/>
      <c r="AT11" s="3645"/>
      <c r="AU11" s="3645"/>
      <c r="AV11" s="3645"/>
      <c r="AW11" s="3645"/>
      <c r="AX11" s="3645"/>
      <c r="AY11" s="3645"/>
      <c r="AZ11" s="3645"/>
      <c r="BA11" s="3645"/>
      <c r="BB11" s="3645"/>
      <c r="BC11" s="3645"/>
      <c r="BD11" s="3645"/>
      <c r="BE11" s="3645"/>
      <c r="BF11" s="3645"/>
      <c r="BG11" s="3645"/>
      <c r="BH11" s="3645"/>
      <c r="BI11" s="3645"/>
      <c r="BJ11" s="3645"/>
      <c r="BK11" s="3645"/>
      <c r="BL11" s="3645"/>
      <c r="BM11" s="3645"/>
      <c r="BN11" s="3645"/>
      <c r="BO11" s="3645"/>
      <c r="BP11" s="3645"/>
      <c r="BQ11" s="3645"/>
      <c r="BR11" s="3645"/>
      <c r="BS11" s="3664"/>
      <c r="BT11" s="3597" t="s">
        <v>1280</v>
      </c>
      <c r="BU11" s="3598"/>
      <c r="BV11" s="3598"/>
      <c r="BW11" s="3598"/>
      <c r="BX11" s="3598"/>
      <c r="BY11" s="3598"/>
      <c r="BZ11" s="3598"/>
      <c r="CA11" s="3598"/>
      <c r="CB11" s="3598"/>
      <c r="CC11" s="3598"/>
      <c r="CD11" s="3598"/>
      <c r="CE11" s="3598"/>
      <c r="CF11" s="3598"/>
      <c r="CG11" s="3598"/>
      <c r="CH11" s="3598"/>
      <c r="CI11" s="3598"/>
      <c r="CJ11" s="3598"/>
      <c r="CK11" s="3644"/>
      <c r="CL11" s="3647"/>
      <c r="CM11" s="3645"/>
      <c r="CN11" s="3645"/>
      <c r="CO11" s="3645"/>
      <c r="CP11" s="3645"/>
      <c r="CQ11" s="3645"/>
      <c r="CR11" s="3645"/>
      <c r="CS11" s="3645"/>
      <c r="CT11" s="3645"/>
      <c r="CU11" s="3645"/>
      <c r="CV11" s="3645"/>
      <c r="CW11" s="3645"/>
      <c r="CX11" s="3664"/>
      <c r="CY11" s="3597" t="s">
        <v>1280</v>
      </c>
      <c r="CZ11" s="3598"/>
      <c r="DA11" s="3598"/>
      <c r="DB11" s="3598"/>
      <c r="DC11" s="3598"/>
      <c r="DD11" s="3598"/>
      <c r="DE11" s="3598"/>
      <c r="DF11" s="3598"/>
      <c r="DG11" s="3598"/>
      <c r="DH11" s="3598"/>
      <c r="DI11" s="3598"/>
      <c r="DJ11" s="3644"/>
      <c r="DK11" s="3647"/>
      <c r="DL11" s="3645"/>
      <c r="DM11" s="3645"/>
      <c r="DN11" s="3645"/>
      <c r="DO11" s="3645"/>
      <c r="DP11" s="3645"/>
      <c r="DQ11" s="3645"/>
      <c r="DR11" s="3645"/>
      <c r="DS11" s="3645"/>
      <c r="DT11" s="3645"/>
      <c r="DU11" s="3645"/>
      <c r="DV11" s="3645"/>
      <c r="DW11" s="3645"/>
      <c r="DX11" s="3645"/>
      <c r="DY11" s="3645"/>
      <c r="DZ11" s="3645"/>
      <c r="EA11" s="3645"/>
      <c r="EB11" s="3645"/>
      <c r="EC11" s="3645"/>
      <c r="ED11" s="3645"/>
      <c r="EE11" s="3645"/>
      <c r="EF11" s="3645"/>
      <c r="EG11" s="3645"/>
      <c r="EH11" s="3645"/>
      <c r="EI11" s="3645"/>
      <c r="EJ11" s="3645"/>
      <c r="EK11" s="3645"/>
      <c r="EL11" s="3645"/>
      <c r="EM11" s="3645"/>
      <c r="EN11" s="3645"/>
      <c r="EO11" s="3645"/>
      <c r="EP11" s="3645"/>
      <c r="EQ11" s="3645"/>
      <c r="ER11" s="3645"/>
      <c r="ES11" s="3645"/>
      <c r="ET11" s="3645"/>
      <c r="EU11" s="3645"/>
      <c r="EV11" s="3645"/>
      <c r="EW11" s="3645"/>
      <c r="EX11" s="3645"/>
      <c r="EY11" s="3645"/>
      <c r="EZ11" s="3645"/>
      <c r="FA11" s="3645"/>
      <c r="FB11" s="3645"/>
      <c r="FC11" s="3645"/>
      <c r="FD11" s="3645"/>
      <c r="FE11" s="3645"/>
      <c r="FF11" s="3645"/>
      <c r="FG11" s="3645"/>
      <c r="FH11" s="3645"/>
      <c r="FI11" s="3645"/>
      <c r="FJ11" s="3645"/>
      <c r="FK11" s="3645"/>
      <c r="FL11" s="3645"/>
      <c r="FM11" s="3645"/>
      <c r="FN11" s="3645"/>
      <c r="FO11" s="3645"/>
      <c r="FP11" s="3645"/>
      <c r="FQ11" s="3645"/>
      <c r="FR11" s="3645"/>
      <c r="FS11" s="3645"/>
      <c r="FT11" s="3645"/>
      <c r="FU11" s="3645"/>
      <c r="FV11" s="3645"/>
      <c r="FW11" s="3659"/>
      <c r="FX11" s="1973"/>
      <c r="GC11" s="2137">
        <v>12</v>
      </c>
    </row>
    <row customHeight="1" ht="12.75">
      <c r="D12" s="2149"/>
      <c r="E12" s="2148"/>
      <c r="F12" s="3416"/>
      <c r="G12" s="3416"/>
      <c r="H12" s="3648"/>
      <c r="I12" s="3648"/>
      <c r="J12" s="3649"/>
      <c r="K12" s="3649"/>
      <c r="L12" s="3649"/>
      <c r="M12" s="3649"/>
      <c r="N12" s="3649"/>
      <c r="O12" s="3420" t="s">
        <v>1281</v>
      </c>
      <c r="P12" s="3420"/>
      <c r="Q12" s="3420"/>
      <c r="R12" s="3420"/>
      <c r="S12" s="3420" t="s">
        <v>1282</v>
      </c>
      <c r="T12" s="3420"/>
      <c r="U12" s="3420"/>
      <c r="V12" s="3420"/>
      <c r="W12" s="3420"/>
      <c r="X12" s="3420"/>
      <c r="Y12" s="3420"/>
      <c r="Z12" s="3420"/>
      <c r="AA12" s="3420"/>
      <c r="AB12" s="3420"/>
      <c r="AC12" s="3645"/>
      <c r="AD12" s="3645"/>
      <c r="AE12" s="3645"/>
      <c r="AF12" s="3645"/>
      <c r="AG12" s="3645"/>
      <c r="AH12" s="3645"/>
      <c r="AI12" s="3645"/>
      <c r="AJ12" s="3645"/>
      <c r="AK12" s="3645"/>
      <c r="AL12" s="3645"/>
      <c r="AM12" s="3645"/>
      <c r="AN12" s="3645"/>
      <c r="AO12" s="3645"/>
      <c r="AP12" s="3645"/>
      <c r="AQ12" s="3645"/>
      <c r="AR12" s="3645"/>
      <c r="AS12" s="3645"/>
      <c r="AT12" s="3645"/>
      <c r="AU12" s="3645"/>
      <c r="AV12" s="3645"/>
      <c r="AW12" s="3645"/>
      <c r="AX12" s="3645"/>
      <c r="AY12" s="3645"/>
      <c r="AZ12" s="3645"/>
      <c r="BA12" s="3645"/>
      <c r="BB12" s="3645"/>
      <c r="BC12" s="3645"/>
      <c r="BD12" s="3645"/>
      <c r="BE12" s="3645"/>
      <c r="BF12" s="3645"/>
      <c r="BG12" s="3645"/>
      <c r="BH12" s="3645"/>
      <c r="BI12" s="3645"/>
      <c r="BJ12" s="3645"/>
      <c r="BK12" s="3645"/>
      <c r="BL12" s="3645"/>
      <c r="BM12" s="3645"/>
      <c r="BN12" s="3645"/>
      <c r="BO12" s="3645"/>
      <c r="BP12" s="3645"/>
      <c r="BQ12" s="3645"/>
      <c r="BR12" s="3645"/>
      <c r="BS12" s="3664"/>
      <c r="BT12" s="3597" t="s">
        <v>1283</v>
      </c>
      <c r="BU12" s="3598"/>
      <c r="BV12" s="3598"/>
      <c r="BW12" s="3644"/>
      <c r="BX12" s="3597" t="s">
        <v>1284</v>
      </c>
      <c r="BY12" s="3598"/>
      <c r="BZ12" s="3598"/>
      <c r="CA12" s="3644"/>
      <c r="CB12" s="3597" t="s">
        <v>1285</v>
      </c>
      <c r="CC12" s="3644"/>
      <c r="CD12" s="3597" t="s">
        <v>1286</v>
      </c>
      <c r="CE12" s="3598"/>
      <c r="CF12" s="3598"/>
      <c r="CG12" s="3598"/>
      <c r="CH12" s="3598"/>
      <c r="CI12" s="3598"/>
      <c r="CJ12" s="3598"/>
      <c r="CK12" s="3644"/>
      <c r="CL12" s="3647"/>
      <c r="CM12" s="3645"/>
      <c r="CN12" s="3645"/>
      <c r="CO12" s="3645"/>
      <c r="CP12" s="3645"/>
      <c r="CQ12" s="3645"/>
      <c r="CR12" s="3645"/>
      <c r="CS12" s="3645"/>
      <c r="CT12" s="3645"/>
      <c r="CU12" s="3645"/>
      <c r="CV12" s="3645"/>
      <c r="CW12" s="3645"/>
      <c r="CX12" s="3664"/>
      <c r="CY12" s="3597" t="s">
        <v>1287</v>
      </c>
      <c r="CZ12" s="3598"/>
      <c r="DA12" s="3598"/>
      <c r="DB12" s="3598"/>
      <c r="DC12" s="3598"/>
      <c r="DD12" s="3644"/>
      <c r="DE12" s="3597" t="s">
        <v>1288</v>
      </c>
      <c r="DF12" s="3644"/>
      <c r="DG12" s="3597" t="s">
        <v>1286</v>
      </c>
      <c r="DH12" s="3598"/>
      <c r="DI12" s="3598"/>
      <c r="DJ12" s="3644"/>
      <c r="DK12" s="3647"/>
      <c r="DL12" s="3645"/>
      <c r="DM12" s="3645"/>
      <c r="DN12" s="3645"/>
      <c r="DO12" s="3645"/>
      <c r="DP12" s="3645"/>
      <c r="DQ12" s="3645"/>
      <c r="DR12" s="3645"/>
      <c r="DS12" s="3645"/>
      <c r="DT12" s="3645"/>
      <c r="DU12" s="3645"/>
      <c r="DV12" s="3645"/>
      <c r="DW12" s="3645"/>
      <c r="DX12" s="3645"/>
      <c r="DY12" s="3645"/>
      <c r="DZ12" s="3645"/>
      <c r="EA12" s="3645"/>
      <c r="EB12" s="3645"/>
      <c r="EC12" s="3645"/>
      <c r="ED12" s="3645"/>
      <c r="EE12" s="3645"/>
      <c r="EF12" s="3645"/>
      <c r="EG12" s="3645"/>
      <c r="EH12" s="3645"/>
      <c r="EI12" s="3645"/>
      <c r="EJ12" s="3645"/>
      <c r="EK12" s="3645"/>
      <c r="EL12" s="3645"/>
      <c r="EM12" s="3645"/>
      <c r="EN12" s="3645"/>
      <c r="EO12" s="3645"/>
      <c r="EP12" s="3645"/>
      <c r="EQ12" s="3645"/>
      <c r="ER12" s="3645"/>
      <c r="ES12" s="3645"/>
      <c r="ET12" s="3645"/>
      <c r="EU12" s="3645"/>
      <c r="EV12" s="3645"/>
      <c r="EW12" s="3645"/>
      <c r="EX12" s="3645"/>
      <c r="EY12" s="3645"/>
      <c r="EZ12" s="3645"/>
      <c r="FA12" s="3645"/>
      <c r="FB12" s="3645"/>
      <c r="FC12" s="3645"/>
      <c r="FD12" s="3645"/>
      <c r="FE12" s="3645"/>
      <c r="FF12" s="3645"/>
      <c r="FG12" s="3645"/>
      <c r="FH12" s="3645"/>
      <c r="FI12" s="3645"/>
      <c r="FJ12" s="3645"/>
      <c r="FK12" s="3645"/>
      <c r="FL12" s="3645"/>
      <c r="FM12" s="3645"/>
      <c r="FN12" s="3645"/>
      <c r="FO12" s="3645"/>
      <c r="FP12" s="3645"/>
      <c r="FQ12" s="3645"/>
      <c r="FR12" s="3645"/>
      <c r="FS12" s="3645"/>
      <c r="FT12" s="3645"/>
      <c r="FU12" s="3645"/>
      <c r="FV12" s="3645"/>
      <c r="FW12" s="3659"/>
      <c r="FX12" s="1973"/>
      <c r="GC12" s="2137">
        <v>12</v>
      </c>
    </row>
    <row customHeight="1" ht="37.8">
      <c r="D13" s="2149"/>
      <c r="E13" s="2148"/>
      <c r="F13" s="3416"/>
      <c r="G13" s="3416"/>
      <c r="H13" s="3648"/>
      <c r="I13" s="3648"/>
      <c r="J13" s="3649"/>
      <c r="K13" s="3649"/>
      <c r="L13" s="3649"/>
      <c r="M13" s="3649"/>
      <c r="N13" s="3649"/>
      <c r="O13" s="3420" t="s">
        <v>1289</v>
      </c>
      <c r="P13" s="3420"/>
      <c r="Q13" s="3420"/>
      <c r="R13" s="3420"/>
      <c r="S13" s="3547" t="s">
        <v>1290</v>
      </c>
      <c r="T13" s="3599"/>
      <c r="U13" s="3338" t="s">
        <v>1291</v>
      </c>
      <c r="V13" s="3338"/>
      <c r="W13" s="3338"/>
      <c r="X13" s="3338"/>
      <c r="Y13" s="3338" t="s">
        <v>1292</v>
      </c>
      <c r="Z13" s="3338"/>
      <c r="AA13" s="3338"/>
      <c r="AB13" s="3338"/>
      <c r="AC13" s="3645"/>
      <c r="AD13" s="3645"/>
      <c r="AE13" s="3645"/>
      <c r="AF13" s="3645"/>
      <c r="AG13" s="3645"/>
      <c r="AH13" s="3645"/>
      <c r="AI13" s="3645"/>
      <c r="AJ13" s="3645"/>
      <c r="AK13" s="3645"/>
      <c r="AL13" s="3645"/>
      <c r="AM13" s="3645"/>
      <c r="AN13" s="3645"/>
      <c r="AO13" s="3645"/>
      <c r="AP13" s="3645"/>
      <c r="AQ13" s="3645"/>
      <c r="AR13" s="3645"/>
      <c r="AS13" s="3645"/>
      <c r="AT13" s="3645"/>
      <c r="AU13" s="3645"/>
      <c r="AV13" s="3645"/>
      <c r="AW13" s="3645"/>
      <c r="AX13" s="3645"/>
      <c r="AY13" s="3645"/>
      <c r="AZ13" s="3645"/>
      <c r="BA13" s="3645"/>
      <c r="BB13" s="3645"/>
      <c r="BC13" s="3645"/>
      <c r="BD13" s="3645"/>
      <c r="BE13" s="3645"/>
      <c r="BF13" s="3645"/>
      <c r="BG13" s="3645"/>
      <c r="BH13" s="3645"/>
      <c r="BI13" s="3645"/>
      <c r="BJ13" s="3645"/>
      <c r="BK13" s="3645"/>
      <c r="BL13" s="3645"/>
      <c r="BM13" s="3645"/>
      <c r="BN13" s="3645"/>
      <c r="BO13" s="3645"/>
      <c r="BP13" s="3645"/>
      <c r="BQ13" s="3645"/>
      <c r="BR13" s="3645"/>
      <c r="BS13" s="3664"/>
      <c r="BT13" s="3547" t="s">
        <v>1293</v>
      </c>
      <c r="BU13" s="3599"/>
      <c r="BV13" s="3547" t="s">
        <v>1294</v>
      </c>
      <c r="BW13" s="3599"/>
      <c r="BX13" s="3547" t="s">
        <v>1295</v>
      </c>
      <c r="BY13" s="3599"/>
      <c r="BZ13" s="3547" t="s">
        <v>1296</v>
      </c>
      <c r="CA13" s="3599"/>
      <c r="CB13" s="3547" t="s">
        <v>1297</v>
      </c>
      <c r="CC13" s="3599"/>
      <c r="CD13" s="3547" t="s">
        <v>1298</v>
      </c>
      <c r="CE13" s="3599"/>
      <c r="CF13" s="3547" t="s">
        <v>1299</v>
      </c>
      <c r="CG13" s="3599"/>
      <c r="CH13" s="3597" t="s">
        <v>1300</v>
      </c>
      <c r="CI13" s="3598"/>
      <c r="CJ13" s="3598"/>
      <c r="CK13" s="3644"/>
      <c r="CL13" s="3647"/>
      <c r="CM13" s="3645"/>
      <c r="CN13" s="3645"/>
      <c r="CO13" s="3645"/>
      <c r="CP13" s="3645"/>
      <c r="CQ13" s="3645"/>
      <c r="CR13" s="3645"/>
      <c r="CS13" s="3645"/>
      <c r="CT13" s="3645"/>
      <c r="CU13" s="3645"/>
      <c r="CV13" s="3645"/>
      <c r="CW13" s="3645"/>
      <c r="CX13" s="3664"/>
      <c r="CY13" s="3547" t="s">
        <v>1301</v>
      </c>
      <c r="CZ13" s="3599"/>
      <c r="DA13" s="3547" t="s">
        <v>1302</v>
      </c>
      <c r="DB13" s="3599"/>
      <c r="DC13" s="3547" t="s">
        <v>1303</v>
      </c>
      <c r="DD13" s="3599"/>
      <c r="DE13" s="3547" t="s">
        <v>1304</v>
      </c>
      <c r="DF13" s="3599"/>
      <c r="DG13" s="3597" t="s">
        <v>1305</v>
      </c>
      <c r="DH13" s="3598"/>
      <c r="DI13" s="3598"/>
      <c r="DJ13" s="3644"/>
      <c r="DK13" s="3647"/>
      <c r="DL13" s="3645"/>
      <c r="DM13" s="3645"/>
      <c r="DN13" s="3645"/>
      <c r="DO13" s="3645"/>
      <c r="DP13" s="3645"/>
      <c r="DQ13" s="3645"/>
      <c r="DR13" s="3645"/>
      <c r="DS13" s="3645"/>
      <c r="DT13" s="3645"/>
      <c r="DU13" s="3645"/>
      <c r="DV13" s="3645"/>
      <c r="DW13" s="3645"/>
      <c r="DX13" s="3645"/>
      <c r="DY13" s="3645"/>
      <c r="DZ13" s="3645"/>
      <c r="EA13" s="3645"/>
      <c r="EB13" s="3645"/>
      <c r="EC13" s="3645"/>
      <c r="ED13" s="3645"/>
      <c r="EE13" s="3645"/>
      <c r="EF13" s="3645"/>
      <c r="EG13" s="3645"/>
      <c r="EH13" s="3645"/>
      <c r="EI13" s="3645"/>
      <c r="EJ13" s="3645"/>
      <c r="EK13" s="3645"/>
      <c r="EL13" s="3645"/>
      <c r="EM13" s="3645"/>
      <c r="EN13" s="3645"/>
      <c r="EO13" s="3645"/>
      <c r="EP13" s="3645"/>
      <c r="EQ13" s="3645"/>
      <c r="ER13" s="3645"/>
      <c r="ES13" s="3645"/>
      <c r="ET13" s="3645"/>
      <c r="EU13" s="3645"/>
      <c r="EV13" s="3645"/>
      <c r="EW13" s="3645"/>
      <c r="EX13" s="3645"/>
      <c r="EY13" s="3645"/>
      <c r="EZ13" s="3645"/>
      <c r="FA13" s="3645"/>
      <c r="FB13" s="3645"/>
      <c r="FC13" s="3645"/>
      <c r="FD13" s="3645"/>
      <c r="FE13" s="3645"/>
      <c r="FF13" s="3645"/>
      <c r="FG13" s="3645"/>
      <c r="FH13" s="3645"/>
      <c r="FI13" s="3645"/>
      <c r="FJ13" s="3645"/>
      <c r="FK13" s="3645"/>
      <c r="FL13" s="3645"/>
      <c r="FM13" s="3645"/>
      <c r="FN13" s="3645"/>
      <c r="FO13" s="3645"/>
      <c r="FP13" s="3645"/>
      <c r="FQ13" s="3645"/>
      <c r="FR13" s="3645"/>
      <c r="FS13" s="3645"/>
      <c r="FT13" s="3645"/>
      <c r="FU13" s="3645"/>
      <c r="FV13" s="3645"/>
      <c r="FW13" s="3659"/>
      <c r="FX13" s="1973"/>
      <c r="GC13" s="2137">
        <v>36</v>
      </c>
    </row>
    <row customHeight="1" ht="37.8">
      <c r="D14" s="2149"/>
      <c r="E14" s="2148"/>
      <c r="F14" s="3416"/>
      <c r="G14" s="3416"/>
      <c r="H14" s="3648"/>
      <c r="I14" s="3648"/>
      <c r="J14" s="3649"/>
      <c r="K14" s="3649"/>
      <c r="L14" s="3649"/>
      <c r="M14" s="3649"/>
      <c r="N14" s="3649"/>
      <c r="O14" s="3547" t="s">
        <v>1306</v>
      </c>
      <c r="P14" s="3599"/>
      <c r="Q14" s="3547" t="s">
        <v>1307</v>
      </c>
      <c r="R14" s="3599"/>
      <c r="S14" s="3548"/>
      <c r="T14" s="3424"/>
      <c r="U14" s="3547" t="s">
        <v>1007</v>
      </c>
      <c r="V14" s="3599"/>
      <c r="W14" s="3547" t="s">
        <v>1010</v>
      </c>
      <c r="X14" s="3599"/>
      <c r="Y14" s="3547" t="s">
        <v>1007</v>
      </c>
      <c r="Z14" s="3599"/>
      <c r="AA14" s="3547" t="s">
        <v>1017</v>
      </c>
      <c r="AB14" s="3599"/>
      <c r="AC14" s="3645"/>
      <c r="AD14" s="3645"/>
      <c r="AE14" s="3645"/>
      <c r="AF14" s="3645"/>
      <c r="AG14" s="3645"/>
      <c r="AH14" s="3645"/>
      <c r="AI14" s="3645"/>
      <c r="AJ14" s="3645"/>
      <c r="AK14" s="3645"/>
      <c r="AL14" s="3645"/>
      <c r="AM14" s="3645"/>
      <c r="AN14" s="3645"/>
      <c r="AO14" s="3645"/>
      <c r="AP14" s="3645"/>
      <c r="AQ14" s="3645"/>
      <c r="AR14" s="3645"/>
      <c r="AS14" s="3645"/>
      <c r="AT14" s="3645"/>
      <c r="AU14" s="3645"/>
      <c r="AV14" s="3645"/>
      <c r="AW14" s="3645"/>
      <c r="AX14" s="3645"/>
      <c r="AY14" s="3645"/>
      <c r="AZ14" s="3645"/>
      <c r="BA14" s="3645"/>
      <c r="BB14" s="3645"/>
      <c r="BC14" s="3645"/>
      <c r="BD14" s="3645"/>
      <c r="BE14" s="3645"/>
      <c r="BF14" s="3645"/>
      <c r="BG14" s="3645"/>
      <c r="BH14" s="3645"/>
      <c r="BI14" s="3645"/>
      <c r="BJ14" s="3645"/>
      <c r="BK14" s="3645"/>
      <c r="BL14" s="3645"/>
      <c r="BM14" s="3645"/>
      <c r="BN14" s="3645"/>
      <c r="BO14" s="3645"/>
      <c r="BP14" s="3645"/>
      <c r="BQ14" s="3645"/>
      <c r="BR14" s="3645"/>
      <c r="BS14" s="3664"/>
      <c r="BT14" s="3548"/>
      <c r="BU14" s="3424"/>
      <c r="BV14" s="3548"/>
      <c r="BW14" s="3424"/>
      <c r="BX14" s="3548"/>
      <c r="BY14" s="3424"/>
      <c r="BZ14" s="3548"/>
      <c r="CA14" s="3424"/>
      <c r="CB14" s="3548"/>
      <c r="CC14" s="3424"/>
      <c r="CD14" s="3548"/>
      <c r="CE14" s="3424"/>
      <c r="CF14" s="3548"/>
      <c r="CG14" s="3424"/>
      <c r="CH14" s="3547" t="s">
        <v>1308</v>
      </c>
      <c r="CI14" s="3599"/>
      <c r="CJ14" s="3547" t="s">
        <v>1309</v>
      </c>
      <c r="CK14" s="3599"/>
      <c r="CL14" s="3647"/>
      <c r="CM14" s="3645"/>
      <c r="CN14" s="3645"/>
      <c r="CO14" s="3645"/>
      <c r="CP14" s="3645"/>
      <c r="CQ14" s="3645"/>
      <c r="CR14" s="3645"/>
      <c r="CS14" s="3645"/>
      <c r="CT14" s="3645"/>
      <c r="CU14" s="3645"/>
      <c r="CV14" s="3645"/>
      <c r="CW14" s="3645"/>
      <c r="CX14" s="3664"/>
      <c r="CY14" s="3548"/>
      <c r="CZ14" s="3424"/>
      <c r="DA14" s="3548"/>
      <c r="DB14" s="3424"/>
      <c r="DC14" s="3548"/>
      <c r="DD14" s="3424"/>
      <c r="DE14" s="3548"/>
      <c r="DF14" s="3424"/>
      <c r="DG14" s="3547" t="s">
        <v>1310</v>
      </c>
      <c r="DH14" s="3599"/>
      <c r="DI14" s="3547" t="s">
        <v>1311</v>
      </c>
      <c r="DJ14" s="3599"/>
      <c r="DK14" s="3647"/>
      <c r="DL14" s="3645"/>
      <c r="DM14" s="3645"/>
      <c r="DN14" s="3645"/>
      <c r="DO14" s="3645"/>
      <c r="DP14" s="3645"/>
      <c r="DQ14" s="3645"/>
      <c r="DR14" s="3645"/>
      <c r="DS14" s="3645"/>
      <c r="DT14" s="3645"/>
      <c r="DU14" s="3645"/>
      <c r="DV14" s="3645"/>
      <c r="DW14" s="3645"/>
      <c r="DX14" s="3645"/>
      <c r="DY14" s="3645"/>
      <c r="DZ14" s="3645"/>
      <c r="EA14" s="3645"/>
      <c r="EB14" s="3645"/>
      <c r="EC14" s="3645"/>
      <c r="ED14" s="3645"/>
      <c r="EE14" s="3645"/>
      <c r="EF14" s="3645"/>
      <c r="EG14" s="3645"/>
      <c r="EH14" s="3645"/>
      <c r="EI14" s="3645"/>
      <c r="EJ14" s="3645"/>
      <c r="EK14" s="3645"/>
      <c r="EL14" s="3645"/>
      <c r="EM14" s="3645"/>
      <c r="EN14" s="3645"/>
      <c r="EO14" s="3645"/>
      <c r="EP14" s="3645"/>
      <c r="EQ14" s="3645"/>
      <c r="ER14" s="3645"/>
      <c r="ES14" s="3645"/>
      <c r="ET14" s="3645"/>
      <c r="EU14" s="3645"/>
      <c r="EV14" s="3645"/>
      <c r="EW14" s="3645"/>
      <c r="EX14" s="3645"/>
      <c r="EY14" s="3645"/>
      <c r="EZ14" s="3645"/>
      <c r="FA14" s="3645"/>
      <c r="FB14" s="3645"/>
      <c r="FC14" s="3645"/>
      <c r="FD14" s="3645"/>
      <c r="FE14" s="3645"/>
      <c r="FF14" s="3645"/>
      <c r="FG14" s="3645"/>
      <c r="FH14" s="3645"/>
      <c r="FI14" s="3645"/>
      <c r="FJ14" s="3645"/>
      <c r="FK14" s="3645"/>
      <c r="FL14" s="3645"/>
      <c r="FM14" s="3645"/>
      <c r="FN14" s="3645"/>
      <c r="FO14" s="3645"/>
      <c r="FP14" s="3645"/>
      <c r="FQ14" s="3645"/>
      <c r="FR14" s="3645"/>
      <c r="FS14" s="3645"/>
      <c r="FT14" s="3645"/>
      <c r="FU14" s="3645"/>
      <c r="FV14" s="3645"/>
      <c r="FW14" s="3659"/>
      <c r="FX14" s="1973"/>
      <c r="GC14" s="2137">
        <v>36</v>
      </c>
    </row>
    <row customHeight="1" ht="37.8">
      <c r="D15" s="2149"/>
      <c r="E15" s="2148"/>
      <c r="F15" s="3416"/>
      <c r="G15" s="3416"/>
      <c r="H15" s="3648"/>
      <c r="I15" s="3648"/>
      <c r="J15" s="3649"/>
      <c r="K15" s="3649"/>
      <c r="L15" s="3649"/>
      <c r="M15" s="3649"/>
      <c r="N15" s="3649"/>
      <c r="O15" s="3549"/>
      <c r="P15" s="3646"/>
      <c r="Q15" s="3549"/>
      <c r="R15" s="3646"/>
      <c r="S15" s="3549"/>
      <c r="T15" s="3646"/>
      <c r="U15" s="3549"/>
      <c r="V15" s="3646"/>
      <c r="W15" s="3549"/>
      <c r="X15" s="3646"/>
      <c r="Y15" s="3549"/>
      <c r="Z15" s="3646"/>
      <c r="AA15" s="3549"/>
      <c r="AB15" s="3646"/>
      <c r="AC15" s="3645"/>
      <c r="AD15" s="3645"/>
      <c r="AE15" s="3645"/>
      <c r="AF15" s="3645"/>
      <c r="AG15" s="3645"/>
      <c r="AH15" s="3645"/>
      <c r="AI15" s="3645"/>
      <c r="AJ15" s="3645"/>
      <c r="AK15" s="3645"/>
      <c r="AL15" s="3645"/>
      <c r="AM15" s="3645"/>
      <c r="AN15" s="3645"/>
      <c r="AO15" s="3645"/>
      <c r="AP15" s="3645"/>
      <c r="AQ15" s="3645"/>
      <c r="AR15" s="3645"/>
      <c r="AS15" s="3645"/>
      <c r="AT15" s="3645"/>
      <c r="AU15" s="3645"/>
      <c r="AV15" s="3645"/>
      <c r="AW15" s="3645"/>
      <c r="AX15" s="3645"/>
      <c r="AY15" s="3645"/>
      <c r="AZ15" s="3645"/>
      <c r="BA15" s="3645"/>
      <c r="BB15" s="3645"/>
      <c r="BC15" s="3645"/>
      <c r="BD15" s="3645"/>
      <c r="BE15" s="3645"/>
      <c r="BF15" s="3645"/>
      <c r="BG15" s="3645"/>
      <c r="BH15" s="3645"/>
      <c r="BI15" s="3645"/>
      <c r="BJ15" s="3645"/>
      <c r="BK15" s="3645"/>
      <c r="BL15" s="3645"/>
      <c r="BM15" s="3645"/>
      <c r="BN15" s="3645"/>
      <c r="BO15" s="3645"/>
      <c r="BP15" s="3645"/>
      <c r="BQ15" s="3645"/>
      <c r="BR15" s="3645"/>
      <c r="BS15" s="3664"/>
      <c r="BT15" s="3549"/>
      <c r="BU15" s="3646"/>
      <c r="BV15" s="3549"/>
      <c r="BW15" s="3646"/>
      <c r="BX15" s="3549"/>
      <c r="BY15" s="3646"/>
      <c r="BZ15" s="3549"/>
      <c r="CA15" s="3646"/>
      <c r="CB15" s="3549"/>
      <c r="CC15" s="3646"/>
      <c r="CD15" s="3549"/>
      <c r="CE15" s="3646"/>
      <c r="CF15" s="3549"/>
      <c r="CG15" s="3646"/>
      <c r="CH15" s="3549"/>
      <c r="CI15" s="3646"/>
      <c r="CJ15" s="3549"/>
      <c r="CK15" s="3646"/>
      <c r="CL15" s="3647"/>
      <c r="CM15" s="3645"/>
      <c r="CN15" s="3645"/>
      <c r="CO15" s="3645"/>
      <c r="CP15" s="3645"/>
      <c r="CQ15" s="3645"/>
      <c r="CR15" s="3645"/>
      <c r="CS15" s="3645"/>
      <c r="CT15" s="3645"/>
      <c r="CU15" s="3645"/>
      <c r="CV15" s="3645"/>
      <c r="CW15" s="3645"/>
      <c r="CX15" s="3664"/>
      <c r="CY15" s="3549"/>
      <c r="CZ15" s="3646"/>
      <c r="DA15" s="3549"/>
      <c r="DB15" s="3646"/>
      <c r="DC15" s="3549"/>
      <c r="DD15" s="3646"/>
      <c r="DE15" s="3549"/>
      <c r="DF15" s="3646"/>
      <c r="DG15" s="3549"/>
      <c r="DH15" s="3646"/>
      <c r="DI15" s="3549"/>
      <c r="DJ15" s="3646"/>
      <c r="DK15" s="3647"/>
      <c r="DL15" s="3645"/>
      <c r="DM15" s="3645"/>
      <c r="DN15" s="3645"/>
      <c r="DO15" s="3645"/>
      <c r="DP15" s="3645"/>
      <c r="DQ15" s="3645"/>
      <c r="DR15" s="3645"/>
      <c r="DS15" s="3645"/>
      <c r="DT15" s="3645"/>
      <c r="DU15" s="3645"/>
      <c r="DV15" s="3645"/>
      <c r="DW15" s="3645"/>
      <c r="DX15" s="3645"/>
      <c r="DY15" s="3645"/>
      <c r="DZ15" s="3645"/>
      <c r="EA15" s="3645"/>
      <c r="EB15" s="3645"/>
      <c r="EC15" s="3645"/>
      <c r="ED15" s="3645"/>
      <c r="EE15" s="3645"/>
      <c r="EF15" s="3645"/>
      <c r="EG15" s="3645"/>
      <c r="EH15" s="3645"/>
      <c r="EI15" s="3645"/>
      <c r="EJ15" s="3645"/>
      <c r="EK15" s="3645"/>
      <c r="EL15" s="3645"/>
      <c r="EM15" s="3645"/>
      <c r="EN15" s="3645"/>
      <c r="EO15" s="3645"/>
      <c r="EP15" s="3645"/>
      <c r="EQ15" s="3645"/>
      <c r="ER15" s="3645"/>
      <c r="ES15" s="3645"/>
      <c r="ET15" s="3645"/>
      <c r="EU15" s="3645"/>
      <c r="EV15" s="3645"/>
      <c r="EW15" s="3645"/>
      <c r="EX15" s="3645"/>
      <c r="EY15" s="3645"/>
      <c r="EZ15" s="3645"/>
      <c r="FA15" s="3645"/>
      <c r="FB15" s="3645"/>
      <c r="FC15" s="3645"/>
      <c r="FD15" s="3645"/>
      <c r="FE15" s="3645"/>
      <c r="FF15" s="3645"/>
      <c r="FG15" s="3645"/>
      <c r="FH15" s="3645"/>
      <c r="FI15" s="3645"/>
      <c r="FJ15" s="3645"/>
      <c r="FK15" s="3645"/>
      <c r="FL15" s="3645"/>
      <c r="FM15" s="3645"/>
      <c r="FN15" s="3645"/>
      <c r="FO15" s="3645"/>
      <c r="FP15" s="3645"/>
      <c r="FQ15" s="3645"/>
      <c r="FR15" s="3645"/>
      <c r="FS15" s="3645"/>
      <c r="FT15" s="3645"/>
      <c r="FU15" s="3645"/>
      <c r="FV15" s="3645"/>
      <c r="FW15" s="3659"/>
      <c r="FX15" s="1973"/>
      <c r="GC15" s="2137">
        <v>36</v>
      </c>
    </row>
    <row customHeight="1" ht="12.75">
      <c r="D16" s="2149"/>
      <c r="E16" s="2148"/>
      <c r="F16" s="3416"/>
      <c r="G16" s="3416"/>
      <c r="H16" s="3648"/>
      <c r="I16" s="3648"/>
      <c r="J16" s="3649"/>
      <c r="K16" s="3649"/>
      <c r="L16" s="3649"/>
      <c r="M16" s="3649"/>
      <c r="N16" s="3649"/>
      <c r="O16" s="3597" t="s">
        <v>997</v>
      </c>
      <c r="P16" s="3644"/>
      <c r="Q16" s="3597" t="s">
        <v>999</v>
      </c>
      <c r="R16" s="3644"/>
      <c r="S16" s="3597" t="s">
        <v>1003</v>
      </c>
      <c r="T16" s="3644"/>
      <c r="U16" s="3597" t="s">
        <v>1008</v>
      </c>
      <c r="V16" s="3644"/>
      <c r="W16" s="3597" t="s">
        <v>1011</v>
      </c>
      <c r="X16" s="3644"/>
      <c r="Y16" s="3597" t="s">
        <v>1015</v>
      </c>
      <c r="Z16" s="3644"/>
      <c r="AA16" s="3597" t="s">
        <v>1018</v>
      </c>
      <c r="AB16" s="3644"/>
      <c r="AC16" s="3645"/>
      <c r="AD16" s="3645"/>
      <c r="AE16" s="3645"/>
      <c r="AF16" s="3645"/>
      <c r="AG16" s="3645"/>
      <c r="AH16" s="3645"/>
      <c r="AI16" s="3645"/>
      <c r="AJ16" s="3645"/>
      <c r="AK16" s="3645"/>
      <c r="AL16" s="3645"/>
      <c r="AM16" s="3645"/>
      <c r="AN16" s="3645"/>
      <c r="AO16" s="3645"/>
      <c r="AP16" s="3645"/>
      <c r="AQ16" s="3645"/>
      <c r="AR16" s="3645"/>
      <c r="AS16" s="3645"/>
      <c r="AT16" s="3645"/>
      <c r="AU16" s="3645"/>
      <c r="AV16" s="3645"/>
      <c r="AW16" s="3645"/>
      <c r="AX16" s="3645"/>
      <c r="AY16" s="3645"/>
      <c r="AZ16" s="3645"/>
      <c r="BA16" s="3645"/>
      <c r="BB16" s="3645"/>
      <c r="BC16" s="3645"/>
      <c r="BD16" s="3645"/>
      <c r="BE16" s="3645"/>
      <c r="BF16" s="3645"/>
      <c r="BG16" s="3645"/>
      <c r="BH16" s="3645"/>
      <c r="BI16" s="3645"/>
      <c r="BJ16" s="3645"/>
      <c r="BK16" s="3645"/>
      <c r="BL16" s="3645"/>
      <c r="BM16" s="3645"/>
      <c r="BN16" s="3645"/>
      <c r="BO16" s="3645"/>
      <c r="BP16" s="3645"/>
      <c r="BQ16" s="3645"/>
      <c r="BR16" s="3645"/>
      <c r="BS16" s="3664"/>
      <c r="BT16" s="3597" t="s">
        <v>576</v>
      </c>
      <c r="BU16" s="3644"/>
      <c r="BV16" s="3597" t="s">
        <v>576</v>
      </c>
      <c r="BW16" s="3644"/>
      <c r="BX16" s="3597" t="s">
        <v>576</v>
      </c>
      <c r="BY16" s="3644"/>
      <c r="BZ16" s="3597" t="s">
        <v>576</v>
      </c>
      <c r="CA16" s="3644"/>
      <c r="CB16" s="3597" t="s">
        <v>1312</v>
      </c>
      <c r="CC16" s="3644"/>
      <c r="CD16" s="3597" t="s">
        <v>576</v>
      </c>
      <c r="CE16" s="3644"/>
      <c r="CF16" s="3597" t="s">
        <v>1313</v>
      </c>
      <c r="CG16" s="3644"/>
      <c r="CH16" s="3597" t="s">
        <v>1314</v>
      </c>
      <c r="CI16" s="3644"/>
      <c r="CJ16" s="3597" t="s">
        <v>1314</v>
      </c>
      <c r="CK16" s="3644"/>
      <c r="CL16" s="3647"/>
      <c r="CM16" s="3645"/>
      <c r="CN16" s="3645"/>
      <c r="CO16" s="3645"/>
      <c r="CP16" s="3645"/>
      <c r="CQ16" s="3645"/>
      <c r="CR16" s="3645"/>
      <c r="CS16" s="3645"/>
      <c r="CT16" s="3645"/>
      <c r="CU16" s="3645"/>
      <c r="CV16" s="3645"/>
      <c r="CW16" s="3645"/>
      <c r="CX16" s="3664"/>
      <c r="CY16" s="3547" t="s">
        <v>576</v>
      </c>
      <c r="CZ16" s="3599"/>
      <c r="DA16" s="3547" t="s">
        <v>576</v>
      </c>
      <c r="DB16" s="3599"/>
      <c r="DC16" s="3547" t="s">
        <v>576</v>
      </c>
      <c r="DD16" s="3599"/>
      <c r="DE16" s="3597" t="s">
        <v>1312</v>
      </c>
      <c r="DF16" s="3644"/>
      <c r="DG16" s="3597" t="s">
        <v>1315</v>
      </c>
      <c r="DH16" s="3644"/>
      <c r="DI16" s="3597" t="s">
        <v>1315</v>
      </c>
      <c r="DJ16" s="3644"/>
      <c r="DK16" s="3647"/>
      <c r="DL16" s="3645"/>
      <c r="DM16" s="3645"/>
      <c r="DN16" s="3645"/>
      <c r="DO16" s="3645"/>
      <c r="DP16" s="3645"/>
      <c r="DQ16" s="3645"/>
      <c r="DR16" s="3645"/>
      <c r="DS16" s="3645"/>
      <c r="DT16" s="3645"/>
      <c r="DU16" s="3645"/>
      <c r="DV16" s="3645"/>
      <c r="DW16" s="3645"/>
      <c r="DX16" s="3645"/>
      <c r="DY16" s="3645"/>
      <c r="DZ16" s="3645"/>
      <c r="EA16" s="3645"/>
      <c r="EB16" s="3645"/>
      <c r="EC16" s="3645"/>
      <c r="ED16" s="3645"/>
      <c r="EE16" s="3645"/>
      <c r="EF16" s="3645"/>
      <c r="EG16" s="3645"/>
      <c r="EH16" s="3645"/>
      <c r="EI16" s="3645"/>
      <c r="EJ16" s="3645"/>
      <c r="EK16" s="3645"/>
      <c r="EL16" s="3645"/>
      <c r="EM16" s="3645"/>
      <c r="EN16" s="3645"/>
      <c r="EO16" s="3645"/>
      <c r="EP16" s="3645"/>
      <c r="EQ16" s="3645"/>
      <c r="ER16" s="3645"/>
      <c r="ES16" s="3645"/>
      <c r="ET16" s="3645"/>
      <c r="EU16" s="3645"/>
      <c r="EV16" s="3645"/>
      <c r="EW16" s="3645"/>
      <c r="EX16" s="3645"/>
      <c r="EY16" s="3645"/>
      <c r="EZ16" s="3645"/>
      <c r="FA16" s="3645"/>
      <c r="FB16" s="3645"/>
      <c r="FC16" s="3645"/>
      <c r="FD16" s="3645"/>
      <c r="FE16" s="3645"/>
      <c r="FF16" s="3645"/>
      <c r="FG16" s="3645"/>
      <c r="FH16" s="3645"/>
      <c r="FI16" s="3645"/>
      <c r="FJ16" s="3645"/>
      <c r="FK16" s="3645"/>
      <c r="FL16" s="3645"/>
      <c r="FM16" s="3645"/>
      <c r="FN16" s="3645"/>
      <c r="FO16" s="3645"/>
      <c r="FP16" s="3645"/>
      <c r="FQ16" s="3645"/>
      <c r="FR16" s="3645"/>
      <c r="FS16" s="3645"/>
      <c r="FT16" s="3645"/>
      <c r="FU16" s="3645"/>
      <c r="FV16" s="3645"/>
      <c r="FW16" s="3659"/>
      <c r="FX16" s="1973"/>
      <c r="GC16" s="2137">
        <v>12</v>
      </c>
    </row>
    <row customHeight="1" ht="15.75">
      <c r="E17" s="2148"/>
      <c r="F17" s="3416"/>
      <c r="G17" s="3416"/>
      <c r="H17" s="3648"/>
      <c r="I17" s="3648"/>
      <c r="J17" s="3649"/>
      <c r="K17" s="3649"/>
      <c r="L17" s="3649"/>
      <c r="M17" s="3649"/>
      <c r="N17" s="3649"/>
      <c r="O17" s="2402" t="s">
        <v>1316</v>
      </c>
      <c r="P17" s="2402" t="s">
        <v>1317</v>
      </c>
      <c r="Q17" s="2402" t="s">
        <v>1316</v>
      </c>
      <c r="R17" s="2402" t="s">
        <v>1317</v>
      </c>
      <c r="S17" s="2402" t="s">
        <v>1316</v>
      </c>
      <c r="T17" s="2402" t="s">
        <v>1317</v>
      </c>
      <c r="U17" s="2402" t="s">
        <v>1316</v>
      </c>
      <c r="V17" s="2402" t="s">
        <v>1317</v>
      </c>
      <c r="W17" s="2402" t="s">
        <v>1316</v>
      </c>
      <c r="X17" s="2402" t="s">
        <v>1317</v>
      </c>
      <c r="Y17" s="2402" t="s">
        <v>1316</v>
      </c>
      <c r="Z17" s="2402" t="s">
        <v>1317</v>
      </c>
      <c r="AA17" s="2402" t="s">
        <v>1316</v>
      </c>
      <c r="AB17" s="2402" t="s">
        <v>1317</v>
      </c>
      <c r="AC17" s="3645"/>
      <c r="AD17" s="3645"/>
      <c r="AE17" s="3645"/>
      <c r="AF17" s="3645"/>
      <c r="AG17" s="3645"/>
      <c r="AH17" s="3645"/>
      <c r="AI17" s="3645"/>
      <c r="AJ17" s="3645"/>
      <c r="AK17" s="3645"/>
      <c r="AL17" s="3645"/>
      <c r="AM17" s="3645"/>
      <c r="AN17" s="3645"/>
      <c r="AO17" s="3645"/>
      <c r="AP17" s="3645"/>
      <c r="AQ17" s="3645"/>
      <c r="AR17" s="3645"/>
      <c r="AS17" s="3645"/>
      <c r="AT17" s="3645"/>
      <c r="AU17" s="3645"/>
      <c r="AV17" s="3645"/>
      <c r="AW17" s="3645"/>
      <c r="AX17" s="3645"/>
      <c r="AY17" s="3645"/>
      <c r="AZ17" s="3645"/>
      <c r="BA17" s="3645"/>
      <c r="BB17" s="3645"/>
      <c r="BC17" s="3645"/>
      <c r="BD17" s="3645"/>
      <c r="BE17" s="3645"/>
      <c r="BF17" s="3645"/>
      <c r="BG17" s="3645"/>
      <c r="BH17" s="3645"/>
      <c r="BI17" s="3645"/>
      <c r="BJ17" s="3645"/>
      <c r="BK17" s="3645"/>
      <c r="BL17" s="3645"/>
      <c r="BM17" s="3645"/>
      <c r="BN17" s="3645"/>
      <c r="BO17" s="3645"/>
      <c r="BP17" s="3645"/>
      <c r="BQ17" s="3645"/>
      <c r="BR17" s="3645"/>
      <c r="BS17" s="3664"/>
      <c r="BT17" s="2402" t="s">
        <v>1316</v>
      </c>
      <c r="BU17" s="2402" t="s">
        <v>1317</v>
      </c>
      <c r="BV17" s="2402" t="s">
        <v>1316</v>
      </c>
      <c r="BW17" s="2402" t="s">
        <v>1317</v>
      </c>
      <c r="BX17" s="2402" t="s">
        <v>1316</v>
      </c>
      <c r="BY17" s="2402" t="s">
        <v>1317</v>
      </c>
      <c r="BZ17" s="2402" t="s">
        <v>1316</v>
      </c>
      <c r="CA17" s="2402" t="s">
        <v>1317</v>
      </c>
      <c r="CB17" s="2402" t="s">
        <v>1316</v>
      </c>
      <c r="CC17" s="2402" t="s">
        <v>1317</v>
      </c>
      <c r="CD17" s="2402" t="s">
        <v>1316</v>
      </c>
      <c r="CE17" s="2402" t="s">
        <v>1317</v>
      </c>
      <c r="CF17" s="2402" t="s">
        <v>1316</v>
      </c>
      <c r="CG17" s="2402" t="s">
        <v>1317</v>
      </c>
      <c r="CH17" s="2402" t="s">
        <v>1316</v>
      </c>
      <c r="CI17" s="2402" t="s">
        <v>1317</v>
      </c>
      <c r="CJ17" s="2402" t="s">
        <v>1316</v>
      </c>
      <c r="CK17" s="2402" t="s">
        <v>1317</v>
      </c>
      <c r="CL17" s="3647"/>
      <c r="CM17" s="3645"/>
      <c r="CN17" s="3645"/>
      <c r="CO17" s="3645"/>
      <c r="CP17" s="3645"/>
      <c r="CQ17" s="3645"/>
      <c r="CR17" s="3645"/>
      <c r="CS17" s="3645"/>
      <c r="CT17" s="3645"/>
      <c r="CU17" s="3645"/>
      <c r="CV17" s="3645"/>
      <c r="CW17" s="3645"/>
      <c r="CX17" s="3664"/>
      <c r="CY17" s="2402" t="s">
        <v>1316</v>
      </c>
      <c r="CZ17" s="2402" t="s">
        <v>1317</v>
      </c>
      <c r="DA17" s="2402" t="s">
        <v>1316</v>
      </c>
      <c r="DB17" s="2402" t="s">
        <v>1317</v>
      </c>
      <c r="DC17" s="2402" t="s">
        <v>1316</v>
      </c>
      <c r="DD17" s="2402" t="s">
        <v>1317</v>
      </c>
      <c r="DE17" s="2402" t="s">
        <v>1316</v>
      </c>
      <c r="DF17" s="2402" t="s">
        <v>1317</v>
      </c>
      <c r="DG17" s="2402" t="s">
        <v>1316</v>
      </c>
      <c r="DH17" s="2402" t="s">
        <v>1317</v>
      </c>
      <c r="DI17" s="2402" t="s">
        <v>1316</v>
      </c>
      <c r="DJ17" s="2402" t="s">
        <v>1317</v>
      </c>
      <c r="DK17" s="3647"/>
      <c r="DL17" s="3645"/>
      <c r="DM17" s="3645"/>
      <c r="DN17" s="3645"/>
      <c r="DO17" s="3645"/>
      <c r="DP17" s="3645"/>
      <c r="DQ17" s="3645"/>
      <c r="DR17" s="3645"/>
      <c r="DS17" s="3645"/>
      <c r="DT17" s="3645"/>
      <c r="DU17" s="3645"/>
      <c r="DV17" s="3645"/>
      <c r="DW17" s="3645"/>
      <c r="DX17" s="3645"/>
      <c r="DY17" s="3645"/>
      <c r="DZ17" s="3645"/>
      <c r="EA17" s="3645"/>
      <c r="EB17" s="3645"/>
      <c r="EC17" s="3645"/>
      <c r="ED17" s="3645"/>
      <c r="EE17" s="3645"/>
      <c r="EF17" s="3645"/>
      <c r="EG17" s="3645"/>
      <c r="EH17" s="3645"/>
      <c r="EI17" s="3645"/>
      <c r="EJ17" s="3645"/>
      <c r="EK17" s="3645"/>
      <c r="EL17" s="3645"/>
      <c r="EM17" s="3645"/>
      <c r="EN17" s="3645"/>
      <c r="EO17" s="3645"/>
      <c r="EP17" s="3645"/>
      <c r="EQ17" s="3645"/>
      <c r="ER17" s="3645"/>
      <c r="ES17" s="3645"/>
      <c r="ET17" s="3645"/>
      <c r="EU17" s="3645"/>
      <c r="EV17" s="3645"/>
      <c r="EW17" s="3645"/>
      <c r="EX17" s="3645"/>
      <c r="EY17" s="3645"/>
      <c r="EZ17" s="3645"/>
      <c r="FA17" s="3645"/>
      <c r="FB17" s="3645"/>
      <c r="FC17" s="3645"/>
      <c r="FD17" s="3645"/>
      <c r="FE17" s="3645"/>
      <c r="FF17" s="3645"/>
      <c r="FG17" s="3645"/>
      <c r="FH17" s="3645"/>
      <c r="FI17" s="3645"/>
      <c r="FJ17" s="3645"/>
      <c r="FK17" s="3645"/>
      <c r="FL17" s="3645"/>
      <c r="FM17" s="3645"/>
      <c r="FN17" s="3645"/>
      <c r="FO17" s="3645"/>
      <c r="FP17" s="3645"/>
      <c r="FQ17" s="3645"/>
      <c r="FR17" s="3645"/>
      <c r="FS17" s="3645"/>
      <c r="FT17" s="3645"/>
      <c r="FU17" s="3645"/>
      <c r="FV17" s="3645"/>
      <c r="FW17" s="3660"/>
      <c r="FX17" s="1973"/>
      <c r="GC17" s="2137">
        <v>15</v>
      </c>
    </row>
    <row s="66606" customFormat="1" customHeight="1" ht="12" hidden="1">
      <c r="B18" s="2134"/>
      <c r="E18" s="2150"/>
      <c r="F18" s="2403"/>
      <c r="G18" s="2403"/>
      <c r="H18" s="2403"/>
      <c r="I18" s="2403"/>
      <c r="J18" s="2404"/>
      <c r="K18" s="2404"/>
      <c r="L18" s="2404"/>
      <c r="M18" s="2404"/>
      <c r="N18" s="2404"/>
      <c r="O18" s="2403"/>
      <c r="P18" s="2403"/>
      <c r="Q18" s="2403"/>
      <c r="R18" s="2403"/>
      <c r="S18" s="2403"/>
      <c r="T18" s="2403"/>
      <c r="U18" s="2405"/>
      <c r="V18" s="2405"/>
      <c r="W18" s="2405"/>
      <c r="X18" s="2405"/>
      <c r="Y18" s="2405"/>
      <c r="Z18" s="2405"/>
      <c r="AA18" s="2405"/>
      <c r="AB18" s="2403"/>
      <c r="AC18" s="2404"/>
      <c r="AD18" s="2404"/>
      <c r="AE18" s="2404"/>
      <c r="AF18" s="2404"/>
      <c r="AG18" s="2404"/>
      <c r="AH18" s="2404"/>
      <c r="AI18" s="2404"/>
      <c r="AJ18" s="2404"/>
      <c r="AK18" s="2404"/>
      <c r="AL18" s="2404"/>
      <c r="AM18" s="2404"/>
      <c r="AN18" s="2404"/>
      <c r="AO18" s="2404"/>
      <c r="AP18" s="2404"/>
      <c r="AQ18" s="2404"/>
      <c r="AR18" s="2404"/>
      <c r="AS18" s="2404"/>
      <c r="AT18" s="2404"/>
      <c r="AU18" s="2404"/>
      <c r="AV18" s="2404"/>
      <c r="AW18" s="2404"/>
      <c r="AX18" s="2404"/>
      <c r="AY18" s="2404"/>
      <c r="AZ18" s="2404"/>
      <c r="BA18" s="2404"/>
      <c r="BB18" s="2404"/>
      <c r="BC18" s="2404"/>
      <c r="BD18" s="2404"/>
      <c r="BE18" s="2404"/>
      <c r="BF18" s="2404"/>
      <c r="BG18" s="2404"/>
      <c r="BH18" s="2404"/>
      <c r="BI18" s="2404"/>
      <c r="BJ18" s="2404"/>
      <c r="BK18" s="2404"/>
      <c r="BL18" s="2404"/>
      <c r="BM18" s="2404"/>
      <c r="BN18" s="2404"/>
      <c r="BO18" s="2404"/>
      <c r="BP18" s="2404"/>
      <c r="BQ18" s="2404"/>
      <c r="BR18" s="2404"/>
      <c r="BS18" s="2404"/>
      <c r="BT18" s="2406"/>
      <c r="BU18" s="2406"/>
      <c r="BV18" s="2406"/>
      <c r="BW18" s="2406"/>
      <c r="BX18" s="2406"/>
      <c r="BY18" s="2406"/>
      <c r="BZ18" s="2406"/>
      <c r="CA18" s="2406"/>
      <c r="CB18" s="2406"/>
      <c r="CC18" s="2406"/>
      <c r="CD18" s="2406"/>
      <c r="CE18" s="2406"/>
      <c r="CF18" s="2406"/>
      <c r="CG18" s="2406"/>
      <c r="CH18" s="2406"/>
      <c r="CI18" s="2406"/>
      <c r="CJ18" s="2406"/>
      <c r="CK18" s="2406"/>
      <c r="CL18" s="2404"/>
      <c r="CM18" s="2404"/>
      <c r="CN18" s="2404"/>
      <c r="CO18" s="2404"/>
      <c r="CP18" s="2404"/>
      <c r="CQ18" s="2404"/>
      <c r="CR18" s="2404"/>
      <c r="CS18" s="2404"/>
      <c r="CT18" s="2404"/>
      <c r="CU18" s="2404"/>
      <c r="CV18" s="2404"/>
      <c r="CW18" s="2404"/>
      <c r="CX18" s="2404"/>
      <c r="CY18" s="2406"/>
      <c r="CZ18" s="2406"/>
      <c r="DA18" s="2406"/>
      <c r="DB18" s="2406"/>
      <c r="DC18" s="2406"/>
      <c r="DD18" s="2406"/>
      <c r="DE18" s="2406"/>
      <c r="DF18" s="2406"/>
      <c r="DG18" s="2406"/>
      <c r="DH18" s="2406"/>
      <c r="DI18" s="2406"/>
      <c r="DJ18" s="2406"/>
      <c r="DK18" s="2404"/>
      <c r="DL18" s="2404"/>
      <c r="DM18" s="2404"/>
      <c r="DN18" s="2404"/>
      <c r="DO18" s="2404"/>
      <c r="DP18" s="2404"/>
      <c r="DQ18" s="2404"/>
      <c r="DR18" s="2404"/>
      <c r="DS18" s="2404"/>
      <c r="DT18" s="2404"/>
      <c r="DU18" s="2404"/>
      <c r="DV18" s="2404"/>
      <c r="DW18" s="2404"/>
      <c r="DX18" s="2404"/>
      <c r="DY18" s="2404"/>
      <c r="DZ18" s="2404"/>
      <c r="EA18" s="2404"/>
      <c r="EB18" s="2404"/>
      <c r="EC18" s="2404"/>
      <c r="ED18" s="2404"/>
      <c r="EE18" s="2404"/>
      <c r="EF18" s="2404"/>
      <c r="EG18" s="2404"/>
      <c r="EH18" s="2404"/>
      <c r="EI18" s="2404"/>
      <c r="EJ18" s="2404"/>
      <c r="EK18" s="2404"/>
      <c r="EL18" s="2404"/>
      <c r="EM18" s="2404"/>
      <c r="EN18" s="2404"/>
      <c r="EO18" s="2404"/>
      <c r="EP18" s="2404"/>
      <c r="EQ18" s="2404"/>
      <c r="ER18" s="2404"/>
      <c r="ES18" s="2404"/>
      <c r="ET18" s="2404"/>
      <c r="EU18" s="2404"/>
      <c r="EV18" s="2404"/>
      <c r="EW18" s="2404"/>
      <c r="EX18" s="2404"/>
      <c r="EY18" s="2404"/>
      <c r="EZ18" s="2404"/>
      <c r="FA18" s="2404"/>
      <c r="FB18" s="2404"/>
      <c r="FC18" s="2404"/>
      <c r="FD18" s="2404"/>
      <c r="FE18" s="2404"/>
      <c r="FF18" s="2404"/>
      <c r="FG18" s="2404"/>
      <c r="FH18" s="2404"/>
      <c r="FI18" s="2404"/>
      <c r="FJ18" s="2404"/>
      <c r="FK18" s="2404"/>
      <c r="FL18" s="2404"/>
      <c r="FM18" s="2404"/>
      <c r="FN18" s="2404"/>
      <c r="FO18" s="2404"/>
      <c r="FP18" s="2404"/>
      <c r="FQ18" s="2404"/>
      <c r="FR18" s="2404"/>
      <c r="FS18" s="2404"/>
      <c r="FT18" s="2404"/>
      <c r="FU18" s="2404"/>
      <c r="FV18" s="2404"/>
      <c r="FW18" s="2403"/>
      <c r="FX18" s="2407"/>
      <c r="GC18" s="2135">
        <v>0</v>
      </c>
    </row>
    <row s="66606" customFormat="1" customHeight="1" ht="11.25" hidden="1">
      <c r="B19" s="2134"/>
      <c r="E19" s="2150"/>
      <c r="F19" s="2403"/>
      <c r="G19" s="2403"/>
      <c r="H19" s="2403"/>
      <c r="I19" s="2403"/>
      <c r="J19" s="2403"/>
      <c r="K19" s="2403"/>
      <c r="L19" s="2403"/>
      <c r="M19" s="2403"/>
      <c r="N19" s="2403"/>
      <c r="O19" s="2403"/>
      <c r="P19" s="2403"/>
      <c r="Q19" s="2403"/>
      <c r="R19" s="2403"/>
      <c r="S19" s="2403"/>
      <c r="T19" s="2403"/>
      <c r="U19" s="2405"/>
      <c r="V19" s="2405"/>
      <c r="W19" s="2405"/>
      <c r="X19" s="2405"/>
      <c r="Y19" s="2405"/>
      <c r="Z19" s="2405"/>
      <c r="AA19" s="2405"/>
      <c r="AB19" s="2403"/>
      <c r="AC19" s="2403"/>
      <c r="AD19" s="2403"/>
      <c r="AE19" s="2403"/>
      <c r="AF19" s="2403"/>
      <c r="AG19" s="2403"/>
      <c r="AH19" s="2403"/>
      <c r="AI19" s="2403"/>
      <c r="AJ19" s="2403"/>
      <c r="AK19" s="2403"/>
      <c r="AL19" s="2403"/>
      <c r="AM19" s="2403"/>
      <c r="AN19" s="2403"/>
      <c r="AO19" s="2403"/>
      <c r="AP19" s="2403"/>
      <c r="AQ19" s="2403"/>
      <c r="AR19" s="2403"/>
      <c r="AS19" s="2403"/>
      <c r="AT19" s="2403"/>
      <c r="AU19" s="2403"/>
      <c r="AV19" s="2403"/>
      <c r="AW19" s="2403"/>
      <c r="AX19" s="2403"/>
      <c r="AY19" s="2403"/>
      <c r="AZ19" s="2403"/>
      <c r="BA19" s="2403"/>
      <c r="BB19" s="2403"/>
      <c r="BC19" s="2403"/>
      <c r="BD19" s="2403"/>
      <c r="BE19" s="2403"/>
      <c r="BF19" s="2403"/>
      <c r="BG19" s="2403"/>
      <c r="BH19" s="2403"/>
      <c r="BI19" s="2403"/>
      <c r="BJ19" s="2403"/>
      <c r="BK19" s="2403"/>
      <c r="BL19" s="2403"/>
      <c r="BM19" s="2403"/>
      <c r="BN19" s="2403"/>
      <c r="BO19" s="2403"/>
      <c r="BP19" s="2403"/>
      <c r="BQ19" s="2403"/>
      <c r="BR19" s="2403"/>
      <c r="BS19" s="2403"/>
      <c r="BT19" s="2403"/>
      <c r="BU19" s="2403"/>
      <c r="BV19" s="2403"/>
      <c r="BW19" s="2403"/>
      <c r="BX19" s="2403"/>
      <c r="BY19" s="2403"/>
      <c r="BZ19" s="2403"/>
      <c r="CA19" s="2403"/>
      <c r="CB19" s="2403"/>
      <c r="CC19" s="2403"/>
      <c r="CD19" s="2403"/>
      <c r="CE19" s="2403"/>
      <c r="CF19" s="2403"/>
      <c r="CG19" s="2403"/>
      <c r="CH19" s="2403"/>
      <c r="CI19" s="2403"/>
      <c r="CJ19" s="2403"/>
      <c r="CK19" s="2403"/>
      <c r="CL19" s="2403"/>
      <c r="CM19" s="2403"/>
      <c r="CN19" s="2403"/>
      <c r="CO19" s="2403"/>
      <c r="CP19" s="2403"/>
      <c r="CQ19" s="2403"/>
      <c r="CR19" s="2403"/>
      <c r="CS19" s="2403"/>
      <c r="CT19" s="2403"/>
      <c r="CU19" s="2403"/>
      <c r="CV19" s="2403"/>
      <c r="CW19" s="2403"/>
      <c r="CX19" s="2403"/>
      <c r="CY19" s="2403"/>
      <c r="CZ19" s="2403"/>
      <c r="DA19" s="2403"/>
      <c r="DB19" s="2403"/>
      <c r="DC19" s="2403"/>
      <c r="DD19" s="2403"/>
      <c r="DE19" s="2403"/>
      <c r="DF19" s="2403"/>
      <c r="DG19" s="2403"/>
      <c r="DH19" s="2403"/>
      <c r="DI19" s="2403"/>
      <c r="DJ19" s="2403"/>
      <c r="DK19" s="2403"/>
      <c r="DL19" s="2403"/>
      <c r="DM19" s="2403"/>
      <c r="DN19" s="2403"/>
      <c r="DO19" s="2403"/>
      <c r="DP19" s="2403"/>
      <c r="DQ19" s="2403"/>
      <c r="DR19" s="2403"/>
      <c r="DS19" s="2403"/>
      <c r="DT19" s="2403"/>
      <c r="DU19" s="2403"/>
      <c r="DV19" s="2403"/>
      <c r="DW19" s="2403"/>
      <c r="DX19" s="2403"/>
      <c r="DY19" s="2403"/>
      <c r="DZ19" s="2403"/>
      <c r="EA19" s="2403"/>
      <c r="EB19" s="2403"/>
      <c r="EC19" s="2403"/>
      <c r="ED19" s="2403"/>
      <c r="EE19" s="2403"/>
      <c r="EF19" s="2403"/>
      <c r="EG19" s="2403"/>
      <c r="EH19" s="2403"/>
      <c r="EI19" s="2403"/>
      <c r="EJ19" s="2403"/>
      <c r="EK19" s="2403"/>
      <c r="EL19" s="2403"/>
      <c r="EM19" s="2403"/>
      <c r="EN19" s="2403"/>
      <c r="EO19" s="2403"/>
      <c r="EP19" s="2403"/>
      <c r="EQ19" s="2403"/>
      <c r="ER19" s="2403"/>
      <c r="ES19" s="2403"/>
      <c r="ET19" s="2403"/>
      <c r="EU19" s="2403"/>
      <c r="EV19" s="2403"/>
      <c r="EW19" s="2403"/>
      <c r="EX19" s="2403"/>
      <c r="EY19" s="2403"/>
      <c r="EZ19" s="2403"/>
      <c r="FA19" s="2403"/>
      <c r="FB19" s="2403"/>
      <c r="FC19" s="2403"/>
      <c r="FD19" s="2403"/>
      <c r="FE19" s="2403"/>
      <c r="FF19" s="2403"/>
      <c r="FG19" s="2403"/>
      <c r="FH19" s="2403"/>
      <c r="FI19" s="2403"/>
      <c r="FJ19" s="2403"/>
      <c r="FK19" s="2403"/>
      <c r="FL19" s="2403"/>
      <c r="FM19" s="2403"/>
      <c r="FN19" s="2403"/>
      <c r="FO19" s="2403"/>
      <c r="FP19" s="2403"/>
      <c r="FQ19" s="2403"/>
      <c r="FR19" s="2403"/>
      <c r="FS19" s="2403"/>
      <c r="FT19" s="2403"/>
      <c r="FU19" s="2403"/>
      <c r="FV19" s="2403"/>
      <c r="FW19" s="2403"/>
      <c r="FX19" s="2407"/>
      <c r="GC19" s="2135">
        <v>0</v>
      </c>
    </row>
    <row s="66606" customFormat="1" customHeight="1" ht="11.25" hidden="1">
      <c r="B20" s="2151"/>
      <c r="D20" s="2135"/>
      <c r="E20" s="2150"/>
      <c r="F20" s="2408" t="s">
        <v>394</v>
      </c>
      <c r="G20" s="2409"/>
      <c r="H20" s="2410"/>
      <c r="I20" s="2410"/>
      <c r="J20" s="2410"/>
      <c r="K20" s="2410"/>
      <c r="L20" s="2410"/>
      <c r="M20" s="2410"/>
      <c r="N20" s="2410"/>
      <c r="O20" s="2409"/>
      <c r="P20" s="2409"/>
      <c r="Q20" s="2409"/>
      <c r="R20" s="2409"/>
      <c r="S20" s="2409"/>
      <c r="T20" s="2409"/>
      <c r="U20" s="2411"/>
      <c r="V20" s="2411"/>
      <c r="W20" s="2411"/>
      <c r="X20" s="2411"/>
      <c r="Y20" s="2411"/>
      <c r="Z20" s="2411"/>
      <c r="AA20" s="2411"/>
      <c r="AB20" s="2409"/>
      <c r="AC20" s="2410"/>
      <c r="AD20" s="2410"/>
      <c r="AE20" s="2410"/>
      <c r="AF20" s="2410"/>
      <c r="AG20" s="2410"/>
      <c r="AH20" s="2410"/>
      <c r="AI20" s="2410"/>
      <c r="AJ20" s="2410"/>
      <c r="AK20" s="2410"/>
      <c r="AL20" s="2410"/>
      <c r="AM20" s="2410"/>
      <c r="AN20" s="2410"/>
      <c r="AO20" s="2410"/>
      <c r="AP20" s="2410"/>
      <c r="AQ20" s="2410"/>
      <c r="AR20" s="2410"/>
      <c r="AS20" s="2410"/>
      <c r="AT20" s="2410"/>
      <c r="AU20" s="2410"/>
      <c r="AV20" s="2410"/>
      <c r="AW20" s="2410"/>
      <c r="AX20" s="2410"/>
      <c r="AY20" s="2410"/>
      <c r="AZ20" s="2410"/>
      <c r="BA20" s="2410"/>
      <c r="BB20" s="2410"/>
      <c r="BC20" s="2410"/>
      <c r="BD20" s="2410"/>
      <c r="BE20" s="2410"/>
      <c r="BF20" s="2410"/>
      <c r="BG20" s="2410"/>
      <c r="BH20" s="2410"/>
      <c r="BI20" s="2410"/>
      <c r="BJ20" s="2410"/>
      <c r="BK20" s="2410"/>
      <c r="BL20" s="2410"/>
      <c r="BM20" s="2410"/>
      <c r="BN20" s="2410"/>
      <c r="BO20" s="2410"/>
      <c r="BP20" s="2410"/>
      <c r="BQ20" s="2410"/>
      <c r="BR20" s="2410"/>
      <c r="BS20" s="2410"/>
      <c r="BT20" s="2410"/>
      <c r="BU20" s="2410"/>
      <c r="BV20" s="2410"/>
      <c r="BW20" s="2410"/>
      <c r="BX20" s="2410"/>
      <c r="BY20" s="2410"/>
      <c r="BZ20" s="2410"/>
      <c r="CA20" s="2410"/>
      <c r="CB20" s="2410"/>
      <c r="CC20" s="2410"/>
      <c r="CD20" s="2410"/>
      <c r="CE20" s="2410"/>
      <c r="CF20" s="2410"/>
      <c r="CG20" s="2410"/>
      <c r="CH20" s="2410"/>
      <c r="CI20" s="2410"/>
      <c r="CJ20" s="2410"/>
      <c r="CK20" s="2410"/>
      <c r="CL20" s="2412"/>
      <c r="CM20" s="2412"/>
      <c r="CN20" s="2412"/>
      <c r="CO20" s="2412"/>
      <c r="CP20" s="2412"/>
      <c r="CQ20" s="2412"/>
      <c r="CR20" s="2412"/>
      <c r="CS20" s="2412"/>
      <c r="CT20" s="2412"/>
      <c r="CU20" s="2412"/>
      <c r="CV20" s="2412"/>
      <c r="CW20" s="2412"/>
      <c r="CX20" s="2412"/>
      <c r="CY20" s="2412"/>
      <c r="CZ20" s="2412"/>
      <c r="DA20" s="2412"/>
      <c r="DB20" s="2412"/>
      <c r="DC20" s="2412"/>
      <c r="DD20" s="2412"/>
      <c r="DE20" s="2412"/>
      <c r="DF20" s="2412"/>
      <c r="DG20" s="2412"/>
      <c r="DH20" s="2412"/>
      <c r="DI20" s="2412"/>
      <c r="DJ20" s="2412"/>
      <c r="DK20" s="2412"/>
      <c r="DL20" s="2412"/>
      <c r="DM20" s="2412"/>
      <c r="DN20" s="2412"/>
      <c r="DO20" s="2412"/>
      <c r="DP20" s="2412"/>
      <c r="DQ20" s="2412"/>
      <c r="DR20" s="2412"/>
      <c r="DS20" s="2412"/>
      <c r="DT20" s="2412"/>
      <c r="DU20" s="2412"/>
      <c r="DV20" s="2412"/>
      <c r="DW20" s="2412"/>
      <c r="DX20" s="2412"/>
      <c r="DY20" s="2412"/>
      <c r="DZ20" s="2412"/>
      <c r="EA20" s="2412"/>
      <c r="EB20" s="2412"/>
      <c r="EC20" s="2412"/>
      <c r="ED20" s="2412"/>
      <c r="EE20" s="2412"/>
      <c r="EF20" s="2412"/>
      <c r="EG20" s="2412"/>
      <c r="EH20" s="2412"/>
      <c r="EI20" s="2412"/>
      <c r="EJ20" s="2412"/>
      <c r="EK20" s="2412"/>
      <c r="EL20" s="2412"/>
      <c r="EM20" s="2412"/>
      <c r="EN20" s="2412"/>
      <c r="EO20" s="2412"/>
      <c r="EP20" s="2412"/>
      <c r="EQ20" s="2412"/>
      <c r="ER20" s="2412"/>
      <c r="ES20" s="2412"/>
      <c r="ET20" s="2412"/>
      <c r="EU20" s="2412"/>
      <c r="EV20" s="2412"/>
      <c r="EW20" s="2412"/>
      <c r="EX20" s="2412"/>
      <c r="EY20" s="2412"/>
      <c r="EZ20" s="2412"/>
      <c r="FA20" s="2412"/>
      <c r="FB20" s="2412"/>
      <c r="FC20" s="2412"/>
      <c r="FD20" s="2412"/>
      <c r="FE20" s="2412"/>
      <c r="FF20" s="2412"/>
      <c r="FG20" s="2412"/>
      <c r="FH20" s="2412"/>
      <c r="FI20" s="2412"/>
      <c r="FJ20" s="2412"/>
      <c r="FK20" s="2412"/>
      <c r="FL20" s="2412"/>
      <c r="FM20" s="2412"/>
      <c r="FN20" s="2412"/>
      <c r="FO20" s="2412"/>
      <c r="FP20" s="2412"/>
      <c r="FQ20" s="2412"/>
      <c r="FR20" s="2412"/>
      <c r="FS20" s="2412"/>
      <c r="FT20" s="2412"/>
      <c r="FU20" s="2412"/>
      <c r="FV20" s="2412"/>
      <c r="FW20" s="2412"/>
      <c r="FX20" s="2413"/>
      <c r="GC20" s="2133">
        <v>0</v>
      </c>
    </row>
    <row s="66606" customFormat="1" customHeight="1" ht="21">
      <c r="A21" s="8287" t="s">
        <v>1167</v>
      </c>
      <c r="B21" s="8288"/>
      <c r="C21" s="8289"/>
      <c r="D21" s="8289"/>
      <c r="E21" s="8290" t="s">
        <v>22</v>
      </c>
      <c r="F21" s="8291" t="str">
        <f>INDEX(IP_MAIN_LIST_NAME_IP,MATCH(A21,IP_MAIN_LIST_IP_ID,0))&amp;" ("&amp;INDEX(IP_MAIN_START_DATE,MATCH(A21,IP_MAIN_LIST_IP_ID,0))&amp;"-"&amp;INDEX(IP_MAIN_END_DATE,MATCH(A21,IP_MAIN_LIST_IP_ID,0))&amp;")"</f>
        <v>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 (01.01.2014-31.12.2025)</v>
      </c>
      <c r="G21" s="8292"/>
      <c r="H21" s="8293"/>
      <c r="I21" s="8293"/>
      <c r="J21" s="8293"/>
      <c r="K21" s="8293"/>
      <c r="L21" s="8293"/>
      <c r="M21" s="8293"/>
      <c r="N21" s="8293"/>
      <c r="O21" s="8292"/>
      <c r="P21" s="8292"/>
      <c r="Q21" s="8292"/>
      <c r="R21" s="8292"/>
      <c r="S21" s="8292"/>
      <c r="T21" s="8292"/>
      <c r="U21" s="8294"/>
      <c r="V21" s="8294"/>
      <c r="W21" s="8294"/>
      <c r="X21" s="8294"/>
      <c r="Y21" s="8294"/>
      <c r="Z21" s="8294"/>
      <c r="AA21" s="8294"/>
      <c r="AB21" s="8292"/>
      <c r="AC21" s="8293"/>
      <c r="AD21" s="8293"/>
      <c r="AE21" s="8293"/>
      <c r="AF21" s="8293"/>
      <c r="AG21" s="8293"/>
      <c r="AH21" s="8293"/>
      <c r="AI21" s="8293"/>
      <c r="AJ21" s="8293"/>
      <c r="AK21" s="8293"/>
      <c r="AL21" s="8293"/>
      <c r="AM21" s="8293"/>
      <c r="AN21" s="8293"/>
      <c r="AO21" s="8293"/>
      <c r="AP21" s="8293"/>
      <c r="AQ21" s="8293"/>
      <c r="AR21" s="8293"/>
      <c r="AS21" s="8293"/>
      <c r="AT21" s="8293"/>
      <c r="AU21" s="8293"/>
      <c r="AV21" s="8293"/>
      <c r="AW21" s="8293"/>
      <c r="AX21" s="8293"/>
      <c r="AY21" s="8293"/>
      <c r="AZ21" s="8293"/>
      <c r="BA21" s="8293"/>
      <c r="BB21" s="8293"/>
      <c r="BC21" s="8293"/>
      <c r="BD21" s="8293"/>
      <c r="BE21" s="8293"/>
      <c r="BF21" s="8293"/>
      <c r="BG21" s="8293"/>
      <c r="BH21" s="8293"/>
      <c r="BI21" s="8293"/>
      <c r="BJ21" s="8293"/>
      <c r="BK21" s="8293"/>
      <c r="BL21" s="8293"/>
      <c r="BM21" s="8293"/>
      <c r="BN21" s="8293"/>
      <c r="BO21" s="8293"/>
      <c r="BP21" s="8293"/>
      <c r="BQ21" s="8293"/>
      <c r="BR21" s="8293"/>
      <c r="BS21" s="8293"/>
      <c r="BT21" s="8293"/>
      <c r="BU21" s="8293"/>
      <c r="BV21" s="8293"/>
      <c r="BW21" s="8293"/>
      <c r="BX21" s="8293"/>
      <c r="BY21" s="8293"/>
      <c r="BZ21" s="8293"/>
      <c r="CA21" s="8293"/>
      <c r="CB21" s="8293"/>
      <c r="CC21" s="8293"/>
      <c r="CD21" s="8293"/>
      <c r="CE21" s="8293"/>
      <c r="CF21" s="8293"/>
      <c r="CG21" s="8293"/>
      <c r="CH21" s="8293"/>
      <c r="CI21" s="8293"/>
      <c r="CJ21" s="8293"/>
      <c r="CK21" s="8293"/>
      <c r="CL21" s="8295"/>
      <c r="CM21" s="8295"/>
      <c r="CN21" s="8295"/>
      <c r="CO21" s="8295"/>
      <c r="CP21" s="8295"/>
      <c r="CQ21" s="8295"/>
      <c r="CR21" s="8295"/>
      <c r="CS21" s="8295"/>
      <c r="CT21" s="8295"/>
      <c r="CU21" s="8295"/>
      <c r="CV21" s="8295"/>
      <c r="CW21" s="8295"/>
      <c r="CX21" s="8295"/>
      <c r="CY21" s="8295"/>
      <c r="CZ21" s="8295"/>
      <c r="DA21" s="8295"/>
      <c r="DB21" s="8295"/>
      <c r="DC21" s="8295"/>
      <c r="DD21" s="8295"/>
      <c r="DE21" s="8295"/>
      <c r="DF21" s="8295"/>
      <c r="DG21" s="8295"/>
      <c r="DH21" s="8295"/>
      <c r="DI21" s="8295"/>
      <c r="DJ21" s="8295"/>
      <c r="DK21" s="8295"/>
      <c r="DL21" s="8295"/>
      <c r="DM21" s="8295"/>
      <c r="DN21" s="8295"/>
      <c r="DO21" s="8295"/>
      <c r="DP21" s="8295"/>
      <c r="DQ21" s="8295"/>
      <c r="DR21" s="8295"/>
      <c r="DS21" s="8295"/>
      <c r="DT21" s="8295"/>
      <c r="DU21" s="8295"/>
      <c r="DV21" s="8295"/>
      <c r="DW21" s="8295"/>
      <c r="DX21" s="8295"/>
      <c r="DY21" s="8295"/>
      <c r="DZ21" s="8295"/>
      <c r="EA21" s="8295"/>
      <c r="EB21" s="8295"/>
      <c r="EC21" s="8295"/>
      <c r="ED21" s="8295"/>
      <c r="EE21" s="8295"/>
      <c r="EF21" s="8295"/>
      <c r="EG21" s="8295"/>
      <c r="EH21" s="8295"/>
      <c r="EI21" s="8295"/>
      <c r="EJ21" s="8295"/>
      <c r="EK21" s="8295"/>
      <c r="EL21" s="8295"/>
      <c r="EM21" s="8295"/>
      <c r="EN21" s="8295"/>
      <c r="EO21" s="8295"/>
      <c r="EP21" s="8295"/>
      <c r="EQ21" s="8295"/>
      <c r="ER21" s="8295"/>
      <c r="ES21" s="8295"/>
      <c r="ET21" s="8295"/>
      <c r="EU21" s="8295"/>
      <c r="EV21" s="8295"/>
      <c r="EW21" s="8295"/>
      <c r="EX21" s="8295"/>
      <c r="EY21" s="8295"/>
      <c r="EZ21" s="8295"/>
      <c r="FA21" s="8295"/>
      <c r="FB21" s="8295"/>
      <c r="FC21" s="8295"/>
      <c r="FD21" s="8295"/>
      <c r="FE21" s="8295"/>
      <c r="FF21" s="8295"/>
      <c r="FG21" s="8295"/>
      <c r="FH21" s="8295"/>
      <c r="FI21" s="8295"/>
      <c r="FJ21" s="8295"/>
      <c r="FK21" s="8295"/>
      <c r="FL21" s="8295"/>
      <c r="FM21" s="8295"/>
      <c r="FN21" s="8295"/>
      <c r="FO21" s="8295"/>
      <c r="FP21" s="8295"/>
      <c r="FQ21" s="8295"/>
      <c r="FR21" s="8295"/>
      <c r="FS21" s="8295"/>
      <c r="FT21" s="8295"/>
      <c r="FU21" s="8295"/>
      <c r="FV21" s="8296"/>
      <c r="FW21" s="8297"/>
      <c r="FX21" s="8298"/>
      <c r="FY21" s="8289"/>
      <c r="FZ21" s="8289"/>
      <c r="GA21" s="8289"/>
      <c r="GB21" s="8289"/>
    </row>
    <row s="66606" customFormat="1" customHeight="1" ht="24.75">
      <c r="A22" s="8289" t="s">
        <v>1167</v>
      </c>
      <c r="B22" s="8288"/>
      <c r="C22" s="8289"/>
      <c r="D22" s="8289"/>
      <c r="E22" s="8299"/>
      <c r="F22" s="8300">
        <v>1</v>
      </c>
      <c r="G22" s="8301" t="s">
        <v>1318</v>
      </c>
      <c r="H22" s="6514" t="s">
        <v>67</v>
      </c>
      <c r="I22" s="8302" t="s">
        <v>1319</v>
      </c>
      <c r="J22" s="8303"/>
      <c r="K22" s="8303"/>
      <c r="L22" s="8303"/>
      <c r="M22" s="8303"/>
      <c r="N22" s="8303"/>
      <c r="O22" s="8304">
        <v>0</v>
      </c>
      <c r="P22" s="8304">
        <f>0.00409354570648459*2</f>
        <v>0.00818709141296918</v>
      </c>
      <c r="Q22" s="8304"/>
      <c r="R22" s="8304"/>
      <c r="S22" s="8304"/>
      <c r="T22" s="8304"/>
      <c r="U22" s="8304">
        <v>3.3393498481</v>
      </c>
      <c r="V22" s="8304">
        <v>2.82047508990721</v>
      </c>
      <c r="W22" s="8304">
        <v>0</v>
      </c>
      <c r="X22" s="8304">
        <v>0</v>
      </c>
      <c r="Y22" s="8304">
        <v>435144</v>
      </c>
      <c r="Z22" s="8304">
        <v>383678.948826939</v>
      </c>
      <c r="AA22" s="8304">
        <v>0</v>
      </c>
      <c r="AB22" s="8304">
        <v>0</v>
      </c>
      <c r="AC22" s="8303"/>
      <c r="AD22" s="8303"/>
      <c r="AE22" s="8303"/>
      <c r="AF22" s="8303"/>
      <c r="AG22" s="8303"/>
      <c r="AH22" s="8303"/>
      <c r="AI22" s="8303"/>
      <c r="AJ22" s="8303"/>
      <c r="AK22" s="8303"/>
      <c r="AL22" s="8303"/>
      <c r="AM22" s="8303"/>
      <c r="AN22" s="8303"/>
      <c r="AO22" s="8303"/>
      <c r="AP22" s="8303"/>
      <c r="AQ22" s="8303"/>
      <c r="AR22" s="8303"/>
      <c r="AS22" s="8303"/>
      <c r="AT22" s="8303"/>
      <c r="AU22" s="8303"/>
      <c r="AV22" s="8303"/>
      <c r="AW22" s="8303"/>
      <c r="AX22" s="8303"/>
      <c r="AY22" s="8303"/>
      <c r="AZ22" s="8303"/>
      <c r="BA22" s="8303"/>
      <c r="BB22" s="8303"/>
      <c r="BC22" s="8303"/>
      <c r="BD22" s="8303"/>
      <c r="BE22" s="8303"/>
      <c r="BF22" s="8303"/>
      <c r="BG22" s="8303"/>
      <c r="BH22" s="8303"/>
      <c r="BI22" s="8303"/>
      <c r="BJ22" s="8303"/>
      <c r="BK22" s="8303"/>
      <c r="BL22" s="8303"/>
      <c r="BM22" s="8303"/>
      <c r="BN22" s="8303"/>
      <c r="BO22" s="8303"/>
      <c r="BP22" s="8303"/>
      <c r="BQ22" s="8303"/>
      <c r="BR22" s="8303"/>
      <c r="BS22" s="8303"/>
      <c r="BT22" s="8304"/>
      <c r="BU22" s="8304"/>
      <c r="BV22" s="8304"/>
      <c r="BW22" s="8304"/>
      <c r="BX22" s="8304"/>
      <c r="BY22" s="8304"/>
      <c r="BZ22" s="8304"/>
      <c r="CA22" s="8304"/>
      <c r="CB22" s="8304"/>
      <c r="CC22" s="8304"/>
      <c r="CD22" s="8304"/>
      <c r="CE22" s="8304"/>
      <c r="CF22" s="8304"/>
      <c r="CG22" s="8304"/>
      <c r="CH22" s="8304"/>
      <c r="CI22" s="8304"/>
      <c r="CJ22" s="8304"/>
      <c r="CK22" s="8304"/>
      <c r="CL22" s="8303"/>
      <c r="CM22" s="8303"/>
      <c r="CN22" s="8303"/>
      <c r="CO22" s="8303"/>
      <c r="CP22" s="8303"/>
      <c r="CQ22" s="8303"/>
      <c r="CR22" s="8303"/>
      <c r="CS22" s="8303"/>
      <c r="CT22" s="8303"/>
      <c r="CU22" s="8303"/>
      <c r="CV22" s="8303"/>
      <c r="CW22" s="8303"/>
      <c r="CX22" s="8303"/>
      <c r="CY22" s="8304"/>
      <c r="CZ22" s="8304"/>
      <c r="DA22" s="8304"/>
      <c r="DB22" s="8304"/>
      <c r="DC22" s="8304"/>
      <c r="DD22" s="8304"/>
      <c r="DE22" s="8304"/>
      <c r="DF22" s="8304"/>
      <c r="DG22" s="8304"/>
      <c r="DH22" s="8304"/>
      <c r="DI22" s="8304"/>
      <c r="DJ22" s="8304"/>
      <c r="DK22" s="8303"/>
      <c r="DL22" s="8303"/>
      <c r="DM22" s="8303"/>
      <c r="DN22" s="8303"/>
      <c r="DO22" s="8303"/>
      <c r="DP22" s="8303"/>
      <c r="DQ22" s="8303"/>
      <c r="DR22" s="8303"/>
      <c r="DS22" s="8303"/>
      <c r="DT22" s="8303"/>
      <c r="DU22" s="8303"/>
      <c r="DV22" s="8303"/>
      <c r="DW22" s="8303"/>
      <c r="DX22" s="8303"/>
      <c r="DY22" s="8303"/>
      <c r="DZ22" s="8303"/>
      <c r="EA22" s="8303"/>
      <c r="EB22" s="8303"/>
      <c r="EC22" s="8303"/>
      <c r="ED22" s="8303"/>
      <c r="EE22" s="8303"/>
      <c r="EF22" s="8303"/>
      <c r="EG22" s="8303"/>
      <c r="EH22" s="8303"/>
      <c r="EI22" s="8303"/>
      <c r="EJ22" s="8303"/>
      <c r="EK22" s="8303"/>
      <c r="EL22" s="8303"/>
      <c r="EM22" s="8303"/>
      <c r="EN22" s="8303"/>
      <c r="EO22" s="8303"/>
      <c r="EP22" s="8303"/>
      <c r="EQ22" s="8303"/>
      <c r="ER22" s="8303"/>
      <c r="ES22" s="8303"/>
      <c r="ET22" s="8303"/>
      <c r="EU22" s="8303"/>
      <c r="EV22" s="8303"/>
      <c r="EW22" s="8303"/>
      <c r="EX22" s="8303"/>
      <c r="EY22" s="8303"/>
      <c r="EZ22" s="8303"/>
      <c r="FA22" s="8303"/>
      <c r="FB22" s="8303"/>
      <c r="FC22" s="8303"/>
      <c r="FD22" s="8303"/>
      <c r="FE22" s="8303"/>
      <c r="FF22" s="8303"/>
      <c r="FG22" s="8303"/>
      <c r="FH22" s="8303"/>
      <c r="FI22" s="8303"/>
      <c r="FJ22" s="8303"/>
      <c r="FK22" s="8303"/>
      <c r="FL22" s="8303"/>
      <c r="FM22" s="8303"/>
      <c r="FN22" s="8303"/>
      <c r="FO22" s="8303"/>
      <c r="FP22" s="8303"/>
      <c r="FQ22" s="8303"/>
      <c r="FR22" s="8303"/>
      <c r="FS22" s="8303"/>
      <c r="FT22" s="8303"/>
      <c r="FU22" s="8303"/>
      <c r="FV22" s="8303"/>
      <c r="FW22" s="8303"/>
      <c r="FX22" s="8298"/>
      <c r="FY22" s="8289"/>
      <c r="FZ22" s="8289"/>
      <c r="GA22" s="8289"/>
      <c r="GB22" s="8289"/>
    </row>
    <row s="66606" customFormat="1" customHeight="1" ht="24.75">
      <c r="A23" s="8289" t="s">
        <v>22</v>
      </c>
      <c r="B23" s="8288"/>
      <c r="C23" s="8289"/>
      <c r="D23" s="8289"/>
      <c r="E23" s="8027" t="s">
        <v>103</v>
      </c>
      <c r="F23" s="8300" t="s">
        <v>102</v>
      </c>
      <c r="G23" s="8301" t="s">
        <v>1318</v>
      </c>
      <c r="H23" s="6514" t="s">
        <v>67</v>
      </c>
      <c r="I23" s="8302" t="s">
        <v>1320</v>
      </c>
      <c r="J23" s="8303"/>
      <c r="K23" s="8303"/>
      <c r="L23" s="8303"/>
      <c r="M23" s="8303"/>
      <c r="N23" s="8303"/>
      <c r="O23" s="8304">
        <v>0</v>
      </c>
      <c r="P23" s="8304">
        <v>0</v>
      </c>
      <c r="Q23" s="8304"/>
      <c r="R23" s="8304"/>
      <c r="S23" s="8304"/>
      <c r="T23" s="8304"/>
      <c r="U23" s="8304">
        <v>3.2611038672</v>
      </c>
      <c r="V23" s="8304">
        <f>3.2142492</f>
        <v>3.2142492</v>
      </c>
      <c r="W23" s="8304">
        <v>0</v>
      </c>
      <c r="X23" s="8304">
        <v>0</v>
      </c>
      <c r="Y23" s="8304">
        <v>395161</v>
      </c>
      <c r="Z23" s="8304">
        <v>389837</v>
      </c>
      <c r="AA23" s="8304">
        <v>0</v>
      </c>
      <c r="AB23" s="8304">
        <v>0</v>
      </c>
      <c r="AC23" s="8303"/>
      <c r="AD23" s="8303"/>
      <c r="AE23" s="8303"/>
      <c r="AF23" s="8303"/>
      <c r="AG23" s="8303"/>
      <c r="AH23" s="8303"/>
      <c r="AI23" s="8303"/>
      <c r="AJ23" s="8303"/>
      <c r="AK23" s="8303"/>
      <c r="AL23" s="8303"/>
      <c r="AM23" s="8303"/>
      <c r="AN23" s="8303"/>
      <c r="AO23" s="8303"/>
      <c r="AP23" s="8303"/>
      <c r="AQ23" s="8303"/>
      <c r="AR23" s="8303"/>
      <c r="AS23" s="8303"/>
      <c r="AT23" s="8303"/>
      <c r="AU23" s="8303"/>
      <c r="AV23" s="8303"/>
      <c r="AW23" s="8303"/>
      <c r="AX23" s="8303"/>
      <c r="AY23" s="8303"/>
      <c r="AZ23" s="8303"/>
      <c r="BA23" s="8303"/>
      <c r="BB23" s="8303"/>
      <c r="BC23" s="8303"/>
      <c r="BD23" s="8303"/>
      <c r="BE23" s="8303"/>
      <c r="BF23" s="8303"/>
      <c r="BG23" s="8303"/>
      <c r="BH23" s="8303"/>
      <c r="BI23" s="8303"/>
      <c r="BJ23" s="8303"/>
      <c r="BK23" s="8303"/>
      <c r="BL23" s="8303"/>
      <c r="BM23" s="8303"/>
      <c r="BN23" s="8303"/>
      <c r="BO23" s="8303"/>
      <c r="BP23" s="8303"/>
      <c r="BQ23" s="8303"/>
      <c r="BR23" s="8303"/>
      <c r="BS23" s="8303"/>
      <c r="BT23" s="8304"/>
      <c r="BU23" s="8304"/>
      <c r="BV23" s="8304"/>
      <c r="BW23" s="8304"/>
      <c r="BX23" s="8304"/>
      <c r="BY23" s="8304"/>
      <c r="BZ23" s="8304"/>
      <c r="CA23" s="8304"/>
      <c r="CB23" s="8304"/>
      <c r="CC23" s="8304"/>
      <c r="CD23" s="8304"/>
      <c r="CE23" s="8304"/>
      <c r="CF23" s="8304"/>
      <c r="CG23" s="8304"/>
      <c r="CH23" s="8304"/>
      <c r="CI23" s="8304"/>
      <c r="CJ23" s="8304"/>
      <c r="CK23" s="8304"/>
      <c r="CL23" s="8303"/>
      <c r="CM23" s="8303"/>
      <c r="CN23" s="8303"/>
      <c r="CO23" s="8303"/>
      <c r="CP23" s="8303"/>
      <c r="CQ23" s="8303"/>
      <c r="CR23" s="8303"/>
      <c r="CS23" s="8303"/>
      <c r="CT23" s="8303"/>
      <c r="CU23" s="8303"/>
      <c r="CV23" s="8303"/>
      <c r="CW23" s="8303"/>
      <c r="CX23" s="8303"/>
      <c r="CY23" s="8304"/>
      <c r="CZ23" s="8304"/>
      <c r="DA23" s="8304"/>
      <c r="DB23" s="8304"/>
      <c r="DC23" s="8304"/>
      <c r="DD23" s="8304"/>
      <c r="DE23" s="8304"/>
      <c r="DF23" s="8304"/>
      <c r="DG23" s="8304"/>
      <c r="DH23" s="8304"/>
      <c r="DI23" s="8304"/>
      <c r="DJ23" s="8304"/>
      <c r="DK23" s="8303"/>
      <c r="DL23" s="8303"/>
      <c r="DM23" s="8303"/>
      <c r="DN23" s="8303"/>
      <c r="DO23" s="8303"/>
      <c r="DP23" s="8303"/>
      <c r="DQ23" s="8303"/>
      <c r="DR23" s="8303"/>
      <c r="DS23" s="8303"/>
      <c r="DT23" s="8303"/>
      <c r="DU23" s="8303"/>
      <c r="DV23" s="8303"/>
      <c r="DW23" s="8303"/>
      <c r="DX23" s="8303"/>
      <c r="DY23" s="8303"/>
      <c r="DZ23" s="8303"/>
      <c r="EA23" s="8303"/>
      <c r="EB23" s="8303"/>
      <c r="EC23" s="8303"/>
      <c r="ED23" s="8303"/>
      <c r="EE23" s="8303"/>
      <c r="EF23" s="8303"/>
      <c r="EG23" s="8303"/>
      <c r="EH23" s="8303"/>
      <c r="EI23" s="8303"/>
      <c r="EJ23" s="8303"/>
      <c r="EK23" s="8303"/>
      <c r="EL23" s="8303"/>
      <c r="EM23" s="8303"/>
      <c r="EN23" s="8303"/>
      <c r="EO23" s="8303"/>
      <c r="EP23" s="8303"/>
      <c r="EQ23" s="8303"/>
      <c r="ER23" s="8303"/>
      <c r="ES23" s="8303"/>
      <c r="ET23" s="8303"/>
      <c r="EU23" s="8303"/>
      <c r="EV23" s="8303"/>
      <c r="EW23" s="8303"/>
      <c r="EX23" s="8303"/>
      <c r="EY23" s="8303"/>
      <c r="EZ23" s="8303"/>
      <c r="FA23" s="8303"/>
      <c r="FB23" s="8303"/>
      <c r="FC23" s="8303"/>
      <c r="FD23" s="8303"/>
      <c r="FE23" s="8303"/>
      <c r="FF23" s="8303"/>
      <c r="FG23" s="8303"/>
      <c r="FH23" s="8303"/>
      <c r="FI23" s="8303"/>
      <c r="FJ23" s="8303"/>
      <c r="FK23" s="8303"/>
      <c r="FL23" s="8303"/>
      <c r="FM23" s="8303"/>
      <c r="FN23" s="8303"/>
      <c r="FO23" s="8303"/>
      <c r="FP23" s="8303"/>
      <c r="FQ23" s="8303"/>
      <c r="FR23" s="8303"/>
      <c r="FS23" s="8303"/>
      <c r="FT23" s="8303"/>
      <c r="FU23" s="8303"/>
      <c r="FV23" s="8303"/>
      <c r="FW23" s="8303"/>
      <c r="FX23" s="8298"/>
      <c r="FY23" s="8289"/>
      <c r="FZ23" s="8289"/>
      <c r="GA23" s="8289"/>
      <c r="GB23" s="8289"/>
    </row>
    <row s="66606" customFormat="1" customHeight="1" ht="24.75">
      <c r="A24" s="8289" t="s">
        <v>22</v>
      </c>
      <c r="B24" s="8288"/>
      <c r="C24" s="8289"/>
      <c r="D24" s="8289"/>
      <c r="E24" s="8027" t="s">
        <v>103</v>
      </c>
      <c r="F24" s="8300" t="s">
        <v>90</v>
      </c>
      <c r="G24" s="8301" t="s">
        <v>1318</v>
      </c>
      <c r="H24" s="6514" t="s">
        <v>67</v>
      </c>
      <c r="I24" s="8302" t="s">
        <v>625</v>
      </c>
      <c r="J24" s="8303"/>
      <c r="K24" s="8303"/>
      <c r="L24" s="8303"/>
      <c r="M24" s="8303"/>
      <c r="N24" s="8303"/>
      <c r="O24" s="8304"/>
      <c r="P24" s="8304"/>
      <c r="Q24" s="8304">
        <v>0</v>
      </c>
      <c r="R24" s="8304">
        <v>0</v>
      </c>
      <c r="S24" s="8304">
        <v>0.1361</v>
      </c>
      <c r="T24" s="8304">
        <f>132.302/1000</f>
        <v>0.132302</v>
      </c>
      <c r="U24" s="8304"/>
      <c r="V24" s="8304"/>
      <c r="W24" s="8304"/>
      <c r="X24" s="8304"/>
      <c r="Y24" s="8304"/>
      <c r="Z24" s="8304"/>
      <c r="AA24" s="8304"/>
      <c r="AB24" s="8304"/>
      <c r="AC24" s="8303"/>
      <c r="AD24" s="8303"/>
      <c r="AE24" s="8303"/>
      <c r="AF24" s="8303"/>
      <c r="AG24" s="8303"/>
      <c r="AH24" s="8303"/>
      <c r="AI24" s="8303"/>
      <c r="AJ24" s="8303"/>
      <c r="AK24" s="8303"/>
      <c r="AL24" s="8303"/>
      <c r="AM24" s="8303"/>
      <c r="AN24" s="8303"/>
      <c r="AO24" s="8303"/>
      <c r="AP24" s="8303"/>
      <c r="AQ24" s="8303"/>
      <c r="AR24" s="8303"/>
      <c r="AS24" s="8303"/>
      <c r="AT24" s="8303"/>
      <c r="AU24" s="8303"/>
      <c r="AV24" s="8303"/>
      <c r="AW24" s="8303"/>
      <c r="AX24" s="8303"/>
      <c r="AY24" s="8303"/>
      <c r="AZ24" s="8303"/>
      <c r="BA24" s="8303"/>
      <c r="BB24" s="8303"/>
      <c r="BC24" s="8303"/>
      <c r="BD24" s="8303"/>
      <c r="BE24" s="8303"/>
      <c r="BF24" s="8303"/>
      <c r="BG24" s="8303"/>
      <c r="BH24" s="8303"/>
      <c r="BI24" s="8303"/>
      <c r="BJ24" s="8303"/>
      <c r="BK24" s="8303"/>
      <c r="BL24" s="8303"/>
      <c r="BM24" s="8303"/>
      <c r="BN24" s="8303"/>
      <c r="BO24" s="8303"/>
      <c r="BP24" s="8303"/>
      <c r="BQ24" s="8303"/>
      <c r="BR24" s="8303"/>
      <c r="BS24" s="8303"/>
      <c r="BT24" s="8304"/>
      <c r="BU24" s="8304"/>
      <c r="BV24" s="8304"/>
      <c r="BW24" s="8304"/>
      <c r="BX24" s="8304"/>
      <c r="BY24" s="8304"/>
      <c r="BZ24" s="8304"/>
      <c r="CA24" s="8304"/>
      <c r="CB24" s="8304"/>
      <c r="CC24" s="8304"/>
      <c r="CD24" s="8304"/>
      <c r="CE24" s="8304"/>
      <c r="CF24" s="8304"/>
      <c r="CG24" s="8304"/>
      <c r="CH24" s="8304"/>
      <c r="CI24" s="8304"/>
      <c r="CJ24" s="8304"/>
      <c r="CK24" s="8304"/>
      <c r="CL24" s="8303"/>
      <c r="CM24" s="8303"/>
      <c r="CN24" s="8303"/>
      <c r="CO24" s="8303"/>
      <c r="CP24" s="8303"/>
      <c r="CQ24" s="8303"/>
      <c r="CR24" s="8303"/>
      <c r="CS24" s="8303"/>
      <c r="CT24" s="8303"/>
      <c r="CU24" s="8303"/>
      <c r="CV24" s="8303"/>
      <c r="CW24" s="8303"/>
      <c r="CX24" s="8303"/>
      <c r="CY24" s="8304"/>
      <c r="CZ24" s="8304"/>
      <c r="DA24" s="8304"/>
      <c r="DB24" s="8304"/>
      <c r="DC24" s="8304"/>
      <c r="DD24" s="8304"/>
      <c r="DE24" s="8304"/>
      <c r="DF24" s="8304"/>
      <c r="DG24" s="8304"/>
      <c r="DH24" s="8304"/>
      <c r="DI24" s="8304"/>
      <c r="DJ24" s="8304"/>
      <c r="DK24" s="8303"/>
      <c r="DL24" s="8303"/>
      <c r="DM24" s="8303"/>
      <c r="DN24" s="8303"/>
      <c r="DO24" s="8303"/>
      <c r="DP24" s="8303"/>
      <c r="DQ24" s="8303"/>
      <c r="DR24" s="8303"/>
      <c r="DS24" s="8303"/>
      <c r="DT24" s="8303"/>
      <c r="DU24" s="8303"/>
      <c r="DV24" s="8303"/>
      <c r="DW24" s="8303"/>
      <c r="DX24" s="8303"/>
      <c r="DY24" s="8303"/>
      <c r="DZ24" s="8303"/>
      <c r="EA24" s="8303"/>
      <c r="EB24" s="8303"/>
      <c r="EC24" s="8303"/>
      <c r="ED24" s="8303"/>
      <c r="EE24" s="8303"/>
      <c r="EF24" s="8303"/>
      <c r="EG24" s="8303"/>
      <c r="EH24" s="8303"/>
      <c r="EI24" s="8303"/>
      <c r="EJ24" s="8303"/>
      <c r="EK24" s="8303"/>
      <c r="EL24" s="8303"/>
      <c r="EM24" s="8303"/>
      <c r="EN24" s="8303"/>
      <c r="EO24" s="8303"/>
      <c r="EP24" s="8303"/>
      <c r="EQ24" s="8303"/>
      <c r="ER24" s="8303"/>
      <c r="ES24" s="8303"/>
      <c r="ET24" s="8303"/>
      <c r="EU24" s="8303"/>
      <c r="EV24" s="8303"/>
      <c r="EW24" s="8303"/>
      <c r="EX24" s="8303"/>
      <c r="EY24" s="8303"/>
      <c r="EZ24" s="8303"/>
      <c r="FA24" s="8303"/>
      <c r="FB24" s="8303"/>
      <c r="FC24" s="8303"/>
      <c r="FD24" s="8303"/>
      <c r="FE24" s="8303"/>
      <c r="FF24" s="8303"/>
      <c r="FG24" s="8303"/>
      <c r="FH24" s="8303"/>
      <c r="FI24" s="8303"/>
      <c r="FJ24" s="8303"/>
      <c r="FK24" s="8303"/>
      <c r="FL24" s="8303"/>
      <c r="FM24" s="8303"/>
      <c r="FN24" s="8303"/>
      <c r="FO24" s="8303"/>
      <c r="FP24" s="8303"/>
      <c r="FQ24" s="8303"/>
      <c r="FR24" s="8303"/>
      <c r="FS24" s="8303"/>
      <c r="FT24" s="8303"/>
      <c r="FU24" s="8303"/>
      <c r="FV24" s="8303"/>
      <c r="FW24" s="8303"/>
      <c r="FX24" s="8298"/>
      <c r="FY24" s="8289"/>
      <c r="FZ24" s="8289"/>
      <c r="GA24" s="8289"/>
      <c r="GB24" s="8289"/>
    </row>
    <row s="66606" customFormat="1" customHeight="1" ht="24.75">
      <c r="A25" s="8289" t="s">
        <v>22</v>
      </c>
      <c r="B25" s="8288"/>
      <c r="C25" s="8289"/>
      <c r="D25" s="8289"/>
      <c r="E25" s="8027" t="s">
        <v>103</v>
      </c>
      <c r="F25" s="8300" t="s">
        <v>91</v>
      </c>
      <c r="G25" s="8301" t="s">
        <v>1318</v>
      </c>
      <c r="H25" s="6514" t="s">
        <v>67</v>
      </c>
      <c r="I25" s="8302" t="s">
        <v>629</v>
      </c>
      <c r="J25" s="8303"/>
      <c r="K25" s="8303"/>
      <c r="L25" s="8303"/>
      <c r="M25" s="8303"/>
      <c r="N25" s="8303"/>
      <c r="O25" s="8304"/>
      <c r="P25" s="8304"/>
      <c r="Q25" s="8304">
        <v>0</v>
      </c>
      <c r="R25" s="8304">
        <v>0</v>
      </c>
      <c r="S25" s="8304">
        <v>0.1365</v>
      </c>
      <c r="T25" s="8304">
        <f>144.695/1000</f>
        <v>0.144695</v>
      </c>
      <c r="U25" s="8304"/>
      <c r="V25" s="8304"/>
      <c r="W25" s="8304"/>
      <c r="X25" s="8304"/>
      <c r="Y25" s="8304"/>
      <c r="Z25" s="8304"/>
      <c r="AA25" s="8304"/>
      <c r="AB25" s="8304"/>
      <c r="AC25" s="8303"/>
      <c r="AD25" s="8303"/>
      <c r="AE25" s="8303"/>
      <c r="AF25" s="8303"/>
      <c r="AG25" s="8303"/>
      <c r="AH25" s="8303"/>
      <c r="AI25" s="8303"/>
      <c r="AJ25" s="8303"/>
      <c r="AK25" s="8303"/>
      <c r="AL25" s="8303"/>
      <c r="AM25" s="8303"/>
      <c r="AN25" s="8303"/>
      <c r="AO25" s="8303"/>
      <c r="AP25" s="8303"/>
      <c r="AQ25" s="8303"/>
      <c r="AR25" s="8303"/>
      <c r="AS25" s="8303"/>
      <c r="AT25" s="8303"/>
      <c r="AU25" s="8303"/>
      <c r="AV25" s="8303"/>
      <c r="AW25" s="8303"/>
      <c r="AX25" s="8303"/>
      <c r="AY25" s="8303"/>
      <c r="AZ25" s="8303"/>
      <c r="BA25" s="8303"/>
      <c r="BB25" s="8303"/>
      <c r="BC25" s="8303"/>
      <c r="BD25" s="8303"/>
      <c r="BE25" s="8303"/>
      <c r="BF25" s="8303"/>
      <c r="BG25" s="8303"/>
      <c r="BH25" s="8303"/>
      <c r="BI25" s="8303"/>
      <c r="BJ25" s="8303"/>
      <c r="BK25" s="8303"/>
      <c r="BL25" s="8303"/>
      <c r="BM25" s="8303"/>
      <c r="BN25" s="8303"/>
      <c r="BO25" s="8303"/>
      <c r="BP25" s="8303"/>
      <c r="BQ25" s="8303"/>
      <c r="BR25" s="8303"/>
      <c r="BS25" s="8303"/>
      <c r="BT25" s="8304"/>
      <c r="BU25" s="8304"/>
      <c r="BV25" s="8304"/>
      <c r="BW25" s="8304"/>
      <c r="BX25" s="8304"/>
      <c r="BY25" s="8304"/>
      <c r="BZ25" s="8304"/>
      <c r="CA25" s="8304"/>
      <c r="CB25" s="8304"/>
      <c r="CC25" s="8304"/>
      <c r="CD25" s="8304"/>
      <c r="CE25" s="8304"/>
      <c r="CF25" s="8304"/>
      <c r="CG25" s="8304"/>
      <c r="CH25" s="8304"/>
      <c r="CI25" s="8304"/>
      <c r="CJ25" s="8304"/>
      <c r="CK25" s="8304"/>
      <c r="CL25" s="8303"/>
      <c r="CM25" s="8303"/>
      <c r="CN25" s="8303"/>
      <c r="CO25" s="8303"/>
      <c r="CP25" s="8303"/>
      <c r="CQ25" s="8303"/>
      <c r="CR25" s="8303"/>
      <c r="CS25" s="8303"/>
      <c r="CT25" s="8303"/>
      <c r="CU25" s="8303"/>
      <c r="CV25" s="8303"/>
      <c r="CW25" s="8303"/>
      <c r="CX25" s="8303"/>
      <c r="CY25" s="8304"/>
      <c r="CZ25" s="8304"/>
      <c r="DA25" s="8304"/>
      <c r="DB25" s="8304"/>
      <c r="DC25" s="8304"/>
      <c r="DD25" s="8304"/>
      <c r="DE25" s="8304"/>
      <c r="DF25" s="8304"/>
      <c r="DG25" s="8304"/>
      <c r="DH25" s="8304"/>
      <c r="DI25" s="8304"/>
      <c r="DJ25" s="8304"/>
      <c r="DK25" s="8303"/>
      <c r="DL25" s="8303"/>
      <c r="DM25" s="8303"/>
      <c r="DN25" s="8303"/>
      <c r="DO25" s="8303"/>
      <c r="DP25" s="8303"/>
      <c r="DQ25" s="8303"/>
      <c r="DR25" s="8303"/>
      <c r="DS25" s="8303"/>
      <c r="DT25" s="8303"/>
      <c r="DU25" s="8303"/>
      <c r="DV25" s="8303"/>
      <c r="DW25" s="8303"/>
      <c r="DX25" s="8303"/>
      <c r="DY25" s="8303"/>
      <c r="DZ25" s="8303"/>
      <c r="EA25" s="8303"/>
      <c r="EB25" s="8303"/>
      <c r="EC25" s="8303"/>
      <c r="ED25" s="8303"/>
      <c r="EE25" s="8303"/>
      <c r="EF25" s="8303"/>
      <c r="EG25" s="8303"/>
      <c r="EH25" s="8303"/>
      <c r="EI25" s="8303"/>
      <c r="EJ25" s="8303"/>
      <c r="EK25" s="8303"/>
      <c r="EL25" s="8303"/>
      <c r="EM25" s="8303"/>
      <c r="EN25" s="8303"/>
      <c r="EO25" s="8303"/>
      <c r="EP25" s="8303"/>
      <c r="EQ25" s="8303"/>
      <c r="ER25" s="8303"/>
      <c r="ES25" s="8303"/>
      <c r="ET25" s="8303"/>
      <c r="EU25" s="8303"/>
      <c r="EV25" s="8303"/>
      <c r="EW25" s="8303"/>
      <c r="EX25" s="8303"/>
      <c r="EY25" s="8303"/>
      <c r="EZ25" s="8303"/>
      <c r="FA25" s="8303"/>
      <c r="FB25" s="8303"/>
      <c r="FC25" s="8303"/>
      <c r="FD25" s="8303"/>
      <c r="FE25" s="8303"/>
      <c r="FF25" s="8303"/>
      <c r="FG25" s="8303"/>
      <c r="FH25" s="8303"/>
      <c r="FI25" s="8303"/>
      <c r="FJ25" s="8303"/>
      <c r="FK25" s="8303"/>
      <c r="FL25" s="8303"/>
      <c r="FM25" s="8303"/>
      <c r="FN25" s="8303"/>
      <c r="FO25" s="8303"/>
      <c r="FP25" s="8303"/>
      <c r="FQ25" s="8303"/>
      <c r="FR25" s="8303"/>
      <c r="FS25" s="8303"/>
      <c r="FT25" s="8303"/>
      <c r="FU25" s="8303"/>
      <c r="FV25" s="8303"/>
      <c r="FW25" s="8303"/>
      <c r="FX25" s="8298"/>
      <c r="FY25" s="8289"/>
      <c r="FZ25" s="8289"/>
      <c r="GA25" s="8289"/>
      <c r="GB25" s="8289"/>
    </row>
    <row s="66606" customFormat="1" customHeight="1" ht="24.75">
      <c r="A26" s="8289" t="s">
        <v>22</v>
      </c>
      <c r="B26" s="8288"/>
      <c r="C26" s="8289"/>
      <c r="D26" s="8289"/>
      <c r="E26" s="8027" t="s">
        <v>103</v>
      </c>
      <c r="F26" s="8300" t="s">
        <v>122</v>
      </c>
      <c r="G26" s="8301" t="s">
        <v>1318</v>
      </c>
      <c r="H26" s="6514" t="s">
        <v>67</v>
      </c>
      <c r="I26" s="8302" t="s">
        <v>631</v>
      </c>
      <c r="J26" s="8303"/>
      <c r="K26" s="8303"/>
      <c r="L26" s="8303"/>
      <c r="M26" s="8303"/>
      <c r="N26" s="8303"/>
      <c r="O26" s="8304"/>
      <c r="P26" s="8304"/>
      <c r="Q26" s="8304">
        <v>0</v>
      </c>
      <c r="R26" s="8304">
        <v>0</v>
      </c>
      <c r="S26" s="8304">
        <v>0.1384</v>
      </c>
      <c r="T26" s="8304">
        <f>134.987/1000</f>
        <v>0.134987</v>
      </c>
      <c r="U26" s="8304"/>
      <c r="V26" s="8304"/>
      <c r="W26" s="8304"/>
      <c r="X26" s="8304"/>
      <c r="Y26" s="8304"/>
      <c r="Z26" s="8304"/>
      <c r="AA26" s="8304"/>
      <c r="AB26" s="8304"/>
      <c r="AC26" s="8303"/>
      <c r="AD26" s="8303"/>
      <c r="AE26" s="8303"/>
      <c r="AF26" s="8303"/>
      <c r="AG26" s="8303"/>
      <c r="AH26" s="8303"/>
      <c r="AI26" s="8303"/>
      <c r="AJ26" s="8303"/>
      <c r="AK26" s="8303"/>
      <c r="AL26" s="8303"/>
      <c r="AM26" s="8303"/>
      <c r="AN26" s="8303"/>
      <c r="AO26" s="8303"/>
      <c r="AP26" s="8303"/>
      <c r="AQ26" s="8303"/>
      <c r="AR26" s="8303"/>
      <c r="AS26" s="8303"/>
      <c r="AT26" s="8303"/>
      <c r="AU26" s="8303"/>
      <c r="AV26" s="8303"/>
      <c r="AW26" s="8303"/>
      <c r="AX26" s="8303"/>
      <c r="AY26" s="8303"/>
      <c r="AZ26" s="8303"/>
      <c r="BA26" s="8303"/>
      <c r="BB26" s="8303"/>
      <c r="BC26" s="8303"/>
      <c r="BD26" s="8303"/>
      <c r="BE26" s="8303"/>
      <c r="BF26" s="8303"/>
      <c r="BG26" s="8303"/>
      <c r="BH26" s="8303"/>
      <c r="BI26" s="8303"/>
      <c r="BJ26" s="8303"/>
      <c r="BK26" s="8303"/>
      <c r="BL26" s="8303"/>
      <c r="BM26" s="8303"/>
      <c r="BN26" s="8303"/>
      <c r="BO26" s="8303"/>
      <c r="BP26" s="8303"/>
      <c r="BQ26" s="8303"/>
      <c r="BR26" s="8303"/>
      <c r="BS26" s="8303"/>
      <c r="BT26" s="8304"/>
      <c r="BU26" s="8304"/>
      <c r="BV26" s="8304"/>
      <c r="BW26" s="8304"/>
      <c r="BX26" s="8304"/>
      <c r="BY26" s="8304"/>
      <c r="BZ26" s="8304"/>
      <c r="CA26" s="8304"/>
      <c r="CB26" s="8304"/>
      <c r="CC26" s="8304"/>
      <c r="CD26" s="8304"/>
      <c r="CE26" s="8304"/>
      <c r="CF26" s="8304"/>
      <c r="CG26" s="8304"/>
      <c r="CH26" s="8304"/>
      <c r="CI26" s="8304"/>
      <c r="CJ26" s="8304"/>
      <c r="CK26" s="8304"/>
      <c r="CL26" s="8303"/>
      <c r="CM26" s="8303"/>
      <c r="CN26" s="8303"/>
      <c r="CO26" s="8303"/>
      <c r="CP26" s="8303"/>
      <c r="CQ26" s="8303"/>
      <c r="CR26" s="8303"/>
      <c r="CS26" s="8303"/>
      <c r="CT26" s="8303"/>
      <c r="CU26" s="8303"/>
      <c r="CV26" s="8303"/>
      <c r="CW26" s="8303"/>
      <c r="CX26" s="8303"/>
      <c r="CY26" s="8304"/>
      <c r="CZ26" s="8304"/>
      <c r="DA26" s="8304"/>
      <c r="DB26" s="8304"/>
      <c r="DC26" s="8304"/>
      <c r="DD26" s="8304"/>
      <c r="DE26" s="8304"/>
      <c r="DF26" s="8304"/>
      <c r="DG26" s="8304"/>
      <c r="DH26" s="8304"/>
      <c r="DI26" s="8304"/>
      <c r="DJ26" s="8304"/>
      <c r="DK26" s="8303"/>
      <c r="DL26" s="8303"/>
      <c r="DM26" s="8303"/>
      <c r="DN26" s="8303"/>
      <c r="DO26" s="8303"/>
      <c r="DP26" s="8303"/>
      <c r="DQ26" s="8303"/>
      <c r="DR26" s="8303"/>
      <c r="DS26" s="8303"/>
      <c r="DT26" s="8303"/>
      <c r="DU26" s="8303"/>
      <c r="DV26" s="8303"/>
      <c r="DW26" s="8303"/>
      <c r="DX26" s="8303"/>
      <c r="DY26" s="8303"/>
      <c r="DZ26" s="8303"/>
      <c r="EA26" s="8303"/>
      <c r="EB26" s="8303"/>
      <c r="EC26" s="8303"/>
      <c r="ED26" s="8303"/>
      <c r="EE26" s="8303"/>
      <c r="EF26" s="8303"/>
      <c r="EG26" s="8303"/>
      <c r="EH26" s="8303"/>
      <c r="EI26" s="8303"/>
      <c r="EJ26" s="8303"/>
      <c r="EK26" s="8303"/>
      <c r="EL26" s="8303"/>
      <c r="EM26" s="8303"/>
      <c r="EN26" s="8303"/>
      <c r="EO26" s="8303"/>
      <c r="EP26" s="8303"/>
      <c r="EQ26" s="8303"/>
      <c r="ER26" s="8303"/>
      <c r="ES26" s="8303"/>
      <c r="ET26" s="8303"/>
      <c r="EU26" s="8303"/>
      <c r="EV26" s="8303"/>
      <c r="EW26" s="8303"/>
      <c r="EX26" s="8303"/>
      <c r="EY26" s="8303"/>
      <c r="EZ26" s="8303"/>
      <c r="FA26" s="8303"/>
      <c r="FB26" s="8303"/>
      <c r="FC26" s="8303"/>
      <c r="FD26" s="8303"/>
      <c r="FE26" s="8303"/>
      <c r="FF26" s="8303"/>
      <c r="FG26" s="8303"/>
      <c r="FH26" s="8303"/>
      <c r="FI26" s="8303"/>
      <c r="FJ26" s="8303"/>
      <c r="FK26" s="8303"/>
      <c r="FL26" s="8303"/>
      <c r="FM26" s="8303"/>
      <c r="FN26" s="8303"/>
      <c r="FO26" s="8303"/>
      <c r="FP26" s="8303"/>
      <c r="FQ26" s="8303"/>
      <c r="FR26" s="8303"/>
      <c r="FS26" s="8303"/>
      <c r="FT26" s="8303"/>
      <c r="FU26" s="8303"/>
      <c r="FV26" s="8303"/>
      <c r="FW26" s="8303"/>
      <c r="FX26" s="8298"/>
      <c r="FY26" s="8289"/>
      <c r="FZ26" s="8289"/>
      <c r="GA26" s="8289"/>
      <c r="GB26" s="8289"/>
    </row>
    <row s="66606" customFormat="1" customHeight="1" ht="12">
      <c r="A27" s="8289" t="s">
        <v>1167</v>
      </c>
      <c r="B27" s="8288"/>
      <c r="C27" s="8289"/>
      <c r="D27" s="8289"/>
      <c r="E27" s="8289"/>
      <c r="F27" s="8305"/>
      <c r="G27" s="8306" t="s">
        <v>1321</v>
      </c>
      <c r="H27" s="8307"/>
      <c r="I27" s="8308"/>
      <c r="J27" s="8309"/>
      <c r="K27" s="8310"/>
      <c r="L27" s="8311"/>
      <c r="M27" s="8312"/>
      <c r="N27" s="8313"/>
      <c r="O27" s="8314"/>
      <c r="P27" s="8315"/>
      <c r="Q27" s="8316"/>
      <c r="R27" s="8317"/>
      <c r="S27" s="8318"/>
      <c r="T27" s="8319"/>
      <c r="U27" s="8320"/>
      <c r="V27" s="8321"/>
      <c r="W27" s="8322"/>
      <c r="X27" s="8323"/>
      <c r="Y27" s="8324"/>
      <c r="Z27" s="8325"/>
      <c r="AA27" s="8326"/>
      <c r="AB27" s="8327"/>
      <c r="AC27" s="8328"/>
      <c r="AD27" s="8329"/>
      <c r="AE27" s="8330"/>
      <c r="AF27" s="8331"/>
      <c r="AG27" s="8332"/>
      <c r="AH27" s="8333"/>
      <c r="AI27" s="8334"/>
      <c r="AJ27" s="8335"/>
      <c r="AK27" s="8336"/>
      <c r="AL27" s="8337"/>
      <c r="AM27" s="8338"/>
      <c r="AN27" s="8339"/>
      <c r="AO27" s="8340"/>
      <c r="AP27" s="8341"/>
      <c r="AQ27" s="8342"/>
      <c r="AR27" s="8343"/>
      <c r="AS27" s="8344"/>
      <c r="AT27" s="8345"/>
      <c r="AU27" s="8346"/>
      <c r="AV27" s="8347"/>
      <c r="AW27" s="8348"/>
      <c r="AX27" s="8349"/>
      <c r="AY27" s="8350"/>
      <c r="AZ27" s="8351"/>
      <c r="BA27" s="8352"/>
      <c r="BB27" s="8353"/>
      <c r="BC27" s="8354"/>
      <c r="BD27" s="8355"/>
      <c r="BE27" s="8356"/>
      <c r="BF27" s="8357"/>
      <c r="BG27" s="8358"/>
      <c r="BH27" s="8359"/>
      <c r="BI27" s="8360"/>
      <c r="BJ27" s="8361"/>
      <c r="BK27" s="8362"/>
      <c r="BL27" s="8363"/>
      <c r="BM27" s="8364"/>
      <c r="BN27" s="8365"/>
      <c r="BO27" s="8366"/>
      <c r="BP27" s="8367"/>
      <c r="BQ27" s="8368"/>
      <c r="BR27" s="8369"/>
      <c r="BS27" s="8370"/>
      <c r="BT27" s="8371"/>
      <c r="BU27" s="8372"/>
      <c r="BV27" s="8373"/>
      <c r="BW27" s="8374"/>
      <c r="BX27" s="8375"/>
      <c r="BY27" s="8376"/>
      <c r="BZ27" s="8377"/>
      <c r="CA27" s="8378"/>
      <c r="CB27" s="8379"/>
      <c r="CC27" s="8380"/>
      <c r="CD27" s="8381"/>
      <c r="CE27" s="8382"/>
      <c r="CF27" s="8383"/>
      <c r="CG27" s="8384"/>
      <c r="CH27" s="8385"/>
      <c r="CI27" s="8386"/>
      <c r="CJ27" s="8387"/>
      <c r="CK27" s="8388"/>
      <c r="CL27" s="8389"/>
      <c r="CM27" s="8390"/>
      <c r="CN27" s="8391"/>
      <c r="CO27" s="8392"/>
      <c r="CP27" s="8393"/>
      <c r="CQ27" s="8394"/>
      <c r="CR27" s="8395"/>
      <c r="CS27" s="8396"/>
      <c r="CT27" s="8397"/>
      <c r="CU27" s="8398"/>
      <c r="CV27" s="8399"/>
      <c r="CW27" s="8400"/>
      <c r="CX27" s="8401"/>
      <c r="CY27" s="8402"/>
      <c r="CZ27" s="8403"/>
      <c r="DA27" s="8404"/>
      <c r="DB27" s="8405"/>
      <c r="DC27" s="8406"/>
      <c r="DD27" s="8407"/>
      <c r="DE27" s="8408"/>
      <c r="DF27" s="8409"/>
      <c r="DG27" s="8410"/>
      <c r="DH27" s="8411"/>
      <c r="DI27" s="8412"/>
      <c r="DJ27" s="8413"/>
      <c r="DK27" s="8414"/>
      <c r="DL27" s="8415"/>
      <c r="DM27" s="8416"/>
      <c r="DN27" s="8417"/>
      <c r="DO27" s="8418"/>
      <c r="DP27" s="8419"/>
      <c r="DQ27" s="8420"/>
      <c r="DR27" s="8421"/>
      <c r="DS27" s="8422"/>
      <c r="DT27" s="8423"/>
      <c r="DU27" s="8424"/>
      <c r="DV27" s="8425"/>
      <c r="DW27" s="8426"/>
      <c r="DX27" s="8427"/>
      <c r="DY27" s="8428"/>
      <c r="DZ27" s="8429"/>
      <c r="EA27" s="8430"/>
      <c r="EB27" s="8431"/>
      <c r="EC27" s="8432"/>
      <c r="ED27" s="8433"/>
      <c r="EE27" s="8434"/>
      <c r="EF27" s="8435"/>
      <c r="EG27" s="8436"/>
      <c r="EH27" s="8437"/>
      <c r="EI27" s="8438"/>
      <c r="EJ27" s="8439"/>
      <c r="EK27" s="8440"/>
      <c r="EL27" s="8441"/>
      <c r="EM27" s="8442"/>
      <c r="EN27" s="8443"/>
      <c r="EO27" s="8444"/>
      <c r="EP27" s="8445"/>
      <c r="EQ27" s="8446"/>
      <c r="ER27" s="8447"/>
      <c r="ES27" s="8448"/>
      <c r="ET27" s="8449"/>
      <c r="EU27" s="8450"/>
      <c r="EV27" s="8451"/>
      <c r="EW27" s="8452"/>
      <c r="EX27" s="8453"/>
      <c r="EY27" s="8454"/>
      <c r="EZ27" s="8455"/>
      <c r="FA27" s="8456"/>
      <c r="FB27" s="8457"/>
      <c r="FC27" s="8458"/>
      <c r="FD27" s="8459"/>
      <c r="FE27" s="8460"/>
      <c r="FF27" s="8461"/>
      <c r="FG27" s="8462"/>
      <c r="FH27" s="8463"/>
      <c r="FI27" s="8464"/>
      <c r="FJ27" s="8465"/>
      <c r="FK27" s="8466"/>
      <c r="FL27" s="8467"/>
      <c r="FM27" s="8468"/>
      <c r="FN27" s="8469"/>
      <c r="FO27" s="8470"/>
      <c r="FP27" s="8471"/>
      <c r="FQ27" s="8472"/>
      <c r="FR27" s="8473"/>
      <c r="FS27" s="8474"/>
      <c r="FT27" s="8475"/>
      <c r="FU27" s="8476"/>
      <c r="FV27" s="8477"/>
      <c r="FW27" s="8478"/>
      <c r="FX27" s="8479"/>
      <c r="FY27" s="8480"/>
      <c r="FZ27" s="8480"/>
      <c r="GA27" s="8480"/>
      <c r="GB27" s="8480"/>
    </row>
    <row s="66606" customFormat="1" customHeight="1" ht="12.75">
      <c r="A28" s="2152"/>
      <c r="B28" s="2152"/>
      <c r="C28" s="2152"/>
      <c r="D28" s="2152"/>
      <c r="E28" s="2152"/>
      <c r="F28" s="2150"/>
      <c r="G28" s="2150"/>
      <c r="H28" s="2150"/>
      <c r="I28" s="2150"/>
      <c r="J28" s="2150"/>
      <c r="K28" s="2150"/>
      <c r="L28" s="2150"/>
      <c r="M28" s="2150"/>
      <c r="N28" s="2150"/>
      <c r="O28" s="2150"/>
      <c r="P28" s="2150"/>
      <c r="Q28" s="2150"/>
      <c r="R28" s="2150"/>
      <c r="S28" s="2153"/>
      <c r="T28" s="2153"/>
      <c r="U28" s="2150"/>
      <c r="V28" s="2150"/>
      <c r="W28" s="2150"/>
      <c r="X28" s="2150"/>
      <c r="Y28" s="2150"/>
      <c r="Z28" s="2150"/>
      <c r="AA28" s="2150"/>
      <c r="AB28" s="2150"/>
      <c r="AC28" s="2150"/>
      <c r="AD28" s="2150"/>
      <c r="AE28" s="2150"/>
      <c r="AF28" s="2150"/>
      <c r="AG28" s="2150"/>
      <c r="AH28" s="2150"/>
      <c r="AI28" s="2150"/>
      <c r="AJ28" s="2150"/>
      <c r="AK28" s="2150"/>
      <c r="AL28" s="2150"/>
      <c r="AM28" s="2150"/>
      <c r="AN28" s="2150"/>
      <c r="AO28" s="2150"/>
      <c r="AP28" s="2150"/>
      <c r="AQ28" s="2150"/>
      <c r="AR28" s="2150"/>
      <c r="AS28" s="2150"/>
      <c r="AT28" s="2150"/>
      <c r="AU28" s="2150"/>
      <c r="AV28" s="2150"/>
      <c r="AW28" s="2150"/>
      <c r="AX28" s="2150"/>
      <c r="AY28" s="2150"/>
      <c r="AZ28" s="2150"/>
      <c r="BA28" s="2150"/>
      <c r="BB28" s="2150"/>
      <c r="BC28" s="2150"/>
      <c r="BD28" s="2150"/>
      <c r="BE28" s="2150"/>
      <c r="BF28" s="2150"/>
      <c r="BG28" s="2150"/>
      <c r="BH28" s="2150"/>
      <c r="BI28" s="2150"/>
      <c r="BJ28" s="2150"/>
      <c r="BK28" s="2150"/>
      <c r="BL28" s="2150"/>
      <c r="BM28" s="2150"/>
      <c r="BN28" s="2150"/>
      <c r="BO28" s="2150"/>
      <c r="BP28" s="2150"/>
      <c r="BQ28" s="2150"/>
      <c r="BR28" s="2150"/>
      <c r="BS28" s="2150"/>
      <c r="BT28" s="2150"/>
      <c r="BU28" s="2150"/>
      <c r="BV28" s="2150"/>
      <c r="BW28" s="2150"/>
      <c r="BX28" s="2150"/>
      <c r="BY28" s="2150"/>
      <c r="BZ28" s="2150"/>
      <c r="CA28" s="2150"/>
      <c r="CB28" s="2150"/>
      <c r="CC28" s="2150"/>
      <c r="CD28" s="2150"/>
      <c r="CE28" s="2150"/>
      <c r="CF28" s="2150"/>
      <c r="CG28" s="2150"/>
      <c r="CH28" s="2150"/>
      <c r="CI28" s="2150"/>
      <c r="CJ28" s="2150"/>
      <c r="CK28" s="2150"/>
      <c r="CL28" s="2150"/>
      <c r="CM28" s="2150"/>
      <c r="CN28" s="2150"/>
      <c r="CO28" s="2150"/>
      <c r="CP28" s="2150"/>
      <c r="CQ28" s="2150"/>
      <c r="CR28" s="2150"/>
      <c r="CS28" s="2150"/>
      <c r="CT28" s="2150"/>
      <c r="CU28" s="2150"/>
      <c r="CV28" s="2150"/>
      <c r="CW28" s="2150"/>
      <c r="CX28" s="2150"/>
      <c r="CY28" s="2150"/>
      <c r="CZ28" s="2150"/>
      <c r="DA28" s="2150"/>
      <c r="DB28" s="2150"/>
      <c r="DC28" s="2150"/>
      <c r="DD28" s="2150"/>
      <c r="DE28" s="2150"/>
      <c r="DF28" s="2150"/>
      <c r="DG28" s="2150"/>
      <c r="DH28" s="2150"/>
      <c r="DI28" s="2150"/>
      <c r="DJ28" s="2150"/>
      <c r="DK28" s="2150"/>
      <c r="DL28" s="2150"/>
      <c r="DM28" s="2150"/>
      <c r="DN28" s="2150"/>
      <c r="DO28" s="2150"/>
      <c r="DP28" s="2150"/>
      <c r="DQ28" s="2150"/>
      <c r="DR28" s="2150"/>
      <c r="DS28" s="2150"/>
      <c r="DT28" s="2150"/>
      <c r="DU28" s="2150"/>
      <c r="DV28" s="2150"/>
      <c r="DW28" s="2150"/>
      <c r="DX28" s="2150"/>
      <c r="DY28" s="2150"/>
      <c r="DZ28" s="2150"/>
      <c r="EA28" s="2150"/>
      <c r="EB28" s="2150"/>
      <c r="EC28" s="2150"/>
      <c r="ED28" s="2150"/>
      <c r="EE28" s="2150"/>
      <c r="EF28" s="2150"/>
      <c r="EG28" s="2150"/>
      <c r="EH28" s="2150"/>
      <c r="EI28" s="2150"/>
      <c r="EJ28" s="2150"/>
      <c r="EK28" s="2150"/>
      <c r="EL28" s="2150"/>
      <c r="EM28" s="2150"/>
      <c r="EN28" s="2150"/>
      <c r="EO28" s="2150"/>
      <c r="EP28" s="2150"/>
      <c r="EQ28" s="2150"/>
      <c r="ER28" s="2150"/>
      <c r="ES28" s="2150"/>
      <c r="ET28" s="2150"/>
      <c r="EU28" s="2150"/>
      <c r="EV28" s="2150"/>
      <c r="EW28" s="2150"/>
      <c r="EX28" s="2150"/>
      <c r="EY28" s="2150"/>
      <c r="EZ28" s="2150"/>
      <c r="FA28" s="2150"/>
      <c r="FB28" s="2150"/>
      <c r="FC28" s="2150"/>
      <c r="FD28" s="2150"/>
      <c r="FE28" s="2150"/>
      <c r="FF28" s="2150"/>
      <c r="FG28" s="2150"/>
      <c r="FH28" s="2150"/>
      <c r="FI28" s="2150"/>
      <c r="FJ28" s="2150"/>
      <c r="FK28" s="2150"/>
      <c r="FL28" s="2150"/>
      <c r="FM28" s="2150"/>
      <c r="FN28" s="2150"/>
      <c r="FO28" s="2150"/>
      <c r="FP28" s="2150"/>
      <c r="FQ28" s="2150"/>
      <c r="FR28" s="2150"/>
      <c r="FS28" s="2150"/>
      <c r="FT28" s="2150"/>
      <c r="FU28" s="2150"/>
      <c r="FV28" s="2150"/>
      <c r="FW28" s="2150"/>
      <c r="FX28" s="2152"/>
      <c r="FY28" s="2152"/>
      <c r="FZ28" s="2152"/>
      <c r="GA28" s="2152"/>
      <c r="GB28" s="2152"/>
      <c r="GC28" s="2133">
        <v>12</v>
      </c>
    </row>
    <row s="66606" customFormat="1" customHeight="1" ht="12.75">
      <c r="A29" s="2152"/>
      <c r="B29" s="2152"/>
      <c r="C29" s="2152"/>
      <c r="D29" s="2152"/>
      <c r="E29" s="2152"/>
      <c r="FX29" s="2152"/>
      <c r="FY29" s="2152"/>
      <c r="FZ29" s="2152"/>
      <c r="GA29" s="2152"/>
      <c r="GB29" s="2152"/>
      <c r="GC29" s="2133">
        <v>12</v>
      </c>
    </row>
    <row s="66804" customFormat="1" customHeight="1" ht="12.75">
      <c r="A30" s="2273"/>
      <c r="B30" s="2273"/>
      <c r="C30" s="2273"/>
      <c r="D30" s="2273"/>
      <c r="E30" s="2273"/>
      <c r="O30" s="2275"/>
      <c r="P30" s="2275"/>
      <c r="Q30" s="2275"/>
      <c r="R30" s="2275"/>
      <c r="S30" s="2275"/>
      <c r="T30" s="2275"/>
      <c r="U30" s="2275"/>
      <c r="V30" s="2275"/>
      <c r="W30" s="2275"/>
      <c r="X30" s="2275"/>
      <c r="Y30" s="2275"/>
      <c r="Z30" s="2275"/>
      <c r="AA30" s="2275"/>
      <c r="AB30" s="2275"/>
      <c r="AC30" s="2275"/>
      <c r="AD30" s="2275"/>
      <c r="AE30" s="2275"/>
      <c r="AF30" s="2275"/>
      <c r="AG30" s="2275"/>
      <c r="AH30" s="2275"/>
      <c r="AI30" s="2275"/>
      <c r="AJ30" s="2275"/>
      <c r="AK30" s="2275"/>
      <c r="AL30" s="2275"/>
      <c r="AM30" s="2275"/>
      <c r="AN30" s="2275"/>
      <c r="AO30" s="2275"/>
      <c r="AP30" s="2275"/>
      <c r="AQ30" s="2275"/>
      <c r="AR30" s="2275"/>
      <c r="AS30" s="2275"/>
      <c r="AT30" s="2275"/>
      <c r="AU30" s="2275"/>
      <c r="AV30" s="2275"/>
      <c r="AW30" s="2275"/>
      <c r="AX30" s="2275"/>
      <c r="AY30" s="2275"/>
      <c r="AZ30" s="2275"/>
      <c r="BA30" s="2275"/>
      <c r="BB30" s="2275"/>
      <c r="BC30" s="2275"/>
      <c r="BD30" s="2275"/>
      <c r="BE30" s="2275"/>
      <c r="BF30" s="2275"/>
      <c r="BG30" s="2275"/>
      <c r="BH30" s="2275"/>
      <c r="BI30" s="2275"/>
      <c r="BJ30" s="2275"/>
      <c r="BK30" s="2275"/>
      <c r="BL30" s="2275"/>
      <c r="BM30" s="2275"/>
      <c r="BN30" s="2275"/>
      <c r="BO30" s="2275"/>
      <c r="BP30" s="2275"/>
      <c r="BQ30" s="2275"/>
      <c r="BR30" s="2275"/>
      <c r="BS30" s="2275"/>
      <c r="BT30" s="2276"/>
      <c r="BU30" s="2276"/>
      <c r="BV30" s="2276"/>
      <c r="BW30" s="2276"/>
      <c r="BX30" s="2276"/>
      <c r="BY30" s="2276"/>
      <c r="BZ30" s="2276"/>
      <c r="CA30" s="2276"/>
      <c r="CB30" s="2276"/>
      <c r="CC30" s="2276"/>
      <c r="CD30" s="2276"/>
      <c r="CE30" s="2276"/>
      <c r="CF30" s="2276"/>
      <c r="CG30" s="2276"/>
      <c r="CH30" s="2276"/>
      <c r="CI30" s="2276"/>
      <c r="CJ30" s="2276"/>
      <c r="CK30" s="2276"/>
      <c r="CL30" s="2276"/>
      <c r="CM30" s="2276"/>
      <c r="CN30" s="2276"/>
      <c r="CO30" s="2276"/>
      <c r="CP30" s="2276"/>
      <c r="CQ30" s="2276"/>
      <c r="CR30" s="2276"/>
      <c r="CS30" s="2276"/>
      <c r="CT30" s="2276"/>
      <c r="CU30" s="2276"/>
      <c r="CV30" s="2276"/>
      <c r="CW30" s="2276"/>
      <c r="CX30" s="2276"/>
      <c r="CY30" s="2276"/>
      <c r="CZ30" s="2276"/>
      <c r="DA30" s="2276"/>
      <c r="DB30" s="2276"/>
      <c r="DC30" s="2276"/>
      <c r="DD30" s="2276"/>
      <c r="DE30" s="2276"/>
      <c r="DF30" s="2276"/>
      <c r="DG30" s="2276"/>
      <c r="DH30" s="2276"/>
      <c r="DI30" s="2276"/>
      <c r="DJ30" s="2276"/>
      <c r="DK30" s="2276"/>
      <c r="DL30" s="2276"/>
      <c r="DM30" s="2276"/>
      <c r="DN30" s="2276"/>
      <c r="DO30" s="2276"/>
      <c r="DP30" s="2276"/>
      <c r="DQ30" s="2276"/>
      <c r="DR30" s="2276"/>
      <c r="DS30" s="2276"/>
      <c r="DT30" s="2276"/>
      <c r="DU30" s="2276"/>
      <c r="DV30" s="2276"/>
      <c r="DW30" s="2276"/>
      <c r="DX30" s="2276"/>
      <c r="FX30" s="2273"/>
      <c r="FY30" s="2273"/>
      <c r="FZ30" s="2273"/>
      <c r="GA30" s="2273"/>
      <c r="GB30" s="2273"/>
      <c r="GC30" s="2274">
        <v>12</v>
      </c>
    </row>
    <row customHeight="1" ht="12.75">
      <c r="S31" s="2149"/>
      <c r="T31" s="2149"/>
      <c r="U31" s="2149"/>
      <c r="V31" s="2149"/>
      <c r="W31" s="2149"/>
      <c r="X31" s="2149"/>
      <c r="Y31" s="2149"/>
      <c r="Z31" s="2149"/>
      <c r="AA31" s="2149"/>
      <c r="AB31" s="2149"/>
      <c r="FX31" s="2149"/>
      <c r="FY31" s="2149"/>
      <c r="FZ31" s="2149"/>
      <c r="GA31" s="2149"/>
      <c r="GB31" s="2149"/>
      <c r="GC31" s="2137">
        <v>12</v>
      </c>
    </row>
    <row customHeight="1" ht="12" hidden="1">
      <c r="A32" s="2137" t="s">
        <v>82</v>
      </c>
      <c r="B32" s="2147">
        <v>0</v>
      </c>
      <c r="C32" s="2137">
        <v>0</v>
      </c>
      <c r="D32" s="2137">
        <v>0</v>
      </c>
      <c r="E32" s="2137">
        <v>3</v>
      </c>
      <c r="F32" s="2137">
        <v>6</v>
      </c>
      <c r="G32" s="2137">
        <v>18</v>
      </c>
      <c r="H32" s="2137">
        <v>27</v>
      </c>
      <c r="I32" s="2137">
        <v>18</v>
      </c>
      <c r="J32" s="2137">
        <v>0</v>
      </c>
      <c r="K32" s="2137">
        <v>0</v>
      </c>
      <c r="L32" s="2137">
        <v>0</v>
      </c>
      <c r="M32" s="2137">
        <v>0</v>
      </c>
      <c r="N32" s="2137">
        <v>0</v>
      </c>
      <c r="O32" s="2137">
        <v>0</v>
      </c>
      <c r="P32" s="2137">
        <v>0</v>
      </c>
      <c r="Q32" s="2137">
        <v>0</v>
      </c>
      <c r="R32" s="2137">
        <v>0</v>
      </c>
      <c r="S32" s="2137">
        <v>0</v>
      </c>
      <c r="T32" s="2137">
        <v>0</v>
      </c>
      <c r="U32" s="2137">
        <v>0</v>
      </c>
      <c r="V32" s="2137">
        <v>0</v>
      </c>
      <c r="W32" s="2137">
        <v>0</v>
      </c>
      <c r="X32" s="2137">
        <v>0</v>
      </c>
      <c r="Y32" s="2137">
        <v>0</v>
      </c>
      <c r="Z32" s="2137">
        <v>0</v>
      </c>
      <c r="AA32" s="2137">
        <v>0</v>
      </c>
      <c r="AB32" s="2137">
        <v>0</v>
      </c>
      <c r="AC32" s="2137">
        <v>0</v>
      </c>
      <c r="AD32" s="2137">
        <v>0</v>
      </c>
      <c r="AE32" s="2137">
        <v>0</v>
      </c>
      <c r="AF32" s="2137">
        <v>0</v>
      </c>
      <c r="AG32" s="2137">
        <v>0</v>
      </c>
      <c r="AH32" s="2137">
        <v>0</v>
      </c>
      <c r="AI32" s="2137">
        <v>0</v>
      </c>
      <c r="AJ32" s="2137">
        <v>0</v>
      </c>
      <c r="AK32" s="2137">
        <v>0</v>
      </c>
      <c r="AL32" s="2137">
        <v>0</v>
      </c>
      <c r="AM32" s="2137">
        <v>0</v>
      </c>
      <c r="AN32" s="2137">
        <v>0</v>
      </c>
      <c r="AO32" s="2137">
        <v>0</v>
      </c>
      <c r="AP32" s="2137">
        <v>0</v>
      </c>
      <c r="AQ32" s="2137">
        <v>0</v>
      </c>
      <c r="AR32" s="2137">
        <v>0</v>
      </c>
      <c r="AS32" s="2137">
        <v>0</v>
      </c>
      <c r="AT32" s="2137">
        <v>0</v>
      </c>
      <c r="AU32" s="2137">
        <v>0</v>
      </c>
      <c r="AV32" s="2137">
        <v>0</v>
      </c>
      <c r="AW32" s="2137">
        <v>0</v>
      </c>
      <c r="AX32" s="2137">
        <v>0</v>
      </c>
      <c r="AY32" s="2137">
        <v>0</v>
      </c>
      <c r="AZ32" s="2137">
        <v>0</v>
      </c>
      <c r="BA32" s="2137">
        <v>0</v>
      </c>
      <c r="BB32" s="2137">
        <v>0</v>
      </c>
      <c r="BC32" s="2137">
        <v>0</v>
      </c>
      <c r="BD32" s="2137">
        <v>0</v>
      </c>
      <c r="BE32" s="2137">
        <v>0</v>
      </c>
      <c r="BF32" s="2137">
        <v>0</v>
      </c>
      <c r="BG32" s="2137">
        <v>0</v>
      </c>
      <c r="BH32" s="2137">
        <v>0</v>
      </c>
      <c r="BI32" s="2137">
        <v>0</v>
      </c>
      <c r="BJ32" s="2137">
        <v>0</v>
      </c>
      <c r="BK32" s="2137">
        <v>0</v>
      </c>
      <c r="BL32" s="2137">
        <v>0</v>
      </c>
      <c r="BM32" s="2137">
        <v>0</v>
      </c>
      <c r="BN32" s="2137">
        <v>0</v>
      </c>
      <c r="BO32" s="2137">
        <v>0</v>
      </c>
      <c r="BP32" s="2137">
        <v>0</v>
      </c>
      <c r="BQ32" s="2137">
        <v>0</v>
      </c>
      <c r="BR32" s="2137">
        <v>0</v>
      </c>
      <c r="BS32" s="2137">
        <v>0</v>
      </c>
      <c r="BT32" s="2137">
        <v>0</v>
      </c>
      <c r="BU32" s="2137">
        <v>0</v>
      </c>
      <c r="BV32" s="2137">
        <v>0</v>
      </c>
      <c r="BW32" s="2137">
        <v>0</v>
      </c>
      <c r="BX32" s="2137">
        <v>0</v>
      </c>
      <c r="BY32" s="2137">
        <v>0</v>
      </c>
      <c r="BZ32" s="2137">
        <v>0</v>
      </c>
      <c r="CA32" s="2137">
        <v>0</v>
      </c>
      <c r="CB32" s="2137">
        <v>0</v>
      </c>
      <c r="CC32" s="2137">
        <v>0</v>
      </c>
      <c r="CD32" s="2137">
        <v>0</v>
      </c>
      <c r="CE32" s="2137">
        <v>0</v>
      </c>
      <c r="CF32" s="2137">
        <v>0</v>
      </c>
      <c r="CG32" s="2137">
        <v>0</v>
      </c>
      <c r="CH32" s="2137">
        <v>0</v>
      </c>
      <c r="CI32" s="2137">
        <v>0</v>
      </c>
      <c r="CJ32" s="2137">
        <v>0</v>
      </c>
      <c r="CK32" s="2137">
        <v>0</v>
      </c>
      <c r="CL32" s="2137">
        <v>0</v>
      </c>
      <c r="CM32" s="2137">
        <v>0</v>
      </c>
      <c r="CN32" s="2137">
        <v>0</v>
      </c>
      <c r="CO32" s="2137">
        <v>0</v>
      </c>
      <c r="CP32" s="2137">
        <v>0</v>
      </c>
      <c r="CQ32" s="2137">
        <v>0</v>
      </c>
      <c r="CR32" s="2137">
        <v>0</v>
      </c>
      <c r="CS32" s="2137">
        <v>0</v>
      </c>
      <c r="CT32" s="2137">
        <v>0</v>
      </c>
      <c r="CU32" s="2137">
        <v>0</v>
      </c>
      <c r="CV32" s="2137">
        <v>0</v>
      </c>
      <c r="CW32" s="2137">
        <v>0</v>
      </c>
      <c r="CX32" s="2137">
        <v>0</v>
      </c>
      <c r="CY32" s="2137">
        <v>0</v>
      </c>
      <c r="CZ32" s="2137">
        <v>0</v>
      </c>
      <c r="DA32" s="2137">
        <v>0</v>
      </c>
      <c r="DB32" s="2137">
        <v>0</v>
      </c>
      <c r="DC32" s="2137">
        <v>0</v>
      </c>
      <c r="DD32" s="2137">
        <v>0</v>
      </c>
      <c r="DE32" s="2137">
        <v>0</v>
      </c>
      <c r="DF32" s="2137">
        <v>0</v>
      </c>
      <c r="DG32" s="2137">
        <v>0</v>
      </c>
      <c r="DH32" s="2137">
        <v>0</v>
      </c>
      <c r="DI32" s="2137">
        <v>0</v>
      </c>
      <c r="DJ32" s="2137">
        <v>0</v>
      </c>
      <c r="DK32" s="2137">
        <v>0</v>
      </c>
      <c r="DL32" s="2137">
        <v>0</v>
      </c>
      <c r="DM32" s="2137">
        <v>0</v>
      </c>
      <c r="DN32" s="2137">
        <v>0</v>
      </c>
      <c r="DO32" s="2137">
        <v>0</v>
      </c>
      <c r="DP32" s="2137">
        <v>0</v>
      </c>
      <c r="DQ32" s="2137">
        <v>0</v>
      </c>
      <c r="DR32" s="2137">
        <v>0</v>
      </c>
      <c r="DS32" s="2137">
        <v>0</v>
      </c>
      <c r="DT32" s="2137">
        <v>0</v>
      </c>
      <c r="DU32" s="2137">
        <v>0</v>
      </c>
      <c r="DV32" s="2137">
        <v>0</v>
      </c>
      <c r="DW32" s="2137">
        <v>0</v>
      </c>
      <c r="DX32" s="2137">
        <v>0</v>
      </c>
      <c r="DY32" s="2137">
        <v>0</v>
      </c>
      <c r="DZ32" s="2137">
        <v>0</v>
      </c>
      <c r="EA32" s="2137">
        <v>0</v>
      </c>
      <c r="EB32" s="2137">
        <v>0</v>
      </c>
      <c r="EC32" s="2137">
        <v>0</v>
      </c>
      <c r="ED32" s="2137">
        <v>0</v>
      </c>
      <c r="EE32" s="2137">
        <v>0</v>
      </c>
      <c r="EF32" s="2137">
        <v>0</v>
      </c>
      <c r="EG32" s="2137">
        <v>0</v>
      </c>
      <c r="EH32" s="2137">
        <v>0</v>
      </c>
      <c r="EI32" s="2137">
        <v>0</v>
      </c>
      <c r="EJ32" s="2137">
        <v>0</v>
      </c>
      <c r="EK32" s="2137">
        <v>0</v>
      </c>
      <c r="EL32" s="2137">
        <v>0</v>
      </c>
      <c r="EM32" s="2137">
        <v>0</v>
      </c>
      <c r="EN32" s="2137">
        <v>0</v>
      </c>
      <c r="EO32" s="2137">
        <v>0</v>
      </c>
      <c r="EP32" s="2137">
        <v>0</v>
      </c>
      <c r="EQ32" s="2137">
        <v>0</v>
      </c>
      <c r="ER32" s="2137">
        <v>0</v>
      </c>
      <c r="ES32" s="2137">
        <v>0</v>
      </c>
      <c r="ET32" s="2137">
        <v>0</v>
      </c>
      <c r="EU32" s="2137">
        <v>0</v>
      </c>
      <c r="EV32" s="2137">
        <v>0</v>
      </c>
      <c r="EW32" s="2137">
        <v>0</v>
      </c>
      <c r="EX32" s="2137">
        <v>0</v>
      </c>
      <c r="EY32" s="2137">
        <v>0</v>
      </c>
      <c r="EZ32" s="2137">
        <v>0</v>
      </c>
      <c r="FA32" s="2137">
        <v>0</v>
      </c>
      <c r="FB32" s="2137">
        <v>0</v>
      </c>
      <c r="FC32" s="2137">
        <v>0</v>
      </c>
      <c r="FD32" s="2137">
        <v>0</v>
      </c>
      <c r="FE32" s="2137">
        <v>0</v>
      </c>
      <c r="FF32" s="2137">
        <v>0</v>
      </c>
      <c r="FG32" s="2137">
        <v>0</v>
      </c>
      <c r="FH32" s="2137">
        <v>0</v>
      </c>
      <c r="FI32" s="2137">
        <v>0</v>
      </c>
      <c r="FJ32" s="2137">
        <v>0</v>
      </c>
      <c r="FK32" s="2137">
        <v>0</v>
      </c>
      <c r="FL32" s="2137">
        <v>0</v>
      </c>
      <c r="FM32" s="2137">
        <v>0</v>
      </c>
      <c r="FN32" s="2137">
        <v>0</v>
      </c>
      <c r="FO32" s="2137">
        <v>0</v>
      </c>
      <c r="FP32" s="2137">
        <v>0</v>
      </c>
      <c r="FQ32" s="2137">
        <v>0</v>
      </c>
      <c r="FR32" s="2137">
        <v>0</v>
      </c>
      <c r="FS32" s="2137">
        <v>0</v>
      </c>
      <c r="FT32" s="2137">
        <v>0</v>
      </c>
      <c r="FU32" s="2137">
        <v>0</v>
      </c>
      <c r="FV32" s="2137">
        <v>0</v>
      </c>
      <c r="FW32" s="2137">
        <v>0</v>
      </c>
      <c r="FX32" s="2137">
        <v>8</v>
      </c>
      <c r="FY32" s="2137">
        <v>8</v>
      </c>
      <c r="FZ32" s="2137">
        <v>8</v>
      </c>
      <c r="GA32" s="2137">
        <v>8</v>
      </c>
      <c r="GB32" s="2137">
        <v>8</v>
      </c>
      <c r="GC32" s="213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231">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type="textLength" operator="lessThanOrEqual" allowBlank="1" showInputMessage="1" showErrorMessage="1" errorTitle="Ошибка" error="Допускается ввод не более 900 символов!" sqref="I23">
      <formula1>900</formula1>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textLength" operator="lessThanOrEqual" allowBlank="1" showInputMessage="1" showErrorMessage="1" errorTitle="Ошибка" error="Допускается ввод не более 900 символов!" sqref="I24">
      <formula1>900</formula1>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textLength" operator="lessThanOrEqual" allowBlank="1" showInputMessage="1" showErrorMessage="1" errorTitle="Ошибка" error="Допускается ввод не более 900 символов!" sqref="I25">
      <formula1>900</formula1>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textLength" operator="lessThanOrEqual" allowBlank="1" showInputMessage="1" showErrorMessage="1" errorTitle="Ошибка" error="Допускается ввод не более 900 символов!" sqref="I26">
      <formula1>900</formula1>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92218-F2CA-8668-C6E6-8070E0CD0DD1}" mc:Ignorable="x14ac xr xr2 xr3">
  <sheetPr>
    <tabColor theme="2" tint="-0.1"/>
  </sheetPr>
  <dimension ref="A1:X23"/>
  <sheetViews>
    <sheetView showGridLines="0" zoomScale="90" workbookViewId="0">
      <pane xSplit="7" ySplit="14" topLeftCell="H15" activePane="bottomRight" state="frozen"/>
      <selection pane="bottomLeft" activeCell="A15" sqref="A15"/>
      <selection pane="topRight" activeCell="H1" sqref="H1"/>
      <selection pane="bottomRight" activeCell="M8" sqref="M8"/>
    </sheetView>
  </sheetViews>
  <sheetFormatPr defaultColWidth="10.57421875" customHeight="1" defaultRowHeight="15"/>
  <cols>
    <col min="1" max="1" style="67156" width="9.140625" hidden="1" customWidth="1"/>
    <col min="2" max="2" style="66903" width="9.140625" hidden="1" customWidth="1"/>
    <col min="3" max="3" style="66807" width="4.00390625" customWidth="1"/>
    <col min="4" max="4" style="66903" width="6.00390625" customWidth="1"/>
    <col min="5" max="5" style="66903" width="36.00390625" customWidth="1"/>
    <col min="6" max="6" style="66903" width="9.00390625" customWidth="1"/>
    <col min="7" max="7" style="66903" width="42.421875" hidden="1" customWidth="1"/>
    <col min="8" max="8" style="66903" width="40.7109375" customWidth="1"/>
    <col min="9" max="13" style="66903" width="42.421875" customWidth="1"/>
    <col min="14" max="14" style="66852" width="93.00390625" customWidth="1"/>
    <col min="15" max="22" style="66903" width="10.00390625" customWidth="1"/>
    <col min="23" max="23" style="66940" width="10.00390625" customWidth="1"/>
    <col min="24" max="24" style="66903" width="10.57421875" hidden="1"/>
  </cols>
  <sheetData>
    <row s="66852" customFormat="1" customHeight="1" ht="15" hidden="1">
      <c r="C1" s="1883"/>
      <c r="H1" s="1628">
        <v>4</v>
      </c>
      <c r="I1" s="13336"/>
      <c r="J1" s="13336"/>
      <c r="K1" s="13336"/>
      <c r="L1" s="13336"/>
      <c r="M1" s="13336"/>
      <c r="W1" s="1631"/>
      <c r="X1" s="1628" t="s">
        <v>14</v>
      </c>
    </row>
    <row customHeight="1" ht="22.5" hidden="1">
      <c r="C2" s="3139" t="s">
        <v>103</v>
      </c>
      <c r="D2" s="1750"/>
      <c r="E2" s="1874"/>
      <c r="F2" s="2972" t="str">
        <f>IF(TEMPLATE_SPHERE="HEAT","Гкал/час","тыс. куб. м/сутки")</f>
        <v>Гкал/час</v>
      </c>
      <c r="G2" s="1891"/>
      <c r="H2" s="1891"/>
      <c r="I2" s="13735"/>
      <c r="J2" s="13735"/>
      <c r="K2" s="13735"/>
      <c r="L2" s="13735"/>
      <c r="M2" s="13735"/>
      <c r="N2" s="1500"/>
      <c r="X2" s="1716">
        <v>0</v>
      </c>
    </row>
    <row s="66852" customFormat="1" customHeight="1" ht="15" hidden="1">
      <c r="C3" s="1883"/>
      <c r="I3" s="13336"/>
      <c r="J3" s="13336"/>
      <c r="K3" s="13336"/>
      <c r="L3" s="13336"/>
      <c r="M3" s="13336"/>
      <c r="W3" s="1631"/>
      <c r="X3" s="1628">
        <v>0</v>
      </c>
    </row>
    <row customHeight="1" ht="15.75">
      <c r="C4" s="1387"/>
      <c r="D4" s="1720"/>
      <c r="E4" s="1720"/>
      <c r="F4" s="1720"/>
      <c r="G4" s="1720"/>
      <c r="H4" s="1720"/>
      <c r="I4" s="13315"/>
      <c r="J4" s="13315"/>
      <c r="K4" s="13315"/>
      <c r="L4" s="13315"/>
      <c r="M4" s="13315"/>
      <c r="X4" s="1716">
        <v>15</v>
      </c>
    </row>
    <row customHeight="1" ht="39.75">
      <c r="C5" s="1387"/>
      <c r="D5" s="344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3448"/>
      <c r="F5" s="3448"/>
      <c r="G5" s="3448"/>
      <c r="H5" s="3448"/>
      <c r="I5" s="13347"/>
      <c r="J5" s="13347"/>
      <c r="K5" s="13347"/>
      <c r="L5" s="13347"/>
      <c r="M5" s="13347"/>
      <c r="N5" s="1748"/>
      <c r="X5" s="1716">
        <v>38</v>
      </c>
    </row>
    <row customHeight="1" ht="15.75">
      <c r="C6" s="1387"/>
      <c r="D6" s="3387" t="str">
        <f>IF(org=0,"Не определено",org)</f>
        <v>ПАО "ТГК-2"</v>
      </c>
      <c r="E6" s="3387"/>
      <c r="F6" s="3387"/>
      <c r="G6" s="3387"/>
      <c r="H6" s="3387"/>
      <c r="I6" s="13349"/>
      <c r="J6" s="13349"/>
      <c r="K6" s="13349"/>
      <c r="L6" s="13349"/>
      <c r="M6" s="13349"/>
      <c r="N6" s="1748"/>
      <c r="X6" s="1716">
        <v>15</v>
      </c>
    </row>
    <row s="66903" customFormat="1" customHeight="1" ht="15.75">
      <c r="A7" s="1970"/>
      <c r="C7" s="1387"/>
      <c r="D7" s="1887"/>
      <c r="E7" s="1887"/>
      <c r="F7" s="1887"/>
      <c r="G7" s="1887"/>
      <c r="H7" s="1963"/>
      <c r="I7" s="14366" t="s">
        <v>22</v>
      </c>
      <c r="J7" s="14366" t="s">
        <v>22</v>
      </c>
      <c r="K7" s="14366" t="s">
        <v>22</v>
      </c>
      <c r="L7" s="14366" t="s">
        <v>22</v>
      </c>
      <c r="M7" s="14366" t="s">
        <v>22</v>
      </c>
      <c r="N7" s="1748"/>
      <c r="W7" s="1886"/>
      <c r="X7" s="1969">
        <v>15</v>
      </c>
    </row>
    <row customHeight="1" ht="1.05">
      <c r="C8" s="1387"/>
      <c r="D8" s="1720"/>
      <c r="E8" s="1720"/>
      <c r="F8" s="1720"/>
      <c r="G8" s="1720"/>
      <c r="H8" s="1748" t="s">
        <v>128</v>
      </c>
      <c r="I8" s="13315" t="s">
        <v>132</v>
      </c>
      <c r="J8" s="13315" t="s">
        <v>134</v>
      </c>
      <c r="K8" s="13315" t="s">
        <v>136</v>
      </c>
      <c r="L8" s="13315" t="s">
        <v>138</v>
      </c>
      <c r="M8" s="13315" t="s">
        <v>139</v>
      </c>
      <c r="X8" s="1716">
        <v>1</v>
      </c>
    </row>
    <row customHeight="1" ht="15.75">
      <c r="C9" s="1387"/>
      <c r="D9" s="1922"/>
      <c r="E9" s="3578" t="s">
        <v>118</v>
      </c>
      <c r="F9" s="3579"/>
      <c r="G9" s="2027" t="str">
        <f>IF(G8="","",INDEX(DIFFERENTIATION_UNMERGE_VD,MATCH(G8,DIFFERENTIATION_ID_DIFF,0)))</f>
        <v/>
      </c>
      <c r="H9" s="2027"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13810"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13810" t="str">
        <f>IF(J8="","",INDEX(DIFFERENTIATION_UNMERGE_VD,MATCH(J8,DIFFERENTIATION_ID_DIFF,0)))</f>
        <v>Производство тепловой энергии. Некомбинированная выработка</v>
      </c>
      <c r="K9" s="13810" t="str">
        <f>IF(K8="","",INDEX(DIFFERENTIATION_UNMERGE_VD,MATCH(K8,DIFFERENTIATION_ID_DIFF,0)))</f>
        <v>Передача. Тепловая энергия; Сбыт. Тепловая энергия</v>
      </c>
      <c r="L9" s="13810" t="str">
        <f>IF(L8="","",INDEX(DIFFERENTIATION_UNMERGE_VD,MATCH(L8,DIFFERENTIATION_ID_DIFF,0)))</f>
        <v>Передача. Тепловая энергия; Сбыт. Тепловая энергия</v>
      </c>
      <c r="M9" s="13810" t="str">
        <f>IF(M8="","",INDEX(DIFFERENTIATION_UNMERGE_VD,MATCH(M8,DIFFERENTIATION_ID_DIFF,0)))</f>
        <v>Производство. Теплоноситель; Сбыт. Теплоноситель</v>
      </c>
      <c r="N9" s="3338" t="s">
        <v>319</v>
      </c>
      <c r="X9" s="1716">
        <v>15</v>
      </c>
    </row>
    <row s="66903" customFormat="1" customHeight="1" ht="15.75">
      <c r="A10" s="1970"/>
      <c r="C10" s="1387"/>
      <c r="D10" s="1922"/>
      <c r="E10" s="3578" t="s">
        <v>582</v>
      </c>
      <c r="F10" s="3579"/>
      <c r="G10" s="2027" t="str">
        <f>IF(G8="","",INDEX(DIFFERENTIATION_UNMERGE_AREA,MATCH(G8,DIFFERENTIATION_ID_DIFF,0)))</f>
        <v/>
      </c>
      <c r="H10" s="2027" t="str">
        <f>IF(H8="","",INDEX(DIFFERENTIATION_UNMERGE_AREA,MATCH(H8,DIFFERENTIATION_ID_DIFF,0)))</f>
        <v>Территория 1</v>
      </c>
      <c r="I10" s="13810" t="str">
        <f>IF(I8="","",INDEX(DIFFERENTIATION_UNMERGE_AREA,MATCH(I8,DIFFERENTIATION_ID_DIFF,0)))</f>
        <v>Территория 2</v>
      </c>
      <c r="J10" s="13810" t="str">
        <f>IF(J8="","",INDEX(DIFFERENTIATION_UNMERGE_AREA,MATCH(J8,DIFFERENTIATION_ID_DIFF,0)))</f>
        <v>Территория 1</v>
      </c>
      <c r="K10" s="13810" t="str">
        <f>IF(K8="","",INDEX(DIFFERENTIATION_UNMERGE_AREA,MATCH(K8,DIFFERENTIATION_ID_DIFF,0)))</f>
        <v>Территория 1</v>
      </c>
      <c r="L10" s="13810" t="str">
        <f>IF(L8="","",INDEX(DIFFERENTIATION_UNMERGE_AREA,MATCH(L8,DIFFERENTIATION_ID_DIFF,0)))</f>
        <v>Территория 2</v>
      </c>
      <c r="M10" s="13810" t="str">
        <f>IF(M8="","",INDEX(DIFFERENTIATION_UNMERGE_AREA,MATCH(M8,DIFFERENTIATION_ID_DIFF,0)))</f>
        <v>Территория 2</v>
      </c>
      <c r="N10" s="3338"/>
      <c r="W10" s="1886"/>
      <c r="X10" s="1969">
        <v>15</v>
      </c>
    </row>
    <row s="66903" customFormat="1" customHeight="1" ht="15.75">
      <c r="A11" s="1970"/>
      <c r="C11" s="1387"/>
      <c r="D11" s="1922"/>
      <c r="E11" s="3578" t="s">
        <v>583</v>
      </c>
      <c r="F11" s="3579"/>
      <c r="G11" s="2027" t="str">
        <f>IF(G8="","",INDEX(DIFFERENTIATION_UNMERGE_SYSTEM,MATCH(G8,DIFFERENTIATION_ID_DIFF,0)))</f>
        <v/>
      </c>
      <c r="H11" s="2027" t="str">
        <f>IF(H8="","",INDEX(DIFFERENTIATION_UNMERGE_SYSTEM,MATCH(H8,DIFFERENTIATION_ID_DIFF,0)))</f>
        <v>без дифференциации</v>
      </c>
      <c r="I11" s="13810" t="str">
        <f>IF(I8="","",INDEX(DIFFERENTIATION_UNMERGE_SYSTEM,MATCH(I8,DIFFERENTIATION_ID_DIFF,0)))</f>
        <v>без дифференциации</v>
      </c>
      <c r="J11" s="13810" t="str">
        <f>IF(J8="","",INDEX(DIFFERENTIATION_UNMERGE_SYSTEM,MATCH(J8,DIFFERENTIATION_ID_DIFF,0)))</f>
        <v>без дифференциации</v>
      </c>
      <c r="K11" s="13810" t="str">
        <f>IF(K8="","",INDEX(DIFFERENTIATION_UNMERGE_SYSTEM,MATCH(K8,DIFFERENTIATION_ID_DIFF,0)))</f>
        <v>без дифференциации</v>
      </c>
      <c r="L11" s="13810" t="str">
        <f>IF(L8="","",INDEX(DIFFERENTIATION_UNMERGE_SYSTEM,MATCH(L8,DIFFERENTIATION_ID_DIFF,0)))</f>
        <v>без дифференциации</v>
      </c>
      <c r="M11" s="13810" t="str">
        <f>IF(M8="","",INDEX(DIFFERENTIATION_UNMERGE_SYSTEM,MATCH(M8,DIFFERENTIATION_ID_DIFF,0)))</f>
        <v>без дифференциации</v>
      </c>
      <c r="N11" s="3338"/>
      <c r="W11" s="1886"/>
      <c r="X11" s="1969">
        <v>15</v>
      </c>
    </row>
    <row s="66903" customFormat="1" customHeight="1" ht="15.75">
      <c r="A12" s="1970"/>
      <c r="C12" s="1387"/>
      <c r="D12" s="3580" t="s">
        <v>318</v>
      </c>
      <c r="E12" s="3581"/>
      <c r="F12" s="3581"/>
      <c r="G12" s="2098"/>
      <c r="H12" s="2098"/>
      <c r="I12" s="13362"/>
      <c r="J12" s="13362"/>
      <c r="K12" s="13362"/>
      <c r="L12" s="13362"/>
      <c r="M12" s="13362"/>
      <c r="N12" s="3338"/>
      <c r="W12" s="1886"/>
      <c r="X12" s="1969">
        <v>15</v>
      </c>
    </row>
    <row customHeight="1" ht="35.699999999999996">
      <c r="C13" s="1387"/>
      <c r="D13" s="1972" t="s">
        <v>88</v>
      </c>
      <c r="E13" s="1971" t="s">
        <v>320</v>
      </c>
      <c r="F13" s="1971" t="s">
        <v>584</v>
      </c>
      <c r="G13" s="2019" t="s">
        <v>321</v>
      </c>
      <c r="H13" s="1965" t="s">
        <v>321</v>
      </c>
      <c r="I13" s="13602" t="s">
        <v>321</v>
      </c>
      <c r="J13" s="13602" t="s">
        <v>321</v>
      </c>
      <c r="K13" s="13602" t="s">
        <v>321</v>
      </c>
      <c r="L13" s="13602" t="s">
        <v>321</v>
      </c>
      <c r="M13" s="13602" t="s">
        <v>321</v>
      </c>
      <c r="N13" s="3338"/>
      <c r="X13" s="1716">
        <v>34</v>
      </c>
    </row>
    <row customHeight="1" ht="15" hidden="1">
      <c r="C14" s="1387"/>
      <c r="D14" s="1804" t="s">
        <v>99</v>
      </c>
      <c r="E14" s="1804" t="s">
        <v>102</v>
      </c>
      <c r="F14" s="1804" t="s">
        <v>90</v>
      </c>
      <c r="G14" s="1870" t="str">
        <f>G1&amp;".1"</f>
        <v>.1</v>
      </c>
      <c r="H14" s="1870" t="str">
        <f>H1&amp;".1"</f>
        <v>4.1</v>
      </c>
      <c r="I14" s="13818" t="str">
        <f>I1&amp;".1"</f>
        <v>.1</v>
      </c>
      <c r="J14" s="13818" t="str">
        <f>J1&amp;".1"</f>
        <v>.1</v>
      </c>
      <c r="K14" s="13818" t="str">
        <f>K1&amp;".1"</f>
        <v>.1</v>
      </c>
      <c r="L14" s="13818" t="str">
        <f>L1&amp;".1"</f>
        <v>.1</v>
      </c>
      <c r="M14" s="13818" t="str">
        <f>M1&amp;".1"</f>
        <v>.1</v>
      </c>
      <c r="N14" s="1500"/>
      <c r="X14" s="1716">
        <v>0</v>
      </c>
    </row>
    <row customHeight="1" ht="15.75">
      <c r="A15" s="1716"/>
      <c r="C15" s="1737"/>
      <c r="D15" s="1732">
        <v>1</v>
      </c>
      <c r="E15" s="3141" t="str">
        <f>TP_P_A</f>
        <v>Количество поданных заявок</v>
      </c>
      <c r="F15" s="1732" t="s">
        <v>1322</v>
      </c>
      <c r="G15" s="1896"/>
      <c r="H15" s="1896"/>
      <c r="I15" s="14371"/>
      <c r="J15" s="14371"/>
      <c r="K15" s="14371"/>
      <c r="L15" s="14371"/>
      <c r="M15" s="14371"/>
      <c r="N15" s="141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1716">
        <v>15</v>
      </c>
    </row>
    <row customHeight="1" ht="15.75">
      <c r="A16" s="1716"/>
      <c r="C16" s="1737"/>
      <c r="D16" s="1732">
        <v>2</v>
      </c>
      <c r="E16" s="3141" t="str">
        <f>TP_P_B</f>
        <v>Количество рассмотренных заявок</v>
      </c>
      <c r="F16" s="1732" t="s">
        <v>1322</v>
      </c>
      <c r="G16" s="1896"/>
      <c r="H16" s="1896"/>
      <c r="I16" s="14371"/>
      <c r="J16" s="14371"/>
      <c r="K16" s="14371"/>
      <c r="L16" s="14371"/>
      <c r="M16" s="14371"/>
      <c r="N16" s="141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1716">
        <v>15</v>
      </c>
    </row>
    <row customHeight="1" ht="77.7">
      <c r="A17" s="1716"/>
      <c r="C17" s="1737"/>
      <c r="D17" s="1732">
        <v>3</v>
      </c>
      <c r="E17" s="314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732" t="s">
        <v>1322</v>
      </c>
      <c r="G17" s="1896"/>
      <c r="H17" s="1896"/>
      <c r="I17" s="14371"/>
      <c r="J17" s="14371"/>
      <c r="K17" s="14371"/>
      <c r="L17" s="14371"/>
      <c r="M17" s="14371"/>
      <c r="N17" s="1419" t="str">
        <f>TP_P_NOTE_V</f>
        <v>Указывается количество заявок с решением об отказе в течение отчетного квартала.</v>
      </c>
      <c r="X17" s="1716">
        <v>74</v>
      </c>
    </row>
    <row customHeight="1" ht="54.75">
      <c r="A18" s="1716"/>
      <c r="C18" s="1737"/>
      <c r="D18" s="1732">
        <v>4</v>
      </c>
      <c r="E18" s="3141" t="str">
        <f>TP_P_V_1</f>
        <v>Причины отказа в заключении договора о подключении (технологическом присоединении) к системе теплоснабжения</v>
      </c>
      <c r="F18" s="1732" t="s">
        <v>324</v>
      </c>
      <c r="G18" s="1897"/>
      <c r="H18" s="1897"/>
      <c r="I18" s="13750"/>
      <c r="J18" s="13750"/>
      <c r="K18" s="13750"/>
      <c r="L18" s="13750"/>
      <c r="M18" s="13750"/>
      <c r="N18" s="204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X18" s="1716">
        <v>52</v>
      </c>
    </row>
    <row customHeight="1" ht="60">
      <c r="A19" s="1716"/>
      <c r="C19" s="1737"/>
      <c r="D19" s="1732">
        <v>5</v>
      </c>
      <c r="E19" s="3141" t="str">
        <f>TP_P_G</f>
        <v>Резерв мощности источников тепловой энергии, входящих в систему теплоснабжения, в течение одного квартала, в том числе:</v>
      </c>
      <c r="F19" s="1732" t="str">
        <f>IF(TEMPLATE_SPHERE="HEAT","Гкал/час","тыс. куб. м/сутки")</f>
        <v>Гкал/час</v>
      </c>
      <c r="G19" s="1898">
        <f>SUM(G20:G22)</f>
        <v>0</v>
      </c>
      <c r="H19" s="1898">
        <f>SUM(H20:H22)</f>
        <v>0</v>
      </c>
      <c r="I19" s="14375">
        <f>SUM(I20:I22)</f>
        <v>0</v>
      </c>
      <c r="J19" s="14375">
        <f>SUM(J20:J22)</f>
        <v>0</v>
      </c>
      <c r="K19" s="14375">
        <f>SUM(K20:K22)</f>
        <v>0</v>
      </c>
      <c r="L19" s="14375">
        <f>SUM(L20:L22)</f>
        <v>0</v>
      </c>
      <c r="M19" s="14375">
        <f>SUM(M20:M22)</f>
        <v>0</v>
      </c>
      <c r="N19" s="141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1716">
        <v>57</v>
      </c>
    </row>
    <row customHeight="1" ht="15" hidden="1">
      <c r="D20" s="1720" t="s">
        <v>1323</v>
      </c>
      <c r="E20" s="1899"/>
      <c r="F20" s="1720"/>
      <c r="G20" s="1720"/>
      <c r="H20" s="1720"/>
      <c r="I20" s="13315"/>
      <c r="J20" s="13315"/>
      <c r="K20" s="13315"/>
      <c r="L20" s="13315"/>
      <c r="M20" s="13315"/>
      <c r="N20" s="2974"/>
      <c r="X20" s="1716">
        <v>0</v>
      </c>
    </row>
    <row customHeight="1" ht="29.25">
      <c r="C21" s="1662"/>
      <c r="D21" s="1750" t="s">
        <v>331</v>
      </c>
      <c r="E21" s="1881"/>
      <c r="F21" s="2972" t="str">
        <f>IF(TEMPLATE_SPHERE="HEAT","Гкал/час","тыс. куб. м/сутки")</f>
        <v>Гкал/час</v>
      </c>
      <c r="G21" s="1891"/>
      <c r="H21" s="1891"/>
      <c r="I21" s="13735"/>
      <c r="J21" s="13735"/>
      <c r="K21" s="13735"/>
      <c r="L21" s="13735"/>
      <c r="M21" s="13735"/>
      <c r="N21" s="338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1716">
        <v>28</v>
      </c>
    </row>
    <row customHeight="1" ht="15.75">
      <c r="A22" s="1716"/>
      <c r="C22" s="1716"/>
      <c r="D22" s="1558"/>
      <c r="E22" s="1791" t="s">
        <v>1324</v>
      </c>
      <c r="F22" s="1783"/>
      <c r="G22" s="1783"/>
      <c r="H22" s="1783"/>
      <c r="I22" s="14378"/>
      <c r="J22" s="14379"/>
      <c r="K22" s="14380"/>
      <c r="L22" s="14381"/>
      <c r="M22" s="14382"/>
      <c r="N22" s="3382"/>
      <c r="W22" s="1716"/>
      <c r="X22" s="1716">
        <v>15</v>
      </c>
    </row>
    <row customHeight="1" ht="22.5" hidden="1">
      <c r="A23" s="1660" t="s">
        <v>82</v>
      </c>
      <c r="B23" s="1716">
        <v>0</v>
      </c>
      <c r="C23" s="1894">
        <v>4</v>
      </c>
      <c r="D23" s="1716">
        <v>6</v>
      </c>
      <c r="E23" s="1716">
        <v>36</v>
      </c>
      <c r="F23" s="1716">
        <v>9</v>
      </c>
      <c r="G23" s="1969">
        <v>0</v>
      </c>
      <c r="H23" s="1716">
        <v>40</v>
      </c>
      <c r="I23" s="13315">
        <v>0</v>
      </c>
      <c r="J23" s="13315">
        <v>0</v>
      </c>
      <c r="K23" s="13315">
        <v>0</v>
      </c>
      <c r="L23" s="13315">
        <v>0</v>
      </c>
      <c r="M23" s="13315">
        <v>0</v>
      </c>
      <c r="N23" s="1628">
        <v>93</v>
      </c>
      <c r="O23" s="1716">
        <v>10</v>
      </c>
      <c r="P23" s="1716">
        <v>10</v>
      </c>
      <c r="Q23" s="1716">
        <v>10</v>
      </c>
      <c r="R23" s="1716">
        <v>10</v>
      </c>
      <c r="S23" s="1716">
        <v>10</v>
      </c>
      <c r="T23" s="1716">
        <v>10</v>
      </c>
      <c r="U23" s="1716">
        <v>10</v>
      </c>
      <c r="V23" s="1716">
        <v>10</v>
      </c>
      <c r="W23" s="1886">
        <v>10</v>
      </c>
      <c r="X23" s="1716">
        <v>23</v>
      </c>
    </row>
  </sheetData>
  <sheetProtection formatColumns="0" formatRows="0" autoFilter="0" sort="0" insertRows="0" insertColumns="1" deleteRows="0" deleteColumns="0"/>
  <mergeCells count="8">
    <mergeCell ref="N21:N22"/>
    <mergeCell ref="N9:N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M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D463A-2185-CF27-DAFD-2E6AD75EE4F3}"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67462" width="9.140625" hidden="1" customWidth="1"/>
    <col min="2" max="2" style="66852" width="9.140625" hidden="1" customWidth="1"/>
    <col min="3" max="3" style="66873" width="3.00390625" customWidth="1"/>
    <col min="4" max="4" style="66903" width="6.00390625" customWidth="1"/>
    <col min="5" max="6" style="66903" width="64.00390625" customWidth="1"/>
    <col min="7" max="7" style="66903" width="140.00390625" customWidth="1"/>
    <col min="8" max="8" style="66903" width="10.00390625" customWidth="1"/>
    <col min="9" max="10" style="66855" width="10.00390625" customWidth="1"/>
    <col min="11" max="16" style="66903" width="10.00390625" customWidth="1"/>
    <col min="17" max="17" style="66903" width="10.57421875" hidden="1"/>
  </cols>
  <sheetData>
    <row customHeight="1" ht="22.5" hidden="1">
      <c r="M1" s="1466"/>
      <c r="N1" s="1466"/>
      <c r="P1" s="1466"/>
      <c r="Q1" s="1294" t="s">
        <v>14</v>
      </c>
    </row>
    <row customHeight="1" ht="14.25" hidden="1">
      <c r="Q2" s="1294">
        <v>0</v>
      </c>
    </row>
    <row customHeight="1" ht="14.25" hidden="1">
      <c r="Q3" s="1294">
        <v>0</v>
      </c>
    </row>
    <row customHeight="1" ht="3">
      <c r="C4" s="1307"/>
      <c r="D4" s="1295"/>
      <c r="E4" s="1295"/>
      <c r="F4" s="1296"/>
      <c r="G4" s="1296"/>
      <c r="Q4" s="1294">
        <v>3</v>
      </c>
    </row>
    <row customHeight="1" ht="29.25">
      <c r="C5" s="1307"/>
      <c r="D5" s="366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3666"/>
      <c r="F5" s="3666"/>
      <c r="G5" s="3667"/>
      <c r="Q5" s="1294">
        <v>28</v>
      </c>
    </row>
    <row s="66903" customFormat="1" customHeight="1" ht="18.75">
      <c r="A6" s="2093"/>
      <c r="B6" s="1628"/>
      <c r="C6" s="1587"/>
      <c r="D6" s="3668" t="str">
        <f>IF(org=0,"Не определено",org)</f>
        <v>ПАО "ТГК-2"</v>
      </c>
      <c r="E6" s="3669"/>
      <c r="F6" s="3669"/>
      <c r="G6" s="3670"/>
      <c r="I6" s="1711"/>
      <c r="J6" s="1711"/>
      <c r="Q6" s="1969">
        <v>18</v>
      </c>
    </row>
    <row customHeight="1" ht="14.699999999999998">
      <c r="C7" s="1307"/>
      <c r="D7" s="1295"/>
      <c r="E7" s="1306"/>
      <c r="F7" s="1963"/>
      <c r="G7" s="1404"/>
      <c r="Q7" s="1294">
        <v>14</v>
      </c>
    </row>
    <row s="66903" customFormat="1" customHeight="1" ht="1.05">
      <c r="A8" s="2880"/>
      <c r="B8" s="2371"/>
      <c r="C8" s="1587"/>
      <c r="D8" s="1574"/>
      <c r="E8" s="1600"/>
      <c r="F8" s="1963"/>
      <c r="G8" s="1404"/>
      <c r="I8" s="2835"/>
      <c r="J8" s="2835"/>
      <c r="Q8" s="2842">
        <v>1</v>
      </c>
    </row>
    <row customHeight="1" ht="14.699999999999998">
      <c r="C9" s="1307"/>
      <c r="D9" s="3420" t="s">
        <v>318</v>
      </c>
      <c r="E9" s="3420"/>
      <c r="F9" s="3420"/>
      <c r="G9" s="3600" t="s">
        <v>319</v>
      </c>
      <c r="Q9" s="1294">
        <v>14</v>
      </c>
    </row>
    <row customHeight="1" ht="24">
      <c r="C10" s="1307"/>
      <c r="D10" s="1316" t="s">
        <v>88</v>
      </c>
      <c r="E10" s="1319" t="s">
        <v>320</v>
      </c>
      <c r="F10" s="1319" t="s">
        <v>408</v>
      </c>
      <c r="G10" s="3600"/>
      <c r="Q10" s="1294">
        <v>23</v>
      </c>
    </row>
    <row customHeight="1" ht="12" hidden="1">
      <c r="C11" s="1307"/>
      <c r="D11" s="1298"/>
      <c r="E11" s="1298"/>
      <c r="F11" s="1298"/>
      <c r="G11" s="1298"/>
      <c r="Q11" s="1294">
        <v>0</v>
      </c>
    </row>
    <row customHeight="1" ht="65.25">
      <c r="A12" s="1403"/>
      <c r="C12" s="1307"/>
      <c r="D12" s="1358">
        <v>1</v>
      </c>
      <c r="E12" s="140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409" t="s">
        <v>324</v>
      </c>
      <c r="G12" s="1362"/>
      <c r="Q12" s="1294">
        <v>62</v>
      </c>
    </row>
    <row customHeight="1" ht="24">
      <c r="A13" s="1403"/>
      <c r="C13" s="1307"/>
      <c r="D13" s="1358" t="s">
        <v>652</v>
      </c>
      <c r="E13" s="1405"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409" t="s">
        <v>324</v>
      </c>
      <c r="G13" s="1362"/>
      <c r="Q13" s="1294">
        <v>23</v>
      </c>
    </row>
    <row customHeight="1" ht="14.699999999999998">
      <c r="A14" s="1403"/>
      <c r="C14" s="1307"/>
      <c r="D14" s="1358" t="s">
        <v>1261</v>
      </c>
      <c r="E14" s="1406"/>
      <c r="F14" s="1424"/>
      <c r="G14" s="338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294">
        <v>14</v>
      </c>
    </row>
    <row customHeight="1" ht="15.75">
      <c r="A15" s="1403"/>
      <c r="C15" s="1307"/>
      <c r="D15" s="1320"/>
      <c r="E15" s="1560" t="s">
        <v>1325</v>
      </c>
      <c r="F15" s="1412"/>
      <c r="G15" s="3382"/>
      <c r="Q15" s="1294">
        <v>15</v>
      </c>
    </row>
    <row customHeight="1" ht="14.699999999999998">
      <c r="A16" s="1403"/>
      <c r="C16" s="1307"/>
      <c r="D16" s="1358" t="s">
        <v>658</v>
      </c>
      <c r="E16" s="140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409" t="s">
        <v>324</v>
      </c>
      <c r="G16" s="1548"/>
      <c r="Q16" s="1294">
        <v>14</v>
      </c>
    </row>
    <row customHeight="1" ht="14.699999999999998">
      <c r="A17" s="1403"/>
      <c r="C17" s="1307"/>
      <c r="D17" s="1358" t="s">
        <v>1269</v>
      </c>
      <c r="E17" s="1406"/>
      <c r="F17" s="1596"/>
      <c r="G17" s="338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294">
        <v>14</v>
      </c>
    </row>
    <row s="66903" customFormat="1" customHeight="1" ht="22.049999999999997">
      <c r="A18" s="1554"/>
      <c r="B18" s="1357"/>
      <c r="C18" s="1518"/>
      <c r="D18" s="1558"/>
      <c r="E18" s="1560" t="s">
        <v>1326</v>
      </c>
      <c r="F18" s="1549"/>
      <c r="G18" s="3382"/>
      <c r="I18" s="1561"/>
      <c r="J18" s="1561"/>
      <c r="Q18" s="1553">
        <v>21</v>
      </c>
    </row>
    <row s="66903" customFormat="1" customHeight="1" ht="256.5" hidden="1">
      <c r="A19" s="1554"/>
      <c r="B19" s="1628"/>
      <c r="C19" s="1587"/>
      <c r="D19" s="2095" t="s">
        <v>661</v>
      </c>
      <c r="E19" s="2094" t="s">
        <v>1327</v>
      </c>
      <c r="F19" s="1596"/>
      <c r="G19" s="1548" t="s">
        <v>1328</v>
      </c>
      <c r="I19" s="1711"/>
      <c r="J19" s="1711"/>
      <c r="Q19" s="1969">
        <v>0</v>
      </c>
    </row>
    <row s="66903" customFormat="1" customHeight="1" ht="15" hidden="1">
      <c r="A20" s="1554"/>
      <c r="B20" s="1357"/>
      <c r="C20" s="1518"/>
      <c r="D20" s="2096">
        <v>2</v>
      </c>
      <c r="E20" s="1541" t="s">
        <v>1329</v>
      </c>
      <c r="F20" s="1409" t="s">
        <v>324</v>
      </c>
      <c r="G20" s="1548"/>
      <c r="I20" s="1561"/>
      <c r="J20" s="1561"/>
      <c r="Q20" s="1553">
        <v>14</v>
      </c>
    </row>
    <row s="66903" customFormat="1" customHeight="1" ht="18.75" hidden="1">
      <c r="A21" s="1554"/>
      <c r="B21" s="1357"/>
      <c r="C21" s="1518"/>
      <c r="D21" s="1544" t="s">
        <v>788</v>
      </c>
      <c r="E21" s="1543"/>
      <c r="F21" s="1542"/>
      <c r="G21" s="1552"/>
      <c r="H21" s="1545"/>
      <c r="I21" s="1561"/>
      <c r="J21" s="1561"/>
      <c r="Q21" s="1553">
        <v>0</v>
      </c>
    </row>
    <row customHeight="1" ht="15.75" hidden="1">
      <c r="A22" s="1403"/>
      <c r="C22" s="1307"/>
      <c r="D22" s="1320"/>
      <c r="E22" s="1414" t="s">
        <v>340</v>
      </c>
      <c r="F22" s="1549"/>
      <c r="G22" s="1550"/>
      <c r="Q22" s="1294">
        <v>15</v>
      </c>
    </row>
    <row s="66903" customFormat="1" customHeight="1" ht="22.5">
      <c r="A23" s="1554"/>
      <c r="B23" s="2371"/>
      <c r="C23" s="1587"/>
      <c r="D23" s="2884" t="s">
        <v>102</v>
      </c>
      <c r="E23" s="1408" t="s">
        <v>1330</v>
      </c>
      <c r="F23" s="2881" t="s">
        <v>324</v>
      </c>
      <c r="G23" s="1556"/>
      <c r="I23" s="2835"/>
      <c r="J23" s="2835"/>
      <c r="Q23" s="2842">
        <v>0</v>
      </c>
    </row>
    <row s="66903" customFormat="1" customHeight="1" ht="14.25">
      <c r="A24" s="1554"/>
      <c r="B24" s="2371"/>
      <c r="C24" s="1587"/>
      <c r="D24" s="2884" t="s">
        <v>860</v>
      </c>
      <c r="E24" s="2883" t="s">
        <v>1331</v>
      </c>
      <c r="F24" s="2881" t="s">
        <v>324</v>
      </c>
      <c r="G24" s="1548"/>
      <c r="I24" s="2835"/>
      <c r="J24" s="2835"/>
      <c r="Q24" s="2842">
        <v>0</v>
      </c>
    </row>
    <row s="66903" customFormat="1" customHeight="1" ht="14.25">
      <c r="A25" s="1554"/>
      <c r="B25" s="2371"/>
      <c r="C25" s="1587"/>
      <c r="D25" s="2884" t="s">
        <v>863</v>
      </c>
      <c r="E25" s="67517"/>
      <c r="F25" s="67518"/>
      <c r="G25" s="3380" t="s">
        <v>1332</v>
      </c>
      <c r="I25" s="2835"/>
      <c r="J25" s="2835"/>
      <c r="Q25" s="2842">
        <v>0</v>
      </c>
    </row>
    <row s="66903" customFormat="1" customHeight="1" ht="22.5">
      <c r="A26" s="1554"/>
      <c r="B26" s="2371"/>
      <c r="C26" s="1587"/>
      <c r="D26" s="1558"/>
      <c r="E26" s="1560" t="s">
        <v>1333</v>
      </c>
      <c r="F26" s="1549"/>
      <c r="G26" s="3382"/>
      <c r="I26" s="2835"/>
      <c r="J26" s="2835"/>
      <c r="Q26" s="2842">
        <v>0</v>
      </c>
    </row>
    <row s="66903" customFormat="1" customHeight="1" ht="22.5">
      <c r="A27" s="67275"/>
      <c r="B27" s="66852"/>
      <c r="C27" s="66853"/>
      <c r="D27" s="67235" t="s">
        <v>90</v>
      </c>
      <c r="E27" s="66843" t="s">
        <v>1334</v>
      </c>
      <c r="F27" s="67437" t="s">
        <v>324</v>
      </c>
      <c r="G27" s="66869"/>
      <c r="H27" s="66903"/>
      <c r="I27" s="66855"/>
      <c r="J27" s="66855"/>
      <c r="K27" s="66903"/>
      <c r="L27" s="66903"/>
      <c r="M27" s="66903"/>
      <c r="N27" s="66903"/>
      <c r="O27" s="66903"/>
      <c r="P27" s="66903"/>
      <c r="Q27" s="66903">
        <v>0</v>
      </c>
    </row>
    <row s="66903" customFormat="1" customHeight="1" ht="14.25">
      <c r="A28" s="67275"/>
      <c r="B28" s="66852"/>
      <c r="C28" s="66853"/>
      <c r="D28" s="67235" t="s">
        <v>342</v>
      </c>
      <c r="E28" s="66877" t="s">
        <v>1335</v>
      </c>
      <c r="F28" s="67437" t="s">
        <v>324</v>
      </c>
      <c r="G28" s="65405"/>
      <c r="H28" s="66903"/>
      <c r="I28" s="66855"/>
      <c r="J28" s="66855"/>
      <c r="K28" s="66903"/>
      <c r="L28" s="66903"/>
      <c r="M28" s="66903"/>
      <c r="N28" s="66903"/>
      <c r="O28" s="66903"/>
      <c r="P28" s="66903"/>
      <c r="Q28" s="66903">
        <v>0</v>
      </c>
    </row>
    <row s="66903" customFormat="1" customHeight="1" ht="14.25">
      <c r="A29" s="67275"/>
      <c r="B29" s="66852"/>
      <c r="C29" s="66853"/>
      <c r="D29" s="67235" t="s">
        <v>344</v>
      </c>
      <c r="E29" s="66847" t="s">
        <v>22</v>
      </c>
      <c r="F29" s="66072" t="s">
        <v>22</v>
      </c>
      <c r="G29" s="64885" t="s">
        <v>1336</v>
      </c>
      <c r="H29" s="66903"/>
      <c r="I29" s="66855"/>
      <c r="J29" s="66855"/>
      <c r="K29" s="66903"/>
      <c r="L29" s="66903"/>
      <c r="M29" s="66903"/>
      <c r="N29" s="66903"/>
      <c r="O29" s="66903"/>
      <c r="P29" s="66903"/>
      <c r="Q29" s="66903">
        <v>0</v>
      </c>
    </row>
    <row s="66903" customFormat="1" customHeight="1" ht="22.5">
      <c r="A30" s="67275"/>
      <c r="B30" s="66852"/>
      <c r="C30" s="66853"/>
      <c r="D30" s="67519"/>
      <c r="E30" s="67520" t="s">
        <v>1333</v>
      </c>
      <c r="F30" s="67521"/>
      <c r="G30" s="64890"/>
      <c r="H30" s="66903"/>
      <c r="I30" s="66855"/>
      <c r="J30" s="66855"/>
      <c r="K30" s="66903"/>
      <c r="L30" s="66903"/>
      <c r="M30" s="66903"/>
      <c r="N30" s="66903"/>
      <c r="O30" s="66903"/>
      <c r="P30" s="66903"/>
      <c r="Q30" s="66903">
        <v>0</v>
      </c>
    </row>
    <row customHeight="1" ht="3">
      <c r="Q31" s="1294">
        <v>3</v>
      </c>
    </row>
    <row customHeight="1" ht="14.699999999999998">
      <c r="D32" s="1547"/>
      <c r="E32" s="1546"/>
      <c r="F32" s="1526"/>
      <c r="G32" s="1526"/>
      <c r="H32" s="1526"/>
      <c r="I32" s="1526"/>
      <c r="J32" s="1526"/>
      <c r="K32" s="1526"/>
      <c r="L32" s="1526"/>
      <c r="M32" s="1526"/>
      <c r="N32" s="1526"/>
      <c r="O32" s="1526"/>
      <c r="P32" s="1526"/>
      <c r="Q32" s="1294">
        <v>14</v>
      </c>
    </row>
    <row customHeight="1" ht="14.699999999999998">
      <c r="D33" s="1547"/>
      <c r="E33" s="1793"/>
      <c r="Q33" s="1294">
        <v>14</v>
      </c>
    </row>
    <row customHeight="1" ht="14.699999999999998">
      <c r="Q34" s="1294">
        <v>14</v>
      </c>
    </row>
    <row customHeight="1" ht="14.699999999999998">
      <c r="E35" s="1969"/>
      <c r="Q35" s="1294">
        <v>14</v>
      </c>
    </row>
    <row customHeight="1" ht="22.5" hidden="1">
      <c r="A36" s="1312" t="s">
        <v>82</v>
      </c>
      <c r="B36" s="1357">
        <v>0</v>
      </c>
      <c r="C36" s="1308">
        <v>3</v>
      </c>
      <c r="D36" s="1294">
        <v>6</v>
      </c>
      <c r="E36" s="1294">
        <v>64</v>
      </c>
      <c r="F36" s="1294">
        <v>64</v>
      </c>
      <c r="G36" s="1294">
        <v>140</v>
      </c>
      <c r="H36" s="1294">
        <v>10</v>
      </c>
      <c r="I36" s="1366">
        <v>10</v>
      </c>
      <c r="J36" s="1366">
        <v>10</v>
      </c>
      <c r="K36" s="1294">
        <v>10</v>
      </c>
      <c r="L36" s="1294">
        <v>10</v>
      </c>
      <c r="M36" s="1294">
        <v>10</v>
      </c>
      <c r="N36" s="1294">
        <v>10</v>
      </c>
      <c r="O36" s="1294">
        <v>10</v>
      </c>
      <c r="P36" s="1294">
        <v>10</v>
      </c>
      <c r="Q36" s="1294">
        <v>23</v>
      </c>
    </row>
  </sheetData>
  <sheetProtection formatColumns="0" formatRows="0" autoFilter="0" sort="0" insertRows="0" insertColumns="1" deleteRows="0" deleteColumns="0"/>
  <mergeCells count="8">
    <mergeCell ref="D5:G5"/>
    <mergeCell ref="D6:G6"/>
    <mergeCell ref="G25:G26"/>
    <mergeCell ref="G17:G18"/>
    <mergeCell ref="D9:F9"/>
    <mergeCell ref="G9:G10"/>
    <mergeCell ref="G14:G15"/>
    <mergeCell ref="G29:G30"/>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E2AD9D-4353-22CF-1227-9B0D50E1DC4D}"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65490" width="9.140625" hidden="1" customWidth="1"/>
    <col min="2" max="2" style="66852" width="9.140625" hidden="1" customWidth="1"/>
    <col min="3" max="3" style="66873" width="3.00390625" customWidth="1"/>
    <col min="4" max="4" style="66903" width="6.00390625" customWidth="1"/>
    <col min="5" max="5" style="66903" width="63.00390625" customWidth="1"/>
    <col min="6" max="6" style="66903" width="1.7109375" hidden="1" customWidth="1"/>
    <col min="7" max="8" style="66903" width="35.00390625" customWidth="1"/>
    <col min="9" max="9" style="66903" width="91.00390625" customWidth="1"/>
    <col min="10" max="10" style="66903" width="68.00390625" customWidth="1"/>
    <col min="11" max="12" style="66855" width="10.00390625" customWidth="1"/>
    <col min="13" max="13" style="66903" width="10.57421875" hidden="1"/>
  </cols>
  <sheetData>
    <row customHeight="1" ht="22.5" hidden="1">
      <c r="M1" s="1294" t="s">
        <v>14</v>
      </c>
    </row>
    <row s="66903" customFormat="1" customHeight="1" ht="18.75" hidden="1">
      <c r="A2" s="2894"/>
      <c r="B2" s="2371"/>
      <c r="C2" s="2941" t="s">
        <v>103</v>
      </c>
      <c r="D2" s="2884"/>
      <c r="E2" s="1410"/>
      <c r="F2" s="2881"/>
      <c r="G2" s="2881" t="s">
        <v>324</v>
      </c>
      <c r="H2" s="2372"/>
      <c r="K2" s="2835"/>
      <c r="L2" s="2835"/>
      <c r="M2" s="2842">
        <v>0</v>
      </c>
    </row>
    <row s="66903" customFormat="1" customHeight="1" ht="14.25" hidden="1">
      <c r="A3" s="2573"/>
      <c r="B3" s="2371"/>
      <c r="C3" s="1555"/>
      <c r="K3" s="2835"/>
      <c r="L3" s="2835"/>
      <c r="M3" s="2842">
        <v>0</v>
      </c>
    </row>
    <row s="66903" customFormat="1" customHeight="1" ht="18.75" hidden="1">
      <c r="A4" s="2894"/>
      <c r="B4" s="2371"/>
      <c r="C4" s="2941" t="s">
        <v>103</v>
      </c>
      <c r="D4" s="2884"/>
      <c r="E4" s="1416" t="s">
        <v>1337</v>
      </c>
      <c r="F4" s="2881"/>
      <c r="G4" s="1468"/>
      <c r="H4" s="2881" t="s">
        <v>324</v>
      </c>
      <c r="K4" s="2835"/>
      <c r="L4" s="2835"/>
      <c r="M4" s="2842">
        <v>0</v>
      </c>
    </row>
    <row s="66903" customFormat="1" customHeight="1" ht="14.25" hidden="1">
      <c r="A5" s="2573"/>
      <c r="B5" s="2371"/>
      <c r="C5" s="1555"/>
      <c r="K5" s="2835"/>
      <c r="L5" s="2835"/>
      <c r="M5" s="2842">
        <v>0</v>
      </c>
    </row>
    <row s="66903" customFormat="1" customHeight="1" ht="18.75" hidden="1">
      <c r="A6" s="2894"/>
      <c r="B6" s="2371"/>
      <c r="C6" s="2941" t="s">
        <v>103</v>
      </c>
      <c r="D6" s="2884"/>
      <c r="E6" s="1417" t="s">
        <v>1338</v>
      </c>
      <c r="F6" s="2881"/>
      <c r="G6" s="1468"/>
      <c r="H6" s="2881" t="s">
        <v>324</v>
      </c>
      <c r="K6" s="2835"/>
      <c r="L6" s="2835"/>
      <c r="M6" s="2842">
        <v>0</v>
      </c>
    </row>
    <row s="66903" customFormat="1" customHeight="1" ht="14.25" hidden="1">
      <c r="A7" s="2573"/>
      <c r="B7" s="2371"/>
      <c r="C7" s="1555"/>
      <c r="K7" s="2835"/>
      <c r="L7" s="2835"/>
      <c r="M7" s="2842">
        <v>0</v>
      </c>
    </row>
    <row s="66903" customFormat="1" customHeight="1" ht="18.75" hidden="1">
      <c r="A8" s="2894"/>
      <c r="B8" s="2371"/>
      <c r="C8" s="2941" t="s">
        <v>103</v>
      </c>
      <c r="D8" s="2884"/>
      <c r="E8" s="1417" t="s">
        <v>1339</v>
      </c>
      <c r="F8" s="2881"/>
      <c r="G8" s="1468"/>
      <c r="H8" s="2881" t="s">
        <v>324</v>
      </c>
      <c r="K8" s="2835"/>
      <c r="L8" s="2835"/>
      <c r="M8" s="2842">
        <v>0</v>
      </c>
    </row>
    <row s="66903" customFormat="1" customHeight="1" ht="14.25" hidden="1">
      <c r="A9" s="2573"/>
      <c r="B9" s="2371"/>
      <c r="C9" s="1555"/>
      <c r="K9" s="2835"/>
      <c r="L9" s="2835"/>
      <c r="M9" s="2842">
        <v>0</v>
      </c>
    </row>
    <row s="66903" customFormat="1" customHeight="1" ht="18.75" hidden="1">
      <c r="A10" s="2894"/>
      <c r="B10" s="2371"/>
      <c r="C10" s="2941" t="s">
        <v>103</v>
      </c>
      <c r="D10" s="2884"/>
      <c r="E10" s="1417" t="s">
        <v>1340</v>
      </c>
      <c r="F10" s="2881"/>
      <c r="G10" s="2885"/>
      <c r="H10" s="2881" t="s">
        <v>324</v>
      </c>
      <c r="K10" s="2835"/>
      <c r="L10" s="2835" t="s">
        <v>1341</v>
      </c>
      <c r="M10" s="2842">
        <v>0</v>
      </c>
    </row>
    <row customHeight="1" ht="14.25" hidden="1">
      <c r="M11" s="1294">
        <v>0</v>
      </c>
    </row>
    <row customHeight="1" ht="14.25" hidden="1">
      <c r="M12" s="1294">
        <v>0</v>
      </c>
    </row>
    <row customHeight="1" ht="14.699999999999998">
      <c r="C13" s="1307"/>
      <c r="D13" s="1295"/>
      <c r="E13" s="1295"/>
      <c r="F13" s="1295"/>
      <c r="G13" s="1295"/>
      <c r="H13" s="1296"/>
      <c r="I13" s="1296"/>
      <c r="M13" s="1294">
        <v>14</v>
      </c>
    </row>
    <row customHeight="1" ht="29.25">
      <c r="C14" s="1307"/>
      <c r="D14" s="366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3666"/>
      <c r="F14" s="3666"/>
      <c r="G14" s="3666"/>
      <c r="H14" s="3667"/>
      <c r="J14" s="2842"/>
      <c r="M14" s="1294">
        <v>28</v>
      </c>
    </row>
    <row s="66903" customFormat="1" customHeight="1" ht="14.699999999999998">
      <c r="A15" s="2573"/>
      <c r="B15" s="2371"/>
      <c r="C15" s="1587"/>
      <c r="D15" s="3668" t="str">
        <f>IF(org=0,"Не определено",org)</f>
        <v>ПАО "ТГК-2"</v>
      </c>
      <c r="E15" s="3669"/>
      <c r="F15" s="3669"/>
      <c r="G15" s="3669"/>
      <c r="H15" s="3670"/>
      <c r="J15" s="2063"/>
      <c r="K15" s="2835"/>
      <c r="L15" s="2835"/>
      <c r="M15" s="2842">
        <v>14</v>
      </c>
    </row>
    <row customHeight="1" ht="14.699999999999998">
      <c r="C16" s="1307"/>
      <c r="D16" s="1295"/>
      <c r="E16" s="1306"/>
      <c r="F16" s="1306"/>
      <c r="G16" s="1306"/>
      <c r="H16" s="1963"/>
      <c r="I16" s="1404"/>
      <c r="M16" s="1294">
        <v>14</v>
      </c>
    </row>
    <row s="66903" customFormat="1" customHeight="1" ht="14.25" hidden="1">
      <c r="A17" s="2573"/>
      <c r="B17" s="2371"/>
      <c r="C17" s="1587"/>
      <c r="D17" s="1574"/>
      <c r="E17" s="1600"/>
      <c r="F17" s="1600"/>
      <c r="G17" s="1600"/>
      <c r="H17" s="1963"/>
      <c r="I17" s="1404"/>
      <c r="K17" s="2835"/>
      <c r="L17" s="2835"/>
      <c r="M17" s="2842">
        <v>0</v>
      </c>
    </row>
    <row customHeight="1" ht="22.049999999999997">
      <c r="C18" s="1307"/>
      <c r="D18" s="3420" t="s">
        <v>318</v>
      </c>
      <c r="E18" s="3420"/>
      <c r="F18" s="3420"/>
      <c r="G18" s="3420"/>
      <c r="H18" s="3420"/>
      <c r="I18" s="3600" t="s">
        <v>319</v>
      </c>
      <c r="M18" s="1294">
        <v>21</v>
      </c>
    </row>
    <row customHeight="1" ht="22.049999999999997">
      <c r="C19" s="1307"/>
      <c r="D19" s="1316" t="s">
        <v>88</v>
      </c>
      <c r="E19" s="1319" t="s">
        <v>320</v>
      </c>
      <c r="F19" s="1319"/>
      <c r="G19" s="1319" t="s">
        <v>321</v>
      </c>
      <c r="H19" s="1319" t="s">
        <v>408</v>
      </c>
      <c r="I19" s="3600"/>
      <c r="M19" s="1294">
        <v>21</v>
      </c>
    </row>
    <row customHeight="1" ht="12" hidden="1">
      <c r="C20" s="1307"/>
      <c r="D20" s="1298"/>
      <c r="E20" s="1298"/>
      <c r="F20" s="1298"/>
      <c r="G20" s="1298"/>
      <c r="H20" s="1298"/>
      <c r="I20" s="1298"/>
      <c r="M20" s="1294">
        <v>0</v>
      </c>
    </row>
    <row customHeight="1" ht="14.699999999999998">
      <c r="A21" s="2894"/>
      <c r="C21" s="1307"/>
      <c r="D21" s="1358">
        <v>1</v>
      </c>
      <c r="E21" s="3672" t="s">
        <v>1342</v>
      </c>
      <c r="F21" s="3672"/>
      <c r="G21" s="3672"/>
      <c r="H21" s="3672"/>
      <c r="I21" s="1419"/>
      <c r="M21" s="1294">
        <v>14</v>
      </c>
    </row>
    <row customHeight="1" ht="21">
      <c r="A22" s="2894"/>
      <c r="C22" s="1307"/>
      <c r="D22" s="1358" t="s">
        <v>652</v>
      </c>
      <c r="E22" s="1405" t="s">
        <v>1343</v>
      </c>
      <c r="F22" s="1409"/>
      <c r="G22" s="2948"/>
      <c r="H22" s="1409" t="s">
        <v>324</v>
      </c>
      <c r="I22" s="1362" t="s">
        <v>1344</v>
      </c>
      <c r="M22" s="1294">
        <v>20</v>
      </c>
    </row>
    <row customHeight="1" ht="60">
      <c r="A23" s="2894"/>
      <c r="C23" s="1307"/>
      <c r="D23" s="1358" t="s">
        <v>658</v>
      </c>
      <c r="E23" s="1405" t="s">
        <v>1345</v>
      </c>
      <c r="F23" s="1409"/>
      <c r="G23" s="1468"/>
      <c r="H23" s="1424"/>
      <c r="I23" s="1469" t="s">
        <v>1346</v>
      </c>
      <c r="M23" s="1294">
        <v>57</v>
      </c>
    </row>
    <row customHeight="1" ht="14.699999999999998">
      <c r="A24" s="2894"/>
      <c r="B24" s="1357">
        <v>3</v>
      </c>
      <c r="C24" s="1307"/>
      <c r="D24" s="1358">
        <v>2</v>
      </c>
      <c r="E24" s="143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409"/>
      <c r="G24" s="1409" t="s">
        <v>324</v>
      </c>
      <c r="H24" s="1424"/>
      <c r="I24" s="1470" t="s">
        <v>783</v>
      </c>
      <c r="M24" s="1294">
        <v>14</v>
      </c>
    </row>
    <row customHeight="1" ht="48.29999999999999">
      <c r="A25" s="2894"/>
      <c r="C25" s="1307"/>
      <c r="D25" s="1358">
        <v>3</v>
      </c>
      <c r="E25" s="367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3671"/>
      <c r="G25" s="3671"/>
      <c r="H25" s="3671"/>
      <c r="I25" s="1467"/>
      <c r="M25" s="1294">
        <v>46</v>
      </c>
    </row>
    <row customHeight="1" ht="14.699999999999998">
      <c r="A26" s="2894"/>
      <c r="C26" s="1307"/>
      <c r="D26" s="1358" t="s">
        <v>342</v>
      </c>
      <c r="E26" s="1410"/>
      <c r="F26" s="1409"/>
      <c r="G26" s="1409" t="s">
        <v>324</v>
      </c>
      <c r="H26" s="1424"/>
      <c r="I26" s="3380" t="s">
        <v>1347</v>
      </c>
      <c r="M26" s="1294">
        <v>14</v>
      </c>
    </row>
    <row customHeight="1" ht="15.75">
      <c r="A27" s="2894" t="s">
        <v>99</v>
      </c>
      <c r="C27" s="1307"/>
      <c r="D27" s="1320"/>
      <c r="E27" s="1414" t="s">
        <v>340</v>
      </c>
      <c r="F27" s="1415"/>
      <c r="G27" s="1415"/>
      <c r="H27" s="1412"/>
      <c r="I27" s="3382"/>
      <c r="M27" s="1294">
        <v>15</v>
      </c>
    </row>
    <row customHeight="1" ht="39.75">
      <c r="A28" s="2894"/>
      <c r="B28" s="1357">
        <v>3</v>
      </c>
      <c r="C28" s="1307"/>
      <c r="D28" s="1358">
        <v>4</v>
      </c>
      <c r="E28" s="367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3671"/>
      <c r="G28" s="3671"/>
      <c r="H28" s="3671"/>
      <c r="I28" s="1467"/>
      <c r="M28" s="1294">
        <v>38</v>
      </c>
    </row>
    <row customHeight="1" ht="21">
      <c r="A29" s="2894"/>
      <c r="C29" s="1307"/>
      <c r="D29" s="1358" t="s">
        <v>911</v>
      </c>
      <c r="E29" s="1416" t="s">
        <v>1337</v>
      </c>
      <c r="F29" s="1409"/>
      <c r="G29" s="1468"/>
      <c r="H29" s="1409" t="s">
        <v>324</v>
      </c>
      <c r="I29" s="3380" t="s">
        <v>1348</v>
      </c>
      <c r="M29" s="1294">
        <v>20</v>
      </c>
    </row>
    <row customHeight="1" ht="15.75">
      <c r="A30" s="2894" t="s">
        <v>102</v>
      </c>
      <c r="C30" s="1307"/>
      <c r="D30" s="1320"/>
      <c r="E30" s="1414" t="s">
        <v>340</v>
      </c>
      <c r="F30" s="1415"/>
      <c r="G30" s="1415"/>
      <c r="H30" s="1412"/>
      <c r="I30" s="3382"/>
      <c r="M30" s="1294">
        <v>15</v>
      </c>
    </row>
    <row customHeight="1" ht="31.5">
      <c r="A31" s="2894"/>
      <c r="B31" s="1357">
        <v>3</v>
      </c>
      <c r="C31" s="1307"/>
      <c r="D31" s="1358">
        <v>5</v>
      </c>
      <c r="E31" s="367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3671"/>
      <c r="G31" s="3671"/>
      <c r="H31" s="3671"/>
      <c r="I31" s="1467"/>
      <c r="M31" s="1294">
        <v>30</v>
      </c>
    </row>
    <row customHeight="1" ht="27.299999999999997">
      <c r="A32" s="2894"/>
      <c r="C32" s="1307"/>
      <c r="D32" s="1358" t="s">
        <v>331</v>
      </c>
      <c r="E32" s="361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3614"/>
      <c r="G32" s="3614"/>
      <c r="H32" s="3614"/>
      <c r="I32" s="1467"/>
      <c r="M32" s="1294">
        <v>26</v>
      </c>
    </row>
    <row customHeight="1" ht="14.699999999999998">
      <c r="A33" s="2894"/>
      <c r="C33" s="1307"/>
      <c r="D33" s="1358" t="s">
        <v>1349</v>
      </c>
      <c r="E33" s="1417" t="s">
        <v>1338</v>
      </c>
      <c r="F33" s="1409"/>
      <c r="G33" s="1468"/>
      <c r="H33" s="1409" t="s">
        <v>324</v>
      </c>
      <c r="I33" s="3380" t="s">
        <v>1350</v>
      </c>
      <c r="M33" s="1294">
        <v>14</v>
      </c>
    </row>
    <row customHeight="1" ht="15.75">
      <c r="A34" s="2894" t="s">
        <v>90</v>
      </c>
      <c r="C34" s="1307"/>
      <c r="D34" s="1320"/>
      <c r="E34" s="1415" t="s">
        <v>340</v>
      </c>
      <c r="F34" s="1411"/>
      <c r="G34" s="1411"/>
      <c r="H34" s="1412"/>
      <c r="I34" s="3382"/>
      <c r="M34" s="1294">
        <v>15</v>
      </c>
    </row>
    <row customHeight="1" ht="25.2">
      <c r="A35" s="2894"/>
      <c r="C35" s="1307"/>
      <c r="D35" s="1358" t="s">
        <v>1053</v>
      </c>
      <c r="E35" s="361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3614"/>
      <c r="G35" s="3614"/>
      <c r="H35" s="3614"/>
      <c r="I35" s="1467"/>
      <c r="M35" s="1294">
        <v>24</v>
      </c>
    </row>
    <row customHeight="1" ht="14.699999999999998">
      <c r="A36" s="2894"/>
      <c r="C36" s="1307"/>
      <c r="D36" s="1358" t="s">
        <v>1351</v>
      </c>
      <c r="E36" s="1417" t="s">
        <v>1339</v>
      </c>
      <c r="F36" s="1409"/>
      <c r="G36" s="1468"/>
      <c r="H36" s="1409" t="s">
        <v>324</v>
      </c>
      <c r="I36" s="3354" t="s">
        <v>1352</v>
      </c>
      <c r="M36" s="1294">
        <v>14</v>
      </c>
    </row>
    <row customHeight="1" ht="15.75">
      <c r="A37" s="2894" t="s">
        <v>91</v>
      </c>
      <c r="C37" s="1307"/>
      <c r="D37" s="1320"/>
      <c r="E37" s="1415" t="s">
        <v>340</v>
      </c>
      <c r="F37" s="1411"/>
      <c r="G37" s="1411"/>
      <c r="H37" s="1412"/>
      <c r="I37" s="3354"/>
      <c r="M37" s="1294">
        <v>15</v>
      </c>
    </row>
    <row customHeight="1" ht="27.299999999999997">
      <c r="A38" s="2894"/>
      <c r="C38" s="1307"/>
      <c r="D38" s="1358" t="s">
        <v>1054</v>
      </c>
      <c r="E38" s="361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3614"/>
      <c r="G38" s="3614"/>
      <c r="H38" s="3614"/>
      <c r="I38" s="1467"/>
      <c r="M38" s="1294">
        <v>26</v>
      </c>
    </row>
    <row customHeight="1" ht="14.699999999999998">
      <c r="A39" s="2894"/>
      <c r="C39" s="1307"/>
      <c r="D39" s="1358" t="s">
        <v>1055</v>
      </c>
      <c r="E39" s="1417" t="s">
        <v>1340</v>
      </c>
      <c r="F39" s="1409"/>
      <c r="G39" s="1418"/>
      <c r="H39" s="1409" t="s">
        <v>324</v>
      </c>
      <c r="I39" s="3380" t="s">
        <v>1353</v>
      </c>
      <c r="L39" s="1366" t="s">
        <v>1341</v>
      </c>
      <c r="M39" s="1294">
        <v>14</v>
      </c>
    </row>
    <row customHeight="1" ht="15.75">
      <c r="A40" s="2894" t="s">
        <v>122</v>
      </c>
      <c r="C40" s="1307"/>
      <c r="D40" s="1320"/>
      <c r="E40" s="1415" t="s">
        <v>340</v>
      </c>
      <c r="F40" s="1411"/>
      <c r="G40" s="1411"/>
      <c r="H40" s="1412"/>
      <c r="I40" s="3382"/>
      <c r="M40" s="1294">
        <v>15</v>
      </c>
    </row>
    <row s="67275" customFormat="1" customHeight="1" ht="3">
      <c r="A41" s="2894"/>
      <c r="K41" s="1407"/>
      <c r="L41" s="1407"/>
      <c r="M41" s="1351">
        <v>3</v>
      </c>
    </row>
    <row customHeight="1" ht="26.25">
      <c r="D42" s="2892" t="s">
        <v>974</v>
      </c>
      <c r="E42" s="349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3496"/>
      <c r="G42" s="3496"/>
      <c r="H42" s="3496"/>
      <c r="I42" s="3496"/>
      <c r="M42" s="1294">
        <v>25</v>
      </c>
    </row>
    <row customHeight="1" ht="22.5" hidden="1">
      <c r="A43" s="2573" t="s">
        <v>82</v>
      </c>
      <c r="B43" s="1357">
        <v>0</v>
      </c>
      <c r="C43" s="1308">
        <v>3</v>
      </c>
      <c r="D43" s="1294">
        <v>6</v>
      </c>
      <c r="E43" s="1294">
        <v>63</v>
      </c>
      <c r="F43" s="1294">
        <v>0</v>
      </c>
      <c r="G43" s="1294">
        <v>35</v>
      </c>
      <c r="H43" s="1294">
        <v>35</v>
      </c>
      <c r="I43" s="1294">
        <v>91</v>
      </c>
      <c r="J43" s="1294">
        <v>68</v>
      </c>
      <c r="K43" s="1366">
        <v>10</v>
      </c>
      <c r="L43" s="1366">
        <v>10</v>
      </c>
      <c r="M43" s="129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26E873-0F19-3569-817A-270348DB127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66930" width="25.140625" hidden="1" customWidth="1"/>
    <col min="3" max="3" style="66931" width="9.140625" hidden="1" customWidth="1"/>
    <col min="4" max="4" style="66873" width="3.00390625" customWidth="1"/>
    <col min="5" max="5" style="66903" width="6.00390625" customWidth="1"/>
    <col min="6" max="6" style="66903" width="46.7109375" customWidth="1"/>
    <col min="7" max="7" style="66903" width="35.00390625" customWidth="1"/>
    <col min="8" max="8" style="66903" width="3.00390625" customWidth="1"/>
    <col min="9" max="10" style="66903" width="11.00390625" customWidth="1"/>
    <col min="11" max="12" style="66903" width="35.00390625" customWidth="1"/>
    <col min="13" max="13" style="66903" width="84.00390625" customWidth="1"/>
    <col min="14" max="14" style="66903" width="10.00390625" customWidth="1"/>
    <col min="15" max="16" style="66855" width="10.00390625" customWidth="1"/>
    <col min="17" max="33" style="66903" width="10.00390625" customWidth="1"/>
    <col min="34" max="34" style="66903" width="10.57421875" hidden="1"/>
  </cols>
  <sheetData>
    <row s="66903" customFormat="1" customHeight="1" ht="22.5" hidden="1">
      <c r="A1" s="2990"/>
      <c r="B1" s="2990"/>
      <c r="C1" s="1580"/>
      <c r="D1" s="1555"/>
      <c r="N1" s="2847">
        <f>_xlfn.IFERROR(MATCH("метод экономически обоснованных расходов (затрат)",OFFER_METHOD,0),0)</f>
        <v>0</v>
      </c>
      <c r="O1" s="2835"/>
      <c r="P1" s="2835"/>
      <c r="T1" s="2042"/>
      <c r="AG1" s="1466"/>
      <c r="AH1" s="2842" t="s">
        <v>14</v>
      </c>
    </row>
    <row s="66903" customFormat="1" customHeight="1" ht="18.75" hidden="1">
      <c r="A2" s="2991" t="s">
        <v>175</v>
      </c>
      <c r="B2" s="2991" t="s">
        <v>176</v>
      </c>
      <c r="C2" s="1580"/>
      <c r="D2" s="1555"/>
      <c r="E2" s="2242"/>
      <c r="F2" s="2242"/>
      <c r="G2" s="3638" t="str">
        <f>INDEX(PT_DIFFERENTIATION_NTAR,MATCH(B2,PT_DIFFERENTIATION_NTAR_ID,0))</f>
        <v/>
      </c>
      <c r="H2" s="3075"/>
      <c r="I2" s="2950"/>
      <c r="J2" s="2984"/>
      <c r="K2" s="3076"/>
      <c r="L2" s="3075" t="s">
        <v>324</v>
      </c>
      <c r="M2" s="3086"/>
      <c r="N2" s="1545"/>
      <c r="O2" s="2835"/>
      <c r="P2" s="2835"/>
      <c r="AH2" s="2842">
        <v>0</v>
      </c>
    </row>
    <row s="66903" customFormat="1" customHeight="1" ht="18.75" hidden="1">
      <c r="A3" s="2991"/>
      <c r="B3" s="2991"/>
      <c r="C3" s="1580" t="s">
        <v>1354</v>
      </c>
      <c r="D3" s="1555"/>
      <c r="E3" s="2242"/>
      <c r="F3" s="2242"/>
      <c r="G3" s="3638"/>
      <c r="H3" s="2711"/>
      <c r="I3" s="1862" t="s">
        <v>1355</v>
      </c>
      <c r="J3" s="1782"/>
      <c r="K3" s="2711"/>
      <c r="L3" s="1425"/>
      <c r="M3" s="3086"/>
      <c r="N3" s="1545"/>
      <c r="O3" s="2835"/>
      <c r="P3" s="2835"/>
      <c r="AH3" s="2842">
        <v>0</v>
      </c>
    </row>
    <row s="66903" customFormat="1" customHeight="1" ht="14.25" hidden="1">
      <c r="A4" s="2990"/>
      <c r="B4" s="2990"/>
      <c r="C4" s="1580"/>
      <c r="D4" s="1555"/>
      <c r="N4" s="2847">
        <f>_xlfn.IFERROR(MATCH("метод экономически обоснованных расходов (затрат)",OFFER_METHOD,0),0)</f>
        <v>0</v>
      </c>
      <c r="O4" s="2835"/>
      <c r="P4" s="2835"/>
      <c r="T4" s="2042"/>
      <c r="AG4" s="1466"/>
      <c r="AH4" s="2842">
        <v>0</v>
      </c>
    </row>
    <row s="66903" customFormat="1" customHeight="1" ht="18.75" hidden="1">
      <c r="A5" s="2991" t="s">
        <v>175</v>
      </c>
      <c r="B5" s="2991" t="s">
        <v>176</v>
      </c>
      <c r="C5" s="1580"/>
      <c r="D5" s="1555"/>
      <c r="E5" s="2242"/>
      <c r="F5" s="2242"/>
      <c r="G5" s="3638" t="str">
        <f>INDEX(PT_DIFFERENTIATION_NTAR,MATCH(B5,PT_DIFFERENTIATION_NTAR_ID,0))</f>
        <v/>
      </c>
      <c r="H5" s="3075"/>
      <c r="I5" s="2950"/>
      <c r="J5" s="2984"/>
      <c r="K5" s="2989"/>
      <c r="L5" s="3075" t="s">
        <v>324</v>
      </c>
      <c r="M5" s="3086"/>
      <c r="N5" s="1545"/>
      <c r="O5" s="2835"/>
      <c r="P5" s="2835"/>
      <c r="AH5" s="2842">
        <v>0</v>
      </c>
    </row>
    <row s="66903" customFormat="1" customHeight="1" ht="18.75" hidden="1">
      <c r="A6" s="2991"/>
      <c r="B6" s="2991"/>
      <c r="C6" s="1580" t="s">
        <v>1356</v>
      </c>
      <c r="D6" s="1555"/>
      <c r="E6" s="2242"/>
      <c r="F6" s="2242"/>
      <c r="G6" s="3638"/>
      <c r="H6" s="2711"/>
      <c r="I6" s="1862" t="s">
        <v>1355</v>
      </c>
      <c r="J6" s="1782"/>
      <c r="K6" s="2711"/>
      <c r="L6" s="1425"/>
      <c r="M6" s="3086"/>
      <c r="N6" s="1545"/>
      <c r="O6" s="2835"/>
      <c r="P6" s="2835"/>
      <c r="AH6" s="2842">
        <v>0</v>
      </c>
    </row>
    <row s="66903" customFormat="1" customHeight="1" ht="14.25" hidden="1">
      <c r="A7" s="2990"/>
      <c r="B7" s="2990"/>
      <c r="C7" s="1580"/>
      <c r="D7" s="1555"/>
      <c r="N7" s="2847">
        <f>_xlfn.IFERROR(MATCH("метод экономически обоснованных расходов (затрат)",OFFER_METHOD,0),0)</f>
        <v>0</v>
      </c>
      <c r="O7" s="2835"/>
      <c r="P7" s="2835"/>
      <c r="T7" s="2042"/>
      <c r="AG7" s="1466"/>
      <c r="AH7" s="2842">
        <v>0</v>
      </c>
    </row>
    <row s="66903" customFormat="1" customHeight="1" ht="56.25" hidden="1">
      <c r="A8" s="2991"/>
      <c r="B8" s="2991"/>
      <c r="C8" s="1580"/>
      <c r="D8" s="1555"/>
      <c r="E8" s="2242"/>
      <c r="F8" s="2242"/>
      <c r="G8" s="2242"/>
      <c r="H8" s="2982"/>
      <c r="I8" s="2950"/>
      <c r="J8" s="2984"/>
      <c r="K8" s="3076"/>
      <c r="L8" s="2982" t="s">
        <v>324</v>
      </c>
      <c r="M8" s="3086"/>
      <c r="N8" s="1545"/>
      <c r="O8" s="2835"/>
      <c r="P8" s="2835"/>
      <c r="AH8" s="2842">
        <v>0</v>
      </c>
    </row>
    <row customHeight="1" ht="14.25" hidden="1">
      <c r="T9" s="1608"/>
      <c r="AG9" s="1466"/>
      <c r="AH9" s="1585">
        <v>0</v>
      </c>
    </row>
    <row s="66903" customFormat="1" customHeight="1" ht="56.25" hidden="1">
      <c r="A10" s="2991"/>
      <c r="B10" s="2991"/>
      <c r="C10" s="1580"/>
      <c r="D10" s="1555"/>
      <c r="E10" s="2242"/>
      <c r="F10" s="2242"/>
      <c r="G10" s="2242"/>
      <c r="H10" s="2981"/>
      <c r="I10" s="2950"/>
      <c r="J10" s="2984"/>
      <c r="K10" s="2989"/>
      <c r="L10" s="2982" t="s">
        <v>324</v>
      </c>
      <c r="M10" s="3086"/>
      <c r="N10" s="1545"/>
      <c r="O10" s="2835"/>
      <c r="P10" s="2835"/>
      <c r="AH10" s="2842">
        <v>0</v>
      </c>
    </row>
    <row customHeight="1" ht="14.25" hidden="1">
      <c r="AH11" s="1585">
        <v>0</v>
      </c>
    </row>
    <row customHeight="1" ht="14.25" hidden="1">
      <c r="AH12" s="1585">
        <v>0</v>
      </c>
    </row>
    <row customHeight="1" ht="6.3">
      <c r="D13" s="1587"/>
      <c r="E13" s="1574"/>
      <c r="F13" s="1574"/>
      <c r="G13" s="1574"/>
      <c r="H13" s="1574"/>
      <c r="I13" s="1574"/>
      <c r="J13" s="1574"/>
      <c r="K13" s="1574"/>
      <c r="L13" s="1296"/>
      <c r="M13" s="1296"/>
      <c r="AH13" s="1585">
        <v>6</v>
      </c>
    </row>
    <row customHeight="1" ht="14.699999999999998">
      <c r="D14" s="1587"/>
      <c r="E14" s="367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3676"/>
      <c r="G14" s="3676"/>
      <c r="H14" s="3676"/>
      <c r="I14" s="3676"/>
      <c r="J14" s="3676"/>
      <c r="K14" s="3676"/>
      <c r="L14" s="3676"/>
      <c r="M14" s="1431"/>
      <c r="AH14" s="1585">
        <v>14</v>
      </c>
    </row>
    <row customHeight="1" ht="6.3">
      <c r="D15" s="1587"/>
      <c r="E15" s="1574"/>
      <c r="F15" s="1600"/>
      <c r="G15" s="1600"/>
      <c r="H15" s="1600"/>
      <c r="I15" s="1600"/>
      <c r="J15" s="1600"/>
      <c r="K15" s="1600"/>
      <c r="L15" s="1533"/>
      <c r="M15" s="1404"/>
      <c r="AH15" s="1585">
        <v>6</v>
      </c>
    </row>
    <row customHeight="1" ht="24">
      <c r="D16" s="1587"/>
      <c r="E16" s="1574"/>
      <c r="F16" s="1516" t="str">
        <f>"Дата подачи заявления об "&amp;IF(TITLE_DATE_PR_CHANGE="","утверждении","изменении")&amp;" тарифов"</f>
        <v>Дата подачи заявления об утверждении тарифов</v>
      </c>
      <c r="G16" s="3475" t="str">
        <f>IF(TITLE_DATE_PR_CHANGE="",IF(TITLE_DATE_PR="","",TITLE_DATE_PR),TITLE_DATE_PR_CHANGE)</f>
        <v/>
      </c>
      <c r="H16" s="3475"/>
      <c r="I16" s="3475"/>
      <c r="J16" s="3475"/>
      <c r="K16" s="3475"/>
      <c r="L16" s="3475"/>
      <c r="M16" s="1609"/>
      <c r="N16" s="1537"/>
      <c r="AH16" s="1585">
        <v>23</v>
      </c>
    </row>
    <row customHeight="1" ht="24">
      <c r="D17" s="1587"/>
      <c r="E17" s="1574"/>
      <c r="F17" s="1516" t="str">
        <f>"Номер подачи заявления об "&amp;IF(TITLE_DATE_PR_CHANGE="","утверждении","изменении")&amp;" тарифов"</f>
        <v>Номер подачи заявления об утверждении тарифов</v>
      </c>
      <c r="G17" s="3462" t="str">
        <f>IF(TITLE_NUMBER_PR_CHANGE="",IF(TITLE_NUMBER_PR="","",TITLE_NUMBER_PR),TITLE_NUMBER_PR_CHANGE)</f>
        <v/>
      </c>
      <c r="H17" s="3462"/>
      <c r="I17" s="3462"/>
      <c r="J17" s="3462"/>
      <c r="K17" s="3462"/>
      <c r="L17" s="3462"/>
      <c r="M17" s="1609"/>
      <c r="N17" s="1537"/>
      <c r="AH17" s="1585">
        <v>23</v>
      </c>
    </row>
    <row customHeight="1" ht="14.699999999999998">
      <c r="D18" s="1587"/>
      <c r="E18" s="1574"/>
      <c r="F18" s="1600"/>
      <c r="G18" s="1600"/>
      <c r="H18" s="1600"/>
      <c r="I18" s="1600"/>
      <c r="J18" s="1600"/>
      <c r="K18" s="1600"/>
      <c r="L18" s="1963"/>
      <c r="M18" s="1404"/>
      <c r="AH18" s="1585">
        <v>14</v>
      </c>
    </row>
    <row customHeight="1" ht="22.049999999999997">
      <c r="D19" s="1587"/>
      <c r="E19" s="3420" t="s">
        <v>318</v>
      </c>
      <c r="F19" s="3420"/>
      <c r="G19" s="3420"/>
      <c r="H19" s="3420"/>
      <c r="I19" s="3420"/>
      <c r="J19" s="3420"/>
      <c r="K19" s="3420"/>
      <c r="L19" s="3420"/>
      <c r="M19" s="3600" t="s">
        <v>319</v>
      </c>
      <c r="AH19" s="1585">
        <v>21</v>
      </c>
    </row>
    <row customHeight="1" ht="22.049999999999997">
      <c r="D20" s="1587"/>
      <c r="E20" s="3488" t="s">
        <v>88</v>
      </c>
      <c r="F20" s="3435" t="s">
        <v>142</v>
      </c>
      <c r="G20" s="3435" t="s">
        <v>143</v>
      </c>
      <c r="H20" s="3597" t="s">
        <v>1357</v>
      </c>
      <c r="I20" s="3598"/>
      <c r="J20" s="3644"/>
      <c r="K20" s="3435" t="s">
        <v>321</v>
      </c>
      <c r="L20" s="3435" t="s">
        <v>408</v>
      </c>
      <c r="M20" s="3600"/>
      <c r="AH20" s="1585">
        <v>21</v>
      </c>
    </row>
    <row customHeight="1" ht="22.049999999999997">
      <c r="D21" s="1587"/>
      <c r="E21" s="3490"/>
      <c r="F21" s="3436"/>
      <c r="G21" s="3436"/>
      <c r="H21" s="3429" t="s">
        <v>1358</v>
      </c>
      <c r="I21" s="3431"/>
      <c r="J21" s="1319" t="s">
        <v>1359</v>
      </c>
      <c r="K21" s="3436"/>
      <c r="L21" s="3436"/>
      <c r="M21" s="3600"/>
      <c r="AH21" s="1585">
        <v>21</v>
      </c>
    </row>
    <row customHeight="1" ht="12.75">
      <c r="D22" s="1587"/>
      <c r="E22" s="1492"/>
      <c r="F22" s="1492"/>
      <c r="G22" s="1492"/>
      <c r="H22" s="3678"/>
      <c r="I22" s="3678"/>
      <c r="J22" s="1492"/>
      <c r="K22" s="1492"/>
      <c r="L22" s="1492"/>
      <c r="M22" s="1492"/>
      <c r="AH22" s="1585">
        <v>12</v>
      </c>
    </row>
    <row customHeight="1" ht="19.95">
      <c r="A23" s="2991"/>
      <c r="B23" s="2991"/>
      <c r="D23" s="1587"/>
      <c r="E23" s="3077" t="s">
        <v>99</v>
      </c>
      <c r="F23" s="3679" t="str">
        <f>"Предлагаемый метод регулирования"&amp;IF(TEMPLATE_SPHERE="HEAT"," в сфере "&amp;TEMPLATE_SPHERE_RUS,"")</f>
        <v>Предлагаемый метод регулирования в сфере теплоснабжения</v>
      </c>
      <c r="G23" s="3680"/>
      <c r="H23" s="3672"/>
      <c r="I23" s="3672"/>
      <c r="J23" s="3672"/>
      <c r="K23" s="3680" t="s">
        <v>324</v>
      </c>
      <c r="L23" s="3672"/>
      <c r="M23" s="2980"/>
      <c r="N23" s="1545"/>
      <c r="AH23" s="1585">
        <v>19</v>
      </c>
    </row>
    <row customHeight="1" ht="60.75" hidden="1">
      <c r="A24" s="2991" t="s">
        <v>175</v>
      </c>
      <c r="B24" s="2991" t="s">
        <v>176</v>
      </c>
      <c r="D24" s="3677"/>
      <c r="E24" s="3415"/>
      <c r="F24" s="368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3638" t="str">
        <f>INDEX(PT_DIFFERENTIATION_NTAR,MATCH(B24,PT_DIFFERENTIATION_NTAR_ID,0))</f>
        <v/>
      </c>
      <c r="H24" s="3073"/>
      <c r="I24" s="2950"/>
      <c r="J24" s="2984"/>
      <c r="K24" s="3076"/>
      <c r="L24" s="2979" t="s">
        <v>324</v>
      </c>
      <c r="M24" s="33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545"/>
      <c r="AH24" s="1585">
        <v>0</v>
      </c>
    </row>
    <row s="66903" customFormat="1" customHeight="1" ht="18.75" hidden="1">
      <c r="A25" s="2991"/>
      <c r="B25" s="2991"/>
      <c r="C25" s="1580" t="s">
        <v>1354</v>
      </c>
      <c r="D25" s="3677"/>
      <c r="E25" s="3415"/>
      <c r="F25" s="3681"/>
      <c r="G25" s="3638"/>
      <c r="H25" s="2711"/>
      <c r="I25" s="1862" t="s">
        <v>1355</v>
      </c>
      <c r="J25" s="1782"/>
      <c r="K25" s="2711"/>
      <c r="L25" s="1425"/>
      <c r="M25" s="3381"/>
      <c r="N25" s="1545"/>
      <c r="O25" s="2835"/>
      <c r="P25" s="2835"/>
      <c r="AH25" s="2842">
        <v>0</v>
      </c>
    </row>
    <row customHeight="1" ht="0.75" hidden="1">
      <c r="A26" s="2991"/>
      <c r="B26" s="2991"/>
      <c r="C26" s="1580" t="s">
        <v>1360</v>
      </c>
      <c r="D26" s="3677"/>
      <c r="E26" s="3415"/>
      <c r="F26" s="3594"/>
      <c r="G26" s="1611"/>
      <c r="H26" s="2711"/>
      <c r="I26" s="1606"/>
      <c r="J26" s="1560"/>
      <c r="K26" s="2711"/>
      <c r="L26" s="1412"/>
      <c r="M26" s="3381"/>
      <c r="N26" s="1545"/>
      <c r="AH26" s="1585">
        <v>0</v>
      </c>
    </row>
    <row s="66903" customFormat="1" customHeight="1" ht="45" hidden="1">
      <c r="A27" s="2991" t="s">
        <v>180</v>
      </c>
      <c r="B27" s="2991" t="s">
        <v>181</v>
      </c>
      <c r="C27" s="1580"/>
      <c r="D27" s="3673"/>
      <c r="E27" s="3674"/>
      <c r="F27" s="3675" t="str">
        <f>INDEX(PT_DIFFERENTIATION_VTAR,MATCH(A27,PT_DIFFERENTIATION_VTAR_ID,0))</f>
        <v/>
      </c>
      <c r="G27" s="3638" t="str">
        <f>INDEX(PT_DIFFERENTIATION_NTAR,MATCH(B27,PT_DIFFERENTIATION_NTAR_ID,0))</f>
        <v/>
      </c>
      <c r="H27" s="3073"/>
      <c r="I27" s="2950"/>
      <c r="J27" s="2984"/>
      <c r="K27" s="3076"/>
      <c r="L27" s="3073" t="s">
        <v>324</v>
      </c>
      <c r="M27" s="3381"/>
      <c r="N27" s="1545"/>
      <c r="O27" s="2835"/>
      <c r="P27" s="2835"/>
      <c r="AH27" s="2842">
        <v>0</v>
      </c>
    </row>
    <row s="66903" customFormat="1" customHeight="1" ht="18.75" hidden="1">
      <c r="A28" s="2991"/>
      <c r="B28" s="2991"/>
      <c r="C28" s="1580" t="s">
        <v>1354</v>
      </c>
      <c r="D28" s="3673"/>
      <c r="E28" s="3674"/>
      <c r="F28" s="3675"/>
      <c r="G28" s="3638"/>
      <c r="H28" s="2711"/>
      <c r="I28" s="1862" t="s">
        <v>1355</v>
      </c>
      <c r="J28" s="1782"/>
      <c r="K28" s="2711"/>
      <c r="L28" s="1425"/>
      <c r="M28" s="3381"/>
      <c r="N28" s="1545"/>
      <c r="O28" s="2835"/>
      <c r="P28" s="2835"/>
      <c r="AH28" s="2842">
        <v>0</v>
      </c>
    </row>
    <row s="66903" customFormat="1" customHeight="1" ht="0.75" hidden="1">
      <c r="A29" s="2991"/>
      <c r="B29" s="2991"/>
      <c r="C29" s="1580" t="s">
        <v>1360</v>
      </c>
      <c r="D29" s="3673"/>
      <c r="E29" s="3415"/>
      <c r="F29" s="3594"/>
      <c r="G29" s="1611"/>
      <c r="H29" s="2711"/>
      <c r="I29" s="1862"/>
      <c r="J29" s="1782"/>
      <c r="K29" s="2711"/>
      <c r="L29" s="1425"/>
      <c r="M29" s="3381"/>
      <c r="N29" s="1545"/>
      <c r="O29" s="2835"/>
      <c r="P29" s="2835"/>
      <c r="AH29" s="2842">
        <v>0</v>
      </c>
    </row>
    <row s="66903" customFormat="1" customHeight="1" ht="45" hidden="1">
      <c r="A30" s="2991" t="s">
        <v>187</v>
      </c>
      <c r="B30" s="2991" t="s">
        <v>188</v>
      </c>
      <c r="C30" s="1580"/>
      <c r="D30" s="3673"/>
      <c r="E30" s="3415"/>
      <c r="F30" s="359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3638" t="str">
        <f>INDEX(PT_DIFFERENTIATION_NTAR,MATCH(B30,PT_DIFFERENTIATION_NTAR_ID,0))</f>
        <v/>
      </c>
      <c r="H30" s="3073"/>
      <c r="I30" s="2950"/>
      <c r="J30" s="2984"/>
      <c r="K30" s="3076"/>
      <c r="L30" s="3073" t="s">
        <v>324</v>
      </c>
      <c r="M30" s="3381"/>
      <c r="N30" s="1545"/>
      <c r="O30" s="2835"/>
      <c r="P30" s="2835"/>
      <c r="AH30" s="2842">
        <v>0</v>
      </c>
    </row>
    <row s="66903" customFormat="1" customHeight="1" ht="18.75" hidden="1">
      <c r="A31" s="2991"/>
      <c r="B31" s="2991"/>
      <c r="C31" s="1580" t="s">
        <v>1354</v>
      </c>
      <c r="D31" s="3673"/>
      <c r="E31" s="3415"/>
      <c r="F31" s="3594"/>
      <c r="G31" s="3638"/>
      <c r="H31" s="2711"/>
      <c r="I31" s="1862" t="s">
        <v>1355</v>
      </c>
      <c r="J31" s="1782"/>
      <c r="K31" s="2711"/>
      <c r="L31" s="1425"/>
      <c r="M31" s="3381"/>
      <c r="N31" s="1545"/>
      <c r="O31" s="2835"/>
      <c r="P31" s="2835"/>
      <c r="AH31" s="2842">
        <v>0</v>
      </c>
    </row>
    <row s="66903" customFormat="1" customHeight="1" ht="0.75" hidden="1">
      <c r="A32" s="2991"/>
      <c r="B32" s="2991"/>
      <c r="C32" s="1580" t="s">
        <v>1360</v>
      </c>
      <c r="D32" s="3673"/>
      <c r="E32" s="3415"/>
      <c r="F32" s="3594"/>
      <c r="G32" s="1611"/>
      <c r="H32" s="2711"/>
      <c r="I32" s="1862"/>
      <c r="J32" s="1782"/>
      <c r="K32" s="2711"/>
      <c r="L32" s="1425"/>
      <c r="M32" s="3381"/>
      <c r="N32" s="1545"/>
      <c r="O32" s="2835"/>
      <c r="P32" s="2835"/>
      <c r="AH32" s="2842">
        <v>0</v>
      </c>
    </row>
    <row s="66903" customFormat="1" customHeight="1" ht="45" hidden="1">
      <c r="A33" s="2991" t="s">
        <v>193</v>
      </c>
      <c r="B33" s="2991" t="s">
        <v>194</v>
      </c>
      <c r="C33" s="1580"/>
      <c r="D33" s="3673"/>
      <c r="E33" s="3415"/>
      <c r="F33" s="359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3638" t="str">
        <f>INDEX(PT_DIFFERENTIATION_NTAR,MATCH(B33,PT_DIFFERENTIATION_NTAR_ID,0))</f>
        <v/>
      </c>
      <c r="H33" s="3073"/>
      <c r="I33" s="2950"/>
      <c r="J33" s="2984"/>
      <c r="K33" s="3076"/>
      <c r="L33" s="3073" t="s">
        <v>324</v>
      </c>
      <c r="M33" s="3381"/>
      <c r="N33" s="1545"/>
      <c r="O33" s="2835"/>
      <c r="P33" s="2835"/>
      <c r="AH33" s="2842">
        <v>0</v>
      </c>
    </row>
    <row s="66903" customFormat="1" customHeight="1" ht="18.75" hidden="1">
      <c r="A34" s="2991"/>
      <c r="B34" s="2991"/>
      <c r="C34" s="1580" t="s">
        <v>1354</v>
      </c>
      <c r="D34" s="3673"/>
      <c r="E34" s="3415"/>
      <c r="F34" s="3594"/>
      <c r="G34" s="3638"/>
      <c r="H34" s="2711"/>
      <c r="I34" s="1862" t="s">
        <v>1355</v>
      </c>
      <c r="J34" s="1782"/>
      <c r="K34" s="2711"/>
      <c r="L34" s="1425"/>
      <c r="M34" s="3381"/>
      <c r="N34" s="1545"/>
      <c r="O34" s="2835"/>
      <c r="P34" s="2835"/>
      <c r="AH34" s="2842">
        <v>0</v>
      </c>
    </row>
    <row s="66903" customFormat="1" customHeight="1" ht="0.75" hidden="1">
      <c r="A35" s="2991"/>
      <c r="B35" s="2991"/>
      <c r="C35" s="1580" t="s">
        <v>1360</v>
      </c>
      <c r="D35" s="3673"/>
      <c r="E35" s="3415"/>
      <c r="F35" s="3594"/>
      <c r="G35" s="1611"/>
      <c r="H35" s="2711"/>
      <c r="I35" s="1862"/>
      <c r="J35" s="1782"/>
      <c r="K35" s="2711"/>
      <c r="L35" s="1425"/>
      <c r="M35" s="3381"/>
      <c r="N35" s="1545"/>
      <c r="O35" s="2835"/>
      <c r="P35" s="2835"/>
      <c r="AH35" s="2842">
        <v>0</v>
      </c>
    </row>
    <row s="66903" customFormat="1" customHeight="1" ht="18.75" hidden="1">
      <c r="A36" s="2991" t="s">
        <v>199</v>
      </c>
      <c r="B36" s="2991" t="s">
        <v>200</v>
      </c>
      <c r="C36" s="1580"/>
      <c r="D36" s="3673"/>
      <c r="E36" s="3415"/>
      <c r="F36" s="3594" t="str">
        <f>INDEX(PT_DIFFERENTIATION_VTAR,MATCH(A36,PT_DIFFERENTIATION_VTAR_ID,0))</f>
        <v>Тарифы на услуги по передаче тепловой энергии</v>
      </c>
      <c r="G36" s="3638" t="str">
        <f>INDEX(PT_DIFFERENTIATION_NTAR,MATCH(B36,PT_DIFFERENTIATION_NTAR_ID,0))</f>
        <v/>
      </c>
      <c r="H36" s="3073"/>
      <c r="I36" s="2950"/>
      <c r="J36" s="2984"/>
      <c r="K36" s="3076"/>
      <c r="L36" s="3073" t="s">
        <v>324</v>
      </c>
      <c r="M36" s="3381"/>
      <c r="N36" s="1545"/>
      <c r="O36" s="2835"/>
      <c r="P36" s="2835"/>
      <c r="AH36" s="2842">
        <v>0</v>
      </c>
    </row>
    <row s="66903" customFormat="1" customHeight="1" ht="18.75" hidden="1">
      <c r="A37" s="2991"/>
      <c r="B37" s="2991"/>
      <c r="C37" s="1580" t="s">
        <v>1354</v>
      </c>
      <c r="D37" s="3673"/>
      <c r="E37" s="3415"/>
      <c r="F37" s="3594"/>
      <c r="G37" s="3638"/>
      <c r="H37" s="2711"/>
      <c r="I37" s="1862" t="s">
        <v>1355</v>
      </c>
      <c r="J37" s="1782"/>
      <c r="K37" s="2711"/>
      <c r="L37" s="1425"/>
      <c r="M37" s="3381"/>
      <c r="N37" s="1545"/>
      <c r="O37" s="2835"/>
      <c r="P37" s="2835"/>
      <c r="AH37" s="2842">
        <v>0</v>
      </c>
    </row>
    <row s="66903" customFormat="1" customHeight="1" ht="0.75" hidden="1">
      <c r="A38" s="2991"/>
      <c r="B38" s="2991"/>
      <c r="C38" s="1580" t="s">
        <v>1360</v>
      </c>
      <c r="D38" s="3673"/>
      <c r="E38" s="3415"/>
      <c r="F38" s="3594"/>
      <c r="G38" s="1611"/>
      <c r="H38" s="2711"/>
      <c r="I38" s="1862"/>
      <c r="J38" s="1782"/>
      <c r="K38" s="2711"/>
      <c r="L38" s="1425"/>
      <c r="M38" s="3381"/>
      <c r="N38" s="1545"/>
      <c r="O38" s="2835"/>
      <c r="P38" s="2835"/>
      <c r="AH38" s="2842">
        <v>0</v>
      </c>
    </row>
    <row s="66903" customFormat="1" customHeight="1" ht="18.75" hidden="1">
      <c r="A39" s="2991" t="s">
        <v>205</v>
      </c>
      <c r="B39" s="2991" t="s">
        <v>206</v>
      </c>
      <c r="C39" s="1580"/>
      <c r="D39" s="3673"/>
      <c r="E39" s="3415"/>
      <c r="F39" s="3594" t="str">
        <f>INDEX(PT_DIFFERENTIATION_VTAR,MATCH(A39,PT_DIFFERENTIATION_VTAR_ID,0))</f>
        <v>Тарифы на услуги по передаче теплоносителя</v>
      </c>
      <c r="G39" s="3638" t="str">
        <f>INDEX(PT_DIFFERENTIATION_NTAR,MATCH(B39,PT_DIFFERENTIATION_NTAR_ID,0))</f>
        <v/>
      </c>
      <c r="H39" s="3073"/>
      <c r="I39" s="2950"/>
      <c r="J39" s="2984"/>
      <c r="K39" s="3076"/>
      <c r="L39" s="3073" t="s">
        <v>324</v>
      </c>
      <c r="M39" s="3381"/>
      <c r="N39" s="1545"/>
      <c r="O39" s="2835"/>
      <c r="P39" s="2835"/>
      <c r="AH39" s="2842">
        <v>0</v>
      </c>
    </row>
    <row s="66903" customFormat="1" customHeight="1" ht="18.75" hidden="1">
      <c r="A40" s="2991"/>
      <c r="B40" s="2991"/>
      <c r="C40" s="1580" t="s">
        <v>1354</v>
      </c>
      <c r="D40" s="3673"/>
      <c r="E40" s="3415"/>
      <c r="F40" s="3594"/>
      <c r="G40" s="3638"/>
      <c r="H40" s="2711"/>
      <c r="I40" s="1862" t="s">
        <v>1355</v>
      </c>
      <c r="J40" s="1782"/>
      <c r="K40" s="2711"/>
      <c r="L40" s="1425"/>
      <c r="M40" s="3381"/>
      <c r="N40" s="1545"/>
      <c r="O40" s="2835"/>
      <c r="P40" s="2835"/>
      <c r="AH40" s="2842">
        <v>0</v>
      </c>
    </row>
    <row s="66903" customFormat="1" customHeight="1" ht="0.75" hidden="1">
      <c r="A41" s="2991"/>
      <c r="B41" s="2991"/>
      <c r="C41" s="1580" t="s">
        <v>1360</v>
      </c>
      <c r="D41" s="3673"/>
      <c r="E41" s="3415"/>
      <c r="F41" s="3594"/>
      <c r="G41" s="1611"/>
      <c r="H41" s="2711"/>
      <c r="I41" s="1862"/>
      <c r="J41" s="1782"/>
      <c r="K41" s="2711"/>
      <c r="L41" s="1425"/>
      <c r="M41" s="3381"/>
      <c r="N41" s="1545"/>
      <c r="O41" s="2835"/>
      <c r="P41" s="2835"/>
      <c r="AH41" s="2842">
        <v>0</v>
      </c>
    </row>
    <row s="66903" customFormat="1" customHeight="1" ht="18.75" hidden="1">
      <c r="A42" s="2991" t="s">
        <v>211</v>
      </c>
      <c r="B42" s="2991" t="s">
        <v>212</v>
      </c>
      <c r="C42" s="1580"/>
      <c r="D42" s="3673"/>
      <c r="E42" s="3415"/>
      <c r="F42" s="3594" t="str">
        <f>INDEX(PT_DIFFERENTIATION_VTAR,MATCH(A42,PT_DIFFERENTIATION_VTAR_ID,0))</f>
        <v>Плата за услуги по поддержанию резервной тепловой мощности при отсутствии потребления тепловой энергии</v>
      </c>
      <c r="G42" s="3638" t="str">
        <f>INDEX(PT_DIFFERENTIATION_NTAR,MATCH(B42,PT_DIFFERENTIATION_NTAR_ID,0))</f>
        <v/>
      </c>
      <c r="H42" s="3073"/>
      <c r="I42" s="2950"/>
      <c r="J42" s="2984"/>
      <c r="K42" s="3076"/>
      <c r="L42" s="3073" t="s">
        <v>324</v>
      </c>
      <c r="M42" s="3381"/>
      <c r="N42" s="1545"/>
      <c r="O42" s="2835"/>
      <c r="P42" s="2835"/>
      <c r="AH42" s="2842">
        <v>0</v>
      </c>
    </row>
    <row s="66903" customFormat="1" customHeight="1" ht="18.75" hidden="1">
      <c r="A43" s="2991"/>
      <c r="B43" s="2991"/>
      <c r="C43" s="1580" t="s">
        <v>1354</v>
      </c>
      <c r="D43" s="3673"/>
      <c r="E43" s="3415"/>
      <c r="F43" s="3594"/>
      <c r="G43" s="3638"/>
      <c r="H43" s="2711"/>
      <c r="I43" s="1862" t="s">
        <v>1355</v>
      </c>
      <c r="J43" s="1782"/>
      <c r="K43" s="2711"/>
      <c r="L43" s="1425"/>
      <c r="M43" s="3381"/>
      <c r="N43" s="1545"/>
      <c r="O43" s="2835"/>
      <c r="P43" s="2835"/>
      <c r="AH43" s="2842">
        <v>0</v>
      </c>
    </row>
    <row s="66903" customFormat="1" customHeight="1" ht="0.75" hidden="1">
      <c r="A44" s="2991"/>
      <c r="B44" s="2991"/>
      <c r="C44" s="1580" t="s">
        <v>1360</v>
      </c>
      <c r="D44" s="3673"/>
      <c r="E44" s="3415"/>
      <c r="F44" s="3594"/>
      <c r="G44" s="1611"/>
      <c r="H44" s="2711"/>
      <c r="I44" s="1862"/>
      <c r="J44" s="1782"/>
      <c r="K44" s="2711"/>
      <c r="L44" s="1425"/>
      <c r="M44" s="3381"/>
      <c r="N44" s="1545"/>
      <c r="O44" s="2835"/>
      <c r="P44" s="2835"/>
      <c r="AH44" s="2842">
        <v>0</v>
      </c>
    </row>
    <row s="66903" customFormat="1" customHeight="1" ht="18.75" hidden="1">
      <c r="A45" s="2991" t="s">
        <v>217</v>
      </c>
      <c r="B45" s="2991" t="s">
        <v>218</v>
      </c>
      <c r="C45" s="1580"/>
      <c r="D45" s="3673"/>
      <c r="E45" s="3415"/>
      <c r="F45" s="3594" t="str">
        <f>INDEX(PT_DIFFERENTIATION_VTAR,MATCH(A45,PT_DIFFERENTIATION_VTAR_ID,0))</f>
        <v>Плата за подключение (технологическое присоединение) к системе теплоснабжения</v>
      </c>
      <c r="G45" s="3638" t="str">
        <f>INDEX(PT_DIFFERENTIATION_NTAR,MATCH(B45,PT_DIFFERENTIATION_NTAR_ID,0))</f>
        <v/>
      </c>
      <c r="H45" s="3073"/>
      <c r="I45" s="2950"/>
      <c r="J45" s="2984"/>
      <c r="K45" s="3076"/>
      <c r="L45" s="3073" t="s">
        <v>324</v>
      </c>
      <c r="M45" s="3381"/>
      <c r="N45" s="1545"/>
      <c r="O45" s="2835"/>
      <c r="P45" s="2835"/>
      <c r="AH45" s="2842">
        <v>0</v>
      </c>
    </row>
    <row s="66903" customFormat="1" customHeight="1" ht="18.75" hidden="1">
      <c r="A46" s="2991"/>
      <c r="B46" s="2991"/>
      <c r="C46" s="1580" t="s">
        <v>1354</v>
      </c>
      <c r="D46" s="3673"/>
      <c r="E46" s="3415"/>
      <c r="F46" s="3594"/>
      <c r="G46" s="3638"/>
      <c r="H46" s="2711"/>
      <c r="I46" s="1862" t="s">
        <v>1355</v>
      </c>
      <c r="J46" s="1782"/>
      <c r="K46" s="2711"/>
      <c r="L46" s="1425"/>
      <c r="M46" s="3381"/>
      <c r="N46" s="1545"/>
      <c r="O46" s="2835"/>
      <c r="P46" s="2835"/>
      <c r="AH46" s="2842">
        <v>0</v>
      </c>
    </row>
    <row s="66903" customFormat="1" customHeight="1" ht="0.75" hidden="1">
      <c r="A47" s="2991"/>
      <c r="B47" s="2991"/>
      <c r="C47" s="1580" t="s">
        <v>1360</v>
      </c>
      <c r="D47" s="3673"/>
      <c r="E47" s="3415"/>
      <c r="F47" s="3594"/>
      <c r="G47" s="1611"/>
      <c r="H47" s="2711"/>
      <c r="I47" s="1862"/>
      <c r="J47" s="1782"/>
      <c r="K47" s="2711"/>
      <c r="L47" s="1425"/>
      <c r="M47" s="3381"/>
      <c r="N47" s="1545"/>
      <c r="O47" s="2835"/>
      <c r="P47" s="2835"/>
      <c r="AH47" s="2842">
        <v>0</v>
      </c>
    </row>
    <row s="66903" customFormat="1" customHeight="1" ht="18.75" hidden="1">
      <c r="A48" s="2991" t="s">
        <v>223</v>
      </c>
      <c r="B48" s="2991" t="s">
        <v>224</v>
      </c>
      <c r="C48" s="1580"/>
      <c r="D48" s="3673"/>
      <c r="E48" s="3415"/>
      <c r="F48" s="3594" t="str">
        <f>INDEX(PT_DIFFERENTIATION_VTAR,MATCH(A48,PT_DIFFERENTIATION_VTAR_ID,0))</f>
        <v>Плата за подключение (технологическое присоединение) к системе теплоснабжения (индивидуальная)</v>
      </c>
      <c r="G48" s="3638" t="str">
        <f>INDEX(PT_DIFFERENTIATION_NTAR,MATCH(B48,PT_DIFFERENTIATION_NTAR_ID,0))</f>
        <v/>
      </c>
      <c r="H48" s="3200"/>
      <c r="I48" s="2950"/>
      <c r="J48" s="2984"/>
      <c r="K48" s="3076"/>
      <c r="L48" s="3200" t="s">
        <v>324</v>
      </c>
      <c r="M48" s="3381"/>
      <c r="N48" s="1545"/>
      <c r="O48" s="2835"/>
      <c r="P48" s="2835"/>
      <c r="AH48" s="2842">
        <v>0</v>
      </c>
    </row>
    <row s="66903" customFormat="1" customHeight="1" ht="18.75" hidden="1">
      <c r="A49" s="2991"/>
      <c r="B49" s="2991"/>
      <c r="C49" s="1580" t="s">
        <v>1354</v>
      </c>
      <c r="D49" s="3673"/>
      <c r="E49" s="3415"/>
      <c r="F49" s="3594"/>
      <c r="G49" s="3638"/>
      <c r="H49" s="2711"/>
      <c r="I49" s="1862" t="s">
        <v>1355</v>
      </c>
      <c r="J49" s="1782"/>
      <c r="K49" s="2711"/>
      <c r="L49" s="1425"/>
      <c r="M49" s="3381"/>
      <c r="N49" s="1545"/>
      <c r="O49" s="2835"/>
      <c r="P49" s="2835"/>
      <c r="AH49" s="2842">
        <v>0</v>
      </c>
    </row>
    <row s="66903" customFormat="1" customHeight="1" ht="0.75" hidden="1">
      <c r="A50" s="2991"/>
      <c r="B50" s="2991"/>
      <c r="C50" s="1580" t="s">
        <v>1360</v>
      </c>
      <c r="D50" s="3673"/>
      <c r="E50" s="3415"/>
      <c r="F50" s="3594"/>
      <c r="G50" s="1611"/>
      <c r="H50" s="2711"/>
      <c r="I50" s="1862"/>
      <c r="J50" s="1782"/>
      <c r="K50" s="2711"/>
      <c r="L50" s="1425"/>
      <c r="M50" s="3381"/>
      <c r="N50" s="1545"/>
      <c r="O50" s="2835"/>
      <c r="P50" s="2835"/>
      <c r="AH50" s="2842">
        <v>0</v>
      </c>
    </row>
    <row s="66903" customFormat="1" customHeight="1" ht="18.75" hidden="1">
      <c r="A51" s="2991" t="s">
        <v>243</v>
      </c>
      <c r="B51" s="2991" t="s">
        <v>244</v>
      </c>
      <c r="C51" s="1580"/>
      <c r="D51" s="3673"/>
      <c r="E51" s="3415"/>
      <c r="F51" s="3594" t="str">
        <f>INDEX(PT_DIFFERENTIATION_VTAR,MATCH(A51,PT_DIFFERENTIATION_VTAR_ID,0))</f>
        <v>Тариф на питьевую воду (питьевое водоснабжение)</v>
      </c>
      <c r="G51" s="3638" t="str">
        <f>INDEX(PT_DIFFERENTIATION_NTAR,MATCH(B51,PT_DIFFERENTIATION_NTAR_ID,0))</f>
        <v/>
      </c>
      <c r="H51" s="3073"/>
      <c r="I51" s="2950"/>
      <c r="J51" s="2984"/>
      <c r="K51" s="3076"/>
      <c r="L51" s="3073" t="s">
        <v>324</v>
      </c>
      <c r="M51" s="3381"/>
      <c r="N51" s="1545"/>
      <c r="O51" s="2835"/>
      <c r="P51" s="2835"/>
      <c r="AH51" s="2842">
        <v>0</v>
      </c>
    </row>
    <row s="66903" customFormat="1" customHeight="1" ht="18.75" hidden="1">
      <c r="A52" s="2991"/>
      <c r="B52" s="2991"/>
      <c r="C52" s="1580" t="s">
        <v>1354</v>
      </c>
      <c r="D52" s="3673"/>
      <c r="E52" s="3415"/>
      <c r="F52" s="3594"/>
      <c r="G52" s="3638"/>
      <c r="H52" s="2711"/>
      <c r="I52" s="1862" t="s">
        <v>1355</v>
      </c>
      <c r="J52" s="1782"/>
      <c r="K52" s="2711"/>
      <c r="L52" s="1425"/>
      <c r="M52" s="3381"/>
      <c r="N52" s="1545"/>
      <c r="O52" s="2835"/>
      <c r="P52" s="2835"/>
      <c r="AH52" s="2842">
        <v>0</v>
      </c>
    </row>
    <row s="66903" customFormat="1" customHeight="1" ht="0.75" hidden="1">
      <c r="A53" s="2991"/>
      <c r="B53" s="2991"/>
      <c r="C53" s="1580" t="s">
        <v>1360</v>
      </c>
      <c r="D53" s="3673"/>
      <c r="E53" s="3415"/>
      <c r="F53" s="3594"/>
      <c r="G53" s="1611"/>
      <c r="H53" s="2711"/>
      <c r="I53" s="1862"/>
      <c r="J53" s="1782"/>
      <c r="K53" s="2711"/>
      <c r="L53" s="1425"/>
      <c r="M53" s="3381"/>
      <c r="N53" s="1545"/>
      <c r="O53" s="2835"/>
      <c r="P53" s="2835"/>
      <c r="AH53" s="2842">
        <v>0</v>
      </c>
    </row>
    <row s="66903" customFormat="1" customHeight="1" ht="18.75" hidden="1">
      <c r="A54" s="2991" t="s">
        <v>248</v>
      </c>
      <c r="B54" s="2991" t="s">
        <v>249</v>
      </c>
      <c r="C54" s="1580"/>
      <c r="D54" s="3673"/>
      <c r="E54" s="3415"/>
      <c r="F54" s="3594" t="str">
        <f>INDEX(PT_DIFFERENTIATION_VTAR,MATCH(A54,PT_DIFFERENTIATION_VTAR_ID,0))</f>
        <v>Тариф на техническую воду</v>
      </c>
      <c r="G54" s="3638" t="str">
        <f>INDEX(PT_DIFFERENTIATION_NTAR,MATCH(B54,PT_DIFFERENTIATION_NTAR_ID,0))</f>
        <v/>
      </c>
      <c r="H54" s="3073"/>
      <c r="I54" s="2950"/>
      <c r="J54" s="2984"/>
      <c r="K54" s="3076"/>
      <c r="L54" s="3073" t="s">
        <v>324</v>
      </c>
      <c r="M54" s="3381"/>
      <c r="N54" s="1545"/>
      <c r="O54" s="2835"/>
      <c r="P54" s="2835"/>
      <c r="AH54" s="2842">
        <v>0</v>
      </c>
    </row>
    <row s="66903" customFormat="1" customHeight="1" ht="18.75" hidden="1">
      <c r="A55" s="2991"/>
      <c r="B55" s="2991"/>
      <c r="C55" s="1580" t="s">
        <v>1354</v>
      </c>
      <c r="D55" s="3673"/>
      <c r="E55" s="3415"/>
      <c r="F55" s="3594"/>
      <c r="G55" s="3638"/>
      <c r="H55" s="2711"/>
      <c r="I55" s="1862" t="s">
        <v>1355</v>
      </c>
      <c r="J55" s="1782"/>
      <c r="K55" s="2711"/>
      <c r="L55" s="1425"/>
      <c r="M55" s="3381"/>
      <c r="N55" s="1545"/>
      <c r="O55" s="2835"/>
      <c r="P55" s="2835"/>
      <c r="AH55" s="2842">
        <v>0</v>
      </c>
    </row>
    <row s="66903" customFormat="1" customHeight="1" ht="0.75" hidden="1">
      <c r="A56" s="2991"/>
      <c r="B56" s="2991"/>
      <c r="C56" s="1580" t="s">
        <v>1360</v>
      </c>
      <c r="D56" s="3673"/>
      <c r="E56" s="3415"/>
      <c r="F56" s="3594"/>
      <c r="G56" s="1611"/>
      <c r="H56" s="2711"/>
      <c r="I56" s="1862"/>
      <c r="J56" s="1782"/>
      <c r="K56" s="2711"/>
      <c r="L56" s="1425"/>
      <c r="M56" s="3381"/>
      <c r="N56" s="1545"/>
      <c r="O56" s="2835"/>
      <c r="P56" s="2835"/>
      <c r="AH56" s="2842">
        <v>0</v>
      </c>
    </row>
    <row s="66903" customFormat="1" customHeight="1" ht="18.75" hidden="1">
      <c r="A57" s="2991" t="s">
        <v>253</v>
      </c>
      <c r="B57" s="2991" t="s">
        <v>254</v>
      </c>
      <c r="C57" s="1580"/>
      <c r="D57" s="3673"/>
      <c r="E57" s="3415"/>
      <c r="F57" s="3594" t="str">
        <f>INDEX(PT_DIFFERENTIATION_VTAR,MATCH(A57,PT_DIFFERENTIATION_VTAR_ID,0))</f>
        <v>Тариф на транспортировку воды</v>
      </c>
      <c r="G57" s="3638" t="str">
        <f>INDEX(PT_DIFFERENTIATION_NTAR,MATCH(B57,PT_DIFFERENTIATION_NTAR_ID,0))</f>
        <v/>
      </c>
      <c r="H57" s="3073"/>
      <c r="I57" s="2950"/>
      <c r="J57" s="2984"/>
      <c r="K57" s="3076"/>
      <c r="L57" s="3073" t="s">
        <v>324</v>
      </c>
      <c r="M57" s="3381"/>
      <c r="N57" s="1545"/>
      <c r="O57" s="2835"/>
      <c r="P57" s="2835"/>
      <c r="AH57" s="2842">
        <v>0</v>
      </c>
    </row>
    <row s="66903" customFormat="1" customHeight="1" ht="18.75" hidden="1">
      <c r="A58" s="2991"/>
      <c r="B58" s="2991"/>
      <c r="C58" s="1580" t="s">
        <v>1354</v>
      </c>
      <c r="D58" s="3673"/>
      <c r="E58" s="3415"/>
      <c r="F58" s="3594"/>
      <c r="G58" s="3638"/>
      <c r="H58" s="2711"/>
      <c r="I58" s="1862" t="s">
        <v>1355</v>
      </c>
      <c r="J58" s="1782"/>
      <c r="K58" s="2711"/>
      <c r="L58" s="1425"/>
      <c r="M58" s="3381"/>
      <c r="N58" s="1545"/>
      <c r="O58" s="2835"/>
      <c r="P58" s="2835"/>
      <c r="AH58" s="2842">
        <v>0</v>
      </c>
    </row>
    <row s="66903" customFormat="1" customHeight="1" ht="0.75" hidden="1">
      <c r="A59" s="2991"/>
      <c r="B59" s="2991"/>
      <c r="C59" s="1580" t="s">
        <v>1360</v>
      </c>
      <c r="D59" s="3673"/>
      <c r="E59" s="3415"/>
      <c r="F59" s="3594"/>
      <c r="G59" s="1611"/>
      <c r="H59" s="2711"/>
      <c r="I59" s="1862"/>
      <c r="J59" s="1782"/>
      <c r="K59" s="2711"/>
      <c r="L59" s="1425"/>
      <c r="M59" s="3381"/>
      <c r="N59" s="1545"/>
      <c r="O59" s="2835"/>
      <c r="P59" s="2835"/>
      <c r="AH59" s="2842">
        <v>0</v>
      </c>
    </row>
    <row s="66903" customFormat="1" customHeight="1" ht="18.75" hidden="1">
      <c r="A60" s="2991" t="s">
        <v>258</v>
      </c>
      <c r="B60" s="2991" t="s">
        <v>259</v>
      </c>
      <c r="C60" s="1580"/>
      <c r="D60" s="3673"/>
      <c r="E60" s="3415"/>
      <c r="F60" s="3594" t="str">
        <f>INDEX(PT_DIFFERENTIATION_VTAR,MATCH(A60,PT_DIFFERENTIATION_VTAR_ID,0))</f>
        <v>Тариф на подвоз воды</v>
      </c>
      <c r="G60" s="3638" t="str">
        <f>INDEX(PT_DIFFERENTIATION_NTAR,MATCH(B60,PT_DIFFERENTIATION_NTAR_ID,0))</f>
        <v/>
      </c>
      <c r="H60" s="3073"/>
      <c r="I60" s="2950"/>
      <c r="J60" s="2984"/>
      <c r="K60" s="3076"/>
      <c r="L60" s="3073" t="s">
        <v>324</v>
      </c>
      <c r="M60" s="3381"/>
      <c r="N60" s="1545"/>
      <c r="O60" s="2835"/>
      <c r="P60" s="2835"/>
      <c r="AH60" s="2842">
        <v>0</v>
      </c>
    </row>
    <row s="66903" customFormat="1" customHeight="1" ht="18.75" hidden="1">
      <c r="A61" s="2991"/>
      <c r="B61" s="2991"/>
      <c r="C61" s="1580" t="s">
        <v>1354</v>
      </c>
      <c r="D61" s="3673"/>
      <c r="E61" s="3415"/>
      <c r="F61" s="3594"/>
      <c r="G61" s="3638"/>
      <c r="H61" s="2711"/>
      <c r="I61" s="1862" t="s">
        <v>1355</v>
      </c>
      <c r="J61" s="1782"/>
      <c r="K61" s="2711"/>
      <c r="L61" s="1425"/>
      <c r="M61" s="3381"/>
      <c r="N61" s="1545"/>
      <c r="O61" s="2835"/>
      <c r="P61" s="2835"/>
      <c r="AH61" s="2842">
        <v>0</v>
      </c>
    </row>
    <row s="66903" customFormat="1" customHeight="1" ht="0.75" hidden="1">
      <c r="A62" s="2991"/>
      <c r="B62" s="2991"/>
      <c r="C62" s="1580" t="s">
        <v>1360</v>
      </c>
      <c r="D62" s="3673"/>
      <c r="E62" s="3415"/>
      <c r="F62" s="3594"/>
      <c r="G62" s="1611"/>
      <c r="H62" s="2711"/>
      <c r="I62" s="1862"/>
      <c r="J62" s="1782"/>
      <c r="K62" s="2711"/>
      <c r="L62" s="1425"/>
      <c r="M62" s="3381"/>
      <c r="N62" s="1545"/>
      <c r="O62" s="2835"/>
      <c r="P62" s="2835"/>
      <c r="AH62" s="2842">
        <v>0</v>
      </c>
    </row>
    <row s="66903" customFormat="1" customHeight="1" ht="18.75" hidden="1">
      <c r="A63" s="2991" t="s">
        <v>263</v>
      </c>
      <c r="B63" s="2991" t="s">
        <v>264</v>
      </c>
      <c r="C63" s="1580"/>
      <c r="D63" s="3673"/>
      <c r="E63" s="3415"/>
      <c r="F63" s="3594" t="str">
        <f>INDEX(PT_DIFFERENTIATION_VTAR,MATCH(A63,PT_DIFFERENTIATION_VTAR_ID,0))</f>
        <v>Тариф на подключение (технологическое присоединение) к централизованной системе холодного водоснабжения</v>
      </c>
      <c r="G63" s="3638" t="str">
        <f>INDEX(PT_DIFFERENTIATION_NTAR,MATCH(B63,PT_DIFFERENTIATION_NTAR_ID,0))</f>
        <v/>
      </c>
      <c r="H63" s="3073"/>
      <c r="I63" s="2950"/>
      <c r="J63" s="2984"/>
      <c r="K63" s="3076"/>
      <c r="L63" s="3073" t="s">
        <v>324</v>
      </c>
      <c r="M63" s="3381"/>
      <c r="N63" s="1545"/>
      <c r="O63" s="2835"/>
      <c r="P63" s="2835"/>
      <c r="AH63" s="2842">
        <v>0</v>
      </c>
    </row>
    <row s="66903" customFormat="1" customHeight="1" ht="18.75" hidden="1">
      <c r="A64" s="2991"/>
      <c r="B64" s="2991"/>
      <c r="C64" s="1580" t="s">
        <v>1354</v>
      </c>
      <c r="D64" s="3673"/>
      <c r="E64" s="3415"/>
      <c r="F64" s="3594"/>
      <c r="G64" s="3638"/>
      <c r="H64" s="2711"/>
      <c r="I64" s="1862" t="s">
        <v>1355</v>
      </c>
      <c r="J64" s="1782"/>
      <c r="K64" s="2711"/>
      <c r="L64" s="1425"/>
      <c r="M64" s="3381"/>
      <c r="N64" s="1545"/>
      <c r="O64" s="2835"/>
      <c r="P64" s="2835"/>
      <c r="AH64" s="2842">
        <v>0</v>
      </c>
    </row>
    <row s="66903" customFormat="1" customHeight="1" ht="0.75" hidden="1">
      <c r="A65" s="2991"/>
      <c r="B65" s="2991"/>
      <c r="C65" s="1580" t="s">
        <v>1360</v>
      </c>
      <c r="D65" s="3673"/>
      <c r="E65" s="3415"/>
      <c r="F65" s="3594"/>
      <c r="G65" s="1611"/>
      <c r="H65" s="2711"/>
      <c r="I65" s="1862"/>
      <c r="J65" s="1782"/>
      <c r="K65" s="2711"/>
      <c r="L65" s="1425"/>
      <c r="M65" s="3381"/>
      <c r="N65" s="1545"/>
      <c r="O65" s="2835"/>
      <c r="P65" s="2835"/>
      <c r="AH65" s="2842">
        <v>0</v>
      </c>
    </row>
    <row s="66903" customFormat="1" customHeight="1" ht="18.75" hidden="1">
      <c r="A66" s="2991" t="s">
        <v>268</v>
      </c>
      <c r="B66" s="2991" t="s">
        <v>269</v>
      </c>
      <c r="C66" s="1580"/>
      <c r="D66" s="3673"/>
      <c r="E66" s="3415"/>
      <c r="F66" s="3594" t="str">
        <f>INDEX(PT_DIFFERENTIATION_VTAR,MATCH(A66,PT_DIFFERENTIATION_VTAR_ID,0))</f>
        <v>Тариф на горячую воду (горячее водоснабжение)</v>
      </c>
      <c r="G66" s="3638" t="str">
        <f>INDEX(PT_DIFFERENTIATION_NTAR,MATCH(B66,PT_DIFFERENTIATION_NTAR_ID,0))</f>
        <v/>
      </c>
      <c r="H66" s="3073"/>
      <c r="I66" s="2950"/>
      <c r="J66" s="2984"/>
      <c r="K66" s="3076"/>
      <c r="L66" s="3073" t="s">
        <v>324</v>
      </c>
      <c r="M66" s="3381"/>
      <c r="N66" s="1545"/>
      <c r="O66" s="2835"/>
      <c r="P66" s="2835"/>
      <c r="AH66" s="2842">
        <v>0</v>
      </c>
    </row>
    <row s="66903" customFormat="1" customHeight="1" ht="18.75" hidden="1">
      <c r="A67" s="2991"/>
      <c r="B67" s="2991"/>
      <c r="C67" s="1580" t="s">
        <v>1354</v>
      </c>
      <c r="D67" s="3673"/>
      <c r="E67" s="3415"/>
      <c r="F67" s="3594"/>
      <c r="G67" s="3638"/>
      <c r="H67" s="2711"/>
      <c r="I67" s="1862" t="s">
        <v>1355</v>
      </c>
      <c r="J67" s="1782"/>
      <c r="K67" s="2711"/>
      <c r="L67" s="1425"/>
      <c r="M67" s="3381"/>
      <c r="N67" s="1545"/>
      <c r="O67" s="2835"/>
      <c r="P67" s="2835"/>
      <c r="AH67" s="2842">
        <v>0</v>
      </c>
    </row>
    <row s="66903" customFormat="1" customHeight="1" ht="0.75" hidden="1">
      <c r="A68" s="2991"/>
      <c r="B68" s="2991"/>
      <c r="C68" s="1580" t="s">
        <v>1360</v>
      </c>
      <c r="D68" s="3673"/>
      <c r="E68" s="3415"/>
      <c r="F68" s="3594"/>
      <c r="G68" s="1611"/>
      <c r="H68" s="2711"/>
      <c r="I68" s="1862"/>
      <c r="J68" s="1782"/>
      <c r="K68" s="2711"/>
      <c r="L68" s="1425"/>
      <c r="M68" s="3381"/>
      <c r="N68" s="1545"/>
      <c r="O68" s="2835"/>
      <c r="P68" s="2835"/>
      <c r="AH68" s="2842">
        <v>0</v>
      </c>
    </row>
    <row s="66903" customFormat="1" customHeight="1" ht="18.75" hidden="1">
      <c r="A69" s="2991" t="s">
        <v>273</v>
      </c>
      <c r="B69" s="2991" t="s">
        <v>274</v>
      </c>
      <c r="C69" s="1580"/>
      <c r="D69" s="3673"/>
      <c r="E69" s="3415"/>
      <c r="F69" s="3594" t="str">
        <f>INDEX(PT_DIFFERENTIATION_VTAR,MATCH(A69,PT_DIFFERENTIATION_VTAR_ID,0))</f>
        <v>Тариф на транспортировку горячей воды</v>
      </c>
      <c r="G69" s="3638" t="str">
        <f>INDEX(PT_DIFFERENTIATION_NTAR,MATCH(B69,PT_DIFFERENTIATION_NTAR_ID,0))</f>
        <v/>
      </c>
      <c r="H69" s="3073"/>
      <c r="I69" s="2950"/>
      <c r="J69" s="2984"/>
      <c r="K69" s="3076"/>
      <c r="L69" s="3073" t="s">
        <v>324</v>
      </c>
      <c r="M69" s="3381"/>
      <c r="N69" s="1545"/>
      <c r="O69" s="2835"/>
      <c r="P69" s="2835"/>
      <c r="AH69" s="2842">
        <v>0</v>
      </c>
    </row>
    <row s="66903" customFormat="1" customHeight="1" ht="18.75" hidden="1">
      <c r="A70" s="2991"/>
      <c r="B70" s="2991"/>
      <c r="C70" s="1580" t="s">
        <v>1354</v>
      </c>
      <c r="D70" s="3673"/>
      <c r="E70" s="3415"/>
      <c r="F70" s="3594"/>
      <c r="G70" s="3638"/>
      <c r="H70" s="2711"/>
      <c r="I70" s="1862" t="s">
        <v>1355</v>
      </c>
      <c r="J70" s="1782"/>
      <c r="K70" s="2711"/>
      <c r="L70" s="1425"/>
      <c r="M70" s="3381"/>
      <c r="N70" s="1545"/>
      <c r="O70" s="2835"/>
      <c r="P70" s="2835"/>
      <c r="AH70" s="2842">
        <v>0</v>
      </c>
    </row>
    <row s="66903" customFormat="1" customHeight="1" ht="0.75" hidden="1">
      <c r="A71" s="2991"/>
      <c r="B71" s="2991"/>
      <c r="C71" s="1580" t="s">
        <v>1360</v>
      </c>
      <c r="D71" s="3673"/>
      <c r="E71" s="3415"/>
      <c r="F71" s="3594"/>
      <c r="G71" s="1611"/>
      <c r="H71" s="2711"/>
      <c r="I71" s="1862"/>
      <c r="J71" s="1782"/>
      <c r="K71" s="2711"/>
      <c r="L71" s="1425"/>
      <c r="M71" s="3381"/>
      <c r="N71" s="1545"/>
      <c r="O71" s="2835"/>
      <c r="P71" s="2835"/>
      <c r="AH71" s="2842">
        <v>0</v>
      </c>
    </row>
    <row s="66903" customFormat="1" customHeight="1" ht="18.75" hidden="1">
      <c r="A72" s="2991" t="s">
        <v>278</v>
      </c>
      <c r="B72" s="2991" t="s">
        <v>279</v>
      </c>
      <c r="C72" s="1580"/>
      <c r="D72" s="3673"/>
      <c r="E72" s="3415"/>
      <c r="F72" s="3594" t="str">
        <f>INDEX(PT_DIFFERENTIATION_VTAR,MATCH(A72,PT_DIFFERENTIATION_VTAR_ID,0))</f>
        <v>Тариф на подключение (технологическое присоединение) к централизованной системе горячего водоснабжения</v>
      </c>
      <c r="G72" s="3638" t="str">
        <f>INDEX(PT_DIFFERENTIATION_NTAR,MATCH(B72,PT_DIFFERENTIATION_NTAR_ID,0))</f>
        <v/>
      </c>
      <c r="H72" s="3073"/>
      <c r="I72" s="2950"/>
      <c r="J72" s="2984"/>
      <c r="K72" s="3076"/>
      <c r="L72" s="3073" t="s">
        <v>324</v>
      </c>
      <c r="M72" s="3381"/>
      <c r="N72" s="1545"/>
      <c r="O72" s="2835"/>
      <c r="P72" s="2835"/>
      <c r="AH72" s="2842">
        <v>0</v>
      </c>
    </row>
    <row s="66903" customFormat="1" customHeight="1" ht="18.75" hidden="1">
      <c r="A73" s="2991"/>
      <c r="B73" s="2991"/>
      <c r="C73" s="1580" t="s">
        <v>1354</v>
      </c>
      <c r="D73" s="3673"/>
      <c r="E73" s="3415"/>
      <c r="F73" s="3594"/>
      <c r="G73" s="3638"/>
      <c r="H73" s="2711"/>
      <c r="I73" s="1862" t="s">
        <v>1355</v>
      </c>
      <c r="J73" s="1782"/>
      <c r="K73" s="2711"/>
      <c r="L73" s="1425"/>
      <c r="M73" s="3381"/>
      <c r="N73" s="1545"/>
      <c r="O73" s="2835"/>
      <c r="P73" s="2835"/>
      <c r="AH73" s="2842">
        <v>0</v>
      </c>
    </row>
    <row s="66903" customFormat="1" customHeight="1" ht="0.75" hidden="1">
      <c r="A74" s="2991"/>
      <c r="B74" s="2991"/>
      <c r="C74" s="1580" t="s">
        <v>1360</v>
      </c>
      <c r="D74" s="3673"/>
      <c r="E74" s="3415"/>
      <c r="F74" s="3594"/>
      <c r="G74" s="1611"/>
      <c r="H74" s="2711"/>
      <c r="I74" s="1862"/>
      <c r="J74" s="1782"/>
      <c r="K74" s="2711"/>
      <c r="L74" s="1425"/>
      <c r="M74" s="3381"/>
      <c r="N74" s="1545"/>
      <c r="O74" s="2835"/>
      <c r="P74" s="2835"/>
      <c r="AH74" s="2842">
        <v>0</v>
      </c>
    </row>
    <row s="66903" customFormat="1" customHeight="1" ht="18.75" hidden="1">
      <c r="A75" s="2991" t="s">
        <v>283</v>
      </c>
      <c r="B75" s="2991" t="s">
        <v>284</v>
      </c>
      <c r="C75" s="1580"/>
      <c r="D75" s="3673"/>
      <c r="E75" s="3415"/>
      <c r="F75" s="3594" t="str">
        <f>INDEX(PT_DIFFERENTIATION_VTAR,MATCH(A75,PT_DIFFERENTIATION_VTAR_ID,0))</f>
        <v>Тариф на водоотведение</v>
      </c>
      <c r="G75" s="3638" t="str">
        <f>INDEX(PT_DIFFERENTIATION_NTAR,MATCH(B75,PT_DIFFERENTIATION_NTAR_ID,0))</f>
        <v/>
      </c>
      <c r="H75" s="3073"/>
      <c r="I75" s="2950"/>
      <c r="J75" s="2984"/>
      <c r="K75" s="3076"/>
      <c r="L75" s="3073" t="s">
        <v>324</v>
      </c>
      <c r="M75" s="3381"/>
      <c r="N75" s="1545"/>
      <c r="O75" s="2835"/>
      <c r="P75" s="2835"/>
      <c r="AH75" s="2842">
        <v>0</v>
      </c>
    </row>
    <row s="66903" customFormat="1" customHeight="1" ht="18.75" hidden="1">
      <c r="A76" s="2991"/>
      <c r="B76" s="2991"/>
      <c r="C76" s="1580" t="s">
        <v>1354</v>
      </c>
      <c r="D76" s="3673"/>
      <c r="E76" s="3415"/>
      <c r="F76" s="3594"/>
      <c r="G76" s="3638"/>
      <c r="H76" s="2711"/>
      <c r="I76" s="1862" t="s">
        <v>1355</v>
      </c>
      <c r="J76" s="1782"/>
      <c r="K76" s="2711"/>
      <c r="L76" s="1425"/>
      <c r="M76" s="3381"/>
      <c r="N76" s="1545"/>
      <c r="O76" s="2835"/>
      <c r="P76" s="2835"/>
      <c r="AH76" s="2842">
        <v>0</v>
      </c>
    </row>
    <row s="66903" customFormat="1" customHeight="1" ht="0.75" hidden="1">
      <c r="A77" s="2991"/>
      <c r="B77" s="2991"/>
      <c r="C77" s="1580" t="s">
        <v>1360</v>
      </c>
      <c r="D77" s="3673"/>
      <c r="E77" s="3415"/>
      <c r="F77" s="3594"/>
      <c r="G77" s="1611"/>
      <c r="H77" s="2711"/>
      <c r="I77" s="1862"/>
      <c r="J77" s="1782"/>
      <c r="K77" s="2711"/>
      <c r="L77" s="1425"/>
      <c r="M77" s="3381"/>
      <c r="N77" s="1545"/>
      <c r="O77" s="2835"/>
      <c r="P77" s="2835"/>
      <c r="AH77" s="2842">
        <v>0</v>
      </c>
    </row>
    <row s="66903" customFormat="1" customHeight="1" ht="18.75" hidden="1">
      <c r="A78" s="2991" t="s">
        <v>288</v>
      </c>
      <c r="B78" s="2991" t="s">
        <v>289</v>
      </c>
      <c r="C78" s="1580"/>
      <c r="D78" s="3673"/>
      <c r="E78" s="3415"/>
      <c r="F78" s="3594" t="str">
        <f>INDEX(PT_DIFFERENTIATION_VTAR,MATCH(A78,PT_DIFFERENTIATION_VTAR_ID,0))</f>
        <v>Тариф на транспортировку сточных вод</v>
      </c>
      <c r="G78" s="3638" t="str">
        <f>INDEX(PT_DIFFERENTIATION_NTAR,MATCH(B78,PT_DIFFERENTIATION_NTAR_ID,0))</f>
        <v/>
      </c>
      <c r="H78" s="3073"/>
      <c r="I78" s="2950"/>
      <c r="J78" s="2984"/>
      <c r="K78" s="3076"/>
      <c r="L78" s="3073" t="s">
        <v>324</v>
      </c>
      <c r="M78" s="3381"/>
      <c r="N78" s="1545"/>
      <c r="O78" s="2835"/>
      <c r="P78" s="2835"/>
      <c r="AH78" s="2842">
        <v>0</v>
      </c>
    </row>
    <row s="66903" customFormat="1" customHeight="1" ht="18.75" hidden="1">
      <c r="A79" s="2991"/>
      <c r="B79" s="2991"/>
      <c r="C79" s="1580" t="s">
        <v>1354</v>
      </c>
      <c r="D79" s="3673"/>
      <c r="E79" s="3415"/>
      <c r="F79" s="3594"/>
      <c r="G79" s="3638"/>
      <c r="H79" s="2711"/>
      <c r="I79" s="1862" t="s">
        <v>1355</v>
      </c>
      <c r="J79" s="1782"/>
      <c r="K79" s="2711"/>
      <c r="L79" s="1425"/>
      <c r="M79" s="3381"/>
      <c r="N79" s="1545"/>
      <c r="O79" s="2835"/>
      <c r="P79" s="2835"/>
      <c r="AH79" s="2842">
        <v>0</v>
      </c>
    </row>
    <row s="66903" customFormat="1" customHeight="1" ht="0.75" hidden="1">
      <c r="A80" s="2991"/>
      <c r="B80" s="2991"/>
      <c r="C80" s="1580" t="s">
        <v>1360</v>
      </c>
      <c r="D80" s="3673"/>
      <c r="E80" s="3415"/>
      <c r="F80" s="3594"/>
      <c r="G80" s="1611"/>
      <c r="H80" s="2711"/>
      <c r="I80" s="1862"/>
      <c r="J80" s="1782"/>
      <c r="K80" s="2711"/>
      <c r="L80" s="1425"/>
      <c r="M80" s="3381"/>
      <c r="N80" s="1545"/>
      <c r="O80" s="2835"/>
      <c r="P80" s="2835"/>
      <c r="AH80" s="2842">
        <v>0</v>
      </c>
    </row>
    <row s="66903" customFormat="1" customHeight="1" ht="18.75" hidden="1">
      <c r="A81" s="2991" t="s">
        <v>293</v>
      </c>
      <c r="B81" s="2991" t="s">
        <v>294</v>
      </c>
      <c r="C81" s="1580"/>
      <c r="D81" s="3673"/>
      <c r="E81" s="3415"/>
      <c r="F81" s="3594" t="str">
        <f>INDEX(PT_DIFFERENTIATION_VTAR,MATCH(A81,PT_DIFFERENTIATION_VTAR_ID,0))</f>
        <v>Тариф на подключение (технологическое присоединение) к централизованной системе водоотведения</v>
      </c>
      <c r="G81" s="3638" t="str">
        <f>INDEX(PT_DIFFERENTIATION_NTAR,MATCH(B81,PT_DIFFERENTIATION_NTAR_ID,0))</f>
        <v/>
      </c>
      <c r="H81" s="3073"/>
      <c r="I81" s="2950"/>
      <c r="J81" s="2984"/>
      <c r="K81" s="3076"/>
      <c r="L81" s="3073" t="s">
        <v>324</v>
      </c>
      <c r="M81" s="3381"/>
      <c r="N81" s="1545"/>
      <c r="O81" s="2835"/>
      <c r="P81" s="2835"/>
      <c r="AH81" s="2842">
        <v>0</v>
      </c>
    </row>
    <row s="66903" customFormat="1" customHeight="1" ht="18.75" hidden="1">
      <c r="A82" s="2991"/>
      <c r="B82" s="2991"/>
      <c r="C82" s="1580" t="s">
        <v>1354</v>
      </c>
      <c r="D82" s="3673"/>
      <c r="E82" s="3415"/>
      <c r="F82" s="3594"/>
      <c r="G82" s="3638"/>
      <c r="H82" s="2711"/>
      <c r="I82" s="1862" t="s">
        <v>1355</v>
      </c>
      <c r="J82" s="1782"/>
      <c r="K82" s="2711"/>
      <c r="L82" s="1425"/>
      <c r="M82" s="3381"/>
      <c r="N82" s="1545"/>
      <c r="O82" s="2835"/>
      <c r="P82" s="2835"/>
      <c r="AH82" s="2842">
        <v>0</v>
      </c>
    </row>
    <row s="66903" customFormat="1" customHeight="1" ht="1.05">
      <c r="A83" s="2991"/>
      <c r="B83" s="2991"/>
      <c r="C83" s="1580" t="s">
        <v>1360</v>
      </c>
      <c r="D83" s="3673"/>
      <c r="E83" s="3415"/>
      <c r="F83" s="3594"/>
      <c r="G83" s="1611"/>
      <c r="H83" s="2711"/>
      <c r="I83" s="1862"/>
      <c r="J83" s="1782"/>
      <c r="K83" s="2711"/>
      <c r="L83" s="1425"/>
      <c r="M83" s="3381"/>
      <c r="N83" s="1545"/>
      <c r="O83" s="2835"/>
      <c r="P83" s="2835"/>
      <c r="AH83" s="2842">
        <v>1</v>
      </c>
    </row>
    <row customHeight="1" ht="19.95">
      <c r="A84" s="2991"/>
      <c r="B84" s="2991"/>
      <c r="D84" s="1587"/>
      <c r="E84" s="1358" t="s">
        <v>102</v>
      </c>
      <c r="F84" s="367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3671"/>
      <c r="H84" s="3671"/>
      <c r="I84" s="3671"/>
      <c r="J84" s="3671"/>
      <c r="K84" s="3671"/>
      <c r="L84" s="3671"/>
      <c r="M84" s="1508"/>
      <c r="N84" s="1545"/>
      <c r="AH84" s="1585">
        <v>19</v>
      </c>
    </row>
    <row customHeight="1" ht="35.699999999999996">
      <c r="A85" s="2991"/>
      <c r="B85" s="2991"/>
      <c r="D85" s="1587"/>
      <c r="E85" s="1610"/>
      <c r="F85" s="1409" t="s">
        <v>324</v>
      </c>
      <c r="G85" s="1409" t="s">
        <v>324</v>
      </c>
      <c r="H85" s="3429" t="s">
        <v>324</v>
      </c>
      <c r="I85" s="3431"/>
      <c r="J85" s="1409" t="s">
        <v>324</v>
      </c>
      <c r="K85" s="1409" t="s">
        <v>324</v>
      </c>
      <c r="L85" s="1612"/>
      <c r="M85" s="1556" t="s">
        <v>1361</v>
      </c>
      <c r="N85" s="1545"/>
      <c r="AH85" s="1585">
        <v>34</v>
      </c>
    </row>
    <row customHeight="1" ht="19.95">
      <c r="A86" s="2991"/>
      <c r="B86" s="2991"/>
      <c r="D86" s="1587"/>
      <c r="E86" s="1358" t="s">
        <v>90</v>
      </c>
      <c r="F86" s="3671" t="s">
        <v>1362</v>
      </c>
      <c r="G86" s="3671"/>
      <c r="H86" s="3671"/>
      <c r="I86" s="3671"/>
      <c r="J86" s="3671"/>
      <c r="K86" s="3671"/>
      <c r="L86" s="3671"/>
      <c r="M86" s="1508"/>
      <c r="N86" s="1545"/>
      <c r="AH86" s="1585">
        <v>19</v>
      </c>
    </row>
    <row s="66903" customFormat="1" customHeight="1" ht="60.75" hidden="1">
      <c r="A87" s="2991" t="s">
        <v>175</v>
      </c>
      <c r="B87" s="2991" t="s">
        <v>176</v>
      </c>
      <c r="C87" s="1580"/>
      <c r="D87" s="3673"/>
      <c r="E87" s="3415"/>
      <c r="F87" s="359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3638" t="str">
        <f>INDEX(PT_DIFFERENTIATION_NTAR,MATCH(B87,PT_DIFFERENTIATION_NTAR_ID,0))</f>
        <v/>
      </c>
      <c r="H87" s="3073"/>
      <c r="I87" s="2950"/>
      <c r="J87" s="2984"/>
      <c r="K87" s="2989"/>
      <c r="L87" s="3073" t="s">
        <v>324</v>
      </c>
      <c r="M87" s="33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545"/>
      <c r="O87" s="2835"/>
      <c r="P87" s="2835"/>
      <c r="AH87" s="2842">
        <v>0</v>
      </c>
    </row>
    <row s="66903" customFormat="1" customHeight="1" ht="18.75" hidden="1">
      <c r="A88" s="2991"/>
      <c r="B88" s="2991"/>
      <c r="C88" s="1580" t="s">
        <v>1356</v>
      </c>
      <c r="D88" s="3673"/>
      <c r="E88" s="3415"/>
      <c r="F88" s="3594"/>
      <c r="G88" s="3638"/>
      <c r="H88" s="2711"/>
      <c r="I88" s="1862" t="s">
        <v>1355</v>
      </c>
      <c r="J88" s="1782"/>
      <c r="K88" s="2711"/>
      <c r="L88" s="1425"/>
      <c r="M88" s="3381"/>
      <c r="N88" s="1545"/>
      <c r="O88" s="2835"/>
      <c r="P88" s="2835"/>
      <c r="AH88" s="2842">
        <v>0</v>
      </c>
    </row>
    <row s="66903" customFormat="1" customHeight="1" ht="0.75" hidden="1">
      <c r="A89" s="2991"/>
      <c r="B89" s="2991"/>
      <c r="C89" s="1580" t="s">
        <v>1363</v>
      </c>
      <c r="D89" s="3673"/>
      <c r="E89" s="3415"/>
      <c r="F89" s="3594"/>
      <c r="G89" s="1611"/>
      <c r="H89" s="2711"/>
      <c r="I89" s="1862"/>
      <c r="J89" s="1782"/>
      <c r="K89" s="2711"/>
      <c r="L89" s="1425"/>
      <c r="M89" s="3381"/>
      <c r="N89" s="1545"/>
      <c r="O89" s="2835"/>
      <c r="P89" s="2835"/>
      <c r="AH89" s="2842">
        <v>0</v>
      </c>
    </row>
    <row s="66903" customFormat="1" customHeight="1" ht="45" hidden="1">
      <c r="A90" s="2991" t="s">
        <v>180</v>
      </c>
      <c r="B90" s="2991" t="s">
        <v>181</v>
      </c>
      <c r="C90" s="1580"/>
      <c r="D90" s="3673"/>
      <c r="E90" s="3415"/>
      <c r="F90" s="3594" t="str">
        <f>INDEX(PT_DIFFERENTIATION_VTAR,MATCH(A90,PT_DIFFERENTIATION_VTAR_ID,0))</f>
        <v/>
      </c>
      <c r="G90" s="3638" t="str">
        <f>INDEX(PT_DIFFERENTIATION_NTAR,MATCH(B90,PT_DIFFERENTIATION_NTAR_ID,0))</f>
        <v/>
      </c>
      <c r="H90" s="3073"/>
      <c r="I90" s="2950"/>
      <c r="J90" s="2984"/>
      <c r="K90" s="2989"/>
      <c r="L90" s="3073" t="s">
        <v>324</v>
      </c>
      <c r="M90" s="3382"/>
      <c r="N90" s="1545"/>
      <c r="O90" s="2835"/>
      <c r="P90" s="2835"/>
      <c r="AH90" s="2842">
        <v>0</v>
      </c>
    </row>
    <row s="66903" customFormat="1" customHeight="1" ht="18.75" hidden="1">
      <c r="A91" s="2991"/>
      <c r="B91" s="2991"/>
      <c r="C91" s="1580" t="s">
        <v>1356</v>
      </c>
      <c r="D91" s="3673"/>
      <c r="E91" s="3415"/>
      <c r="F91" s="3594"/>
      <c r="G91" s="3638"/>
      <c r="H91" s="2711"/>
      <c r="I91" s="1862" t="s">
        <v>1355</v>
      </c>
      <c r="J91" s="1782"/>
      <c r="K91" s="2711"/>
      <c r="L91" s="1425"/>
      <c r="M91" s="3072"/>
      <c r="N91" s="1545"/>
      <c r="O91" s="2835"/>
      <c r="P91" s="2835"/>
      <c r="AH91" s="2842">
        <v>0</v>
      </c>
    </row>
    <row s="66903" customFormat="1" customHeight="1" ht="0.75" hidden="1">
      <c r="A92" s="2991"/>
      <c r="B92" s="2991"/>
      <c r="C92" s="1580" t="s">
        <v>1363</v>
      </c>
      <c r="D92" s="3673"/>
      <c r="E92" s="3415"/>
      <c r="F92" s="3594"/>
      <c r="G92" s="1611"/>
      <c r="H92" s="2711"/>
      <c r="I92" s="1862"/>
      <c r="J92" s="1782"/>
      <c r="K92" s="2711"/>
      <c r="L92" s="1425"/>
      <c r="M92" s="1552"/>
      <c r="N92" s="1545"/>
      <c r="O92" s="2835"/>
      <c r="P92" s="2835"/>
      <c r="AH92" s="2842">
        <v>0</v>
      </c>
    </row>
    <row s="66903" customFormat="1" customHeight="1" ht="45" hidden="1">
      <c r="A93" s="2991" t="s">
        <v>187</v>
      </c>
      <c r="B93" s="2991" t="s">
        <v>188</v>
      </c>
      <c r="C93" s="1580"/>
      <c r="D93" s="3673"/>
      <c r="E93" s="3415"/>
      <c r="F93" s="359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3638" t="str">
        <f>INDEX(PT_DIFFERENTIATION_NTAR,MATCH(B93,PT_DIFFERENTIATION_NTAR_ID,0))</f>
        <v/>
      </c>
      <c r="H93" s="3073"/>
      <c r="I93" s="2950"/>
      <c r="J93" s="2984"/>
      <c r="K93" s="2989"/>
      <c r="L93" s="3073" t="s">
        <v>324</v>
      </c>
      <c r="M93" s="1552"/>
      <c r="N93" s="1545"/>
      <c r="O93" s="2835"/>
      <c r="P93" s="2835"/>
      <c r="AH93" s="2842">
        <v>0</v>
      </c>
    </row>
    <row s="66903" customFormat="1" customHeight="1" ht="18.75" hidden="1">
      <c r="A94" s="2991"/>
      <c r="B94" s="2991"/>
      <c r="C94" s="1580" t="s">
        <v>1356</v>
      </c>
      <c r="D94" s="3673"/>
      <c r="E94" s="3415"/>
      <c r="F94" s="3594"/>
      <c r="G94" s="3638"/>
      <c r="H94" s="2711"/>
      <c r="I94" s="1862" t="s">
        <v>1355</v>
      </c>
      <c r="J94" s="1782"/>
      <c r="K94" s="2711"/>
      <c r="L94" s="1425"/>
      <c r="M94" s="1552"/>
      <c r="N94" s="1545"/>
      <c r="O94" s="2835"/>
      <c r="P94" s="2835"/>
      <c r="AH94" s="2842">
        <v>0</v>
      </c>
    </row>
    <row s="66903" customFormat="1" customHeight="1" ht="0.75" hidden="1">
      <c r="A95" s="2991"/>
      <c r="B95" s="2991"/>
      <c r="C95" s="1580" t="s">
        <v>1363</v>
      </c>
      <c r="D95" s="3673"/>
      <c r="E95" s="3415"/>
      <c r="F95" s="3594"/>
      <c r="G95" s="1611"/>
      <c r="H95" s="2711"/>
      <c r="I95" s="1862"/>
      <c r="J95" s="1782"/>
      <c r="K95" s="2711"/>
      <c r="L95" s="1425"/>
      <c r="M95" s="1552"/>
      <c r="N95" s="1545"/>
      <c r="O95" s="2835"/>
      <c r="P95" s="2835"/>
      <c r="AH95" s="2842">
        <v>0</v>
      </c>
    </row>
    <row s="66903" customFormat="1" customHeight="1" ht="45" hidden="1">
      <c r="A96" s="2991" t="s">
        <v>193</v>
      </c>
      <c r="B96" s="2991" t="s">
        <v>194</v>
      </c>
      <c r="C96" s="1580"/>
      <c r="D96" s="3673"/>
      <c r="E96" s="3415"/>
      <c r="F96" s="359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3638" t="str">
        <f>INDEX(PT_DIFFERENTIATION_NTAR,MATCH(B96,PT_DIFFERENTIATION_NTAR_ID,0))</f>
        <v/>
      </c>
      <c r="H96" s="3073"/>
      <c r="I96" s="2950"/>
      <c r="J96" s="2984"/>
      <c r="K96" s="2989"/>
      <c r="L96" s="3073" t="s">
        <v>324</v>
      </c>
      <c r="M96" s="1552"/>
      <c r="N96" s="1545"/>
      <c r="O96" s="2835"/>
      <c r="P96" s="2835"/>
      <c r="AH96" s="2842">
        <v>0</v>
      </c>
    </row>
    <row s="66903" customFormat="1" customHeight="1" ht="18.75" hidden="1">
      <c r="A97" s="2991"/>
      <c r="B97" s="2991"/>
      <c r="C97" s="1580" t="s">
        <v>1356</v>
      </c>
      <c r="D97" s="3673"/>
      <c r="E97" s="3415"/>
      <c r="F97" s="3594"/>
      <c r="G97" s="3638"/>
      <c r="H97" s="2711"/>
      <c r="I97" s="1862" t="s">
        <v>1355</v>
      </c>
      <c r="J97" s="1782"/>
      <c r="K97" s="2711"/>
      <c r="L97" s="1425"/>
      <c r="M97" s="1552"/>
      <c r="N97" s="1545"/>
      <c r="O97" s="2835"/>
      <c r="P97" s="2835"/>
      <c r="AH97" s="2842">
        <v>0</v>
      </c>
    </row>
    <row s="66903" customFormat="1" customHeight="1" ht="0.75" hidden="1">
      <c r="A98" s="2991"/>
      <c r="B98" s="2991"/>
      <c r="C98" s="1580" t="s">
        <v>1363</v>
      </c>
      <c r="D98" s="3673"/>
      <c r="E98" s="3415"/>
      <c r="F98" s="3594"/>
      <c r="G98" s="1611"/>
      <c r="H98" s="2711"/>
      <c r="I98" s="1862"/>
      <c r="J98" s="1782"/>
      <c r="K98" s="2711"/>
      <c r="L98" s="1425"/>
      <c r="M98" s="1552"/>
      <c r="N98" s="1545"/>
      <c r="O98" s="2835"/>
      <c r="P98" s="2835"/>
      <c r="AH98" s="2842">
        <v>0</v>
      </c>
    </row>
    <row s="66903" customFormat="1" customHeight="1" ht="18.75" hidden="1">
      <c r="A99" s="2991" t="s">
        <v>199</v>
      </c>
      <c r="B99" s="2991" t="s">
        <v>200</v>
      </c>
      <c r="C99" s="1580"/>
      <c r="D99" s="3673"/>
      <c r="E99" s="3415"/>
      <c r="F99" s="3594" t="str">
        <f>INDEX(PT_DIFFERENTIATION_VTAR,MATCH(A99,PT_DIFFERENTIATION_VTAR_ID,0))</f>
        <v>Тарифы на услуги по передаче тепловой энергии</v>
      </c>
      <c r="G99" s="3638" t="str">
        <f>INDEX(PT_DIFFERENTIATION_NTAR,MATCH(B99,PT_DIFFERENTIATION_NTAR_ID,0))</f>
        <v/>
      </c>
      <c r="H99" s="3073"/>
      <c r="I99" s="2950"/>
      <c r="J99" s="2984"/>
      <c r="K99" s="2989"/>
      <c r="L99" s="3073" t="s">
        <v>324</v>
      </c>
      <c r="M99" s="1552"/>
      <c r="N99" s="1545"/>
      <c r="O99" s="2835"/>
      <c r="P99" s="2835"/>
      <c r="AH99" s="2842">
        <v>0</v>
      </c>
    </row>
    <row s="66903" customFormat="1" customHeight="1" ht="18.75" hidden="1">
      <c r="A100" s="2991"/>
      <c r="B100" s="2991"/>
      <c r="C100" s="1580" t="s">
        <v>1356</v>
      </c>
      <c r="D100" s="3673"/>
      <c r="E100" s="3415"/>
      <c r="F100" s="3594"/>
      <c r="G100" s="3638"/>
      <c r="H100" s="2711"/>
      <c r="I100" s="1862" t="s">
        <v>1355</v>
      </c>
      <c r="J100" s="1782"/>
      <c r="K100" s="2711"/>
      <c r="L100" s="1425"/>
      <c r="M100" s="1552"/>
      <c r="N100" s="1545"/>
      <c r="O100" s="2835"/>
      <c r="P100" s="2835"/>
      <c r="AH100" s="2842">
        <v>0</v>
      </c>
    </row>
    <row s="66903" customFormat="1" customHeight="1" ht="0.75" hidden="1">
      <c r="A101" s="2991"/>
      <c r="B101" s="2991"/>
      <c r="C101" s="1580" t="s">
        <v>1363</v>
      </c>
      <c r="D101" s="3673"/>
      <c r="E101" s="3415"/>
      <c r="F101" s="3594"/>
      <c r="G101" s="1611"/>
      <c r="H101" s="2711"/>
      <c r="I101" s="1862"/>
      <c r="J101" s="1782"/>
      <c r="K101" s="2711"/>
      <c r="L101" s="1425"/>
      <c r="M101" s="1552"/>
      <c r="N101" s="1545"/>
      <c r="O101" s="2835"/>
      <c r="P101" s="2835"/>
      <c r="AH101" s="2842">
        <v>0</v>
      </c>
    </row>
    <row s="66903" customFormat="1" customHeight="1" ht="18.75" hidden="1">
      <c r="A102" s="2991" t="s">
        <v>205</v>
      </c>
      <c r="B102" s="2991" t="s">
        <v>206</v>
      </c>
      <c r="C102" s="1580"/>
      <c r="D102" s="3673"/>
      <c r="E102" s="3415"/>
      <c r="F102" s="3594" t="str">
        <f>INDEX(PT_DIFFERENTIATION_VTAR,MATCH(A102,PT_DIFFERENTIATION_VTAR_ID,0))</f>
        <v>Тарифы на услуги по передаче теплоносителя</v>
      </c>
      <c r="G102" s="3638" t="str">
        <f>INDEX(PT_DIFFERENTIATION_NTAR,MATCH(B102,PT_DIFFERENTIATION_NTAR_ID,0))</f>
        <v/>
      </c>
      <c r="H102" s="3073"/>
      <c r="I102" s="2950"/>
      <c r="J102" s="2984"/>
      <c r="K102" s="2989"/>
      <c r="L102" s="3073" t="s">
        <v>324</v>
      </c>
      <c r="M102" s="1552"/>
      <c r="N102" s="1545"/>
      <c r="O102" s="2835"/>
      <c r="P102" s="2835"/>
      <c r="AH102" s="2842">
        <v>0</v>
      </c>
    </row>
    <row s="66903" customFormat="1" customHeight="1" ht="18.75" hidden="1">
      <c r="A103" s="2991"/>
      <c r="B103" s="2991"/>
      <c r="C103" s="1580" t="s">
        <v>1356</v>
      </c>
      <c r="D103" s="3673"/>
      <c r="E103" s="3415"/>
      <c r="F103" s="3594"/>
      <c r="G103" s="3638"/>
      <c r="H103" s="2711"/>
      <c r="I103" s="1862" t="s">
        <v>1355</v>
      </c>
      <c r="J103" s="1782"/>
      <c r="K103" s="2711"/>
      <c r="L103" s="1425"/>
      <c r="M103" s="1552"/>
      <c r="N103" s="1545"/>
      <c r="O103" s="2835"/>
      <c r="P103" s="2835"/>
      <c r="AH103" s="2842">
        <v>0</v>
      </c>
    </row>
    <row s="66903" customFormat="1" customHeight="1" ht="0.75" hidden="1">
      <c r="A104" s="2991"/>
      <c r="B104" s="2991"/>
      <c r="C104" s="1580" t="s">
        <v>1363</v>
      </c>
      <c r="D104" s="3673"/>
      <c r="E104" s="3415"/>
      <c r="F104" s="3594"/>
      <c r="G104" s="1611"/>
      <c r="H104" s="2711"/>
      <c r="I104" s="1862"/>
      <c r="J104" s="1782"/>
      <c r="K104" s="2711"/>
      <c r="L104" s="1425"/>
      <c r="M104" s="1552"/>
      <c r="N104" s="1545"/>
      <c r="O104" s="2835"/>
      <c r="P104" s="2835"/>
      <c r="AH104" s="2842">
        <v>0</v>
      </c>
    </row>
    <row s="66903" customFormat="1" customHeight="1" ht="18.75" hidden="1">
      <c r="A105" s="2991" t="s">
        <v>211</v>
      </c>
      <c r="B105" s="2991" t="s">
        <v>212</v>
      </c>
      <c r="C105" s="1580"/>
      <c r="D105" s="3673"/>
      <c r="E105" s="3415"/>
      <c r="F105" s="359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3638" t="str">
        <f>INDEX(PT_DIFFERENTIATION_NTAR,MATCH(B105,PT_DIFFERENTIATION_NTAR_ID,0))</f>
        <v/>
      </c>
      <c r="H105" s="3073"/>
      <c r="I105" s="2950"/>
      <c r="J105" s="2984"/>
      <c r="K105" s="2989"/>
      <c r="L105" s="3073" t="s">
        <v>324</v>
      </c>
      <c r="M105" s="1552"/>
      <c r="N105" s="1545"/>
      <c r="O105" s="2835"/>
      <c r="P105" s="2835"/>
      <c r="AH105" s="2842">
        <v>0</v>
      </c>
    </row>
    <row s="66903" customFormat="1" customHeight="1" ht="18.75" hidden="1">
      <c r="A106" s="2991"/>
      <c r="B106" s="2991"/>
      <c r="C106" s="1580" t="s">
        <v>1356</v>
      </c>
      <c r="D106" s="3673"/>
      <c r="E106" s="3415"/>
      <c r="F106" s="3594"/>
      <c r="G106" s="3638"/>
      <c r="H106" s="2711"/>
      <c r="I106" s="1862" t="s">
        <v>1355</v>
      </c>
      <c r="J106" s="1782"/>
      <c r="K106" s="2711"/>
      <c r="L106" s="1425"/>
      <c r="M106" s="1552"/>
      <c r="N106" s="1545"/>
      <c r="O106" s="2835"/>
      <c r="P106" s="2835"/>
      <c r="AH106" s="2842">
        <v>0</v>
      </c>
    </row>
    <row s="66903" customFormat="1" customHeight="1" ht="0.75" hidden="1">
      <c r="A107" s="2991"/>
      <c r="B107" s="2991"/>
      <c r="C107" s="1580" t="s">
        <v>1363</v>
      </c>
      <c r="D107" s="3673"/>
      <c r="E107" s="3415"/>
      <c r="F107" s="3594"/>
      <c r="G107" s="1611"/>
      <c r="H107" s="2711"/>
      <c r="I107" s="1862"/>
      <c r="J107" s="1782"/>
      <c r="K107" s="2711"/>
      <c r="L107" s="1425"/>
      <c r="M107" s="1552"/>
      <c r="N107" s="1545"/>
      <c r="O107" s="2835"/>
      <c r="P107" s="2835"/>
      <c r="AH107" s="2842">
        <v>0</v>
      </c>
    </row>
    <row s="66903" customFormat="1" customHeight="1" ht="18.75" hidden="1">
      <c r="A108" s="2991" t="s">
        <v>217</v>
      </c>
      <c r="B108" s="2991" t="s">
        <v>218</v>
      </c>
      <c r="C108" s="1580"/>
      <c r="D108" s="3673"/>
      <c r="E108" s="3415"/>
      <c r="F108" s="3594" t="str">
        <f>INDEX(PT_DIFFERENTIATION_VTAR,MATCH(A108,PT_DIFFERENTIATION_VTAR_ID,0))</f>
        <v>Плата за подключение (технологическое присоединение) к системе теплоснабжения</v>
      </c>
      <c r="G108" s="3638" t="str">
        <f>INDEX(PT_DIFFERENTIATION_NTAR,MATCH(B108,PT_DIFFERENTIATION_NTAR_ID,0))</f>
        <v/>
      </c>
      <c r="H108" s="3073"/>
      <c r="I108" s="2950"/>
      <c r="J108" s="2984"/>
      <c r="K108" s="2989"/>
      <c r="L108" s="3073" t="s">
        <v>324</v>
      </c>
      <c r="M108" s="1552"/>
      <c r="N108" s="1545"/>
      <c r="O108" s="2835"/>
      <c r="P108" s="2835"/>
      <c r="AH108" s="2842">
        <v>0</v>
      </c>
    </row>
    <row s="66903" customFormat="1" customHeight="1" ht="18.75" hidden="1">
      <c r="A109" s="2991"/>
      <c r="B109" s="2991"/>
      <c r="C109" s="1580" t="s">
        <v>1356</v>
      </c>
      <c r="D109" s="3673"/>
      <c r="E109" s="3415"/>
      <c r="F109" s="3594"/>
      <c r="G109" s="3638"/>
      <c r="H109" s="2711"/>
      <c r="I109" s="1862" t="s">
        <v>1355</v>
      </c>
      <c r="J109" s="1782"/>
      <c r="K109" s="2711"/>
      <c r="L109" s="1425"/>
      <c r="M109" s="1552"/>
      <c r="N109" s="1545"/>
      <c r="O109" s="2835"/>
      <c r="P109" s="2835"/>
      <c r="AH109" s="2842">
        <v>0</v>
      </c>
    </row>
    <row s="66903" customFormat="1" customHeight="1" ht="0.75" hidden="1">
      <c r="A110" s="2991"/>
      <c r="B110" s="2991"/>
      <c r="C110" s="1580" t="s">
        <v>1363</v>
      </c>
      <c r="D110" s="3673"/>
      <c r="E110" s="3415"/>
      <c r="F110" s="3594"/>
      <c r="G110" s="1611"/>
      <c r="H110" s="2711"/>
      <c r="I110" s="1862"/>
      <c r="J110" s="1782"/>
      <c r="K110" s="2711"/>
      <c r="L110" s="1425"/>
      <c r="M110" s="1552"/>
      <c r="N110" s="1545"/>
      <c r="O110" s="2835"/>
      <c r="P110" s="2835"/>
      <c r="AH110" s="2842">
        <v>0</v>
      </c>
    </row>
    <row s="66903" customFormat="1" customHeight="1" ht="18.75" hidden="1">
      <c r="A111" s="2991" t="s">
        <v>223</v>
      </c>
      <c r="B111" s="2991" t="s">
        <v>224</v>
      </c>
      <c r="C111" s="1580"/>
      <c r="D111" s="3673"/>
      <c r="E111" s="3415"/>
      <c r="F111" s="3594" t="str">
        <f>INDEX(PT_DIFFERENTIATION_VTAR,MATCH(A111,PT_DIFFERENTIATION_VTAR_ID,0))</f>
        <v>Плата за подключение (технологическое присоединение) к системе теплоснабжения (индивидуальная)</v>
      </c>
      <c r="G111" s="3638" t="str">
        <f>INDEX(PT_DIFFERENTIATION_NTAR,MATCH(B111,PT_DIFFERENTIATION_NTAR_ID,0))</f>
        <v/>
      </c>
      <c r="H111" s="3200"/>
      <c r="I111" s="2950"/>
      <c r="J111" s="2984"/>
      <c r="K111" s="2989"/>
      <c r="L111" s="3200" t="s">
        <v>324</v>
      </c>
      <c r="M111" s="1552"/>
      <c r="N111" s="1545"/>
      <c r="O111" s="2835"/>
      <c r="P111" s="2835"/>
      <c r="AH111" s="2842">
        <v>0</v>
      </c>
    </row>
    <row s="66903" customFormat="1" customHeight="1" ht="18.75" hidden="1">
      <c r="A112" s="2991"/>
      <c r="B112" s="2991"/>
      <c r="C112" s="1580" t="s">
        <v>1356</v>
      </c>
      <c r="D112" s="3673"/>
      <c r="E112" s="3415"/>
      <c r="F112" s="3594"/>
      <c r="G112" s="3638"/>
      <c r="H112" s="2711"/>
      <c r="I112" s="1862" t="s">
        <v>1355</v>
      </c>
      <c r="J112" s="1782"/>
      <c r="K112" s="2711"/>
      <c r="L112" s="1425"/>
      <c r="M112" s="1552"/>
      <c r="N112" s="1545"/>
      <c r="O112" s="2835"/>
      <c r="P112" s="2835"/>
      <c r="AH112" s="2842">
        <v>0</v>
      </c>
    </row>
    <row s="66903" customFormat="1" customHeight="1" ht="0.75" hidden="1">
      <c r="A113" s="2991"/>
      <c r="B113" s="2991"/>
      <c r="C113" s="1580" t="s">
        <v>1363</v>
      </c>
      <c r="D113" s="3673"/>
      <c r="E113" s="3415"/>
      <c r="F113" s="3594"/>
      <c r="G113" s="1611"/>
      <c r="H113" s="2711"/>
      <c r="I113" s="1862"/>
      <c r="J113" s="1782"/>
      <c r="K113" s="2711"/>
      <c r="L113" s="1425"/>
      <c r="M113" s="1552"/>
      <c r="N113" s="1545"/>
      <c r="O113" s="2835"/>
      <c r="P113" s="2835"/>
      <c r="AH113" s="2842">
        <v>0</v>
      </c>
    </row>
    <row s="66903" customFormat="1" customHeight="1" ht="18.75" hidden="1">
      <c r="A114" s="2991" t="s">
        <v>243</v>
      </c>
      <c r="B114" s="2991" t="s">
        <v>244</v>
      </c>
      <c r="C114" s="1580"/>
      <c r="D114" s="3673"/>
      <c r="E114" s="3415"/>
      <c r="F114" s="3594" t="str">
        <f>INDEX(PT_DIFFERENTIATION_VTAR,MATCH(A114,PT_DIFFERENTIATION_VTAR_ID,0))</f>
        <v>Тариф на питьевую воду (питьевое водоснабжение)</v>
      </c>
      <c r="G114" s="3638" t="str">
        <f>INDEX(PT_DIFFERENTIATION_NTAR,MATCH(B114,PT_DIFFERENTIATION_NTAR_ID,0))</f>
        <v/>
      </c>
      <c r="H114" s="3073"/>
      <c r="I114" s="2950"/>
      <c r="J114" s="2984"/>
      <c r="K114" s="2989"/>
      <c r="L114" s="3073" t="s">
        <v>324</v>
      </c>
      <c r="M114" s="1552"/>
      <c r="N114" s="1545"/>
      <c r="O114" s="2835"/>
      <c r="P114" s="2835"/>
      <c r="AH114" s="2842">
        <v>0</v>
      </c>
    </row>
    <row s="66903" customFormat="1" customHeight="1" ht="18.75" hidden="1">
      <c r="A115" s="2991"/>
      <c r="B115" s="2991"/>
      <c r="C115" s="1580" t="s">
        <v>1356</v>
      </c>
      <c r="D115" s="3673"/>
      <c r="E115" s="3415"/>
      <c r="F115" s="3594"/>
      <c r="G115" s="3638"/>
      <c r="H115" s="2711"/>
      <c r="I115" s="1862" t="s">
        <v>1355</v>
      </c>
      <c r="J115" s="1782"/>
      <c r="K115" s="2711"/>
      <c r="L115" s="1425"/>
      <c r="M115" s="1552"/>
      <c r="N115" s="1545"/>
      <c r="O115" s="2835"/>
      <c r="P115" s="2835"/>
      <c r="AH115" s="2842">
        <v>0</v>
      </c>
    </row>
    <row s="66903" customFormat="1" customHeight="1" ht="0.75" hidden="1">
      <c r="A116" s="2991"/>
      <c r="B116" s="2991"/>
      <c r="C116" s="1580" t="s">
        <v>1363</v>
      </c>
      <c r="D116" s="3673"/>
      <c r="E116" s="3415"/>
      <c r="F116" s="3594"/>
      <c r="G116" s="1611"/>
      <c r="H116" s="2711"/>
      <c r="I116" s="1862"/>
      <c r="J116" s="1782"/>
      <c r="K116" s="2711"/>
      <c r="L116" s="1425"/>
      <c r="M116" s="1552"/>
      <c r="N116" s="1545"/>
      <c r="O116" s="2835"/>
      <c r="P116" s="2835"/>
      <c r="AH116" s="2842">
        <v>0</v>
      </c>
    </row>
    <row s="66903" customFormat="1" customHeight="1" ht="18.75" hidden="1">
      <c r="A117" s="2991" t="s">
        <v>248</v>
      </c>
      <c r="B117" s="2991" t="s">
        <v>249</v>
      </c>
      <c r="C117" s="1580"/>
      <c r="D117" s="3673"/>
      <c r="E117" s="3415"/>
      <c r="F117" s="3594" t="str">
        <f>INDEX(PT_DIFFERENTIATION_VTAR,MATCH(A117,PT_DIFFERENTIATION_VTAR_ID,0))</f>
        <v>Тариф на техническую воду</v>
      </c>
      <c r="G117" s="3638" t="str">
        <f>INDEX(PT_DIFFERENTIATION_NTAR,MATCH(B117,PT_DIFFERENTIATION_NTAR_ID,0))</f>
        <v/>
      </c>
      <c r="H117" s="3073"/>
      <c r="I117" s="2950"/>
      <c r="J117" s="2984"/>
      <c r="K117" s="2989"/>
      <c r="L117" s="3073" t="s">
        <v>324</v>
      </c>
      <c r="M117" s="1552"/>
      <c r="N117" s="1545"/>
      <c r="O117" s="2835"/>
      <c r="P117" s="2835"/>
      <c r="AH117" s="2842">
        <v>0</v>
      </c>
    </row>
    <row s="66903" customFormat="1" customHeight="1" ht="18.75" hidden="1">
      <c r="A118" s="2991"/>
      <c r="B118" s="2991"/>
      <c r="C118" s="1580" t="s">
        <v>1356</v>
      </c>
      <c r="D118" s="3673"/>
      <c r="E118" s="3415"/>
      <c r="F118" s="3594"/>
      <c r="G118" s="3638"/>
      <c r="H118" s="2711"/>
      <c r="I118" s="1862" t="s">
        <v>1355</v>
      </c>
      <c r="J118" s="1782"/>
      <c r="K118" s="2711"/>
      <c r="L118" s="1425"/>
      <c r="M118" s="1552"/>
      <c r="N118" s="1545"/>
      <c r="O118" s="2835"/>
      <c r="P118" s="2835"/>
      <c r="AH118" s="2842">
        <v>0</v>
      </c>
    </row>
    <row s="66903" customFormat="1" customHeight="1" ht="0.75" hidden="1">
      <c r="A119" s="2991"/>
      <c r="B119" s="2991"/>
      <c r="C119" s="1580" t="s">
        <v>1363</v>
      </c>
      <c r="D119" s="3673"/>
      <c r="E119" s="3415"/>
      <c r="F119" s="3594"/>
      <c r="G119" s="1611"/>
      <c r="H119" s="2711"/>
      <c r="I119" s="1862"/>
      <c r="J119" s="1782"/>
      <c r="K119" s="2711"/>
      <c r="L119" s="1425"/>
      <c r="M119" s="1552"/>
      <c r="N119" s="1545"/>
      <c r="O119" s="2835"/>
      <c r="P119" s="2835"/>
      <c r="AH119" s="2842">
        <v>0</v>
      </c>
    </row>
    <row s="66903" customFormat="1" customHeight="1" ht="18.75" hidden="1">
      <c r="A120" s="2991" t="s">
        <v>253</v>
      </c>
      <c r="B120" s="2991" t="s">
        <v>254</v>
      </c>
      <c r="C120" s="1580"/>
      <c r="D120" s="3673"/>
      <c r="E120" s="3415"/>
      <c r="F120" s="3594" t="str">
        <f>INDEX(PT_DIFFERENTIATION_VTAR,MATCH(A120,PT_DIFFERENTIATION_VTAR_ID,0))</f>
        <v>Тариф на транспортировку воды</v>
      </c>
      <c r="G120" s="3638" t="str">
        <f>INDEX(PT_DIFFERENTIATION_NTAR,MATCH(B120,PT_DIFFERENTIATION_NTAR_ID,0))</f>
        <v/>
      </c>
      <c r="H120" s="3073"/>
      <c r="I120" s="2950"/>
      <c r="J120" s="2984"/>
      <c r="K120" s="2989"/>
      <c r="L120" s="3073" t="s">
        <v>324</v>
      </c>
      <c r="M120" s="1552"/>
      <c r="N120" s="1545"/>
      <c r="O120" s="2835"/>
      <c r="P120" s="2835"/>
      <c r="AH120" s="2842">
        <v>0</v>
      </c>
    </row>
    <row s="66903" customFormat="1" customHeight="1" ht="18.75" hidden="1">
      <c r="A121" s="2991"/>
      <c r="B121" s="2991"/>
      <c r="C121" s="1580" t="s">
        <v>1356</v>
      </c>
      <c r="D121" s="3673"/>
      <c r="E121" s="3415"/>
      <c r="F121" s="3594"/>
      <c r="G121" s="3638"/>
      <c r="H121" s="2711"/>
      <c r="I121" s="1862" t="s">
        <v>1355</v>
      </c>
      <c r="J121" s="1782"/>
      <c r="K121" s="2711"/>
      <c r="L121" s="1425"/>
      <c r="M121" s="1552"/>
      <c r="N121" s="1545"/>
      <c r="O121" s="2835"/>
      <c r="P121" s="2835"/>
      <c r="AH121" s="2842">
        <v>0</v>
      </c>
    </row>
    <row s="66903" customFormat="1" customHeight="1" ht="0.75" hidden="1">
      <c r="A122" s="2991"/>
      <c r="B122" s="2991"/>
      <c r="C122" s="1580" t="s">
        <v>1363</v>
      </c>
      <c r="D122" s="3673"/>
      <c r="E122" s="3415"/>
      <c r="F122" s="3594"/>
      <c r="G122" s="1611"/>
      <c r="H122" s="2711"/>
      <c r="I122" s="1862"/>
      <c r="J122" s="1782"/>
      <c r="K122" s="2711"/>
      <c r="L122" s="1425"/>
      <c r="M122" s="1552"/>
      <c r="N122" s="1545"/>
      <c r="O122" s="2835"/>
      <c r="P122" s="2835"/>
      <c r="AH122" s="2842">
        <v>0</v>
      </c>
    </row>
    <row s="66903" customFormat="1" customHeight="1" ht="18.75" hidden="1">
      <c r="A123" s="2991" t="s">
        <v>258</v>
      </c>
      <c r="B123" s="2991" t="s">
        <v>259</v>
      </c>
      <c r="C123" s="1580"/>
      <c r="D123" s="3673"/>
      <c r="E123" s="3415"/>
      <c r="F123" s="3594" t="str">
        <f>INDEX(PT_DIFFERENTIATION_VTAR,MATCH(A123,PT_DIFFERENTIATION_VTAR_ID,0))</f>
        <v>Тариф на подвоз воды</v>
      </c>
      <c r="G123" s="3638" t="str">
        <f>INDEX(PT_DIFFERENTIATION_NTAR,MATCH(B123,PT_DIFFERENTIATION_NTAR_ID,0))</f>
        <v/>
      </c>
      <c r="H123" s="3073"/>
      <c r="I123" s="2950"/>
      <c r="J123" s="2984"/>
      <c r="K123" s="2989"/>
      <c r="L123" s="3073" t="s">
        <v>324</v>
      </c>
      <c r="M123" s="1552"/>
      <c r="N123" s="1545"/>
      <c r="O123" s="2835"/>
      <c r="P123" s="2835"/>
      <c r="AH123" s="2842">
        <v>0</v>
      </c>
    </row>
    <row s="66903" customFormat="1" customHeight="1" ht="18.75" hidden="1">
      <c r="A124" s="2991"/>
      <c r="B124" s="2991"/>
      <c r="C124" s="1580" t="s">
        <v>1356</v>
      </c>
      <c r="D124" s="3673"/>
      <c r="E124" s="3415"/>
      <c r="F124" s="3594"/>
      <c r="G124" s="3638"/>
      <c r="H124" s="2711"/>
      <c r="I124" s="1862" t="s">
        <v>1355</v>
      </c>
      <c r="J124" s="1782"/>
      <c r="K124" s="2711"/>
      <c r="L124" s="1425"/>
      <c r="M124" s="1552"/>
      <c r="N124" s="1545"/>
      <c r="O124" s="2835"/>
      <c r="P124" s="2835"/>
      <c r="AH124" s="2842">
        <v>0</v>
      </c>
    </row>
    <row s="66903" customFormat="1" customHeight="1" ht="0.75" hidden="1">
      <c r="A125" s="2991"/>
      <c r="B125" s="2991"/>
      <c r="C125" s="1580" t="s">
        <v>1363</v>
      </c>
      <c r="D125" s="3673"/>
      <c r="E125" s="3415"/>
      <c r="F125" s="3594"/>
      <c r="G125" s="1611"/>
      <c r="H125" s="2711"/>
      <c r="I125" s="1862"/>
      <c r="J125" s="1782"/>
      <c r="K125" s="2711"/>
      <c r="L125" s="1425"/>
      <c r="M125" s="1552"/>
      <c r="N125" s="1545"/>
      <c r="O125" s="2835"/>
      <c r="P125" s="2835"/>
      <c r="AH125" s="2842">
        <v>0</v>
      </c>
    </row>
    <row s="66903" customFormat="1" customHeight="1" ht="18.75" hidden="1">
      <c r="A126" s="2991" t="s">
        <v>263</v>
      </c>
      <c r="B126" s="2991" t="s">
        <v>264</v>
      </c>
      <c r="C126" s="1580"/>
      <c r="D126" s="3673"/>
      <c r="E126" s="3415"/>
      <c r="F126" s="359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3638" t="str">
        <f>INDEX(PT_DIFFERENTIATION_NTAR,MATCH(B126,PT_DIFFERENTIATION_NTAR_ID,0))</f>
        <v/>
      </c>
      <c r="H126" s="3073"/>
      <c r="I126" s="2950"/>
      <c r="J126" s="2984"/>
      <c r="K126" s="2989"/>
      <c r="L126" s="3073" t="s">
        <v>324</v>
      </c>
      <c r="M126" s="1552"/>
      <c r="N126" s="1545"/>
      <c r="O126" s="2835"/>
      <c r="P126" s="2835"/>
      <c r="AH126" s="2842">
        <v>0</v>
      </c>
    </row>
    <row s="66903" customFormat="1" customHeight="1" ht="18.75" hidden="1">
      <c r="A127" s="2991"/>
      <c r="B127" s="2991"/>
      <c r="C127" s="1580" t="s">
        <v>1356</v>
      </c>
      <c r="D127" s="3673"/>
      <c r="E127" s="3415"/>
      <c r="F127" s="3594"/>
      <c r="G127" s="3638"/>
      <c r="H127" s="2711"/>
      <c r="I127" s="1862" t="s">
        <v>1355</v>
      </c>
      <c r="J127" s="1782"/>
      <c r="K127" s="2711"/>
      <c r="L127" s="1425"/>
      <c r="M127" s="1552"/>
      <c r="N127" s="1545"/>
      <c r="O127" s="2835"/>
      <c r="P127" s="2835"/>
      <c r="AH127" s="2842">
        <v>0</v>
      </c>
    </row>
    <row s="66903" customFormat="1" customHeight="1" ht="0.75" hidden="1">
      <c r="A128" s="2991"/>
      <c r="B128" s="2991"/>
      <c r="C128" s="1580" t="s">
        <v>1363</v>
      </c>
      <c r="D128" s="3673"/>
      <c r="E128" s="3415"/>
      <c r="F128" s="3594"/>
      <c r="G128" s="1611"/>
      <c r="H128" s="2711"/>
      <c r="I128" s="1862"/>
      <c r="J128" s="1782"/>
      <c r="K128" s="2711"/>
      <c r="L128" s="1425"/>
      <c r="M128" s="1552"/>
      <c r="N128" s="1545"/>
      <c r="O128" s="2835"/>
      <c r="P128" s="2835"/>
      <c r="AH128" s="2842">
        <v>0</v>
      </c>
    </row>
    <row s="66903" customFormat="1" customHeight="1" ht="18.75" hidden="1">
      <c r="A129" s="2991" t="s">
        <v>268</v>
      </c>
      <c r="B129" s="2991" t="s">
        <v>269</v>
      </c>
      <c r="C129" s="1580"/>
      <c r="D129" s="3673"/>
      <c r="E129" s="3415"/>
      <c r="F129" s="3594" t="str">
        <f>INDEX(PT_DIFFERENTIATION_VTAR,MATCH(A129,PT_DIFFERENTIATION_VTAR_ID,0))</f>
        <v>Тариф на горячую воду (горячее водоснабжение)</v>
      </c>
      <c r="G129" s="3638" t="str">
        <f>INDEX(PT_DIFFERENTIATION_NTAR,MATCH(B129,PT_DIFFERENTIATION_NTAR_ID,0))</f>
        <v/>
      </c>
      <c r="H129" s="3073"/>
      <c r="I129" s="2950"/>
      <c r="J129" s="2984"/>
      <c r="K129" s="2989"/>
      <c r="L129" s="3073" t="s">
        <v>324</v>
      </c>
      <c r="M129" s="1552"/>
      <c r="N129" s="1545"/>
      <c r="O129" s="2835"/>
      <c r="P129" s="2835"/>
      <c r="AH129" s="2842">
        <v>0</v>
      </c>
    </row>
    <row s="66903" customFormat="1" customHeight="1" ht="18.75" hidden="1">
      <c r="A130" s="2991"/>
      <c r="B130" s="2991"/>
      <c r="C130" s="1580" t="s">
        <v>1356</v>
      </c>
      <c r="D130" s="3673"/>
      <c r="E130" s="3415"/>
      <c r="F130" s="3594"/>
      <c r="G130" s="3638"/>
      <c r="H130" s="2711"/>
      <c r="I130" s="1862" t="s">
        <v>1355</v>
      </c>
      <c r="J130" s="1782"/>
      <c r="K130" s="2711"/>
      <c r="L130" s="1425"/>
      <c r="M130" s="1552"/>
      <c r="N130" s="1545"/>
      <c r="O130" s="2835"/>
      <c r="P130" s="2835"/>
      <c r="AH130" s="2842">
        <v>0</v>
      </c>
    </row>
    <row s="66903" customFormat="1" customHeight="1" ht="0.75" hidden="1">
      <c r="A131" s="2991"/>
      <c r="B131" s="2991"/>
      <c r="C131" s="1580" t="s">
        <v>1363</v>
      </c>
      <c r="D131" s="3673"/>
      <c r="E131" s="3415"/>
      <c r="F131" s="3594"/>
      <c r="G131" s="1611"/>
      <c r="H131" s="2711"/>
      <c r="I131" s="1862"/>
      <c r="J131" s="1782"/>
      <c r="K131" s="2711"/>
      <c r="L131" s="1425"/>
      <c r="M131" s="1552"/>
      <c r="N131" s="1545"/>
      <c r="O131" s="2835"/>
      <c r="P131" s="2835"/>
      <c r="AH131" s="2842">
        <v>0</v>
      </c>
    </row>
    <row s="66903" customFormat="1" customHeight="1" ht="18.75" hidden="1">
      <c r="A132" s="2991" t="s">
        <v>273</v>
      </c>
      <c r="B132" s="2991" t="s">
        <v>274</v>
      </c>
      <c r="C132" s="1580"/>
      <c r="D132" s="3673"/>
      <c r="E132" s="3415"/>
      <c r="F132" s="3594" t="str">
        <f>INDEX(PT_DIFFERENTIATION_VTAR,MATCH(A132,PT_DIFFERENTIATION_VTAR_ID,0))</f>
        <v>Тариф на транспортировку горячей воды</v>
      </c>
      <c r="G132" s="3638" t="str">
        <f>INDEX(PT_DIFFERENTIATION_NTAR,MATCH(B132,PT_DIFFERENTIATION_NTAR_ID,0))</f>
        <v/>
      </c>
      <c r="H132" s="3073"/>
      <c r="I132" s="2950"/>
      <c r="J132" s="2984"/>
      <c r="K132" s="2989"/>
      <c r="L132" s="3073" t="s">
        <v>324</v>
      </c>
      <c r="M132" s="1552"/>
      <c r="N132" s="1545"/>
      <c r="O132" s="2835"/>
      <c r="P132" s="2835"/>
      <c r="AH132" s="2842">
        <v>0</v>
      </c>
    </row>
    <row s="66903" customFormat="1" customHeight="1" ht="18.75" hidden="1">
      <c r="A133" s="2991"/>
      <c r="B133" s="2991"/>
      <c r="C133" s="1580" t="s">
        <v>1356</v>
      </c>
      <c r="D133" s="3673"/>
      <c r="E133" s="3415"/>
      <c r="F133" s="3594"/>
      <c r="G133" s="3638"/>
      <c r="H133" s="2711"/>
      <c r="I133" s="1862" t="s">
        <v>1355</v>
      </c>
      <c r="J133" s="1782"/>
      <c r="K133" s="2711"/>
      <c r="L133" s="1425"/>
      <c r="M133" s="1552"/>
      <c r="N133" s="1545"/>
      <c r="O133" s="2835"/>
      <c r="P133" s="2835"/>
      <c r="AH133" s="2842">
        <v>0</v>
      </c>
    </row>
    <row s="66903" customFormat="1" customHeight="1" ht="0.75" hidden="1">
      <c r="A134" s="2991"/>
      <c r="B134" s="2991"/>
      <c r="C134" s="1580" t="s">
        <v>1363</v>
      </c>
      <c r="D134" s="3673"/>
      <c r="E134" s="3415"/>
      <c r="F134" s="3594"/>
      <c r="G134" s="1611"/>
      <c r="H134" s="2711"/>
      <c r="I134" s="1862"/>
      <c r="J134" s="1782"/>
      <c r="K134" s="2711"/>
      <c r="L134" s="1425"/>
      <c r="M134" s="1552"/>
      <c r="N134" s="1545"/>
      <c r="O134" s="2835"/>
      <c r="P134" s="2835"/>
      <c r="AH134" s="2842">
        <v>0</v>
      </c>
    </row>
    <row s="66903" customFormat="1" customHeight="1" ht="18.75" hidden="1">
      <c r="A135" s="2991" t="s">
        <v>278</v>
      </c>
      <c r="B135" s="2991" t="s">
        <v>279</v>
      </c>
      <c r="C135" s="1580"/>
      <c r="D135" s="3673"/>
      <c r="E135" s="3415"/>
      <c r="F135" s="3594" t="str">
        <f>INDEX(PT_DIFFERENTIATION_VTAR,MATCH(A135,PT_DIFFERENTIATION_VTAR_ID,0))</f>
        <v>Тариф на подключение (технологическое присоединение) к централизованной системе горячего водоснабжения</v>
      </c>
      <c r="G135" s="3638" t="str">
        <f>INDEX(PT_DIFFERENTIATION_NTAR,MATCH(B135,PT_DIFFERENTIATION_NTAR_ID,0))</f>
        <v/>
      </c>
      <c r="H135" s="3073"/>
      <c r="I135" s="2950"/>
      <c r="J135" s="2984"/>
      <c r="K135" s="2989"/>
      <c r="L135" s="3073" t="s">
        <v>324</v>
      </c>
      <c r="M135" s="1552"/>
      <c r="N135" s="1545"/>
      <c r="O135" s="2835"/>
      <c r="P135" s="2835"/>
      <c r="AH135" s="2842">
        <v>0</v>
      </c>
    </row>
    <row s="66903" customFormat="1" customHeight="1" ht="18.75" hidden="1">
      <c r="A136" s="2991"/>
      <c r="B136" s="2991"/>
      <c r="C136" s="1580" t="s">
        <v>1356</v>
      </c>
      <c r="D136" s="3673"/>
      <c r="E136" s="3415"/>
      <c r="F136" s="3594"/>
      <c r="G136" s="3638"/>
      <c r="H136" s="2711"/>
      <c r="I136" s="1862" t="s">
        <v>1355</v>
      </c>
      <c r="J136" s="1782"/>
      <c r="K136" s="2711"/>
      <c r="L136" s="1425"/>
      <c r="M136" s="1552"/>
      <c r="N136" s="1545"/>
      <c r="O136" s="2835"/>
      <c r="P136" s="2835"/>
      <c r="AH136" s="2842">
        <v>0</v>
      </c>
    </row>
    <row s="66903" customFormat="1" customHeight="1" ht="0.75" hidden="1">
      <c r="A137" s="2991"/>
      <c r="B137" s="2991"/>
      <c r="C137" s="1580" t="s">
        <v>1363</v>
      </c>
      <c r="D137" s="3673"/>
      <c r="E137" s="3415"/>
      <c r="F137" s="3594"/>
      <c r="G137" s="1611"/>
      <c r="H137" s="2711"/>
      <c r="I137" s="1862"/>
      <c r="J137" s="1782"/>
      <c r="K137" s="2711"/>
      <c r="L137" s="1425"/>
      <c r="M137" s="1552"/>
      <c r="N137" s="1545"/>
      <c r="O137" s="2835"/>
      <c r="P137" s="2835"/>
      <c r="AH137" s="2842">
        <v>0</v>
      </c>
    </row>
    <row s="66903" customFormat="1" customHeight="1" ht="18.75" hidden="1">
      <c r="A138" s="2991" t="s">
        <v>283</v>
      </c>
      <c r="B138" s="2991" t="s">
        <v>284</v>
      </c>
      <c r="C138" s="1580"/>
      <c r="D138" s="3673"/>
      <c r="E138" s="3415"/>
      <c r="F138" s="3594" t="str">
        <f>INDEX(PT_DIFFERENTIATION_VTAR,MATCH(A138,PT_DIFFERENTIATION_VTAR_ID,0))</f>
        <v>Тариф на водоотведение</v>
      </c>
      <c r="G138" s="3638" t="str">
        <f>INDEX(PT_DIFFERENTIATION_NTAR,MATCH(B138,PT_DIFFERENTIATION_NTAR_ID,0))</f>
        <v/>
      </c>
      <c r="H138" s="3073"/>
      <c r="I138" s="2950"/>
      <c r="J138" s="2984"/>
      <c r="K138" s="2989"/>
      <c r="L138" s="3073" t="s">
        <v>324</v>
      </c>
      <c r="M138" s="1552"/>
      <c r="N138" s="1545"/>
      <c r="O138" s="2835"/>
      <c r="P138" s="2835"/>
      <c r="AH138" s="2842">
        <v>0</v>
      </c>
    </row>
    <row s="66903" customFormat="1" customHeight="1" ht="18.75" hidden="1">
      <c r="A139" s="2991"/>
      <c r="B139" s="2991"/>
      <c r="C139" s="1580" t="s">
        <v>1356</v>
      </c>
      <c r="D139" s="3673"/>
      <c r="E139" s="3415"/>
      <c r="F139" s="3594"/>
      <c r="G139" s="3638"/>
      <c r="H139" s="2711"/>
      <c r="I139" s="1862" t="s">
        <v>1355</v>
      </c>
      <c r="J139" s="1782"/>
      <c r="K139" s="2711"/>
      <c r="L139" s="1425"/>
      <c r="M139" s="1552"/>
      <c r="N139" s="1545"/>
      <c r="O139" s="2835"/>
      <c r="P139" s="2835"/>
      <c r="AH139" s="2842">
        <v>0</v>
      </c>
    </row>
    <row s="66903" customFormat="1" customHeight="1" ht="0.75" hidden="1">
      <c r="A140" s="2991"/>
      <c r="B140" s="2991"/>
      <c r="C140" s="1580" t="s">
        <v>1363</v>
      </c>
      <c r="D140" s="3673"/>
      <c r="E140" s="3415"/>
      <c r="F140" s="3594"/>
      <c r="G140" s="1611"/>
      <c r="H140" s="2711"/>
      <c r="I140" s="1862"/>
      <c r="J140" s="1782"/>
      <c r="K140" s="2711"/>
      <c r="L140" s="1425"/>
      <c r="M140" s="1552"/>
      <c r="N140" s="1545"/>
      <c r="O140" s="2835"/>
      <c r="P140" s="2835"/>
      <c r="AH140" s="2842">
        <v>0</v>
      </c>
    </row>
    <row s="66903" customFormat="1" customHeight="1" ht="18.75" hidden="1">
      <c r="A141" s="2991" t="s">
        <v>288</v>
      </c>
      <c r="B141" s="2991" t="s">
        <v>289</v>
      </c>
      <c r="C141" s="1580"/>
      <c r="D141" s="3673"/>
      <c r="E141" s="3415"/>
      <c r="F141" s="3594" t="str">
        <f>INDEX(PT_DIFFERENTIATION_VTAR,MATCH(A141,PT_DIFFERENTIATION_VTAR_ID,0))</f>
        <v>Тариф на транспортировку сточных вод</v>
      </c>
      <c r="G141" s="3638" t="str">
        <f>INDEX(PT_DIFFERENTIATION_NTAR,MATCH(B141,PT_DIFFERENTIATION_NTAR_ID,0))</f>
        <v/>
      </c>
      <c r="H141" s="3073"/>
      <c r="I141" s="2950"/>
      <c r="J141" s="2984"/>
      <c r="K141" s="2989"/>
      <c r="L141" s="3073" t="s">
        <v>324</v>
      </c>
      <c r="M141" s="1552"/>
      <c r="N141" s="1545"/>
      <c r="O141" s="2835"/>
      <c r="P141" s="2835"/>
      <c r="AH141" s="2842">
        <v>0</v>
      </c>
    </row>
    <row s="66903" customFormat="1" customHeight="1" ht="18.75" hidden="1">
      <c r="A142" s="2991"/>
      <c r="B142" s="2991"/>
      <c r="C142" s="1580" t="s">
        <v>1356</v>
      </c>
      <c r="D142" s="3673"/>
      <c r="E142" s="3415"/>
      <c r="F142" s="3594"/>
      <c r="G142" s="3638"/>
      <c r="H142" s="2711"/>
      <c r="I142" s="1862" t="s">
        <v>1355</v>
      </c>
      <c r="J142" s="1782"/>
      <c r="K142" s="2711"/>
      <c r="L142" s="1425"/>
      <c r="M142" s="1552"/>
      <c r="N142" s="1545"/>
      <c r="O142" s="2835"/>
      <c r="P142" s="2835"/>
      <c r="AH142" s="2842">
        <v>0</v>
      </c>
    </row>
    <row s="66903" customFormat="1" customHeight="1" ht="0.75" hidden="1">
      <c r="A143" s="2991"/>
      <c r="B143" s="2991"/>
      <c r="C143" s="1580" t="s">
        <v>1363</v>
      </c>
      <c r="D143" s="3673"/>
      <c r="E143" s="3415"/>
      <c r="F143" s="3594"/>
      <c r="G143" s="1611"/>
      <c r="H143" s="2711"/>
      <c r="I143" s="1862"/>
      <c r="J143" s="1782"/>
      <c r="K143" s="2711"/>
      <c r="L143" s="1425"/>
      <c r="M143" s="1552"/>
      <c r="N143" s="1545"/>
      <c r="O143" s="2835"/>
      <c r="P143" s="2835"/>
      <c r="AH143" s="2842">
        <v>0</v>
      </c>
    </row>
    <row s="66903" customFormat="1" customHeight="1" ht="18.75" hidden="1">
      <c r="A144" s="2991" t="s">
        <v>293</v>
      </c>
      <c r="B144" s="2991" t="s">
        <v>294</v>
      </c>
      <c r="C144" s="1580"/>
      <c r="D144" s="3673"/>
      <c r="E144" s="3415"/>
      <c r="F144" s="3594" t="str">
        <f>INDEX(PT_DIFFERENTIATION_VTAR,MATCH(A144,PT_DIFFERENTIATION_VTAR_ID,0))</f>
        <v>Тариф на подключение (технологическое присоединение) к централизованной системе водоотведения</v>
      </c>
      <c r="G144" s="3638" t="str">
        <f>INDEX(PT_DIFFERENTIATION_NTAR,MATCH(B144,PT_DIFFERENTIATION_NTAR_ID,0))</f>
        <v/>
      </c>
      <c r="H144" s="3073"/>
      <c r="I144" s="2950"/>
      <c r="J144" s="2984"/>
      <c r="K144" s="2989"/>
      <c r="L144" s="3073" t="s">
        <v>324</v>
      </c>
      <c r="M144" s="1552"/>
      <c r="N144" s="1545"/>
      <c r="O144" s="2835"/>
      <c r="P144" s="2835"/>
      <c r="AH144" s="2842">
        <v>0</v>
      </c>
    </row>
    <row s="66903" customFormat="1" customHeight="1" ht="18.75" hidden="1">
      <c r="A145" s="2991"/>
      <c r="B145" s="2991"/>
      <c r="C145" s="1580" t="s">
        <v>1356</v>
      </c>
      <c r="D145" s="3673"/>
      <c r="E145" s="3415"/>
      <c r="F145" s="3594"/>
      <c r="G145" s="3638"/>
      <c r="H145" s="2711"/>
      <c r="I145" s="1862" t="s">
        <v>1355</v>
      </c>
      <c r="J145" s="1782"/>
      <c r="K145" s="2711"/>
      <c r="L145" s="1425"/>
      <c r="M145" s="1552"/>
      <c r="N145" s="1545"/>
      <c r="O145" s="2835"/>
      <c r="P145" s="2835"/>
      <c r="AH145" s="2842">
        <v>0</v>
      </c>
    </row>
    <row s="66903" customFormat="1" customHeight="1" ht="1.05">
      <c r="A146" s="2991"/>
      <c r="B146" s="2991"/>
      <c r="C146" s="1580" t="s">
        <v>1363</v>
      </c>
      <c r="D146" s="3673"/>
      <c r="E146" s="3415"/>
      <c r="F146" s="3594"/>
      <c r="G146" s="1611"/>
      <c r="H146" s="2711"/>
      <c r="I146" s="1862"/>
      <c r="J146" s="1782"/>
      <c r="K146" s="2711"/>
      <c r="L146" s="1425"/>
      <c r="M146" s="1552"/>
      <c r="N146" s="1545"/>
      <c r="O146" s="2835"/>
      <c r="P146" s="2835"/>
      <c r="AH146" s="2842">
        <v>1</v>
      </c>
    </row>
    <row customHeight="1" ht="19.95">
      <c r="A147" s="2991"/>
      <c r="B147" s="2991"/>
      <c r="D147" s="1587"/>
      <c r="E147" s="1358" t="s">
        <v>91</v>
      </c>
      <c r="F147" s="367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3671"/>
      <c r="H147" s="3671"/>
      <c r="I147" s="3671"/>
      <c r="J147" s="3671"/>
      <c r="K147" s="3671"/>
      <c r="L147" s="3671"/>
      <c r="M147" s="1508"/>
      <c r="N147" s="1545"/>
      <c r="AH147" s="1585">
        <v>19</v>
      </c>
    </row>
    <row s="66903" customFormat="1" customHeight="1" ht="60.75" hidden="1">
      <c r="A148" s="2991" t="s">
        <v>175</v>
      </c>
      <c r="B148" s="2991" t="s">
        <v>176</v>
      </c>
      <c r="C148" s="1580"/>
      <c r="D148" s="3673"/>
      <c r="E148" s="3415"/>
      <c r="F148" s="359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3638" t="str">
        <f>INDEX(PT_DIFFERENTIATION_NTAR,MATCH(B148,PT_DIFFERENTIATION_NTAR_ID,0))</f>
        <v/>
      </c>
      <c r="H148" s="3073"/>
      <c r="I148" s="2950"/>
      <c r="J148" s="2984"/>
      <c r="K148" s="2989"/>
      <c r="L148" s="3073" t="s">
        <v>324</v>
      </c>
      <c r="M148" s="33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1545"/>
      <c r="O148" s="2835"/>
      <c r="P148" s="2835"/>
      <c r="AH148" s="2842">
        <v>0</v>
      </c>
    </row>
    <row s="66903" customFormat="1" customHeight="1" ht="18.75" hidden="1">
      <c r="A149" s="2991"/>
      <c r="B149" s="2991"/>
      <c r="C149" s="1580" t="s">
        <v>1356</v>
      </c>
      <c r="D149" s="3673"/>
      <c r="E149" s="3415"/>
      <c r="F149" s="3594"/>
      <c r="G149" s="3638"/>
      <c r="H149" s="2711"/>
      <c r="I149" s="1862" t="s">
        <v>1355</v>
      </c>
      <c r="J149" s="1782"/>
      <c r="K149" s="2711"/>
      <c r="L149" s="1425"/>
      <c r="M149" s="3381"/>
      <c r="N149" s="1545"/>
      <c r="O149" s="2835"/>
      <c r="P149" s="2835"/>
      <c r="AH149" s="2842">
        <v>0</v>
      </c>
    </row>
    <row s="66903" customFormat="1" customHeight="1" ht="0.75" hidden="1">
      <c r="A150" s="2991"/>
      <c r="B150" s="2991"/>
      <c r="C150" s="1580" t="s">
        <v>1363</v>
      </c>
      <c r="D150" s="3673"/>
      <c r="E150" s="3415"/>
      <c r="F150" s="3594"/>
      <c r="G150" s="1611"/>
      <c r="H150" s="2711"/>
      <c r="I150" s="1862"/>
      <c r="J150" s="1782"/>
      <c r="K150" s="2711"/>
      <c r="L150" s="1425"/>
      <c r="M150" s="3381"/>
      <c r="N150" s="1545"/>
      <c r="O150" s="2835"/>
      <c r="P150" s="2835"/>
      <c r="AH150" s="2842">
        <v>0</v>
      </c>
    </row>
    <row s="66903" customFormat="1" customHeight="1" ht="45" hidden="1">
      <c r="A151" s="2991" t="s">
        <v>180</v>
      </c>
      <c r="B151" s="2991" t="s">
        <v>181</v>
      </c>
      <c r="C151" s="1580"/>
      <c r="D151" s="3673"/>
      <c r="E151" s="3415"/>
      <c r="F151" s="3594" t="str">
        <f>INDEX(PT_DIFFERENTIATION_VTAR,MATCH(A151,PT_DIFFERENTIATION_VTAR_ID,0))</f>
        <v/>
      </c>
      <c r="G151" s="3638" t="str">
        <f>INDEX(PT_DIFFERENTIATION_NTAR,MATCH(B151,PT_DIFFERENTIATION_NTAR_ID,0))</f>
        <v/>
      </c>
      <c r="H151" s="3073"/>
      <c r="I151" s="2950"/>
      <c r="J151" s="2984"/>
      <c r="K151" s="2989"/>
      <c r="L151" s="3073" t="s">
        <v>324</v>
      </c>
      <c r="M151" s="3382"/>
      <c r="N151" s="1545"/>
      <c r="O151" s="2835"/>
      <c r="P151" s="2835"/>
      <c r="AH151" s="2842">
        <v>0</v>
      </c>
    </row>
    <row s="66903" customFormat="1" customHeight="1" ht="18.75" hidden="1">
      <c r="A152" s="2991"/>
      <c r="B152" s="2991"/>
      <c r="C152" s="1580" t="s">
        <v>1356</v>
      </c>
      <c r="D152" s="3673"/>
      <c r="E152" s="3415"/>
      <c r="F152" s="3594"/>
      <c r="G152" s="3638"/>
      <c r="H152" s="2711"/>
      <c r="I152" s="1862" t="s">
        <v>1355</v>
      </c>
      <c r="J152" s="1782"/>
      <c r="K152" s="2711"/>
      <c r="L152" s="1425"/>
      <c r="M152" s="3072"/>
      <c r="N152" s="1545"/>
      <c r="O152" s="2835"/>
      <c r="P152" s="2835"/>
      <c r="AH152" s="2842">
        <v>0</v>
      </c>
    </row>
    <row s="66903" customFormat="1" customHeight="1" ht="0.75" hidden="1">
      <c r="A153" s="2991"/>
      <c r="B153" s="2991"/>
      <c r="C153" s="1580" t="s">
        <v>1363</v>
      </c>
      <c r="D153" s="3673"/>
      <c r="E153" s="3415"/>
      <c r="F153" s="3594"/>
      <c r="G153" s="1611"/>
      <c r="H153" s="2711"/>
      <c r="I153" s="1862"/>
      <c r="J153" s="1782"/>
      <c r="K153" s="2711"/>
      <c r="L153" s="1425"/>
      <c r="M153" s="1552"/>
      <c r="N153" s="1545"/>
      <c r="O153" s="2835"/>
      <c r="P153" s="2835"/>
      <c r="AH153" s="2842">
        <v>0</v>
      </c>
    </row>
    <row s="66903" customFormat="1" customHeight="1" ht="45" hidden="1">
      <c r="A154" s="2991" t="s">
        <v>187</v>
      </c>
      <c r="B154" s="2991" t="s">
        <v>188</v>
      </c>
      <c r="C154" s="1580"/>
      <c r="D154" s="3673"/>
      <c r="E154" s="3415"/>
      <c r="F154" s="359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3638" t="str">
        <f>INDEX(PT_DIFFERENTIATION_NTAR,MATCH(B154,PT_DIFFERENTIATION_NTAR_ID,0))</f>
        <v/>
      </c>
      <c r="H154" s="3073"/>
      <c r="I154" s="2950"/>
      <c r="J154" s="2984"/>
      <c r="K154" s="2989"/>
      <c r="L154" s="3073" t="s">
        <v>324</v>
      </c>
      <c r="M154" s="1552"/>
      <c r="N154" s="1545"/>
      <c r="O154" s="2835"/>
      <c r="P154" s="2835"/>
      <c r="AH154" s="2842">
        <v>0</v>
      </c>
    </row>
    <row s="66903" customFormat="1" customHeight="1" ht="18.75" hidden="1">
      <c r="A155" s="2991"/>
      <c r="B155" s="2991"/>
      <c r="C155" s="1580" t="s">
        <v>1356</v>
      </c>
      <c r="D155" s="3673"/>
      <c r="E155" s="3415"/>
      <c r="F155" s="3594"/>
      <c r="G155" s="3638"/>
      <c r="H155" s="2711"/>
      <c r="I155" s="1862" t="s">
        <v>1355</v>
      </c>
      <c r="J155" s="1782"/>
      <c r="K155" s="2711"/>
      <c r="L155" s="1425"/>
      <c r="M155" s="1552"/>
      <c r="N155" s="1545"/>
      <c r="O155" s="2835"/>
      <c r="P155" s="2835"/>
      <c r="AH155" s="2842">
        <v>0</v>
      </c>
    </row>
    <row s="66903" customFormat="1" customHeight="1" ht="0.75" hidden="1">
      <c r="A156" s="2991"/>
      <c r="B156" s="2991"/>
      <c r="C156" s="1580" t="s">
        <v>1363</v>
      </c>
      <c r="D156" s="3673"/>
      <c r="E156" s="3415"/>
      <c r="F156" s="3594"/>
      <c r="G156" s="1611"/>
      <c r="H156" s="2711"/>
      <c r="I156" s="1862"/>
      <c r="J156" s="1782"/>
      <c r="K156" s="2711"/>
      <c r="L156" s="1425"/>
      <c r="M156" s="1552"/>
      <c r="N156" s="1545"/>
      <c r="O156" s="2835"/>
      <c r="P156" s="2835"/>
      <c r="AH156" s="2842">
        <v>0</v>
      </c>
    </row>
    <row s="66903" customFormat="1" customHeight="1" ht="45" hidden="1">
      <c r="A157" s="2991" t="s">
        <v>193</v>
      </c>
      <c r="B157" s="2991" t="s">
        <v>194</v>
      </c>
      <c r="C157" s="1580"/>
      <c r="D157" s="3673"/>
      <c r="E157" s="3415"/>
      <c r="F157" s="359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3638" t="str">
        <f>INDEX(PT_DIFFERENTIATION_NTAR,MATCH(B157,PT_DIFFERENTIATION_NTAR_ID,0))</f>
        <v/>
      </c>
      <c r="H157" s="3073"/>
      <c r="I157" s="2950"/>
      <c r="J157" s="2984"/>
      <c r="K157" s="2989"/>
      <c r="L157" s="3073" t="s">
        <v>324</v>
      </c>
      <c r="M157" s="1552"/>
      <c r="N157" s="1545"/>
      <c r="O157" s="2835"/>
      <c r="P157" s="2835"/>
      <c r="AH157" s="2842">
        <v>0</v>
      </c>
    </row>
    <row s="66903" customFormat="1" customHeight="1" ht="18.75" hidden="1">
      <c r="A158" s="2991"/>
      <c r="B158" s="2991"/>
      <c r="C158" s="1580" t="s">
        <v>1356</v>
      </c>
      <c r="D158" s="3673"/>
      <c r="E158" s="3415"/>
      <c r="F158" s="3594"/>
      <c r="G158" s="3638"/>
      <c r="H158" s="2711"/>
      <c r="I158" s="1862" t="s">
        <v>1355</v>
      </c>
      <c r="J158" s="1782"/>
      <c r="K158" s="2711"/>
      <c r="L158" s="1425"/>
      <c r="M158" s="1552"/>
      <c r="N158" s="1545"/>
      <c r="O158" s="2835"/>
      <c r="P158" s="2835"/>
      <c r="AH158" s="2842">
        <v>0</v>
      </c>
    </row>
    <row s="66903" customFormat="1" customHeight="1" ht="0.75" hidden="1">
      <c r="A159" s="2991"/>
      <c r="B159" s="2991"/>
      <c r="C159" s="1580" t="s">
        <v>1363</v>
      </c>
      <c r="D159" s="3673"/>
      <c r="E159" s="3415"/>
      <c r="F159" s="3594"/>
      <c r="G159" s="1611"/>
      <c r="H159" s="2711"/>
      <c r="I159" s="1862"/>
      <c r="J159" s="1782"/>
      <c r="K159" s="2711"/>
      <c r="L159" s="1425"/>
      <c r="M159" s="1552"/>
      <c r="N159" s="1545"/>
      <c r="O159" s="2835"/>
      <c r="P159" s="2835"/>
      <c r="AH159" s="2842">
        <v>0</v>
      </c>
    </row>
    <row s="66903" customFormat="1" customHeight="1" ht="18.75" hidden="1">
      <c r="A160" s="2991" t="s">
        <v>199</v>
      </c>
      <c r="B160" s="2991" t="s">
        <v>200</v>
      </c>
      <c r="C160" s="1580"/>
      <c r="D160" s="3673"/>
      <c r="E160" s="3415"/>
      <c r="F160" s="3594" t="str">
        <f>INDEX(PT_DIFFERENTIATION_VTAR,MATCH(A160,PT_DIFFERENTIATION_VTAR_ID,0))</f>
        <v>Тарифы на услуги по передаче тепловой энергии</v>
      </c>
      <c r="G160" s="3638" t="str">
        <f>INDEX(PT_DIFFERENTIATION_NTAR,MATCH(B160,PT_DIFFERENTIATION_NTAR_ID,0))</f>
        <v/>
      </c>
      <c r="H160" s="3073"/>
      <c r="I160" s="2950"/>
      <c r="J160" s="2984"/>
      <c r="K160" s="2989"/>
      <c r="L160" s="3073" t="s">
        <v>324</v>
      </c>
      <c r="M160" s="1552"/>
      <c r="N160" s="1545"/>
      <c r="O160" s="2835"/>
      <c r="P160" s="2835"/>
      <c r="AH160" s="2842">
        <v>0</v>
      </c>
    </row>
    <row s="66903" customFormat="1" customHeight="1" ht="18.75" hidden="1">
      <c r="A161" s="2991"/>
      <c r="B161" s="2991"/>
      <c r="C161" s="1580" t="s">
        <v>1356</v>
      </c>
      <c r="D161" s="3673"/>
      <c r="E161" s="3415"/>
      <c r="F161" s="3594"/>
      <c r="G161" s="3638"/>
      <c r="H161" s="2711"/>
      <c r="I161" s="1862" t="s">
        <v>1355</v>
      </c>
      <c r="J161" s="1782"/>
      <c r="K161" s="2711"/>
      <c r="L161" s="1425"/>
      <c r="M161" s="1552"/>
      <c r="N161" s="1545"/>
      <c r="O161" s="2835"/>
      <c r="P161" s="2835"/>
      <c r="AH161" s="2842">
        <v>0</v>
      </c>
    </row>
    <row s="66903" customFormat="1" customHeight="1" ht="0.75" hidden="1">
      <c r="A162" s="2991"/>
      <c r="B162" s="2991"/>
      <c r="C162" s="1580" t="s">
        <v>1363</v>
      </c>
      <c r="D162" s="3673"/>
      <c r="E162" s="3415"/>
      <c r="F162" s="3594"/>
      <c r="G162" s="1611"/>
      <c r="H162" s="2711"/>
      <c r="I162" s="1862"/>
      <c r="J162" s="1782"/>
      <c r="K162" s="2711"/>
      <c r="L162" s="1425"/>
      <c r="M162" s="1552"/>
      <c r="N162" s="1545"/>
      <c r="O162" s="2835"/>
      <c r="P162" s="2835"/>
      <c r="AH162" s="2842">
        <v>0</v>
      </c>
    </row>
    <row s="66903" customFormat="1" customHeight="1" ht="18.75" hidden="1">
      <c r="A163" s="2991" t="s">
        <v>205</v>
      </c>
      <c r="B163" s="2991" t="s">
        <v>206</v>
      </c>
      <c r="C163" s="1580"/>
      <c r="D163" s="3673"/>
      <c r="E163" s="3415"/>
      <c r="F163" s="3594" t="str">
        <f>INDEX(PT_DIFFERENTIATION_VTAR,MATCH(A163,PT_DIFFERENTIATION_VTAR_ID,0))</f>
        <v>Тарифы на услуги по передаче теплоносителя</v>
      </c>
      <c r="G163" s="3638" t="str">
        <f>INDEX(PT_DIFFERENTIATION_NTAR,MATCH(B163,PT_DIFFERENTIATION_NTAR_ID,0))</f>
        <v/>
      </c>
      <c r="H163" s="3073"/>
      <c r="I163" s="2950"/>
      <c r="J163" s="2984"/>
      <c r="K163" s="2989"/>
      <c r="L163" s="3073" t="s">
        <v>324</v>
      </c>
      <c r="M163" s="1552"/>
      <c r="N163" s="1545"/>
      <c r="O163" s="2835"/>
      <c r="P163" s="2835"/>
      <c r="AH163" s="2842">
        <v>0</v>
      </c>
    </row>
    <row s="66903" customFormat="1" customHeight="1" ht="18.75" hidden="1">
      <c r="A164" s="2991"/>
      <c r="B164" s="2991"/>
      <c r="C164" s="1580" t="s">
        <v>1356</v>
      </c>
      <c r="D164" s="3673"/>
      <c r="E164" s="3415"/>
      <c r="F164" s="3594"/>
      <c r="G164" s="3638"/>
      <c r="H164" s="2711"/>
      <c r="I164" s="1862" t="s">
        <v>1355</v>
      </c>
      <c r="J164" s="1782"/>
      <c r="K164" s="2711"/>
      <c r="L164" s="1425"/>
      <c r="M164" s="1552"/>
      <c r="N164" s="1545"/>
      <c r="O164" s="2835"/>
      <c r="P164" s="2835"/>
      <c r="AH164" s="2842">
        <v>0</v>
      </c>
    </row>
    <row s="66903" customFormat="1" customHeight="1" ht="0.75" hidden="1">
      <c r="A165" s="2991"/>
      <c r="B165" s="2991"/>
      <c r="C165" s="1580" t="s">
        <v>1363</v>
      </c>
      <c r="D165" s="3673"/>
      <c r="E165" s="3415"/>
      <c r="F165" s="3594"/>
      <c r="G165" s="1611"/>
      <c r="H165" s="2711"/>
      <c r="I165" s="1862"/>
      <c r="J165" s="1782"/>
      <c r="K165" s="2711"/>
      <c r="L165" s="1425"/>
      <c r="M165" s="1552"/>
      <c r="N165" s="1545"/>
      <c r="O165" s="2835"/>
      <c r="P165" s="2835"/>
      <c r="AH165" s="2842">
        <v>0</v>
      </c>
    </row>
    <row s="66903" customFormat="1" customHeight="1" ht="18.75" hidden="1">
      <c r="A166" s="2991" t="s">
        <v>211</v>
      </c>
      <c r="B166" s="2991" t="s">
        <v>212</v>
      </c>
      <c r="C166" s="1580"/>
      <c r="D166" s="3673"/>
      <c r="E166" s="3415"/>
      <c r="F166" s="359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3638" t="str">
        <f>INDEX(PT_DIFFERENTIATION_NTAR,MATCH(B166,PT_DIFFERENTIATION_NTAR_ID,0))</f>
        <v/>
      </c>
      <c r="H166" s="3073"/>
      <c r="I166" s="2950"/>
      <c r="J166" s="2984"/>
      <c r="K166" s="2989"/>
      <c r="L166" s="3073" t="s">
        <v>324</v>
      </c>
      <c r="M166" s="1552"/>
      <c r="N166" s="1545"/>
      <c r="O166" s="2835"/>
      <c r="P166" s="2835"/>
      <c r="AH166" s="2842">
        <v>0</v>
      </c>
    </row>
    <row s="66903" customFormat="1" customHeight="1" ht="18.75" hidden="1">
      <c r="A167" s="2991"/>
      <c r="B167" s="2991"/>
      <c r="C167" s="1580" t="s">
        <v>1356</v>
      </c>
      <c r="D167" s="3673"/>
      <c r="E167" s="3415"/>
      <c r="F167" s="3594"/>
      <c r="G167" s="3638"/>
      <c r="H167" s="2711"/>
      <c r="I167" s="1862" t="s">
        <v>1355</v>
      </c>
      <c r="J167" s="1782"/>
      <c r="K167" s="2711"/>
      <c r="L167" s="1425"/>
      <c r="M167" s="1552"/>
      <c r="N167" s="1545"/>
      <c r="O167" s="2835"/>
      <c r="P167" s="2835"/>
      <c r="AH167" s="2842">
        <v>0</v>
      </c>
    </row>
    <row s="66903" customFormat="1" customHeight="1" ht="0.75" hidden="1">
      <c r="A168" s="2991"/>
      <c r="B168" s="2991"/>
      <c r="C168" s="1580" t="s">
        <v>1363</v>
      </c>
      <c r="D168" s="3673"/>
      <c r="E168" s="3415"/>
      <c r="F168" s="3594"/>
      <c r="G168" s="1611"/>
      <c r="H168" s="2711"/>
      <c r="I168" s="1862"/>
      <c r="J168" s="1782"/>
      <c r="K168" s="2711"/>
      <c r="L168" s="1425"/>
      <c r="M168" s="1552"/>
      <c r="N168" s="1545"/>
      <c r="O168" s="2835"/>
      <c r="P168" s="2835"/>
      <c r="AH168" s="2842">
        <v>0</v>
      </c>
    </row>
    <row s="66903" customFormat="1" customHeight="1" ht="18.75" hidden="1">
      <c r="A169" s="2991" t="s">
        <v>217</v>
      </c>
      <c r="B169" s="2991" t="s">
        <v>218</v>
      </c>
      <c r="C169" s="1580"/>
      <c r="D169" s="3673"/>
      <c r="E169" s="3415"/>
      <c r="F169" s="3594" t="str">
        <f>INDEX(PT_DIFFERENTIATION_VTAR,MATCH(A169,PT_DIFFERENTIATION_VTAR_ID,0))</f>
        <v>Плата за подключение (технологическое присоединение) к системе теплоснабжения</v>
      </c>
      <c r="G169" s="3638" t="str">
        <f>INDEX(PT_DIFFERENTIATION_NTAR,MATCH(B169,PT_DIFFERENTIATION_NTAR_ID,0))</f>
        <v/>
      </c>
      <c r="H169" s="3073"/>
      <c r="I169" s="2950"/>
      <c r="J169" s="2984"/>
      <c r="K169" s="2989"/>
      <c r="L169" s="3073" t="s">
        <v>324</v>
      </c>
      <c r="M169" s="1552"/>
      <c r="N169" s="1545"/>
      <c r="O169" s="2835"/>
      <c r="P169" s="2835"/>
      <c r="AH169" s="2842">
        <v>0</v>
      </c>
    </row>
    <row s="66903" customFormat="1" customHeight="1" ht="18.75" hidden="1">
      <c r="A170" s="2991"/>
      <c r="B170" s="2991"/>
      <c r="C170" s="1580" t="s">
        <v>1356</v>
      </c>
      <c r="D170" s="3673"/>
      <c r="E170" s="3415"/>
      <c r="F170" s="3594"/>
      <c r="G170" s="3638"/>
      <c r="H170" s="2711"/>
      <c r="I170" s="1862" t="s">
        <v>1355</v>
      </c>
      <c r="J170" s="1782"/>
      <c r="K170" s="2711"/>
      <c r="L170" s="1425"/>
      <c r="M170" s="1552"/>
      <c r="N170" s="1545"/>
      <c r="O170" s="2835"/>
      <c r="P170" s="2835"/>
      <c r="AH170" s="2842">
        <v>0</v>
      </c>
    </row>
    <row s="66903" customFormat="1" customHeight="1" ht="0.75" hidden="1">
      <c r="A171" s="2991"/>
      <c r="B171" s="2991"/>
      <c r="C171" s="1580" t="s">
        <v>1363</v>
      </c>
      <c r="D171" s="3673"/>
      <c r="E171" s="3415"/>
      <c r="F171" s="3594"/>
      <c r="G171" s="1611"/>
      <c r="H171" s="2711"/>
      <c r="I171" s="1862"/>
      <c r="J171" s="1782"/>
      <c r="K171" s="2711"/>
      <c r="L171" s="1425"/>
      <c r="M171" s="1552"/>
      <c r="N171" s="1545"/>
      <c r="O171" s="2835"/>
      <c r="P171" s="2835"/>
      <c r="AH171" s="2842">
        <v>0</v>
      </c>
    </row>
    <row s="66903" customFormat="1" customHeight="1" ht="18.75" hidden="1">
      <c r="A172" s="2991" t="s">
        <v>223</v>
      </c>
      <c r="B172" s="2991" t="s">
        <v>224</v>
      </c>
      <c r="C172" s="1580"/>
      <c r="D172" s="3673"/>
      <c r="E172" s="3415"/>
      <c r="F172" s="3594" t="str">
        <f>INDEX(PT_DIFFERENTIATION_VTAR,MATCH(A172,PT_DIFFERENTIATION_VTAR_ID,0))</f>
        <v>Плата за подключение (технологическое присоединение) к системе теплоснабжения (индивидуальная)</v>
      </c>
      <c r="G172" s="3638" t="str">
        <f>INDEX(PT_DIFFERENTIATION_NTAR,MATCH(B172,PT_DIFFERENTIATION_NTAR_ID,0))</f>
        <v/>
      </c>
      <c r="H172" s="3200"/>
      <c r="I172" s="2950"/>
      <c r="J172" s="2984"/>
      <c r="K172" s="2989"/>
      <c r="L172" s="3200" t="s">
        <v>324</v>
      </c>
      <c r="M172" s="1552"/>
      <c r="N172" s="1545"/>
      <c r="O172" s="2835"/>
      <c r="P172" s="2835"/>
      <c r="AH172" s="2842">
        <v>0</v>
      </c>
    </row>
    <row s="66903" customFormat="1" customHeight="1" ht="18.75" hidden="1">
      <c r="A173" s="2991"/>
      <c r="B173" s="2991"/>
      <c r="C173" s="1580" t="s">
        <v>1356</v>
      </c>
      <c r="D173" s="3673"/>
      <c r="E173" s="3415"/>
      <c r="F173" s="3594"/>
      <c r="G173" s="3638"/>
      <c r="H173" s="2711"/>
      <c r="I173" s="1862" t="s">
        <v>1355</v>
      </c>
      <c r="J173" s="1782"/>
      <c r="K173" s="2711"/>
      <c r="L173" s="1425"/>
      <c r="M173" s="1552"/>
      <c r="N173" s="1545"/>
      <c r="O173" s="2835"/>
      <c r="P173" s="2835"/>
      <c r="AH173" s="2842">
        <v>0</v>
      </c>
    </row>
    <row s="66903" customFormat="1" customHeight="1" ht="0.75" hidden="1">
      <c r="A174" s="2991"/>
      <c r="B174" s="2991"/>
      <c r="C174" s="1580" t="s">
        <v>1363</v>
      </c>
      <c r="D174" s="3673"/>
      <c r="E174" s="3415"/>
      <c r="F174" s="3594"/>
      <c r="G174" s="1611"/>
      <c r="H174" s="2711"/>
      <c r="I174" s="1862"/>
      <c r="J174" s="1782"/>
      <c r="K174" s="2711"/>
      <c r="L174" s="1425"/>
      <c r="M174" s="1552"/>
      <c r="N174" s="1545"/>
      <c r="O174" s="2835"/>
      <c r="P174" s="2835"/>
      <c r="AH174" s="2842">
        <v>0</v>
      </c>
    </row>
    <row s="66903" customFormat="1" customHeight="1" ht="18.75" hidden="1">
      <c r="A175" s="2991" t="s">
        <v>243</v>
      </c>
      <c r="B175" s="2991" t="s">
        <v>244</v>
      </c>
      <c r="C175" s="1580"/>
      <c r="D175" s="3673"/>
      <c r="E175" s="3415"/>
      <c r="F175" s="3594" t="str">
        <f>INDEX(PT_DIFFERENTIATION_VTAR,MATCH(A175,PT_DIFFERENTIATION_VTAR_ID,0))</f>
        <v>Тариф на питьевую воду (питьевое водоснабжение)</v>
      </c>
      <c r="G175" s="3638" t="str">
        <f>INDEX(PT_DIFFERENTIATION_NTAR,MATCH(B175,PT_DIFFERENTIATION_NTAR_ID,0))</f>
        <v/>
      </c>
      <c r="H175" s="3073"/>
      <c r="I175" s="2950"/>
      <c r="J175" s="2984"/>
      <c r="K175" s="2989"/>
      <c r="L175" s="3073" t="s">
        <v>324</v>
      </c>
      <c r="M175" s="1552"/>
      <c r="N175" s="1545"/>
      <c r="O175" s="2835"/>
      <c r="P175" s="2835"/>
      <c r="AH175" s="2842">
        <v>0</v>
      </c>
    </row>
    <row s="66903" customFormat="1" customHeight="1" ht="18.75" hidden="1">
      <c r="A176" s="2991"/>
      <c r="B176" s="2991"/>
      <c r="C176" s="1580" t="s">
        <v>1356</v>
      </c>
      <c r="D176" s="3673"/>
      <c r="E176" s="3415"/>
      <c r="F176" s="3594"/>
      <c r="G176" s="3638"/>
      <c r="H176" s="2711"/>
      <c r="I176" s="1862" t="s">
        <v>1355</v>
      </c>
      <c r="J176" s="1782"/>
      <c r="K176" s="2711"/>
      <c r="L176" s="1425"/>
      <c r="M176" s="1552"/>
      <c r="N176" s="1545"/>
      <c r="O176" s="2835"/>
      <c r="P176" s="2835"/>
      <c r="AH176" s="2842">
        <v>0</v>
      </c>
    </row>
    <row s="66903" customFormat="1" customHeight="1" ht="0.75" hidden="1">
      <c r="A177" s="2991"/>
      <c r="B177" s="2991"/>
      <c r="C177" s="1580" t="s">
        <v>1363</v>
      </c>
      <c r="D177" s="3673"/>
      <c r="E177" s="3415"/>
      <c r="F177" s="3594"/>
      <c r="G177" s="1611"/>
      <c r="H177" s="2711"/>
      <c r="I177" s="1862"/>
      <c r="J177" s="1782"/>
      <c r="K177" s="2711"/>
      <c r="L177" s="1425"/>
      <c r="M177" s="1552"/>
      <c r="N177" s="1545"/>
      <c r="O177" s="2835"/>
      <c r="P177" s="2835"/>
      <c r="AH177" s="2842">
        <v>0</v>
      </c>
    </row>
    <row s="66903" customFormat="1" customHeight="1" ht="18.75" hidden="1">
      <c r="A178" s="2991" t="s">
        <v>248</v>
      </c>
      <c r="B178" s="2991" t="s">
        <v>249</v>
      </c>
      <c r="C178" s="1580"/>
      <c r="D178" s="3673"/>
      <c r="E178" s="3415"/>
      <c r="F178" s="3594" t="str">
        <f>INDEX(PT_DIFFERENTIATION_VTAR,MATCH(A178,PT_DIFFERENTIATION_VTAR_ID,0))</f>
        <v>Тариф на техническую воду</v>
      </c>
      <c r="G178" s="3638" t="str">
        <f>INDEX(PT_DIFFERENTIATION_NTAR,MATCH(B178,PT_DIFFERENTIATION_NTAR_ID,0))</f>
        <v/>
      </c>
      <c r="H178" s="3073"/>
      <c r="I178" s="2950"/>
      <c r="J178" s="2984"/>
      <c r="K178" s="2989"/>
      <c r="L178" s="3073" t="s">
        <v>324</v>
      </c>
      <c r="M178" s="1552"/>
      <c r="N178" s="1545"/>
      <c r="O178" s="2835"/>
      <c r="P178" s="2835"/>
      <c r="AH178" s="2842">
        <v>0</v>
      </c>
    </row>
    <row s="66903" customFormat="1" customHeight="1" ht="18.75" hidden="1">
      <c r="A179" s="2991"/>
      <c r="B179" s="2991"/>
      <c r="C179" s="1580" t="s">
        <v>1356</v>
      </c>
      <c r="D179" s="3673"/>
      <c r="E179" s="3415"/>
      <c r="F179" s="3594"/>
      <c r="G179" s="3638"/>
      <c r="H179" s="2711"/>
      <c r="I179" s="1862" t="s">
        <v>1355</v>
      </c>
      <c r="J179" s="1782"/>
      <c r="K179" s="2711"/>
      <c r="L179" s="1425"/>
      <c r="M179" s="1552"/>
      <c r="N179" s="1545"/>
      <c r="O179" s="2835"/>
      <c r="P179" s="2835"/>
      <c r="AH179" s="2842">
        <v>0</v>
      </c>
    </row>
    <row s="66903" customFormat="1" customHeight="1" ht="0.75" hidden="1">
      <c r="A180" s="2991"/>
      <c r="B180" s="2991"/>
      <c r="C180" s="1580" t="s">
        <v>1363</v>
      </c>
      <c r="D180" s="3673"/>
      <c r="E180" s="3415"/>
      <c r="F180" s="3594"/>
      <c r="G180" s="1611"/>
      <c r="H180" s="2711"/>
      <c r="I180" s="1862"/>
      <c r="J180" s="1782"/>
      <c r="K180" s="2711"/>
      <c r="L180" s="1425"/>
      <c r="M180" s="1552"/>
      <c r="N180" s="1545"/>
      <c r="O180" s="2835"/>
      <c r="P180" s="2835"/>
      <c r="AH180" s="2842">
        <v>0</v>
      </c>
    </row>
    <row s="66903" customFormat="1" customHeight="1" ht="18.75" hidden="1">
      <c r="A181" s="2991" t="s">
        <v>253</v>
      </c>
      <c r="B181" s="2991" t="s">
        <v>254</v>
      </c>
      <c r="C181" s="1580"/>
      <c r="D181" s="3673"/>
      <c r="E181" s="3415"/>
      <c r="F181" s="3594" t="str">
        <f>INDEX(PT_DIFFERENTIATION_VTAR,MATCH(A181,PT_DIFFERENTIATION_VTAR_ID,0))</f>
        <v>Тариф на транспортировку воды</v>
      </c>
      <c r="G181" s="3638" t="str">
        <f>INDEX(PT_DIFFERENTIATION_NTAR,MATCH(B181,PT_DIFFERENTIATION_NTAR_ID,0))</f>
        <v/>
      </c>
      <c r="H181" s="3073"/>
      <c r="I181" s="2950"/>
      <c r="J181" s="2984"/>
      <c r="K181" s="2989"/>
      <c r="L181" s="3073" t="s">
        <v>324</v>
      </c>
      <c r="M181" s="1552"/>
      <c r="N181" s="1545"/>
      <c r="O181" s="2835"/>
      <c r="P181" s="2835"/>
      <c r="AH181" s="2842">
        <v>0</v>
      </c>
    </row>
    <row s="66903" customFormat="1" customHeight="1" ht="18.75" hidden="1">
      <c r="A182" s="2991"/>
      <c r="B182" s="2991"/>
      <c r="C182" s="1580" t="s">
        <v>1356</v>
      </c>
      <c r="D182" s="3673"/>
      <c r="E182" s="3415"/>
      <c r="F182" s="3594"/>
      <c r="G182" s="3638"/>
      <c r="H182" s="2711"/>
      <c r="I182" s="1862" t="s">
        <v>1355</v>
      </c>
      <c r="J182" s="1782"/>
      <c r="K182" s="2711"/>
      <c r="L182" s="1425"/>
      <c r="M182" s="1552"/>
      <c r="N182" s="1545"/>
      <c r="O182" s="2835"/>
      <c r="P182" s="2835"/>
      <c r="AH182" s="2842">
        <v>0</v>
      </c>
    </row>
    <row s="66903" customFormat="1" customHeight="1" ht="0.75" hidden="1">
      <c r="A183" s="2991"/>
      <c r="B183" s="2991"/>
      <c r="C183" s="1580" t="s">
        <v>1363</v>
      </c>
      <c r="D183" s="3673"/>
      <c r="E183" s="3415"/>
      <c r="F183" s="3594"/>
      <c r="G183" s="1611"/>
      <c r="H183" s="2711"/>
      <c r="I183" s="1862"/>
      <c r="J183" s="1782"/>
      <c r="K183" s="2711"/>
      <c r="L183" s="1425"/>
      <c r="M183" s="1552"/>
      <c r="N183" s="1545"/>
      <c r="O183" s="2835"/>
      <c r="P183" s="2835"/>
      <c r="AH183" s="2842">
        <v>0</v>
      </c>
    </row>
    <row s="66903" customFormat="1" customHeight="1" ht="18.75" hidden="1">
      <c r="A184" s="2991" t="s">
        <v>258</v>
      </c>
      <c r="B184" s="2991" t="s">
        <v>259</v>
      </c>
      <c r="C184" s="1580"/>
      <c r="D184" s="3673"/>
      <c r="E184" s="3415"/>
      <c r="F184" s="3594" t="str">
        <f>INDEX(PT_DIFFERENTIATION_VTAR,MATCH(A184,PT_DIFFERENTIATION_VTAR_ID,0))</f>
        <v>Тариф на подвоз воды</v>
      </c>
      <c r="G184" s="3638" t="str">
        <f>INDEX(PT_DIFFERENTIATION_NTAR,MATCH(B184,PT_DIFFERENTIATION_NTAR_ID,0))</f>
        <v/>
      </c>
      <c r="H184" s="3073"/>
      <c r="I184" s="2950"/>
      <c r="J184" s="2984"/>
      <c r="K184" s="2989"/>
      <c r="L184" s="3073" t="s">
        <v>324</v>
      </c>
      <c r="M184" s="1552"/>
      <c r="N184" s="1545"/>
      <c r="O184" s="2835"/>
      <c r="P184" s="2835"/>
      <c r="AH184" s="2842">
        <v>0</v>
      </c>
    </row>
    <row s="66903" customFormat="1" customHeight="1" ht="18.75" hidden="1">
      <c r="A185" s="2991"/>
      <c r="B185" s="2991"/>
      <c r="C185" s="1580" t="s">
        <v>1356</v>
      </c>
      <c r="D185" s="3673"/>
      <c r="E185" s="3415"/>
      <c r="F185" s="3594"/>
      <c r="G185" s="3638"/>
      <c r="H185" s="2711"/>
      <c r="I185" s="1862" t="s">
        <v>1355</v>
      </c>
      <c r="J185" s="1782"/>
      <c r="K185" s="2711"/>
      <c r="L185" s="1425"/>
      <c r="M185" s="1552"/>
      <c r="N185" s="1545"/>
      <c r="O185" s="2835"/>
      <c r="P185" s="2835"/>
      <c r="AH185" s="2842">
        <v>0</v>
      </c>
    </row>
    <row s="66903" customFormat="1" customHeight="1" ht="0.75" hidden="1">
      <c r="A186" s="2991"/>
      <c r="B186" s="2991"/>
      <c r="C186" s="1580" t="s">
        <v>1363</v>
      </c>
      <c r="D186" s="3673"/>
      <c r="E186" s="3415"/>
      <c r="F186" s="3594"/>
      <c r="G186" s="1611"/>
      <c r="H186" s="2711"/>
      <c r="I186" s="1862"/>
      <c r="J186" s="1782"/>
      <c r="K186" s="2711"/>
      <c r="L186" s="1425"/>
      <c r="M186" s="1552"/>
      <c r="N186" s="1545"/>
      <c r="O186" s="2835"/>
      <c r="P186" s="2835"/>
      <c r="AH186" s="2842">
        <v>0</v>
      </c>
    </row>
    <row s="66903" customFormat="1" customHeight="1" ht="18.75" hidden="1">
      <c r="A187" s="2991" t="s">
        <v>263</v>
      </c>
      <c r="B187" s="2991" t="s">
        <v>264</v>
      </c>
      <c r="C187" s="1580"/>
      <c r="D187" s="3673"/>
      <c r="E187" s="3415"/>
      <c r="F187" s="359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3638" t="str">
        <f>INDEX(PT_DIFFERENTIATION_NTAR,MATCH(B187,PT_DIFFERENTIATION_NTAR_ID,0))</f>
        <v/>
      </c>
      <c r="H187" s="3073"/>
      <c r="I187" s="2950"/>
      <c r="J187" s="2984"/>
      <c r="K187" s="2989"/>
      <c r="L187" s="3073" t="s">
        <v>324</v>
      </c>
      <c r="M187" s="1552"/>
      <c r="N187" s="1545"/>
      <c r="O187" s="2835"/>
      <c r="P187" s="2835"/>
      <c r="AH187" s="2842">
        <v>0</v>
      </c>
    </row>
    <row s="66903" customFormat="1" customHeight="1" ht="18.75" hidden="1">
      <c r="A188" s="2991"/>
      <c r="B188" s="2991"/>
      <c r="C188" s="1580" t="s">
        <v>1356</v>
      </c>
      <c r="D188" s="3673"/>
      <c r="E188" s="3415"/>
      <c r="F188" s="3594"/>
      <c r="G188" s="3638"/>
      <c r="H188" s="2711"/>
      <c r="I188" s="1862" t="s">
        <v>1355</v>
      </c>
      <c r="J188" s="1782"/>
      <c r="K188" s="2711"/>
      <c r="L188" s="1425"/>
      <c r="M188" s="1552"/>
      <c r="N188" s="1545"/>
      <c r="O188" s="2835"/>
      <c r="P188" s="2835"/>
      <c r="AH188" s="2842">
        <v>0</v>
      </c>
    </row>
    <row s="66903" customFormat="1" customHeight="1" ht="0.75" hidden="1">
      <c r="A189" s="2991"/>
      <c r="B189" s="2991"/>
      <c r="C189" s="1580" t="s">
        <v>1363</v>
      </c>
      <c r="D189" s="3673"/>
      <c r="E189" s="3415"/>
      <c r="F189" s="3594"/>
      <c r="G189" s="1611"/>
      <c r="H189" s="2711"/>
      <c r="I189" s="1862"/>
      <c r="J189" s="1782"/>
      <c r="K189" s="2711"/>
      <c r="L189" s="1425"/>
      <c r="M189" s="1552"/>
      <c r="N189" s="1545"/>
      <c r="O189" s="2835"/>
      <c r="P189" s="2835"/>
      <c r="AH189" s="2842">
        <v>0</v>
      </c>
    </row>
    <row s="66903" customFormat="1" customHeight="1" ht="18.75" hidden="1">
      <c r="A190" s="2991" t="s">
        <v>268</v>
      </c>
      <c r="B190" s="2991" t="s">
        <v>269</v>
      </c>
      <c r="C190" s="1580"/>
      <c r="D190" s="3673"/>
      <c r="E190" s="3415"/>
      <c r="F190" s="3594" t="str">
        <f>INDEX(PT_DIFFERENTIATION_VTAR,MATCH(A190,PT_DIFFERENTIATION_VTAR_ID,0))</f>
        <v>Тариф на горячую воду (горячее водоснабжение)</v>
      </c>
      <c r="G190" s="3638" t="str">
        <f>INDEX(PT_DIFFERENTIATION_NTAR,MATCH(B190,PT_DIFFERENTIATION_NTAR_ID,0))</f>
        <v/>
      </c>
      <c r="H190" s="3073"/>
      <c r="I190" s="2950"/>
      <c r="J190" s="2984"/>
      <c r="K190" s="2989"/>
      <c r="L190" s="3073" t="s">
        <v>324</v>
      </c>
      <c r="M190" s="1552"/>
      <c r="N190" s="1545"/>
      <c r="O190" s="2835"/>
      <c r="P190" s="2835"/>
      <c r="AH190" s="2842">
        <v>0</v>
      </c>
    </row>
    <row s="66903" customFormat="1" customHeight="1" ht="18.75" hidden="1">
      <c r="A191" s="2991"/>
      <c r="B191" s="2991"/>
      <c r="C191" s="1580" t="s">
        <v>1356</v>
      </c>
      <c r="D191" s="3673"/>
      <c r="E191" s="3415"/>
      <c r="F191" s="3594"/>
      <c r="G191" s="3638"/>
      <c r="H191" s="2711"/>
      <c r="I191" s="1862" t="s">
        <v>1355</v>
      </c>
      <c r="J191" s="1782"/>
      <c r="K191" s="2711"/>
      <c r="L191" s="1425"/>
      <c r="M191" s="1552"/>
      <c r="N191" s="1545"/>
      <c r="O191" s="2835"/>
      <c r="P191" s="2835"/>
      <c r="AH191" s="2842">
        <v>0</v>
      </c>
    </row>
    <row s="66903" customFormat="1" customHeight="1" ht="0.75" hidden="1">
      <c r="A192" s="2991"/>
      <c r="B192" s="2991"/>
      <c r="C192" s="1580" t="s">
        <v>1363</v>
      </c>
      <c r="D192" s="3673"/>
      <c r="E192" s="3415"/>
      <c r="F192" s="3594"/>
      <c r="G192" s="1611"/>
      <c r="H192" s="2711"/>
      <c r="I192" s="1862"/>
      <c r="J192" s="1782"/>
      <c r="K192" s="2711"/>
      <c r="L192" s="1425"/>
      <c r="M192" s="1552"/>
      <c r="N192" s="1545"/>
      <c r="O192" s="2835"/>
      <c r="P192" s="2835"/>
      <c r="AH192" s="2842">
        <v>0</v>
      </c>
    </row>
    <row s="66903" customFormat="1" customHeight="1" ht="18.75" hidden="1">
      <c r="A193" s="2991" t="s">
        <v>273</v>
      </c>
      <c r="B193" s="2991" t="s">
        <v>274</v>
      </c>
      <c r="C193" s="1580"/>
      <c r="D193" s="3673"/>
      <c r="E193" s="3415"/>
      <c r="F193" s="3594" t="str">
        <f>INDEX(PT_DIFFERENTIATION_VTAR,MATCH(A193,PT_DIFFERENTIATION_VTAR_ID,0))</f>
        <v>Тариф на транспортировку горячей воды</v>
      </c>
      <c r="G193" s="3638" t="str">
        <f>INDEX(PT_DIFFERENTIATION_NTAR,MATCH(B193,PT_DIFFERENTIATION_NTAR_ID,0))</f>
        <v/>
      </c>
      <c r="H193" s="3073"/>
      <c r="I193" s="2950"/>
      <c r="J193" s="2984"/>
      <c r="K193" s="2989"/>
      <c r="L193" s="3073" t="s">
        <v>324</v>
      </c>
      <c r="M193" s="1552"/>
      <c r="N193" s="1545"/>
      <c r="O193" s="2835"/>
      <c r="P193" s="2835"/>
      <c r="AH193" s="2842">
        <v>0</v>
      </c>
    </row>
    <row s="66903" customFormat="1" customHeight="1" ht="18.75" hidden="1">
      <c r="A194" s="2991"/>
      <c r="B194" s="2991"/>
      <c r="C194" s="1580" t="s">
        <v>1356</v>
      </c>
      <c r="D194" s="3673"/>
      <c r="E194" s="3415"/>
      <c r="F194" s="3594"/>
      <c r="G194" s="3638"/>
      <c r="H194" s="2711"/>
      <c r="I194" s="1862" t="s">
        <v>1355</v>
      </c>
      <c r="J194" s="1782"/>
      <c r="K194" s="2711"/>
      <c r="L194" s="1425"/>
      <c r="M194" s="1552"/>
      <c r="N194" s="1545"/>
      <c r="O194" s="2835"/>
      <c r="P194" s="2835"/>
      <c r="AH194" s="2842">
        <v>0</v>
      </c>
    </row>
    <row s="66903" customFormat="1" customHeight="1" ht="0.75" hidden="1">
      <c r="A195" s="2991"/>
      <c r="B195" s="2991"/>
      <c r="C195" s="1580" t="s">
        <v>1363</v>
      </c>
      <c r="D195" s="3673"/>
      <c r="E195" s="3415"/>
      <c r="F195" s="3594"/>
      <c r="G195" s="1611"/>
      <c r="H195" s="2711"/>
      <c r="I195" s="1862"/>
      <c r="J195" s="1782"/>
      <c r="K195" s="2711"/>
      <c r="L195" s="1425"/>
      <c r="M195" s="1552"/>
      <c r="N195" s="1545"/>
      <c r="O195" s="2835"/>
      <c r="P195" s="2835"/>
      <c r="AH195" s="2842">
        <v>0</v>
      </c>
    </row>
    <row s="66903" customFormat="1" customHeight="1" ht="18.75" hidden="1">
      <c r="A196" s="2991" t="s">
        <v>278</v>
      </c>
      <c r="B196" s="2991" t="s">
        <v>279</v>
      </c>
      <c r="C196" s="1580"/>
      <c r="D196" s="3673"/>
      <c r="E196" s="3415"/>
      <c r="F196" s="3594" t="str">
        <f>INDEX(PT_DIFFERENTIATION_VTAR,MATCH(A196,PT_DIFFERENTIATION_VTAR_ID,0))</f>
        <v>Тариф на подключение (технологическое присоединение) к централизованной системе горячего водоснабжения</v>
      </c>
      <c r="G196" s="3638" t="str">
        <f>INDEX(PT_DIFFERENTIATION_NTAR,MATCH(B196,PT_DIFFERENTIATION_NTAR_ID,0))</f>
        <v/>
      </c>
      <c r="H196" s="3073"/>
      <c r="I196" s="2950"/>
      <c r="J196" s="2984"/>
      <c r="K196" s="2989"/>
      <c r="L196" s="3073" t="s">
        <v>324</v>
      </c>
      <c r="M196" s="1552"/>
      <c r="N196" s="1545"/>
      <c r="O196" s="2835"/>
      <c r="P196" s="2835"/>
      <c r="AH196" s="2842">
        <v>0</v>
      </c>
    </row>
    <row s="66903" customFormat="1" customHeight="1" ht="18.75" hidden="1">
      <c r="A197" s="2991"/>
      <c r="B197" s="2991"/>
      <c r="C197" s="1580" t="s">
        <v>1356</v>
      </c>
      <c r="D197" s="3673"/>
      <c r="E197" s="3415"/>
      <c r="F197" s="3594"/>
      <c r="G197" s="3638"/>
      <c r="H197" s="2711"/>
      <c r="I197" s="1862" t="s">
        <v>1355</v>
      </c>
      <c r="J197" s="1782"/>
      <c r="K197" s="2711"/>
      <c r="L197" s="1425"/>
      <c r="M197" s="1552"/>
      <c r="N197" s="1545"/>
      <c r="O197" s="2835"/>
      <c r="P197" s="2835"/>
      <c r="AH197" s="2842">
        <v>0</v>
      </c>
    </row>
    <row s="66903" customFormat="1" customHeight="1" ht="0.75" hidden="1">
      <c r="A198" s="2991"/>
      <c r="B198" s="2991"/>
      <c r="C198" s="1580" t="s">
        <v>1363</v>
      </c>
      <c r="D198" s="3673"/>
      <c r="E198" s="3415"/>
      <c r="F198" s="3594"/>
      <c r="G198" s="1611"/>
      <c r="H198" s="2711"/>
      <c r="I198" s="1862"/>
      <c r="J198" s="1782"/>
      <c r="K198" s="2711"/>
      <c r="L198" s="1425"/>
      <c r="M198" s="1552"/>
      <c r="N198" s="1545"/>
      <c r="O198" s="2835"/>
      <c r="P198" s="2835"/>
      <c r="AH198" s="2842">
        <v>0</v>
      </c>
    </row>
    <row s="66903" customFormat="1" customHeight="1" ht="18.75" hidden="1">
      <c r="A199" s="2991" t="s">
        <v>283</v>
      </c>
      <c r="B199" s="2991" t="s">
        <v>284</v>
      </c>
      <c r="C199" s="1580"/>
      <c r="D199" s="3673"/>
      <c r="E199" s="3415"/>
      <c r="F199" s="3594" t="str">
        <f>INDEX(PT_DIFFERENTIATION_VTAR,MATCH(A199,PT_DIFFERENTIATION_VTAR_ID,0))</f>
        <v>Тариф на водоотведение</v>
      </c>
      <c r="G199" s="3638" t="str">
        <f>INDEX(PT_DIFFERENTIATION_NTAR,MATCH(B199,PT_DIFFERENTIATION_NTAR_ID,0))</f>
        <v/>
      </c>
      <c r="H199" s="3073"/>
      <c r="I199" s="2950"/>
      <c r="J199" s="2984"/>
      <c r="K199" s="2989"/>
      <c r="L199" s="3073" t="s">
        <v>324</v>
      </c>
      <c r="M199" s="1552"/>
      <c r="N199" s="1545"/>
      <c r="O199" s="2835"/>
      <c r="P199" s="2835"/>
      <c r="AH199" s="2842">
        <v>0</v>
      </c>
    </row>
    <row s="66903" customFormat="1" customHeight="1" ht="18.75" hidden="1">
      <c r="A200" s="2991"/>
      <c r="B200" s="2991"/>
      <c r="C200" s="1580" t="s">
        <v>1356</v>
      </c>
      <c r="D200" s="3673"/>
      <c r="E200" s="3415"/>
      <c r="F200" s="3594"/>
      <c r="G200" s="3638"/>
      <c r="H200" s="2711"/>
      <c r="I200" s="1862" t="s">
        <v>1355</v>
      </c>
      <c r="J200" s="1782"/>
      <c r="K200" s="2711"/>
      <c r="L200" s="1425"/>
      <c r="M200" s="1552"/>
      <c r="N200" s="1545"/>
      <c r="O200" s="2835"/>
      <c r="P200" s="2835"/>
      <c r="AH200" s="2842">
        <v>0</v>
      </c>
    </row>
    <row s="66903" customFormat="1" customHeight="1" ht="0.75" hidden="1">
      <c r="A201" s="2991"/>
      <c r="B201" s="2991"/>
      <c r="C201" s="1580" t="s">
        <v>1363</v>
      </c>
      <c r="D201" s="3673"/>
      <c r="E201" s="3415"/>
      <c r="F201" s="3594"/>
      <c r="G201" s="1611"/>
      <c r="H201" s="2711"/>
      <c r="I201" s="1862"/>
      <c r="J201" s="1782"/>
      <c r="K201" s="2711"/>
      <c r="L201" s="1425"/>
      <c r="M201" s="1552"/>
      <c r="N201" s="1545"/>
      <c r="O201" s="2835"/>
      <c r="P201" s="2835"/>
      <c r="AH201" s="2842">
        <v>0</v>
      </c>
    </row>
    <row s="66903" customFormat="1" customHeight="1" ht="18.75" hidden="1">
      <c r="A202" s="2991" t="s">
        <v>288</v>
      </c>
      <c r="B202" s="2991" t="s">
        <v>289</v>
      </c>
      <c r="C202" s="1580"/>
      <c r="D202" s="3673"/>
      <c r="E202" s="3415"/>
      <c r="F202" s="3594" t="str">
        <f>INDEX(PT_DIFFERENTIATION_VTAR,MATCH(A202,PT_DIFFERENTIATION_VTAR_ID,0))</f>
        <v>Тариф на транспортировку сточных вод</v>
      </c>
      <c r="G202" s="3638" t="str">
        <f>INDEX(PT_DIFFERENTIATION_NTAR,MATCH(B202,PT_DIFFERENTIATION_NTAR_ID,0))</f>
        <v/>
      </c>
      <c r="H202" s="3073"/>
      <c r="I202" s="2950"/>
      <c r="J202" s="2984"/>
      <c r="K202" s="2989"/>
      <c r="L202" s="3073" t="s">
        <v>324</v>
      </c>
      <c r="M202" s="1552"/>
      <c r="N202" s="1545"/>
      <c r="O202" s="2835"/>
      <c r="P202" s="2835"/>
      <c r="AH202" s="2842">
        <v>0</v>
      </c>
    </row>
    <row s="66903" customFormat="1" customHeight="1" ht="18.75" hidden="1">
      <c r="A203" s="2991"/>
      <c r="B203" s="2991"/>
      <c r="C203" s="1580" t="s">
        <v>1356</v>
      </c>
      <c r="D203" s="3673"/>
      <c r="E203" s="3415"/>
      <c r="F203" s="3594"/>
      <c r="G203" s="3638"/>
      <c r="H203" s="2711"/>
      <c r="I203" s="1862" t="s">
        <v>1355</v>
      </c>
      <c r="J203" s="1782"/>
      <c r="K203" s="2711"/>
      <c r="L203" s="1425"/>
      <c r="M203" s="1552"/>
      <c r="N203" s="1545"/>
      <c r="O203" s="2835"/>
      <c r="P203" s="2835"/>
      <c r="AH203" s="2842">
        <v>0</v>
      </c>
    </row>
    <row s="66903" customFormat="1" customHeight="1" ht="0.75" hidden="1">
      <c r="A204" s="2991"/>
      <c r="B204" s="2991"/>
      <c r="C204" s="1580" t="s">
        <v>1363</v>
      </c>
      <c r="D204" s="3673"/>
      <c r="E204" s="3415"/>
      <c r="F204" s="3594"/>
      <c r="G204" s="1611"/>
      <c r="H204" s="2711"/>
      <c r="I204" s="1862"/>
      <c r="J204" s="1782"/>
      <c r="K204" s="2711"/>
      <c r="L204" s="1425"/>
      <c r="M204" s="1552"/>
      <c r="N204" s="1545"/>
      <c r="O204" s="2835"/>
      <c r="P204" s="2835"/>
      <c r="AH204" s="2842">
        <v>0</v>
      </c>
    </row>
    <row s="66903" customFormat="1" customHeight="1" ht="18.75" hidden="1">
      <c r="A205" s="2991" t="s">
        <v>293</v>
      </c>
      <c r="B205" s="2991" t="s">
        <v>294</v>
      </c>
      <c r="C205" s="1580"/>
      <c r="D205" s="3673"/>
      <c r="E205" s="3415"/>
      <c r="F205" s="3594" t="str">
        <f>INDEX(PT_DIFFERENTIATION_VTAR,MATCH(A205,PT_DIFFERENTIATION_VTAR_ID,0))</f>
        <v>Тариф на подключение (технологическое присоединение) к централизованной системе водоотведения</v>
      </c>
      <c r="G205" s="3638" t="str">
        <f>INDEX(PT_DIFFERENTIATION_NTAR,MATCH(B205,PT_DIFFERENTIATION_NTAR_ID,0))</f>
        <v/>
      </c>
      <c r="H205" s="3073"/>
      <c r="I205" s="2950"/>
      <c r="J205" s="2984"/>
      <c r="K205" s="2989"/>
      <c r="L205" s="3073" t="s">
        <v>324</v>
      </c>
      <c r="M205" s="1552"/>
      <c r="N205" s="1545"/>
      <c r="O205" s="2835"/>
      <c r="P205" s="2835"/>
      <c r="AH205" s="2842">
        <v>0</v>
      </c>
    </row>
    <row s="66903" customFormat="1" customHeight="1" ht="18.75" hidden="1">
      <c r="A206" s="2991"/>
      <c r="B206" s="2991"/>
      <c r="C206" s="1580" t="s">
        <v>1356</v>
      </c>
      <c r="D206" s="3673"/>
      <c r="E206" s="3415"/>
      <c r="F206" s="3594"/>
      <c r="G206" s="3638"/>
      <c r="H206" s="2711"/>
      <c r="I206" s="1862" t="s">
        <v>1355</v>
      </c>
      <c r="J206" s="1782"/>
      <c r="K206" s="2711"/>
      <c r="L206" s="1425"/>
      <c r="M206" s="1552"/>
      <c r="N206" s="1545"/>
      <c r="O206" s="2835"/>
      <c r="P206" s="2835"/>
      <c r="AH206" s="2842">
        <v>0</v>
      </c>
    </row>
    <row s="66903" customFormat="1" customHeight="1" ht="1.05">
      <c r="A207" s="2991"/>
      <c r="B207" s="2991"/>
      <c r="C207" s="1580" t="s">
        <v>1363</v>
      </c>
      <c r="D207" s="3673"/>
      <c r="E207" s="3415"/>
      <c r="F207" s="3594"/>
      <c r="G207" s="1611"/>
      <c r="H207" s="2711"/>
      <c r="I207" s="1862"/>
      <c r="J207" s="1782"/>
      <c r="K207" s="2711"/>
      <c r="L207" s="1425"/>
      <c r="M207" s="1552"/>
      <c r="N207" s="1545"/>
      <c r="O207" s="2835"/>
      <c r="P207" s="2835"/>
      <c r="AH207" s="2842">
        <v>1</v>
      </c>
    </row>
    <row customHeight="1" ht="27.299999999999997">
      <c r="A208" s="2991"/>
      <c r="B208" s="2991"/>
      <c r="D208" s="1587"/>
      <c r="E208" s="1358" t="s">
        <v>122</v>
      </c>
      <c r="F208" s="367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3671"/>
      <c r="H208" s="3671"/>
      <c r="I208" s="3671"/>
      <c r="J208" s="3671"/>
      <c r="K208" s="3671"/>
      <c r="L208" s="3671"/>
      <c r="M208" s="1508"/>
      <c r="N208" s="1545"/>
      <c r="AH208" s="1585">
        <v>26</v>
      </c>
    </row>
    <row s="66903" customFormat="1" customHeight="1" ht="60.75" hidden="1">
      <c r="A209" s="2991" t="s">
        <v>175</v>
      </c>
      <c r="B209" s="2991" t="s">
        <v>176</v>
      </c>
      <c r="C209" s="1580"/>
      <c r="D209" s="3673"/>
      <c r="E209" s="3415"/>
      <c r="F209" s="359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3638" t="str">
        <f>INDEX(PT_DIFFERENTIATION_NTAR,MATCH(B209,PT_DIFFERENTIATION_NTAR_ID,0))</f>
        <v/>
      </c>
      <c r="H209" s="3073"/>
      <c r="I209" s="2950"/>
      <c r="J209" s="2984"/>
      <c r="K209" s="2989"/>
      <c r="L209" s="3073" t="s">
        <v>324</v>
      </c>
      <c r="M209" s="33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1545"/>
      <c r="O209" s="2835"/>
      <c r="P209" s="2835"/>
      <c r="AH209" s="2842">
        <v>0</v>
      </c>
    </row>
    <row s="66903" customFormat="1" customHeight="1" ht="18.75" hidden="1">
      <c r="A210" s="2991"/>
      <c r="B210" s="2991"/>
      <c r="C210" s="1580" t="s">
        <v>1356</v>
      </c>
      <c r="D210" s="3673"/>
      <c r="E210" s="3415"/>
      <c r="F210" s="3594"/>
      <c r="G210" s="3638"/>
      <c r="H210" s="2711"/>
      <c r="I210" s="1862" t="s">
        <v>1355</v>
      </c>
      <c r="J210" s="1782"/>
      <c r="K210" s="2711"/>
      <c r="L210" s="1425"/>
      <c r="M210" s="3381"/>
      <c r="N210" s="1545"/>
      <c r="O210" s="2835"/>
      <c r="P210" s="2835"/>
      <c r="AH210" s="2842">
        <v>0</v>
      </c>
    </row>
    <row s="66903" customFormat="1" customHeight="1" ht="0.75" hidden="1">
      <c r="A211" s="2991"/>
      <c r="B211" s="2991"/>
      <c r="C211" s="1580" t="s">
        <v>1363</v>
      </c>
      <c r="D211" s="3673"/>
      <c r="E211" s="3415"/>
      <c r="F211" s="3594"/>
      <c r="G211" s="1611"/>
      <c r="H211" s="2711"/>
      <c r="I211" s="1862"/>
      <c r="J211" s="1782"/>
      <c r="K211" s="2711"/>
      <c r="L211" s="1425"/>
      <c r="M211" s="3381"/>
      <c r="N211" s="1545"/>
      <c r="O211" s="2835"/>
      <c r="P211" s="2835"/>
      <c r="AH211" s="2842">
        <v>0</v>
      </c>
    </row>
    <row s="66903" customFormat="1" customHeight="1" ht="45" hidden="1">
      <c r="A212" s="2991" t="s">
        <v>180</v>
      </c>
      <c r="B212" s="2991" t="s">
        <v>181</v>
      </c>
      <c r="C212" s="1580"/>
      <c r="D212" s="3673"/>
      <c r="E212" s="3415"/>
      <c r="F212" s="3594" t="str">
        <f>INDEX(PT_DIFFERENTIATION_VTAR,MATCH(A212,PT_DIFFERENTIATION_VTAR_ID,0))</f>
        <v/>
      </c>
      <c r="G212" s="3638" t="str">
        <f>INDEX(PT_DIFFERENTIATION_NTAR,MATCH(B212,PT_DIFFERENTIATION_NTAR_ID,0))</f>
        <v/>
      </c>
      <c r="H212" s="3073"/>
      <c r="I212" s="2950"/>
      <c r="J212" s="2984"/>
      <c r="K212" s="2989"/>
      <c r="L212" s="3073" t="s">
        <v>324</v>
      </c>
      <c r="M212" s="3382"/>
      <c r="N212" s="1545"/>
      <c r="O212" s="2835"/>
      <c r="P212" s="2835"/>
      <c r="AH212" s="2842">
        <v>0</v>
      </c>
    </row>
    <row s="66903" customFormat="1" customHeight="1" ht="18.75" hidden="1">
      <c r="A213" s="2991"/>
      <c r="B213" s="2991"/>
      <c r="C213" s="1580" t="s">
        <v>1356</v>
      </c>
      <c r="D213" s="3673"/>
      <c r="E213" s="3415"/>
      <c r="F213" s="3594"/>
      <c r="G213" s="3638"/>
      <c r="H213" s="2711"/>
      <c r="I213" s="1862" t="s">
        <v>1355</v>
      </c>
      <c r="J213" s="1782"/>
      <c r="K213" s="2711"/>
      <c r="L213" s="1425"/>
      <c r="M213" s="3072"/>
      <c r="N213" s="1545"/>
      <c r="O213" s="2835"/>
      <c r="P213" s="2835"/>
      <c r="AH213" s="2842">
        <v>0</v>
      </c>
    </row>
    <row s="66903" customFormat="1" customHeight="1" ht="0.75" hidden="1">
      <c r="A214" s="2991"/>
      <c r="B214" s="2991"/>
      <c r="C214" s="1580" t="s">
        <v>1363</v>
      </c>
      <c r="D214" s="3673"/>
      <c r="E214" s="3415"/>
      <c r="F214" s="3594"/>
      <c r="G214" s="1611"/>
      <c r="H214" s="2711"/>
      <c r="I214" s="1862"/>
      <c r="J214" s="1782"/>
      <c r="K214" s="2711"/>
      <c r="L214" s="1425"/>
      <c r="M214" s="1552"/>
      <c r="N214" s="1545"/>
      <c r="O214" s="2835"/>
      <c r="P214" s="2835"/>
      <c r="AH214" s="2842">
        <v>0</v>
      </c>
    </row>
    <row s="66903" customFormat="1" customHeight="1" ht="45" hidden="1">
      <c r="A215" s="2991" t="s">
        <v>187</v>
      </c>
      <c r="B215" s="2991" t="s">
        <v>188</v>
      </c>
      <c r="C215" s="1580"/>
      <c r="D215" s="3673"/>
      <c r="E215" s="3415"/>
      <c r="F215" s="359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3638" t="str">
        <f>INDEX(PT_DIFFERENTIATION_NTAR,MATCH(B215,PT_DIFFERENTIATION_NTAR_ID,0))</f>
        <v/>
      </c>
      <c r="H215" s="3073"/>
      <c r="I215" s="2950"/>
      <c r="J215" s="2984"/>
      <c r="K215" s="2989"/>
      <c r="L215" s="3073" t="s">
        <v>324</v>
      </c>
      <c r="M215" s="1552"/>
      <c r="N215" s="1545"/>
      <c r="O215" s="2835"/>
      <c r="P215" s="2835"/>
      <c r="AH215" s="2842">
        <v>0</v>
      </c>
    </row>
    <row s="66903" customFormat="1" customHeight="1" ht="18.75" hidden="1">
      <c r="A216" s="2991"/>
      <c r="B216" s="2991"/>
      <c r="C216" s="1580" t="s">
        <v>1356</v>
      </c>
      <c r="D216" s="3673"/>
      <c r="E216" s="3415"/>
      <c r="F216" s="3594"/>
      <c r="G216" s="3638"/>
      <c r="H216" s="2711"/>
      <c r="I216" s="1862" t="s">
        <v>1355</v>
      </c>
      <c r="J216" s="1782"/>
      <c r="K216" s="2711"/>
      <c r="L216" s="1425"/>
      <c r="M216" s="1552"/>
      <c r="N216" s="1545"/>
      <c r="O216" s="2835"/>
      <c r="P216" s="2835"/>
      <c r="AH216" s="2842">
        <v>0</v>
      </c>
    </row>
    <row s="66903" customFormat="1" customHeight="1" ht="0.75" hidden="1">
      <c r="A217" s="2991"/>
      <c r="B217" s="2991"/>
      <c r="C217" s="1580" t="s">
        <v>1363</v>
      </c>
      <c r="D217" s="3673"/>
      <c r="E217" s="3415"/>
      <c r="F217" s="3594"/>
      <c r="G217" s="1611"/>
      <c r="H217" s="2711"/>
      <c r="I217" s="1862"/>
      <c r="J217" s="1782"/>
      <c r="K217" s="2711"/>
      <c r="L217" s="1425"/>
      <c r="M217" s="1552"/>
      <c r="N217" s="1545"/>
      <c r="O217" s="2835"/>
      <c r="P217" s="2835"/>
      <c r="AH217" s="2842">
        <v>0</v>
      </c>
    </row>
    <row s="66903" customFormat="1" customHeight="1" ht="45" hidden="1">
      <c r="A218" s="2991" t="s">
        <v>193</v>
      </c>
      <c r="B218" s="2991" t="s">
        <v>194</v>
      </c>
      <c r="C218" s="1580"/>
      <c r="D218" s="3673"/>
      <c r="E218" s="3415"/>
      <c r="F218" s="359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3638" t="str">
        <f>INDEX(PT_DIFFERENTIATION_NTAR,MATCH(B218,PT_DIFFERENTIATION_NTAR_ID,0))</f>
        <v/>
      </c>
      <c r="H218" s="3073"/>
      <c r="I218" s="2950"/>
      <c r="J218" s="2984"/>
      <c r="K218" s="2989"/>
      <c r="L218" s="3073" t="s">
        <v>324</v>
      </c>
      <c r="M218" s="1552"/>
      <c r="N218" s="1545"/>
      <c r="O218" s="2835"/>
      <c r="P218" s="2835"/>
      <c r="AH218" s="2842">
        <v>0</v>
      </c>
    </row>
    <row s="66903" customFormat="1" customHeight="1" ht="18.75" hidden="1">
      <c r="A219" s="2991"/>
      <c r="B219" s="2991"/>
      <c r="C219" s="1580" t="s">
        <v>1356</v>
      </c>
      <c r="D219" s="3673"/>
      <c r="E219" s="3415"/>
      <c r="F219" s="3594"/>
      <c r="G219" s="3638"/>
      <c r="H219" s="2711"/>
      <c r="I219" s="1862" t="s">
        <v>1355</v>
      </c>
      <c r="J219" s="1782"/>
      <c r="K219" s="2711"/>
      <c r="L219" s="1425"/>
      <c r="M219" s="1552"/>
      <c r="N219" s="1545"/>
      <c r="O219" s="2835"/>
      <c r="P219" s="2835"/>
      <c r="AH219" s="2842">
        <v>0</v>
      </c>
    </row>
    <row s="66903" customFormat="1" customHeight="1" ht="0.75" hidden="1">
      <c r="A220" s="2991"/>
      <c r="B220" s="2991"/>
      <c r="C220" s="1580" t="s">
        <v>1363</v>
      </c>
      <c r="D220" s="3673"/>
      <c r="E220" s="3415"/>
      <c r="F220" s="3594"/>
      <c r="G220" s="1611"/>
      <c r="H220" s="2711"/>
      <c r="I220" s="1862"/>
      <c r="J220" s="1782"/>
      <c r="K220" s="2711"/>
      <c r="L220" s="1425"/>
      <c r="M220" s="1552"/>
      <c r="N220" s="1545"/>
      <c r="O220" s="2835"/>
      <c r="P220" s="2835"/>
      <c r="AH220" s="2842">
        <v>0</v>
      </c>
    </row>
    <row s="66903" customFormat="1" customHeight="1" ht="18.75" hidden="1">
      <c r="A221" s="2991" t="s">
        <v>199</v>
      </c>
      <c r="B221" s="2991" t="s">
        <v>200</v>
      </c>
      <c r="C221" s="1580"/>
      <c r="D221" s="3673"/>
      <c r="E221" s="3415"/>
      <c r="F221" s="3594" t="str">
        <f>INDEX(PT_DIFFERENTIATION_VTAR,MATCH(A221,PT_DIFFERENTIATION_VTAR_ID,0))</f>
        <v>Тарифы на услуги по передаче тепловой энергии</v>
      </c>
      <c r="G221" s="3638" t="str">
        <f>INDEX(PT_DIFFERENTIATION_NTAR,MATCH(B221,PT_DIFFERENTIATION_NTAR_ID,0))</f>
        <v/>
      </c>
      <c r="H221" s="3073"/>
      <c r="I221" s="2950"/>
      <c r="J221" s="2984"/>
      <c r="K221" s="2989"/>
      <c r="L221" s="3073" t="s">
        <v>324</v>
      </c>
      <c r="M221" s="1552"/>
      <c r="N221" s="1545"/>
      <c r="O221" s="2835"/>
      <c r="P221" s="2835"/>
      <c r="AH221" s="2842">
        <v>0</v>
      </c>
    </row>
    <row s="66903" customFormat="1" customHeight="1" ht="18.75" hidden="1">
      <c r="A222" s="2991"/>
      <c r="B222" s="2991"/>
      <c r="C222" s="1580" t="s">
        <v>1356</v>
      </c>
      <c r="D222" s="3673"/>
      <c r="E222" s="3415"/>
      <c r="F222" s="3594"/>
      <c r="G222" s="3638"/>
      <c r="H222" s="2711"/>
      <c r="I222" s="1862" t="s">
        <v>1355</v>
      </c>
      <c r="J222" s="1782"/>
      <c r="K222" s="2711"/>
      <c r="L222" s="1425"/>
      <c r="M222" s="1552"/>
      <c r="N222" s="1545"/>
      <c r="O222" s="2835"/>
      <c r="P222" s="2835"/>
      <c r="AH222" s="2842">
        <v>0</v>
      </c>
    </row>
    <row s="66903" customFormat="1" customHeight="1" ht="0.75" hidden="1">
      <c r="A223" s="2991"/>
      <c r="B223" s="2991"/>
      <c r="C223" s="1580" t="s">
        <v>1363</v>
      </c>
      <c r="D223" s="3673"/>
      <c r="E223" s="3415"/>
      <c r="F223" s="3594"/>
      <c r="G223" s="1611"/>
      <c r="H223" s="2711"/>
      <c r="I223" s="1862"/>
      <c r="J223" s="1782"/>
      <c r="K223" s="2711"/>
      <c r="L223" s="1425"/>
      <c r="M223" s="1552"/>
      <c r="N223" s="1545"/>
      <c r="O223" s="2835"/>
      <c r="P223" s="2835"/>
      <c r="AH223" s="2842">
        <v>0</v>
      </c>
    </row>
    <row s="66903" customFormat="1" customHeight="1" ht="18.75" hidden="1">
      <c r="A224" s="2991" t="s">
        <v>205</v>
      </c>
      <c r="B224" s="2991" t="s">
        <v>206</v>
      </c>
      <c r="C224" s="1580"/>
      <c r="D224" s="3673"/>
      <c r="E224" s="3415"/>
      <c r="F224" s="3594" t="str">
        <f>INDEX(PT_DIFFERENTIATION_VTAR,MATCH(A224,PT_DIFFERENTIATION_VTAR_ID,0))</f>
        <v>Тарифы на услуги по передаче теплоносителя</v>
      </c>
      <c r="G224" s="3638" t="str">
        <f>INDEX(PT_DIFFERENTIATION_NTAR,MATCH(B224,PT_DIFFERENTIATION_NTAR_ID,0))</f>
        <v/>
      </c>
      <c r="H224" s="3073"/>
      <c r="I224" s="2950"/>
      <c r="J224" s="2984"/>
      <c r="K224" s="2989"/>
      <c r="L224" s="3073" t="s">
        <v>324</v>
      </c>
      <c r="M224" s="1552"/>
      <c r="N224" s="1545"/>
      <c r="O224" s="2835"/>
      <c r="P224" s="2835"/>
      <c r="AH224" s="2842">
        <v>0</v>
      </c>
    </row>
    <row s="66903" customFormat="1" customHeight="1" ht="18.75" hidden="1">
      <c r="A225" s="2991"/>
      <c r="B225" s="2991"/>
      <c r="C225" s="1580" t="s">
        <v>1356</v>
      </c>
      <c r="D225" s="3673"/>
      <c r="E225" s="3415"/>
      <c r="F225" s="3594"/>
      <c r="G225" s="3638"/>
      <c r="H225" s="2711"/>
      <c r="I225" s="1862" t="s">
        <v>1355</v>
      </c>
      <c r="J225" s="1782"/>
      <c r="K225" s="2711"/>
      <c r="L225" s="1425"/>
      <c r="M225" s="1552"/>
      <c r="N225" s="1545"/>
      <c r="O225" s="2835"/>
      <c r="P225" s="2835"/>
      <c r="AH225" s="2842">
        <v>0</v>
      </c>
    </row>
    <row s="66903" customFormat="1" customHeight="1" ht="0.75" hidden="1">
      <c r="A226" s="2991"/>
      <c r="B226" s="2991"/>
      <c r="C226" s="1580" t="s">
        <v>1363</v>
      </c>
      <c r="D226" s="3673"/>
      <c r="E226" s="3415"/>
      <c r="F226" s="3594"/>
      <c r="G226" s="1611"/>
      <c r="H226" s="2711"/>
      <c r="I226" s="1862"/>
      <c r="J226" s="1782"/>
      <c r="K226" s="2711"/>
      <c r="L226" s="1425"/>
      <c r="M226" s="1552"/>
      <c r="N226" s="1545"/>
      <c r="O226" s="2835"/>
      <c r="P226" s="2835"/>
      <c r="AH226" s="2842">
        <v>0</v>
      </c>
    </row>
    <row s="66903" customFormat="1" customHeight="1" ht="18.75" hidden="1">
      <c r="A227" s="2991" t="s">
        <v>211</v>
      </c>
      <c r="B227" s="2991" t="s">
        <v>212</v>
      </c>
      <c r="C227" s="1580"/>
      <c r="D227" s="3673"/>
      <c r="E227" s="3415"/>
      <c r="F227" s="359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3638" t="str">
        <f>INDEX(PT_DIFFERENTIATION_NTAR,MATCH(B227,PT_DIFFERENTIATION_NTAR_ID,0))</f>
        <v/>
      </c>
      <c r="H227" s="3073"/>
      <c r="I227" s="2950"/>
      <c r="J227" s="2984"/>
      <c r="K227" s="2989"/>
      <c r="L227" s="3073" t="s">
        <v>324</v>
      </c>
      <c r="M227" s="1552"/>
      <c r="N227" s="1545"/>
      <c r="O227" s="2835"/>
      <c r="P227" s="2835"/>
      <c r="AH227" s="2842">
        <v>0</v>
      </c>
    </row>
    <row s="66903" customFormat="1" customHeight="1" ht="18.75" hidden="1">
      <c r="A228" s="2991"/>
      <c r="B228" s="2991"/>
      <c r="C228" s="1580" t="s">
        <v>1356</v>
      </c>
      <c r="D228" s="3673"/>
      <c r="E228" s="3415"/>
      <c r="F228" s="3594"/>
      <c r="G228" s="3638"/>
      <c r="H228" s="2711"/>
      <c r="I228" s="1862" t="s">
        <v>1355</v>
      </c>
      <c r="J228" s="1782"/>
      <c r="K228" s="2711"/>
      <c r="L228" s="1425"/>
      <c r="M228" s="1552"/>
      <c r="N228" s="1545"/>
      <c r="O228" s="2835"/>
      <c r="P228" s="2835"/>
      <c r="AH228" s="2842">
        <v>0</v>
      </c>
    </row>
    <row s="66903" customFormat="1" customHeight="1" ht="0.75" hidden="1">
      <c r="A229" s="2991"/>
      <c r="B229" s="2991"/>
      <c r="C229" s="1580" t="s">
        <v>1363</v>
      </c>
      <c r="D229" s="3673"/>
      <c r="E229" s="3415"/>
      <c r="F229" s="3594"/>
      <c r="G229" s="1611"/>
      <c r="H229" s="2711"/>
      <c r="I229" s="1862"/>
      <c r="J229" s="1782"/>
      <c r="K229" s="2711"/>
      <c r="L229" s="1425"/>
      <c r="M229" s="1552"/>
      <c r="N229" s="1545"/>
      <c r="O229" s="2835"/>
      <c r="P229" s="2835"/>
      <c r="AH229" s="2842">
        <v>0</v>
      </c>
    </row>
    <row s="66903" customFormat="1" customHeight="1" ht="18.75" hidden="1">
      <c r="A230" s="2991" t="s">
        <v>217</v>
      </c>
      <c r="B230" s="2991" t="s">
        <v>218</v>
      </c>
      <c r="C230" s="1580"/>
      <c r="D230" s="3673"/>
      <c r="E230" s="3415"/>
      <c r="F230" s="3594" t="str">
        <f>INDEX(PT_DIFFERENTIATION_VTAR,MATCH(A230,PT_DIFFERENTIATION_VTAR_ID,0))</f>
        <v>Плата за подключение (технологическое присоединение) к системе теплоснабжения</v>
      </c>
      <c r="G230" s="3638" t="str">
        <f>INDEX(PT_DIFFERENTIATION_NTAR,MATCH(B230,PT_DIFFERENTIATION_NTAR_ID,0))</f>
        <v/>
      </c>
      <c r="H230" s="3073"/>
      <c r="I230" s="2950"/>
      <c r="J230" s="2984"/>
      <c r="K230" s="2989"/>
      <c r="L230" s="3073" t="s">
        <v>324</v>
      </c>
      <c r="M230" s="1552"/>
      <c r="N230" s="1545"/>
      <c r="O230" s="2835"/>
      <c r="P230" s="2835"/>
      <c r="AH230" s="2842">
        <v>0</v>
      </c>
    </row>
    <row s="66903" customFormat="1" customHeight="1" ht="18.75" hidden="1">
      <c r="A231" s="2991"/>
      <c r="B231" s="2991"/>
      <c r="C231" s="1580" t="s">
        <v>1356</v>
      </c>
      <c r="D231" s="3673"/>
      <c r="E231" s="3415"/>
      <c r="F231" s="3594"/>
      <c r="G231" s="3638"/>
      <c r="H231" s="2711"/>
      <c r="I231" s="1862" t="s">
        <v>1355</v>
      </c>
      <c r="J231" s="1782"/>
      <c r="K231" s="2711"/>
      <c r="L231" s="1425"/>
      <c r="M231" s="1552"/>
      <c r="N231" s="1545"/>
      <c r="O231" s="2835"/>
      <c r="P231" s="2835"/>
      <c r="AH231" s="2842">
        <v>0</v>
      </c>
    </row>
    <row s="66903" customFormat="1" customHeight="1" ht="0.75" hidden="1">
      <c r="A232" s="2991"/>
      <c r="B232" s="2991"/>
      <c r="C232" s="1580" t="s">
        <v>1363</v>
      </c>
      <c r="D232" s="3673"/>
      <c r="E232" s="3415"/>
      <c r="F232" s="3594"/>
      <c r="G232" s="1611"/>
      <c r="H232" s="2711"/>
      <c r="I232" s="1862"/>
      <c r="J232" s="1782"/>
      <c r="K232" s="2711"/>
      <c r="L232" s="1425"/>
      <c r="M232" s="1552"/>
      <c r="N232" s="1545"/>
      <c r="O232" s="2835"/>
      <c r="P232" s="2835"/>
      <c r="AH232" s="2842">
        <v>0</v>
      </c>
    </row>
    <row s="66903" customFormat="1" customHeight="1" ht="18.75" hidden="1">
      <c r="A233" s="2991" t="s">
        <v>223</v>
      </c>
      <c r="B233" s="2991" t="s">
        <v>224</v>
      </c>
      <c r="C233" s="1580"/>
      <c r="D233" s="3673"/>
      <c r="E233" s="3415"/>
      <c r="F233" s="3594" t="str">
        <f>INDEX(PT_DIFFERENTIATION_VTAR,MATCH(A233,PT_DIFFERENTIATION_VTAR_ID,0))</f>
        <v>Плата за подключение (технологическое присоединение) к системе теплоснабжения (индивидуальная)</v>
      </c>
      <c r="G233" s="3638" t="str">
        <f>INDEX(PT_DIFFERENTIATION_NTAR,MATCH(B233,PT_DIFFERENTIATION_NTAR_ID,0))</f>
        <v/>
      </c>
      <c r="H233" s="3200"/>
      <c r="I233" s="2950"/>
      <c r="J233" s="2984"/>
      <c r="K233" s="2989"/>
      <c r="L233" s="3200" t="s">
        <v>324</v>
      </c>
      <c r="M233" s="1552"/>
      <c r="N233" s="1545"/>
      <c r="O233" s="2835"/>
      <c r="P233" s="2835"/>
      <c r="AH233" s="2842">
        <v>0</v>
      </c>
    </row>
    <row s="66903" customFormat="1" customHeight="1" ht="18.75" hidden="1">
      <c r="A234" s="2991"/>
      <c r="B234" s="2991"/>
      <c r="C234" s="1580" t="s">
        <v>1356</v>
      </c>
      <c r="D234" s="3673"/>
      <c r="E234" s="3415"/>
      <c r="F234" s="3594"/>
      <c r="G234" s="3638"/>
      <c r="H234" s="2711"/>
      <c r="I234" s="1862" t="s">
        <v>1355</v>
      </c>
      <c r="J234" s="1782"/>
      <c r="K234" s="2711"/>
      <c r="L234" s="1425"/>
      <c r="M234" s="1552"/>
      <c r="N234" s="1545"/>
      <c r="O234" s="2835"/>
      <c r="P234" s="2835"/>
      <c r="AH234" s="2842">
        <v>0</v>
      </c>
    </row>
    <row s="66903" customFormat="1" customHeight="1" ht="0.75" hidden="1">
      <c r="A235" s="2991"/>
      <c r="B235" s="2991"/>
      <c r="C235" s="1580" t="s">
        <v>1363</v>
      </c>
      <c r="D235" s="3673"/>
      <c r="E235" s="3415"/>
      <c r="F235" s="3594"/>
      <c r="G235" s="1611"/>
      <c r="H235" s="2711"/>
      <c r="I235" s="1862"/>
      <c r="J235" s="1782"/>
      <c r="K235" s="2711"/>
      <c r="L235" s="1425"/>
      <c r="M235" s="1552"/>
      <c r="N235" s="1545"/>
      <c r="O235" s="2835"/>
      <c r="P235" s="2835"/>
      <c r="AH235" s="2842">
        <v>0</v>
      </c>
    </row>
    <row s="66903" customFormat="1" customHeight="1" ht="18.75" hidden="1">
      <c r="A236" s="2991" t="s">
        <v>243</v>
      </c>
      <c r="B236" s="2991" t="s">
        <v>244</v>
      </c>
      <c r="C236" s="1580"/>
      <c r="D236" s="3673"/>
      <c r="E236" s="3415"/>
      <c r="F236" s="3594" t="str">
        <f>INDEX(PT_DIFFERENTIATION_VTAR,MATCH(A236,PT_DIFFERENTIATION_VTAR_ID,0))</f>
        <v>Тариф на питьевую воду (питьевое водоснабжение)</v>
      </c>
      <c r="G236" s="3638" t="str">
        <f>INDEX(PT_DIFFERENTIATION_NTAR,MATCH(B236,PT_DIFFERENTIATION_NTAR_ID,0))</f>
        <v/>
      </c>
      <c r="H236" s="3073"/>
      <c r="I236" s="2950"/>
      <c r="J236" s="2984"/>
      <c r="K236" s="2989"/>
      <c r="L236" s="3073" t="s">
        <v>324</v>
      </c>
      <c r="M236" s="1552"/>
      <c r="N236" s="1545"/>
      <c r="O236" s="2835"/>
      <c r="P236" s="2835"/>
      <c r="AH236" s="2842">
        <v>0</v>
      </c>
    </row>
    <row s="66903" customFormat="1" customHeight="1" ht="18.75" hidden="1">
      <c r="A237" s="2991"/>
      <c r="B237" s="2991"/>
      <c r="C237" s="1580" t="s">
        <v>1356</v>
      </c>
      <c r="D237" s="3673"/>
      <c r="E237" s="3415"/>
      <c r="F237" s="3594"/>
      <c r="G237" s="3638"/>
      <c r="H237" s="2711"/>
      <c r="I237" s="1862" t="s">
        <v>1355</v>
      </c>
      <c r="J237" s="1782"/>
      <c r="K237" s="2711"/>
      <c r="L237" s="1425"/>
      <c r="M237" s="1552"/>
      <c r="N237" s="1545"/>
      <c r="O237" s="2835"/>
      <c r="P237" s="2835"/>
      <c r="AH237" s="2842">
        <v>0</v>
      </c>
    </row>
    <row s="66903" customFormat="1" customHeight="1" ht="0.75" hidden="1">
      <c r="A238" s="2991"/>
      <c r="B238" s="2991"/>
      <c r="C238" s="1580" t="s">
        <v>1363</v>
      </c>
      <c r="D238" s="3673"/>
      <c r="E238" s="3415"/>
      <c r="F238" s="3594"/>
      <c r="G238" s="1611"/>
      <c r="H238" s="2711"/>
      <c r="I238" s="1862"/>
      <c r="J238" s="1782"/>
      <c r="K238" s="2711"/>
      <c r="L238" s="1425"/>
      <c r="M238" s="1552"/>
      <c r="N238" s="1545"/>
      <c r="O238" s="2835"/>
      <c r="P238" s="2835"/>
      <c r="AH238" s="2842">
        <v>0</v>
      </c>
    </row>
    <row s="66903" customFormat="1" customHeight="1" ht="18.75" hidden="1">
      <c r="A239" s="2991" t="s">
        <v>248</v>
      </c>
      <c r="B239" s="2991" t="s">
        <v>249</v>
      </c>
      <c r="C239" s="1580"/>
      <c r="D239" s="3673"/>
      <c r="E239" s="3415"/>
      <c r="F239" s="3594" t="str">
        <f>INDEX(PT_DIFFERENTIATION_VTAR,MATCH(A239,PT_DIFFERENTIATION_VTAR_ID,0))</f>
        <v>Тариф на техническую воду</v>
      </c>
      <c r="G239" s="3638" t="str">
        <f>INDEX(PT_DIFFERENTIATION_NTAR,MATCH(B239,PT_DIFFERENTIATION_NTAR_ID,0))</f>
        <v/>
      </c>
      <c r="H239" s="3073"/>
      <c r="I239" s="2950"/>
      <c r="J239" s="2984"/>
      <c r="K239" s="2989"/>
      <c r="L239" s="3073" t="s">
        <v>324</v>
      </c>
      <c r="M239" s="1552"/>
      <c r="N239" s="1545"/>
      <c r="O239" s="2835"/>
      <c r="P239" s="2835"/>
      <c r="AH239" s="2842">
        <v>0</v>
      </c>
    </row>
    <row s="66903" customFormat="1" customHeight="1" ht="18.75" hidden="1">
      <c r="A240" s="2991"/>
      <c r="B240" s="2991"/>
      <c r="C240" s="1580" t="s">
        <v>1356</v>
      </c>
      <c r="D240" s="3673"/>
      <c r="E240" s="3415"/>
      <c r="F240" s="3594"/>
      <c r="G240" s="3638"/>
      <c r="H240" s="2711"/>
      <c r="I240" s="1862" t="s">
        <v>1355</v>
      </c>
      <c r="J240" s="1782"/>
      <c r="K240" s="2711"/>
      <c r="L240" s="1425"/>
      <c r="M240" s="1552"/>
      <c r="N240" s="1545"/>
      <c r="O240" s="2835"/>
      <c r="P240" s="2835"/>
      <c r="AH240" s="2842">
        <v>0</v>
      </c>
    </row>
    <row s="66903" customFormat="1" customHeight="1" ht="0.75" hidden="1">
      <c r="A241" s="2991"/>
      <c r="B241" s="2991"/>
      <c r="C241" s="1580" t="s">
        <v>1363</v>
      </c>
      <c r="D241" s="3673"/>
      <c r="E241" s="3415"/>
      <c r="F241" s="3594"/>
      <c r="G241" s="1611"/>
      <c r="H241" s="2711"/>
      <c r="I241" s="1862"/>
      <c r="J241" s="1782"/>
      <c r="K241" s="2711"/>
      <c r="L241" s="1425"/>
      <c r="M241" s="1552"/>
      <c r="N241" s="1545"/>
      <c r="O241" s="2835"/>
      <c r="P241" s="2835"/>
      <c r="AH241" s="2842">
        <v>0</v>
      </c>
    </row>
    <row s="66903" customFormat="1" customHeight="1" ht="18.75" hidden="1">
      <c r="A242" s="2991" t="s">
        <v>253</v>
      </c>
      <c r="B242" s="2991" t="s">
        <v>254</v>
      </c>
      <c r="C242" s="1580"/>
      <c r="D242" s="3673"/>
      <c r="E242" s="3415"/>
      <c r="F242" s="3594" t="str">
        <f>INDEX(PT_DIFFERENTIATION_VTAR,MATCH(A242,PT_DIFFERENTIATION_VTAR_ID,0))</f>
        <v>Тариф на транспортировку воды</v>
      </c>
      <c r="G242" s="3638" t="str">
        <f>INDEX(PT_DIFFERENTIATION_NTAR,MATCH(B242,PT_DIFFERENTIATION_NTAR_ID,0))</f>
        <v/>
      </c>
      <c r="H242" s="3073"/>
      <c r="I242" s="2950"/>
      <c r="J242" s="2984"/>
      <c r="K242" s="2989"/>
      <c r="L242" s="3073" t="s">
        <v>324</v>
      </c>
      <c r="M242" s="1552"/>
      <c r="N242" s="1545"/>
      <c r="O242" s="2835"/>
      <c r="P242" s="2835"/>
      <c r="AH242" s="2842">
        <v>0</v>
      </c>
    </row>
    <row s="66903" customFormat="1" customHeight="1" ht="18.75" hidden="1">
      <c r="A243" s="2991"/>
      <c r="B243" s="2991"/>
      <c r="C243" s="1580" t="s">
        <v>1356</v>
      </c>
      <c r="D243" s="3673"/>
      <c r="E243" s="3415"/>
      <c r="F243" s="3594"/>
      <c r="G243" s="3638"/>
      <c r="H243" s="2711"/>
      <c r="I243" s="1862" t="s">
        <v>1355</v>
      </c>
      <c r="J243" s="1782"/>
      <c r="K243" s="2711"/>
      <c r="L243" s="1425"/>
      <c r="M243" s="1552"/>
      <c r="N243" s="1545"/>
      <c r="O243" s="2835"/>
      <c r="P243" s="2835"/>
      <c r="AH243" s="2842">
        <v>0</v>
      </c>
    </row>
    <row s="66903" customFormat="1" customHeight="1" ht="0.75" hidden="1">
      <c r="A244" s="2991"/>
      <c r="B244" s="2991"/>
      <c r="C244" s="1580" t="s">
        <v>1363</v>
      </c>
      <c r="D244" s="3673"/>
      <c r="E244" s="3415"/>
      <c r="F244" s="3594"/>
      <c r="G244" s="1611"/>
      <c r="H244" s="2711"/>
      <c r="I244" s="1862"/>
      <c r="J244" s="1782"/>
      <c r="K244" s="2711"/>
      <c r="L244" s="1425"/>
      <c r="M244" s="1552"/>
      <c r="N244" s="1545"/>
      <c r="O244" s="2835"/>
      <c r="P244" s="2835"/>
      <c r="AH244" s="2842">
        <v>0</v>
      </c>
    </row>
    <row s="66903" customFormat="1" customHeight="1" ht="18.75" hidden="1">
      <c r="A245" s="2991" t="s">
        <v>258</v>
      </c>
      <c r="B245" s="2991" t="s">
        <v>259</v>
      </c>
      <c r="C245" s="1580"/>
      <c r="D245" s="3673"/>
      <c r="E245" s="3415"/>
      <c r="F245" s="3594" t="str">
        <f>INDEX(PT_DIFFERENTIATION_VTAR,MATCH(A245,PT_DIFFERENTIATION_VTAR_ID,0))</f>
        <v>Тариф на подвоз воды</v>
      </c>
      <c r="G245" s="3638" t="str">
        <f>INDEX(PT_DIFFERENTIATION_NTAR,MATCH(B245,PT_DIFFERENTIATION_NTAR_ID,0))</f>
        <v/>
      </c>
      <c r="H245" s="3073"/>
      <c r="I245" s="2950"/>
      <c r="J245" s="2984"/>
      <c r="K245" s="2989"/>
      <c r="L245" s="3073" t="s">
        <v>324</v>
      </c>
      <c r="M245" s="1552"/>
      <c r="N245" s="1545"/>
      <c r="O245" s="2835"/>
      <c r="P245" s="2835"/>
      <c r="AH245" s="2842">
        <v>0</v>
      </c>
    </row>
    <row s="66903" customFormat="1" customHeight="1" ht="18.75" hidden="1">
      <c r="A246" s="2991"/>
      <c r="B246" s="2991"/>
      <c r="C246" s="1580" t="s">
        <v>1356</v>
      </c>
      <c r="D246" s="3673"/>
      <c r="E246" s="3415"/>
      <c r="F246" s="3594"/>
      <c r="G246" s="3638"/>
      <c r="H246" s="2711"/>
      <c r="I246" s="1862" t="s">
        <v>1355</v>
      </c>
      <c r="J246" s="1782"/>
      <c r="K246" s="2711"/>
      <c r="L246" s="1425"/>
      <c r="M246" s="1552"/>
      <c r="N246" s="1545"/>
      <c r="O246" s="2835"/>
      <c r="P246" s="2835"/>
      <c r="AH246" s="2842">
        <v>0</v>
      </c>
    </row>
    <row s="66903" customFormat="1" customHeight="1" ht="0.75" hidden="1">
      <c r="A247" s="2991"/>
      <c r="B247" s="2991"/>
      <c r="C247" s="1580" t="s">
        <v>1363</v>
      </c>
      <c r="D247" s="3673"/>
      <c r="E247" s="3415"/>
      <c r="F247" s="3594"/>
      <c r="G247" s="1611"/>
      <c r="H247" s="2711"/>
      <c r="I247" s="1862"/>
      <c r="J247" s="1782"/>
      <c r="K247" s="2711"/>
      <c r="L247" s="1425"/>
      <c r="M247" s="1552"/>
      <c r="N247" s="1545"/>
      <c r="O247" s="2835"/>
      <c r="P247" s="2835"/>
      <c r="AH247" s="2842">
        <v>0</v>
      </c>
    </row>
    <row s="66903" customFormat="1" customHeight="1" ht="18.75" hidden="1">
      <c r="A248" s="2991" t="s">
        <v>263</v>
      </c>
      <c r="B248" s="2991" t="s">
        <v>264</v>
      </c>
      <c r="C248" s="1580"/>
      <c r="D248" s="3673"/>
      <c r="E248" s="3415"/>
      <c r="F248" s="359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3638" t="str">
        <f>INDEX(PT_DIFFERENTIATION_NTAR,MATCH(B248,PT_DIFFERENTIATION_NTAR_ID,0))</f>
        <v/>
      </c>
      <c r="H248" s="3073"/>
      <c r="I248" s="2950"/>
      <c r="J248" s="2984"/>
      <c r="K248" s="2989"/>
      <c r="L248" s="3073" t="s">
        <v>324</v>
      </c>
      <c r="M248" s="1552"/>
      <c r="N248" s="1545"/>
      <c r="O248" s="2835"/>
      <c r="P248" s="2835"/>
      <c r="AH248" s="2842">
        <v>0</v>
      </c>
    </row>
    <row s="66903" customFormat="1" customHeight="1" ht="18.75" hidden="1">
      <c r="A249" s="2991"/>
      <c r="B249" s="2991"/>
      <c r="C249" s="1580" t="s">
        <v>1356</v>
      </c>
      <c r="D249" s="3673"/>
      <c r="E249" s="3415"/>
      <c r="F249" s="3594"/>
      <c r="G249" s="3638"/>
      <c r="H249" s="2711"/>
      <c r="I249" s="1862" t="s">
        <v>1355</v>
      </c>
      <c r="J249" s="1782"/>
      <c r="K249" s="2711"/>
      <c r="L249" s="1425"/>
      <c r="M249" s="1552"/>
      <c r="N249" s="1545"/>
      <c r="O249" s="2835"/>
      <c r="P249" s="2835"/>
      <c r="AH249" s="2842">
        <v>0</v>
      </c>
    </row>
    <row s="66903" customFormat="1" customHeight="1" ht="0.75" hidden="1">
      <c r="A250" s="2991"/>
      <c r="B250" s="2991"/>
      <c r="C250" s="1580" t="s">
        <v>1363</v>
      </c>
      <c r="D250" s="3673"/>
      <c r="E250" s="3415"/>
      <c r="F250" s="3594"/>
      <c r="G250" s="1611"/>
      <c r="H250" s="2711"/>
      <c r="I250" s="1862"/>
      <c r="J250" s="1782"/>
      <c r="K250" s="2711"/>
      <c r="L250" s="1425"/>
      <c r="M250" s="1552"/>
      <c r="N250" s="1545"/>
      <c r="O250" s="2835"/>
      <c r="P250" s="2835"/>
      <c r="AH250" s="2842">
        <v>0</v>
      </c>
    </row>
    <row s="66903" customFormat="1" customHeight="1" ht="18.75" hidden="1">
      <c r="A251" s="2991" t="s">
        <v>268</v>
      </c>
      <c r="B251" s="2991" t="s">
        <v>269</v>
      </c>
      <c r="C251" s="1580"/>
      <c r="D251" s="3673"/>
      <c r="E251" s="3415"/>
      <c r="F251" s="3594" t="str">
        <f>INDEX(PT_DIFFERENTIATION_VTAR,MATCH(A251,PT_DIFFERENTIATION_VTAR_ID,0))</f>
        <v>Тариф на горячую воду (горячее водоснабжение)</v>
      </c>
      <c r="G251" s="3638" t="str">
        <f>INDEX(PT_DIFFERENTIATION_NTAR,MATCH(B251,PT_DIFFERENTIATION_NTAR_ID,0))</f>
        <v/>
      </c>
      <c r="H251" s="3073"/>
      <c r="I251" s="2950"/>
      <c r="J251" s="2984"/>
      <c r="K251" s="2989"/>
      <c r="L251" s="3073" t="s">
        <v>324</v>
      </c>
      <c r="M251" s="1552"/>
      <c r="N251" s="1545"/>
      <c r="O251" s="2835"/>
      <c r="P251" s="2835"/>
      <c r="AH251" s="2842">
        <v>0</v>
      </c>
    </row>
    <row s="66903" customFormat="1" customHeight="1" ht="18.75" hidden="1">
      <c r="A252" s="2991"/>
      <c r="B252" s="2991"/>
      <c r="C252" s="1580" t="s">
        <v>1356</v>
      </c>
      <c r="D252" s="3673"/>
      <c r="E252" s="3415"/>
      <c r="F252" s="3594"/>
      <c r="G252" s="3638"/>
      <c r="H252" s="2711"/>
      <c r="I252" s="1862" t="s">
        <v>1355</v>
      </c>
      <c r="J252" s="1782"/>
      <c r="K252" s="2711"/>
      <c r="L252" s="1425"/>
      <c r="M252" s="1552"/>
      <c r="N252" s="1545"/>
      <c r="O252" s="2835"/>
      <c r="P252" s="2835"/>
      <c r="AH252" s="2842">
        <v>0</v>
      </c>
    </row>
    <row s="66903" customFormat="1" customHeight="1" ht="0.75" hidden="1">
      <c r="A253" s="2991"/>
      <c r="B253" s="2991"/>
      <c r="C253" s="1580" t="s">
        <v>1363</v>
      </c>
      <c r="D253" s="3673"/>
      <c r="E253" s="3415"/>
      <c r="F253" s="3594"/>
      <c r="G253" s="1611"/>
      <c r="H253" s="2711"/>
      <c r="I253" s="1862"/>
      <c r="J253" s="1782"/>
      <c r="K253" s="2711"/>
      <c r="L253" s="1425"/>
      <c r="M253" s="1552"/>
      <c r="N253" s="1545"/>
      <c r="O253" s="2835"/>
      <c r="P253" s="2835"/>
      <c r="AH253" s="2842">
        <v>0</v>
      </c>
    </row>
    <row s="66903" customFormat="1" customHeight="1" ht="18.75" hidden="1">
      <c r="A254" s="2991" t="s">
        <v>273</v>
      </c>
      <c r="B254" s="2991" t="s">
        <v>274</v>
      </c>
      <c r="C254" s="1580"/>
      <c r="D254" s="3673"/>
      <c r="E254" s="3415"/>
      <c r="F254" s="3594" t="str">
        <f>INDEX(PT_DIFFERENTIATION_VTAR,MATCH(A254,PT_DIFFERENTIATION_VTAR_ID,0))</f>
        <v>Тариф на транспортировку горячей воды</v>
      </c>
      <c r="G254" s="3638" t="str">
        <f>INDEX(PT_DIFFERENTIATION_NTAR,MATCH(B254,PT_DIFFERENTIATION_NTAR_ID,0))</f>
        <v/>
      </c>
      <c r="H254" s="3073"/>
      <c r="I254" s="2950"/>
      <c r="J254" s="2984"/>
      <c r="K254" s="2989"/>
      <c r="L254" s="3073" t="s">
        <v>324</v>
      </c>
      <c r="M254" s="1552"/>
      <c r="N254" s="1545"/>
      <c r="O254" s="2835"/>
      <c r="P254" s="2835"/>
      <c r="AH254" s="2842">
        <v>0</v>
      </c>
    </row>
    <row s="66903" customFormat="1" customHeight="1" ht="18.75" hidden="1">
      <c r="A255" s="2991"/>
      <c r="B255" s="2991"/>
      <c r="C255" s="1580" t="s">
        <v>1356</v>
      </c>
      <c r="D255" s="3673"/>
      <c r="E255" s="3415"/>
      <c r="F255" s="3594"/>
      <c r="G255" s="3638"/>
      <c r="H255" s="2711"/>
      <c r="I255" s="1862" t="s">
        <v>1355</v>
      </c>
      <c r="J255" s="1782"/>
      <c r="K255" s="2711"/>
      <c r="L255" s="1425"/>
      <c r="M255" s="1552"/>
      <c r="N255" s="1545"/>
      <c r="O255" s="2835"/>
      <c r="P255" s="2835"/>
      <c r="AH255" s="2842">
        <v>0</v>
      </c>
    </row>
    <row s="66903" customFormat="1" customHeight="1" ht="0.75" hidden="1">
      <c r="A256" s="2991"/>
      <c r="B256" s="2991"/>
      <c r="C256" s="1580" t="s">
        <v>1363</v>
      </c>
      <c r="D256" s="3673"/>
      <c r="E256" s="3415"/>
      <c r="F256" s="3594"/>
      <c r="G256" s="1611"/>
      <c r="H256" s="2711"/>
      <c r="I256" s="1862"/>
      <c r="J256" s="1782"/>
      <c r="K256" s="2711"/>
      <c r="L256" s="1425"/>
      <c r="M256" s="1552"/>
      <c r="N256" s="1545"/>
      <c r="O256" s="2835"/>
      <c r="P256" s="2835"/>
      <c r="AH256" s="2842">
        <v>0</v>
      </c>
    </row>
    <row s="66903" customFormat="1" customHeight="1" ht="18.75" hidden="1">
      <c r="A257" s="2991" t="s">
        <v>278</v>
      </c>
      <c r="B257" s="2991" t="s">
        <v>279</v>
      </c>
      <c r="C257" s="1580"/>
      <c r="D257" s="3673"/>
      <c r="E257" s="3415"/>
      <c r="F257" s="3594" t="str">
        <f>INDEX(PT_DIFFERENTIATION_VTAR,MATCH(A257,PT_DIFFERENTIATION_VTAR_ID,0))</f>
        <v>Тариф на подключение (технологическое присоединение) к централизованной системе горячего водоснабжения</v>
      </c>
      <c r="G257" s="3638" t="str">
        <f>INDEX(PT_DIFFERENTIATION_NTAR,MATCH(B257,PT_DIFFERENTIATION_NTAR_ID,0))</f>
        <v/>
      </c>
      <c r="H257" s="3073"/>
      <c r="I257" s="2950"/>
      <c r="J257" s="2984"/>
      <c r="K257" s="2989"/>
      <c r="L257" s="3073" t="s">
        <v>324</v>
      </c>
      <c r="M257" s="1552"/>
      <c r="N257" s="1545"/>
      <c r="O257" s="2835"/>
      <c r="P257" s="2835"/>
      <c r="AH257" s="2842">
        <v>0</v>
      </c>
    </row>
    <row s="66903" customFormat="1" customHeight="1" ht="18.75" hidden="1">
      <c r="A258" s="2991"/>
      <c r="B258" s="2991"/>
      <c r="C258" s="1580" t="s">
        <v>1356</v>
      </c>
      <c r="D258" s="3673"/>
      <c r="E258" s="3415"/>
      <c r="F258" s="3594"/>
      <c r="G258" s="3638"/>
      <c r="H258" s="2711"/>
      <c r="I258" s="1862" t="s">
        <v>1355</v>
      </c>
      <c r="J258" s="1782"/>
      <c r="K258" s="2711"/>
      <c r="L258" s="1425"/>
      <c r="M258" s="1552"/>
      <c r="N258" s="1545"/>
      <c r="O258" s="2835"/>
      <c r="P258" s="2835"/>
      <c r="AH258" s="2842">
        <v>0</v>
      </c>
    </row>
    <row s="66903" customFormat="1" customHeight="1" ht="0.75" hidden="1">
      <c r="A259" s="2991"/>
      <c r="B259" s="2991"/>
      <c r="C259" s="1580" t="s">
        <v>1363</v>
      </c>
      <c r="D259" s="3673"/>
      <c r="E259" s="3415"/>
      <c r="F259" s="3594"/>
      <c r="G259" s="1611"/>
      <c r="H259" s="2711"/>
      <c r="I259" s="1862"/>
      <c r="J259" s="1782"/>
      <c r="K259" s="2711"/>
      <c r="L259" s="1425"/>
      <c r="M259" s="1552"/>
      <c r="N259" s="1545"/>
      <c r="O259" s="2835"/>
      <c r="P259" s="2835"/>
      <c r="AH259" s="2842">
        <v>0</v>
      </c>
    </row>
    <row s="66903" customFormat="1" customHeight="1" ht="18.75" hidden="1">
      <c r="A260" s="2991" t="s">
        <v>283</v>
      </c>
      <c r="B260" s="2991" t="s">
        <v>284</v>
      </c>
      <c r="C260" s="1580"/>
      <c r="D260" s="3673"/>
      <c r="E260" s="3415"/>
      <c r="F260" s="3594" t="str">
        <f>INDEX(PT_DIFFERENTIATION_VTAR,MATCH(A260,PT_DIFFERENTIATION_VTAR_ID,0))</f>
        <v>Тариф на водоотведение</v>
      </c>
      <c r="G260" s="3638" t="str">
        <f>INDEX(PT_DIFFERENTIATION_NTAR,MATCH(B260,PT_DIFFERENTIATION_NTAR_ID,0))</f>
        <v/>
      </c>
      <c r="H260" s="3073"/>
      <c r="I260" s="2950"/>
      <c r="J260" s="2984"/>
      <c r="K260" s="2989"/>
      <c r="L260" s="3073" t="s">
        <v>324</v>
      </c>
      <c r="M260" s="1552"/>
      <c r="N260" s="1545"/>
      <c r="O260" s="2835"/>
      <c r="P260" s="2835"/>
      <c r="AH260" s="2842">
        <v>0</v>
      </c>
    </row>
    <row s="66903" customFormat="1" customHeight="1" ht="18.75" hidden="1">
      <c r="A261" s="2991"/>
      <c r="B261" s="2991"/>
      <c r="C261" s="1580" t="s">
        <v>1356</v>
      </c>
      <c r="D261" s="3673"/>
      <c r="E261" s="3415"/>
      <c r="F261" s="3594"/>
      <c r="G261" s="3638"/>
      <c r="H261" s="2711"/>
      <c r="I261" s="1862" t="s">
        <v>1355</v>
      </c>
      <c r="J261" s="1782"/>
      <c r="K261" s="2711"/>
      <c r="L261" s="1425"/>
      <c r="M261" s="1552"/>
      <c r="N261" s="1545"/>
      <c r="O261" s="2835"/>
      <c r="P261" s="2835"/>
      <c r="AH261" s="2842">
        <v>0</v>
      </c>
    </row>
    <row s="66903" customFormat="1" customHeight="1" ht="0.75" hidden="1">
      <c r="A262" s="2991"/>
      <c r="B262" s="2991"/>
      <c r="C262" s="1580" t="s">
        <v>1363</v>
      </c>
      <c r="D262" s="3673"/>
      <c r="E262" s="3415"/>
      <c r="F262" s="3594"/>
      <c r="G262" s="1611"/>
      <c r="H262" s="2711"/>
      <c r="I262" s="1862"/>
      <c r="J262" s="1782"/>
      <c r="K262" s="2711"/>
      <c r="L262" s="1425"/>
      <c r="M262" s="1552"/>
      <c r="N262" s="1545"/>
      <c r="O262" s="2835"/>
      <c r="P262" s="2835"/>
      <c r="AH262" s="2842">
        <v>0</v>
      </c>
    </row>
    <row s="66903" customFormat="1" customHeight="1" ht="18.75" hidden="1">
      <c r="A263" s="2991" t="s">
        <v>288</v>
      </c>
      <c r="B263" s="2991" t="s">
        <v>289</v>
      </c>
      <c r="C263" s="1580"/>
      <c r="D263" s="3673"/>
      <c r="E263" s="3415"/>
      <c r="F263" s="3594" t="str">
        <f>INDEX(PT_DIFFERENTIATION_VTAR,MATCH(A263,PT_DIFFERENTIATION_VTAR_ID,0))</f>
        <v>Тариф на транспортировку сточных вод</v>
      </c>
      <c r="G263" s="3638" t="str">
        <f>INDEX(PT_DIFFERENTIATION_NTAR,MATCH(B263,PT_DIFFERENTIATION_NTAR_ID,0))</f>
        <v/>
      </c>
      <c r="H263" s="3073"/>
      <c r="I263" s="2950"/>
      <c r="J263" s="2984"/>
      <c r="K263" s="2989"/>
      <c r="L263" s="3073" t="s">
        <v>324</v>
      </c>
      <c r="M263" s="1552"/>
      <c r="N263" s="1545"/>
      <c r="O263" s="2835"/>
      <c r="P263" s="2835"/>
      <c r="AH263" s="2842">
        <v>0</v>
      </c>
    </row>
    <row s="66903" customFormat="1" customHeight="1" ht="18.75" hidden="1">
      <c r="A264" s="2991"/>
      <c r="B264" s="2991"/>
      <c r="C264" s="1580" t="s">
        <v>1356</v>
      </c>
      <c r="D264" s="3673"/>
      <c r="E264" s="3415"/>
      <c r="F264" s="3594"/>
      <c r="G264" s="3638"/>
      <c r="H264" s="2711"/>
      <c r="I264" s="1862" t="s">
        <v>1355</v>
      </c>
      <c r="J264" s="1782"/>
      <c r="K264" s="2711"/>
      <c r="L264" s="1425"/>
      <c r="M264" s="1552"/>
      <c r="N264" s="1545"/>
      <c r="O264" s="2835"/>
      <c r="P264" s="2835"/>
      <c r="AH264" s="2842">
        <v>0</v>
      </c>
    </row>
    <row s="66903" customFormat="1" customHeight="1" ht="0.75" hidden="1">
      <c r="A265" s="2991"/>
      <c r="B265" s="2991"/>
      <c r="C265" s="1580" t="s">
        <v>1363</v>
      </c>
      <c r="D265" s="3673"/>
      <c r="E265" s="3415"/>
      <c r="F265" s="3594"/>
      <c r="G265" s="1611"/>
      <c r="H265" s="2711"/>
      <c r="I265" s="1862"/>
      <c r="J265" s="1782"/>
      <c r="K265" s="2711"/>
      <c r="L265" s="1425"/>
      <c r="M265" s="1552"/>
      <c r="N265" s="1545"/>
      <c r="O265" s="2835"/>
      <c r="P265" s="2835"/>
      <c r="AH265" s="2842">
        <v>0</v>
      </c>
    </row>
    <row s="66903" customFormat="1" customHeight="1" ht="18.75" hidden="1">
      <c r="A266" s="2991" t="s">
        <v>293</v>
      </c>
      <c r="B266" s="2991" t="s">
        <v>294</v>
      </c>
      <c r="C266" s="1580"/>
      <c r="D266" s="3673"/>
      <c r="E266" s="3415"/>
      <c r="F266" s="3594" t="str">
        <f>INDEX(PT_DIFFERENTIATION_VTAR,MATCH(A266,PT_DIFFERENTIATION_VTAR_ID,0))</f>
        <v>Тариф на подключение (технологическое присоединение) к централизованной системе водоотведения</v>
      </c>
      <c r="G266" s="3638" t="str">
        <f>INDEX(PT_DIFFERENTIATION_NTAR,MATCH(B266,PT_DIFFERENTIATION_NTAR_ID,0))</f>
        <v/>
      </c>
      <c r="H266" s="3073"/>
      <c r="I266" s="2950"/>
      <c r="J266" s="2984"/>
      <c r="K266" s="2989"/>
      <c r="L266" s="3073" t="s">
        <v>324</v>
      </c>
      <c r="M266" s="1552"/>
      <c r="N266" s="1545"/>
      <c r="O266" s="2835"/>
      <c r="P266" s="2835"/>
      <c r="AH266" s="2842">
        <v>0</v>
      </c>
    </row>
    <row s="66903" customFormat="1" customHeight="1" ht="18.75" hidden="1">
      <c r="A267" s="2991"/>
      <c r="B267" s="2991"/>
      <c r="C267" s="1580" t="s">
        <v>1356</v>
      </c>
      <c r="D267" s="3673"/>
      <c r="E267" s="3415"/>
      <c r="F267" s="3594"/>
      <c r="G267" s="3638"/>
      <c r="H267" s="2711"/>
      <c r="I267" s="1862" t="s">
        <v>1355</v>
      </c>
      <c r="J267" s="1782"/>
      <c r="K267" s="2711"/>
      <c r="L267" s="1425"/>
      <c r="M267" s="1552"/>
      <c r="N267" s="1545"/>
      <c r="O267" s="2835"/>
      <c r="P267" s="2835"/>
      <c r="AH267" s="2842">
        <v>0</v>
      </c>
    </row>
    <row s="66903" customFormat="1" customHeight="1" ht="1.05">
      <c r="A268" s="2991"/>
      <c r="B268" s="2991"/>
      <c r="C268" s="1580" t="s">
        <v>1363</v>
      </c>
      <c r="D268" s="3673"/>
      <c r="E268" s="3415"/>
      <c r="F268" s="3594"/>
      <c r="G268" s="1611"/>
      <c r="H268" s="2711"/>
      <c r="I268" s="1862"/>
      <c r="J268" s="1782"/>
      <c r="K268" s="2711"/>
      <c r="L268" s="1425"/>
      <c r="M268" s="1552"/>
      <c r="N268" s="1545"/>
      <c r="O268" s="2835"/>
      <c r="P268" s="2835"/>
      <c r="AH268" s="2842">
        <v>1</v>
      </c>
    </row>
    <row customHeight="1" ht="27.299999999999997">
      <c r="A269" s="2991"/>
      <c r="B269" s="2991"/>
      <c r="D269" s="1587"/>
      <c r="E269" s="1358" t="s">
        <v>92</v>
      </c>
      <c r="F269" s="367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3671"/>
      <c r="H269" s="3671"/>
      <c r="I269" s="3671"/>
      <c r="J269" s="3671"/>
      <c r="K269" s="3671"/>
      <c r="L269" s="3671"/>
      <c r="M269" s="1508"/>
      <c r="N269" s="1545"/>
      <c r="AH269" s="1585">
        <v>26</v>
      </c>
    </row>
    <row s="66903" customFormat="1" customHeight="1" ht="60.75" hidden="1">
      <c r="A270" s="2991" t="s">
        <v>175</v>
      </c>
      <c r="B270" s="2991" t="s">
        <v>176</v>
      </c>
      <c r="C270" s="1580"/>
      <c r="D270" s="3673"/>
      <c r="E270" s="3415"/>
      <c r="F270" s="359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3638" t="str">
        <f>INDEX(PT_DIFFERENTIATION_NTAR,MATCH(B270,PT_DIFFERENTIATION_NTAR_ID,0))</f>
        <v/>
      </c>
      <c r="H270" s="3073"/>
      <c r="I270" s="2950"/>
      <c r="J270" s="2984"/>
      <c r="K270" s="2989"/>
      <c r="L270" s="3073" t="s">
        <v>324</v>
      </c>
      <c r="M270" s="338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545"/>
      <c r="O270" s="2835"/>
      <c r="P270" s="2835"/>
      <c r="AH270" s="2842">
        <v>0</v>
      </c>
    </row>
    <row s="66903" customFormat="1" customHeight="1" ht="18.75" hidden="1">
      <c r="A271" s="2991"/>
      <c r="B271" s="2991"/>
      <c r="C271" s="1580" t="s">
        <v>1356</v>
      </c>
      <c r="D271" s="3673"/>
      <c r="E271" s="3415"/>
      <c r="F271" s="3594"/>
      <c r="G271" s="3638"/>
      <c r="H271" s="2711"/>
      <c r="I271" s="1862" t="s">
        <v>1355</v>
      </c>
      <c r="J271" s="1782"/>
      <c r="K271" s="2711"/>
      <c r="L271" s="1425"/>
      <c r="M271" s="3381"/>
      <c r="N271" s="1545"/>
      <c r="O271" s="2835"/>
      <c r="P271" s="2835"/>
      <c r="AH271" s="2842">
        <v>0</v>
      </c>
    </row>
    <row s="66903" customFormat="1" customHeight="1" ht="0.75" hidden="1">
      <c r="A272" s="2991"/>
      <c r="B272" s="2991"/>
      <c r="C272" s="1580" t="s">
        <v>1363</v>
      </c>
      <c r="D272" s="3673"/>
      <c r="E272" s="3415"/>
      <c r="F272" s="3594"/>
      <c r="G272" s="1611"/>
      <c r="H272" s="2711"/>
      <c r="I272" s="1862"/>
      <c r="J272" s="1782"/>
      <c r="K272" s="2711"/>
      <c r="L272" s="1425"/>
      <c r="M272" s="3381"/>
      <c r="N272" s="1545"/>
      <c r="O272" s="2835"/>
      <c r="P272" s="2835"/>
      <c r="AH272" s="2842">
        <v>0</v>
      </c>
    </row>
    <row s="66903" customFormat="1" customHeight="1" ht="45" hidden="1">
      <c r="A273" s="2991" t="s">
        <v>180</v>
      </c>
      <c r="B273" s="2991" t="s">
        <v>181</v>
      </c>
      <c r="C273" s="1580"/>
      <c r="D273" s="3673"/>
      <c r="E273" s="3415"/>
      <c r="F273" s="3594" t="str">
        <f>INDEX(PT_DIFFERENTIATION_VTAR,MATCH(A273,PT_DIFFERENTIATION_VTAR_ID,0))</f>
        <v/>
      </c>
      <c r="G273" s="3638" t="str">
        <f>INDEX(PT_DIFFERENTIATION_NTAR,MATCH(B273,PT_DIFFERENTIATION_NTAR_ID,0))</f>
        <v/>
      </c>
      <c r="H273" s="3073"/>
      <c r="I273" s="2950"/>
      <c r="J273" s="2984"/>
      <c r="K273" s="2989"/>
      <c r="L273" s="3073" t="s">
        <v>324</v>
      </c>
      <c r="M273" s="3382"/>
      <c r="N273" s="1545"/>
      <c r="O273" s="2835"/>
      <c r="P273" s="2835"/>
      <c r="AH273" s="2842">
        <v>0</v>
      </c>
    </row>
    <row s="66903" customFormat="1" customHeight="1" ht="18.75" hidden="1">
      <c r="A274" s="2991"/>
      <c r="B274" s="2991"/>
      <c r="C274" s="1580" t="s">
        <v>1356</v>
      </c>
      <c r="D274" s="3673"/>
      <c r="E274" s="3415"/>
      <c r="F274" s="3594"/>
      <c r="G274" s="3638"/>
      <c r="H274" s="2711"/>
      <c r="I274" s="1862" t="s">
        <v>1355</v>
      </c>
      <c r="J274" s="1782"/>
      <c r="K274" s="2711"/>
      <c r="L274" s="1425"/>
      <c r="M274" s="3072"/>
      <c r="N274" s="1545"/>
      <c r="O274" s="2835"/>
      <c r="P274" s="2835"/>
      <c r="AH274" s="2842">
        <v>0</v>
      </c>
    </row>
    <row s="66903" customFormat="1" customHeight="1" ht="0.75" hidden="1">
      <c r="A275" s="2991"/>
      <c r="B275" s="2991"/>
      <c r="C275" s="1580" t="s">
        <v>1363</v>
      </c>
      <c r="D275" s="3673"/>
      <c r="E275" s="3415"/>
      <c r="F275" s="3594"/>
      <c r="G275" s="1611"/>
      <c r="H275" s="2711"/>
      <c r="I275" s="1862"/>
      <c r="J275" s="1782"/>
      <c r="K275" s="2711"/>
      <c r="L275" s="1425"/>
      <c r="M275" s="1552"/>
      <c r="N275" s="1545"/>
      <c r="O275" s="2835"/>
      <c r="P275" s="2835"/>
      <c r="AH275" s="2842">
        <v>0</v>
      </c>
    </row>
    <row s="66903" customFormat="1" customHeight="1" ht="45" hidden="1">
      <c r="A276" s="2991" t="s">
        <v>187</v>
      </c>
      <c r="B276" s="2991" t="s">
        <v>188</v>
      </c>
      <c r="C276" s="1580"/>
      <c r="D276" s="3673"/>
      <c r="E276" s="3415"/>
      <c r="F276" s="359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3638" t="str">
        <f>INDEX(PT_DIFFERENTIATION_NTAR,MATCH(B276,PT_DIFFERENTIATION_NTAR_ID,0))</f>
        <v/>
      </c>
      <c r="H276" s="3073"/>
      <c r="I276" s="2950"/>
      <c r="J276" s="2984"/>
      <c r="K276" s="2989"/>
      <c r="L276" s="3073" t="s">
        <v>324</v>
      </c>
      <c r="M276" s="1552"/>
      <c r="N276" s="1545"/>
      <c r="O276" s="2835"/>
      <c r="P276" s="2835"/>
      <c r="AH276" s="2842">
        <v>0</v>
      </c>
    </row>
    <row s="66903" customFormat="1" customHeight="1" ht="18.75" hidden="1">
      <c r="A277" s="2991"/>
      <c r="B277" s="2991"/>
      <c r="C277" s="1580" t="s">
        <v>1356</v>
      </c>
      <c r="D277" s="3673"/>
      <c r="E277" s="3415"/>
      <c r="F277" s="3594"/>
      <c r="G277" s="3638"/>
      <c r="H277" s="2711"/>
      <c r="I277" s="1862" t="s">
        <v>1355</v>
      </c>
      <c r="J277" s="1782"/>
      <c r="K277" s="2711"/>
      <c r="L277" s="1425"/>
      <c r="M277" s="1552"/>
      <c r="N277" s="1545"/>
      <c r="O277" s="2835"/>
      <c r="P277" s="2835"/>
      <c r="AH277" s="2842">
        <v>0</v>
      </c>
    </row>
    <row s="66903" customFormat="1" customHeight="1" ht="0.75" hidden="1">
      <c r="A278" s="2991"/>
      <c r="B278" s="2991"/>
      <c r="C278" s="1580" t="s">
        <v>1363</v>
      </c>
      <c r="D278" s="3673"/>
      <c r="E278" s="3415"/>
      <c r="F278" s="3594"/>
      <c r="G278" s="1611"/>
      <c r="H278" s="2711"/>
      <c r="I278" s="1862"/>
      <c r="J278" s="1782"/>
      <c r="K278" s="2711"/>
      <c r="L278" s="1425"/>
      <c r="M278" s="1552"/>
      <c r="N278" s="1545"/>
      <c r="O278" s="2835"/>
      <c r="P278" s="2835"/>
      <c r="AH278" s="2842">
        <v>0</v>
      </c>
    </row>
    <row s="66903" customFormat="1" customHeight="1" ht="45" hidden="1">
      <c r="A279" s="2991" t="s">
        <v>193</v>
      </c>
      <c r="B279" s="2991" t="s">
        <v>194</v>
      </c>
      <c r="C279" s="1580"/>
      <c r="D279" s="3673"/>
      <c r="E279" s="3415"/>
      <c r="F279" s="359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3638" t="str">
        <f>INDEX(PT_DIFFERENTIATION_NTAR,MATCH(B279,PT_DIFFERENTIATION_NTAR_ID,0))</f>
        <v/>
      </c>
      <c r="H279" s="3073"/>
      <c r="I279" s="2950"/>
      <c r="J279" s="2984"/>
      <c r="K279" s="2989"/>
      <c r="L279" s="3073" t="s">
        <v>324</v>
      </c>
      <c r="M279" s="1552"/>
      <c r="N279" s="1545"/>
      <c r="O279" s="2835"/>
      <c r="P279" s="2835"/>
      <c r="AH279" s="2842">
        <v>0</v>
      </c>
    </row>
    <row s="66903" customFormat="1" customHeight="1" ht="18.75" hidden="1">
      <c r="A280" s="2991"/>
      <c r="B280" s="2991"/>
      <c r="C280" s="1580" t="s">
        <v>1356</v>
      </c>
      <c r="D280" s="3673"/>
      <c r="E280" s="3415"/>
      <c r="F280" s="3594"/>
      <c r="G280" s="3638"/>
      <c r="H280" s="2711"/>
      <c r="I280" s="1862" t="s">
        <v>1355</v>
      </c>
      <c r="J280" s="1782"/>
      <c r="K280" s="2711"/>
      <c r="L280" s="1425"/>
      <c r="M280" s="1552"/>
      <c r="N280" s="1545"/>
      <c r="O280" s="2835"/>
      <c r="P280" s="2835"/>
      <c r="AH280" s="2842">
        <v>0</v>
      </c>
    </row>
    <row s="66903" customFormat="1" customHeight="1" ht="0.75" hidden="1">
      <c r="A281" s="2991"/>
      <c r="B281" s="2991"/>
      <c r="C281" s="1580" t="s">
        <v>1363</v>
      </c>
      <c r="D281" s="3673"/>
      <c r="E281" s="3415"/>
      <c r="F281" s="3594"/>
      <c r="G281" s="1611"/>
      <c r="H281" s="2711"/>
      <c r="I281" s="1862"/>
      <c r="J281" s="1782"/>
      <c r="K281" s="2711"/>
      <c r="L281" s="1425"/>
      <c r="M281" s="1552"/>
      <c r="N281" s="1545"/>
      <c r="O281" s="2835"/>
      <c r="P281" s="2835"/>
      <c r="AH281" s="2842">
        <v>0</v>
      </c>
    </row>
    <row s="66903" customFormat="1" customHeight="1" ht="18.75" hidden="1">
      <c r="A282" s="2991" t="s">
        <v>199</v>
      </c>
      <c r="B282" s="2991" t="s">
        <v>200</v>
      </c>
      <c r="C282" s="1580"/>
      <c r="D282" s="3673"/>
      <c r="E282" s="3415"/>
      <c r="F282" s="3594" t="str">
        <f>INDEX(PT_DIFFERENTIATION_VTAR,MATCH(A282,PT_DIFFERENTIATION_VTAR_ID,0))</f>
        <v>Тарифы на услуги по передаче тепловой энергии</v>
      </c>
      <c r="G282" s="3638" t="str">
        <f>INDEX(PT_DIFFERENTIATION_NTAR,MATCH(B282,PT_DIFFERENTIATION_NTAR_ID,0))</f>
        <v/>
      </c>
      <c r="H282" s="3073"/>
      <c r="I282" s="2950"/>
      <c r="J282" s="2984"/>
      <c r="K282" s="2989"/>
      <c r="L282" s="3073" t="s">
        <v>324</v>
      </c>
      <c r="M282" s="1552"/>
      <c r="N282" s="1545"/>
      <c r="O282" s="2835"/>
      <c r="P282" s="2835"/>
      <c r="AH282" s="2842">
        <v>0</v>
      </c>
    </row>
    <row s="66903" customFormat="1" customHeight="1" ht="18.75" hidden="1">
      <c r="A283" s="2991"/>
      <c r="B283" s="2991"/>
      <c r="C283" s="1580" t="s">
        <v>1356</v>
      </c>
      <c r="D283" s="3673"/>
      <c r="E283" s="3415"/>
      <c r="F283" s="3594"/>
      <c r="G283" s="3638"/>
      <c r="H283" s="2711"/>
      <c r="I283" s="1862" t="s">
        <v>1355</v>
      </c>
      <c r="J283" s="1782"/>
      <c r="K283" s="2711"/>
      <c r="L283" s="1425"/>
      <c r="M283" s="1552"/>
      <c r="N283" s="1545"/>
      <c r="O283" s="2835"/>
      <c r="P283" s="2835"/>
      <c r="AH283" s="2842">
        <v>0</v>
      </c>
    </row>
    <row s="66903" customFormat="1" customHeight="1" ht="0.75" hidden="1">
      <c r="A284" s="2991"/>
      <c r="B284" s="2991"/>
      <c r="C284" s="1580" t="s">
        <v>1363</v>
      </c>
      <c r="D284" s="3673"/>
      <c r="E284" s="3415"/>
      <c r="F284" s="3594"/>
      <c r="G284" s="1611"/>
      <c r="H284" s="2711"/>
      <c r="I284" s="1862"/>
      <c r="J284" s="1782"/>
      <c r="K284" s="2711"/>
      <c r="L284" s="1425"/>
      <c r="M284" s="1552"/>
      <c r="N284" s="1545"/>
      <c r="O284" s="2835"/>
      <c r="P284" s="2835"/>
      <c r="AH284" s="2842">
        <v>0</v>
      </c>
    </row>
    <row s="66903" customFormat="1" customHeight="1" ht="18.75" hidden="1">
      <c r="A285" s="2991" t="s">
        <v>205</v>
      </c>
      <c r="B285" s="2991" t="s">
        <v>206</v>
      </c>
      <c r="C285" s="1580"/>
      <c r="D285" s="3673"/>
      <c r="E285" s="3415"/>
      <c r="F285" s="3594" t="str">
        <f>INDEX(PT_DIFFERENTIATION_VTAR,MATCH(A285,PT_DIFFERENTIATION_VTAR_ID,0))</f>
        <v>Тарифы на услуги по передаче теплоносителя</v>
      </c>
      <c r="G285" s="3638" t="str">
        <f>INDEX(PT_DIFFERENTIATION_NTAR,MATCH(B285,PT_DIFFERENTIATION_NTAR_ID,0))</f>
        <v/>
      </c>
      <c r="H285" s="3073"/>
      <c r="I285" s="2950"/>
      <c r="J285" s="2984"/>
      <c r="K285" s="2989"/>
      <c r="L285" s="3073" t="s">
        <v>324</v>
      </c>
      <c r="M285" s="1552"/>
      <c r="N285" s="1545"/>
      <c r="O285" s="2835"/>
      <c r="P285" s="2835"/>
      <c r="AH285" s="2842">
        <v>0</v>
      </c>
    </row>
    <row s="66903" customFormat="1" customHeight="1" ht="18.75" hidden="1">
      <c r="A286" s="2991"/>
      <c r="B286" s="2991"/>
      <c r="C286" s="1580" t="s">
        <v>1356</v>
      </c>
      <c r="D286" s="3673"/>
      <c r="E286" s="3415"/>
      <c r="F286" s="3594"/>
      <c r="G286" s="3638"/>
      <c r="H286" s="2711"/>
      <c r="I286" s="1862" t="s">
        <v>1355</v>
      </c>
      <c r="J286" s="1782"/>
      <c r="K286" s="2711"/>
      <c r="L286" s="1425"/>
      <c r="M286" s="1552"/>
      <c r="N286" s="1545"/>
      <c r="O286" s="2835"/>
      <c r="P286" s="2835"/>
      <c r="AH286" s="2842">
        <v>0</v>
      </c>
    </row>
    <row s="66903" customFormat="1" customHeight="1" ht="0.75" hidden="1">
      <c r="A287" s="2991"/>
      <c r="B287" s="2991"/>
      <c r="C287" s="1580" t="s">
        <v>1363</v>
      </c>
      <c r="D287" s="3673"/>
      <c r="E287" s="3415"/>
      <c r="F287" s="3594"/>
      <c r="G287" s="1611"/>
      <c r="H287" s="2711"/>
      <c r="I287" s="1862"/>
      <c r="J287" s="1782"/>
      <c r="K287" s="2711"/>
      <c r="L287" s="1425"/>
      <c r="M287" s="1552"/>
      <c r="N287" s="1545"/>
      <c r="O287" s="2835"/>
      <c r="P287" s="2835"/>
      <c r="AH287" s="2842">
        <v>0</v>
      </c>
    </row>
    <row s="66903" customFormat="1" customHeight="1" ht="18.75" hidden="1">
      <c r="A288" s="2991" t="s">
        <v>211</v>
      </c>
      <c r="B288" s="2991" t="s">
        <v>212</v>
      </c>
      <c r="C288" s="1580"/>
      <c r="D288" s="3673"/>
      <c r="E288" s="3415"/>
      <c r="F288" s="359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3638" t="str">
        <f>INDEX(PT_DIFFERENTIATION_NTAR,MATCH(B288,PT_DIFFERENTIATION_NTAR_ID,0))</f>
        <v/>
      </c>
      <c r="H288" s="3073"/>
      <c r="I288" s="2950"/>
      <c r="J288" s="2984"/>
      <c r="K288" s="2989"/>
      <c r="L288" s="3073" t="s">
        <v>324</v>
      </c>
      <c r="M288" s="1552"/>
      <c r="N288" s="1545"/>
      <c r="O288" s="2835"/>
      <c r="P288" s="2835"/>
      <c r="AH288" s="2842">
        <v>0</v>
      </c>
    </row>
    <row s="66903" customFormat="1" customHeight="1" ht="18.75" hidden="1">
      <c r="A289" s="2991"/>
      <c r="B289" s="2991"/>
      <c r="C289" s="1580" t="s">
        <v>1356</v>
      </c>
      <c r="D289" s="3673"/>
      <c r="E289" s="3415"/>
      <c r="F289" s="3594"/>
      <c r="G289" s="3638"/>
      <c r="H289" s="2711"/>
      <c r="I289" s="1862" t="s">
        <v>1355</v>
      </c>
      <c r="J289" s="1782"/>
      <c r="K289" s="2711"/>
      <c r="L289" s="1425"/>
      <c r="M289" s="1552"/>
      <c r="N289" s="1545"/>
      <c r="O289" s="2835"/>
      <c r="P289" s="2835"/>
      <c r="AH289" s="2842">
        <v>0</v>
      </c>
    </row>
    <row s="66903" customFormat="1" customHeight="1" ht="0.75" hidden="1">
      <c r="A290" s="2991"/>
      <c r="B290" s="2991"/>
      <c r="C290" s="1580" t="s">
        <v>1363</v>
      </c>
      <c r="D290" s="3673"/>
      <c r="E290" s="3415"/>
      <c r="F290" s="3594"/>
      <c r="G290" s="1611"/>
      <c r="H290" s="2711"/>
      <c r="I290" s="1862"/>
      <c r="J290" s="1782"/>
      <c r="K290" s="2711"/>
      <c r="L290" s="1425"/>
      <c r="M290" s="1552"/>
      <c r="N290" s="1545"/>
      <c r="O290" s="2835"/>
      <c r="P290" s="2835"/>
      <c r="AH290" s="2842">
        <v>0</v>
      </c>
    </row>
    <row s="66903" customFormat="1" customHeight="1" ht="18.75" hidden="1">
      <c r="A291" s="2991" t="s">
        <v>217</v>
      </c>
      <c r="B291" s="2991" t="s">
        <v>218</v>
      </c>
      <c r="C291" s="1580"/>
      <c r="D291" s="3673"/>
      <c r="E291" s="3415"/>
      <c r="F291" s="3594" t="str">
        <f>INDEX(PT_DIFFERENTIATION_VTAR,MATCH(A291,PT_DIFFERENTIATION_VTAR_ID,0))</f>
        <v>Плата за подключение (технологическое присоединение) к системе теплоснабжения</v>
      </c>
      <c r="G291" s="3638" t="str">
        <f>INDEX(PT_DIFFERENTIATION_NTAR,MATCH(B291,PT_DIFFERENTIATION_NTAR_ID,0))</f>
        <v/>
      </c>
      <c r="H291" s="3073"/>
      <c r="I291" s="2950"/>
      <c r="J291" s="2984"/>
      <c r="K291" s="2989"/>
      <c r="L291" s="3073" t="s">
        <v>324</v>
      </c>
      <c r="M291" s="1552"/>
      <c r="N291" s="1545"/>
      <c r="O291" s="2835"/>
      <c r="P291" s="2835"/>
      <c r="AH291" s="2842">
        <v>0</v>
      </c>
    </row>
    <row s="66903" customFormat="1" customHeight="1" ht="18.75" hidden="1">
      <c r="A292" s="2991"/>
      <c r="B292" s="2991"/>
      <c r="C292" s="1580" t="s">
        <v>1356</v>
      </c>
      <c r="D292" s="3673"/>
      <c r="E292" s="3415"/>
      <c r="F292" s="3594"/>
      <c r="G292" s="3638"/>
      <c r="H292" s="2711"/>
      <c r="I292" s="1862" t="s">
        <v>1355</v>
      </c>
      <c r="J292" s="1782"/>
      <c r="K292" s="2711"/>
      <c r="L292" s="1425"/>
      <c r="M292" s="1552"/>
      <c r="N292" s="1545"/>
      <c r="O292" s="2835"/>
      <c r="P292" s="2835"/>
      <c r="AH292" s="2842">
        <v>0</v>
      </c>
    </row>
    <row s="66903" customFormat="1" customHeight="1" ht="0.75" hidden="1">
      <c r="A293" s="2991"/>
      <c r="B293" s="2991"/>
      <c r="C293" s="1580" t="s">
        <v>1363</v>
      </c>
      <c r="D293" s="3673"/>
      <c r="E293" s="3415"/>
      <c r="F293" s="3594"/>
      <c r="G293" s="1611"/>
      <c r="H293" s="2711"/>
      <c r="I293" s="1862"/>
      <c r="J293" s="1782"/>
      <c r="K293" s="2711"/>
      <c r="L293" s="1425"/>
      <c r="M293" s="1552"/>
      <c r="N293" s="1545"/>
      <c r="O293" s="2835"/>
      <c r="P293" s="2835"/>
      <c r="AH293" s="2842">
        <v>0</v>
      </c>
    </row>
    <row s="66903" customFormat="1" customHeight="1" ht="18.75" hidden="1">
      <c r="A294" s="2991" t="s">
        <v>223</v>
      </c>
      <c r="B294" s="2991" t="s">
        <v>224</v>
      </c>
      <c r="C294" s="1580"/>
      <c r="D294" s="3673"/>
      <c r="E294" s="3415"/>
      <c r="F294" s="3594" t="str">
        <f>INDEX(PT_DIFFERENTIATION_VTAR,MATCH(A294,PT_DIFFERENTIATION_VTAR_ID,0))</f>
        <v>Плата за подключение (технологическое присоединение) к системе теплоснабжения (индивидуальная)</v>
      </c>
      <c r="G294" s="3638" t="str">
        <f>INDEX(PT_DIFFERENTIATION_NTAR,MATCH(B294,PT_DIFFERENTIATION_NTAR_ID,0))</f>
        <v/>
      </c>
      <c r="H294" s="3200"/>
      <c r="I294" s="2950"/>
      <c r="J294" s="2984"/>
      <c r="K294" s="2989"/>
      <c r="L294" s="3200" t="s">
        <v>324</v>
      </c>
      <c r="M294" s="1552"/>
      <c r="N294" s="1545"/>
      <c r="O294" s="2835"/>
      <c r="P294" s="2835"/>
      <c r="AH294" s="2842">
        <v>0</v>
      </c>
    </row>
    <row s="66903" customFormat="1" customHeight="1" ht="18.75" hidden="1">
      <c r="A295" s="2991"/>
      <c r="B295" s="2991"/>
      <c r="C295" s="1580" t="s">
        <v>1356</v>
      </c>
      <c r="D295" s="3673"/>
      <c r="E295" s="3415"/>
      <c r="F295" s="3594"/>
      <c r="G295" s="3638"/>
      <c r="H295" s="2711"/>
      <c r="I295" s="1862" t="s">
        <v>1355</v>
      </c>
      <c r="J295" s="1782"/>
      <c r="K295" s="2711"/>
      <c r="L295" s="1425"/>
      <c r="M295" s="1552"/>
      <c r="N295" s="1545"/>
      <c r="O295" s="2835"/>
      <c r="P295" s="2835"/>
      <c r="AH295" s="2842">
        <v>0</v>
      </c>
    </row>
    <row s="66903" customFormat="1" customHeight="1" ht="0.75" hidden="1">
      <c r="A296" s="2991"/>
      <c r="B296" s="2991"/>
      <c r="C296" s="1580" t="s">
        <v>1363</v>
      </c>
      <c r="D296" s="3673"/>
      <c r="E296" s="3415"/>
      <c r="F296" s="3594"/>
      <c r="G296" s="1611"/>
      <c r="H296" s="2711"/>
      <c r="I296" s="1862"/>
      <c r="J296" s="1782"/>
      <c r="K296" s="2711"/>
      <c r="L296" s="1425"/>
      <c r="M296" s="1552"/>
      <c r="N296" s="1545"/>
      <c r="O296" s="2835"/>
      <c r="P296" s="2835"/>
      <c r="AH296" s="2842">
        <v>0</v>
      </c>
    </row>
    <row s="66903" customFormat="1" customHeight="1" ht="18.75" hidden="1">
      <c r="A297" s="2991" t="s">
        <v>243</v>
      </c>
      <c r="B297" s="2991" t="s">
        <v>244</v>
      </c>
      <c r="C297" s="1580"/>
      <c r="D297" s="3673"/>
      <c r="E297" s="3415"/>
      <c r="F297" s="3594" t="str">
        <f>INDEX(PT_DIFFERENTIATION_VTAR,MATCH(A297,PT_DIFFERENTIATION_VTAR_ID,0))</f>
        <v>Тариф на питьевую воду (питьевое водоснабжение)</v>
      </c>
      <c r="G297" s="3638" t="str">
        <f>INDEX(PT_DIFFERENTIATION_NTAR,MATCH(B297,PT_DIFFERENTIATION_NTAR_ID,0))</f>
        <v/>
      </c>
      <c r="H297" s="3073"/>
      <c r="I297" s="2950"/>
      <c r="J297" s="2984"/>
      <c r="K297" s="2989"/>
      <c r="L297" s="3073" t="s">
        <v>324</v>
      </c>
      <c r="M297" s="1552"/>
      <c r="N297" s="1545"/>
      <c r="O297" s="2835"/>
      <c r="P297" s="2835"/>
      <c r="AH297" s="2842">
        <v>0</v>
      </c>
    </row>
    <row s="66903" customFormat="1" customHeight="1" ht="18.75" hidden="1">
      <c r="A298" s="2991"/>
      <c r="B298" s="2991"/>
      <c r="C298" s="1580" t="s">
        <v>1356</v>
      </c>
      <c r="D298" s="3673"/>
      <c r="E298" s="3415"/>
      <c r="F298" s="3594"/>
      <c r="G298" s="3638"/>
      <c r="H298" s="2711"/>
      <c r="I298" s="1862" t="s">
        <v>1355</v>
      </c>
      <c r="J298" s="1782"/>
      <c r="K298" s="2711"/>
      <c r="L298" s="1425"/>
      <c r="M298" s="1552"/>
      <c r="N298" s="1545"/>
      <c r="O298" s="2835"/>
      <c r="P298" s="2835"/>
      <c r="AH298" s="2842">
        <v>0</v>
      </c>
    </row>
    <row s="66903" customFormat="1" customHeight="1" ht="0.75" hidden="1">
      <c r="A299" s="2991"/>
      <c r="B299" s="2991"/>
      <c r="C299" s="1580" t="s">
        <v>1363</v>
      </c>
      <c r="D299" s="3673"/>
      <c r="E299" s="3415"/>
      <c r="F299" s="3594"/>
      <c r="G299" s="1611"/>
      <c r="H299" s="2711"/>
      <c r="I299" s="1862"/>
      <c r="J299" s="1782"/>
      <c r="K299" s="2711"/>
      <c r="L299" s="1425"/>
      <c r="M299" s="1552"/>
      <c r="N299" s="1545"/>
      <c r="O299" s="2835"/>
      <c r="P299" s="2835"/>
      <c r="AH299" s="2842">
        <v>0</v>
      </c>
    </row>
    <row s="66903" customFormat="1" customHeight="1" ht="18.75" hidden="1">
      <c r="A300" s="2991" t="s">
        <v>248</v>
      </c>
      <c r="B300" s="2991" t="s">
        <v>249</v>
      </c>
      <c r="C300" s="1580"/>
      <c r="D300" s="3673"/>
      <c r="E300" s="3415"/>
      <c r="F300" s="3594" t="str">
        <f>INDEX(PT_DIFFERENTIATION_VTAR,MATCH(A300,PT_DIFFERENTIATION_VTAR_ID,0))</f>
        <v>Тариф на техническую воду</v>
      </c>
      <c r="G300" s="3638" t="str">
        <f>INDEX(PT_DIFFERENTIATION_NTAR,MATCH(B300,PT_DIFFERENTIATION_NTAR_ID,0))</f>
        <v/>
      </c>
      <c r="H300" s="3073"/>
      <c r="I300" s="2950"/>
      <c r="J300" s="2984"/>
      <c r="K300" s="2989"/>
      <c r="L300" s="3073" t="s">
        <v>324</v>
      </c>
      <c r="M300" s="1552"/>
      <c r="N300" s="1545"/>
      <c r="O300" s="2835"/>
      <c r="P300" s="2835"/>
      <c r="AH300" s="2842">
        <v>0</v>
      </c>
    </row>
    <row s="66903" customFormat="1" customHeight="1" ht="18.75" hidden="1">
      <c r="A301" s="2991"/>
      <c r="B301" s="2991"/>
      <c r="C301" s="1580" t="s">
        <v>1356</v>
      </c>
      <c r="D301" s="3673"/>
      <c r="E301" s="3415"/>
      <c r="F301" s="3594"/>
      <c r="G301" s="3638"/>
      <c r="H301" s="2711"/>
      <c r="I301" s="1862" t="s">
        <v>1355</v>
      </c>
      <c r="J301" s="1782"/>
      <c r="K301" s="2711"/>
      <c r="L301" s="1425"/>
      <c r="M301" s="1552"/>
      <c r="N301" s="1545"/>
      <c r="O301" s="2835"/>
      <c r="P301" s="2835"/>
      <c r="AH301" s="2842">
        <v>0</v>
      </c>
    </row>
    <row s="66903" customFormat="1" customHeight="1" ht="0.75" hidden="1">
      <c r="A302" s="2991"/>
      <c r="B302" s="2991"/>
      <c r="C302" s="1580" t="s">
        <v>1363</v>
      </c>
      <c r="D302" s="3673"/>
      <c r="E302" s="3415"/>
      <c r="F302" s="3594"/>
      <c r="G302" s="1611"/>
      <c r="H302" s="2711"/>
      <c r="I302" s="1862"/>
      <c r="J302" s="1782"/>
      <c r="K302" s="2711"/>
      <c r="L302" s="1425"/>
      <c r="M302" s="1552"/>
      <c r="N302" s="1545"/>
      <c r="O302" s="2835"/>
      <c r="P302" s="2835"/>
      <c r="AH302" s="2842">
        <v>0</v>
      </c>
    </row>
    <row s="66903" customFormat="1" customHeight="1" ht="18.75" hidden="1">
      <c r="A303" s="2991" t="s">
        <v>253</v>
      </c>
      <c r="B303" s="2991" t="s">
        <v>254</v>
      </c>
      <c r="C303" s="1580"/>
      <c r="D303" s="3673"/>
      <c r="E303" s="3415"/>
      <c r="F303" s="3594" t="str">
        <f>INDEX(PT_DIFFERENTIATION_VTAR,MATCH(A303,PT_DIFFERENTIATION_VTAR_ID,0))</f>
        <v>Тариф на транспортировку воды</v>
      </c>
      <c r="G303" s="3638" t="str">
        <f>INDEX(PT_DIFFERENTIATION_NTAR,MATCH(B303,PT_DIFFERENTIATION_NTAR_ID,0))</f>
        <v/>
      </c>
      <c r="H303" s="3073"/>
      <c r="I303" s="2950"/>
      <c r="J303" s="2984"/>
      <c r="K303" s="2989"/>
      <c r="L303" s="3073" t="s">
        <v>324</v>
      </c>
      <c r="M303" s="1552"/>
      <c r="N303" s="1545"/>
      <c r="O303" s="2835"/>
      <c r="P303" s="2835"/>
      <c r="AH303" s="2842">
        <v>0</v>
      </c>
    </row>
    <row s="66903" customFormat="1" customHeight="1" ht="18.75" hidden="1">
      <c r="A304" s="2991"/>
      <c r="B304" s="2991"/>
      <c r="C304" s="1580" t="s">
        <v>1356</v>
      </c>
      <c r="D304" s="3673"/>
      <c r="E304" s="3415"/>
      <c r="F304" s="3594"/>
      <c r="G304" s="3638"/>
      <c r="H304" s="2711"/>
      <c r="I304" s="1862" t="s">
        <v>1355</v>
      </c>
      <c r="J304" s="1782"/>
      <c r="K304" s="2711"/>
      <c r="L304" s="1425"/>
      <c r="M304" s="1552"/>
      <c r="N304" s="1545"/>
      <c r="O304" s="2835"/>
      <c r="P304" s="2835"/>
      <c r="AH304" s="2842">
        <v>0</v>
      </c>
    </row>
    <row s="66903" customFormat="1" customHeight="1" ht="0.75" hidden="1">
      <c r="A305" s="2991"/>
      <c r="B305" s="2991"/>
      <c r="C305" s="1580" t="s">
        <v>1363</v>
      </c>
      <c r="D305" s="3673"/>
      <c r="E305" s="3415"/>
      <c r="F305" s="3594"/>
      <c r="G305" s="1611"/>
      <c r="H305" s="2711"/>
      <c r="I305" s="1862"/>
      <c r="J305" s="1782"/>
      <c r="K305" s="2711"/>
      <c r="L305" s="1425"/>
      <c r="M305" s="1552"/>
      <c r="N305" s="1545"/>
      <c r="O305" s="2835"/>
      <c r="P305" s="2835"/>
      <c r="AH305" s="2842">
        <v>0</v>
      </c>
    </row>
    <row s="66903" customFormat="1" customHeight="1" ht="18.75" hidden="1">
      <c r="A306" s="2991" t="s">
        <v>258</v>
      </c>
      <c r="B306" s="2991" t="s">
        <v>259</v>
      </c>
      <c r="C306" s="1580"/>
      <c r="D306" s="3673"/>
      <c r="E306" s="3415"/>
      <c r="F306" s="3594" t="str">
        <f>INDEX(PT_DIFFERENTIATION_VTAR,MATCH(A306,PT_DIFFERENTIATION_VTAR_ID,0))</f>
        <v>Тариф на подвоз воды</v>
      </c>
      <c r="G306" s="3638" t="str">
        <f>INDEX(PT_DIFFERENTIATION_NTAR,MATCH(B306,PT_DIFFERENTIATION_NTAR_ID,0))</f>
        <v/>
      </c>
      <c r="H306" s="3073"/>
      <c r="I306" s="2950"/>
      <c r="J306" s="2984"/>
      <c r="K306" s="2989"/>
      <c r="L306" s="3073" t="s">
        <v>324</v>
      </c>
      <c r="M306" s="1552"/>
      <c r="N306" s="1545"/>
      <c r="O306" s="2835"/>
      <c r="P306" s="2835"/>
      <c r="AH306" s="2842">
        <v>0</v>
      </c>
    </row>
    <row s="66903" customFormat="1" customHeight="1" ht="18.75" hidden="1">
      <c r="A307" s="2991"/>
      <c r="B307" s="2991"/>
      <c r="C307" s="1580" t="s">
        <v>1356</v>
      </c>
      <c r="D307" s="3673"/>
      <c r="E307" s="3415"/>
      <c r="F307" s="3594"/>
      <c r="G307" s="3638"/>
      <c r="H307" s="2711"/>
      <c r="I307" s="1862" t="s">
        <v>1355</v>
      </c>
      <c r="J307" s="1782"/>
      <c r="K307" s="2711"/>
      <c r="L307" s="1425"/>
      <c r="M307" s="1552"/>
      <c r="N307" s="1545"/>
      <c r="O307" s="2835"/>
      <c r="P307" s="2835"/>
      <c r="AH307" s="2842">
        <v>0</v>
      </c>
    </row>
    <row s="66903" customFormat="1" customHeight="1" ht="0.75" hidden="1">
      <c r="A308" s="2991"/>
      <c r="B308" s="2991"/>
      <c r="C308" s="1580" t="s">
        <v>1363</v>
      </c>
      <c r="D308" s="3673"/>
      <c r="E308" s="3415"/>
      <c r="F308" s="3594"/>
      <c r="G308" s="1611"/>
      <c r="H308" s="2711"/>
      <c r="I308" s="1862"/>
      <c r="J308" s="1782"/>
      <c r="K308" s="2711"/>
      <c r="L308" s="1425"/>
      <c r="M308" s="1552"/>
      <c r="N308" s="1545"/>
      <c r="O308" s="2835"/>
      <c r="P308" s="2835"/>
      <c r="AH308" s="2842">
        <v>0</v>
      </c>
    </row>
    <row s="66903" customFormat="1" customHeight="1" ht="18.75" hidden="1">
      <c r="A309" s="2991" t="s">
        <v>263</v>
      </c>
      <c r="B309" s="2991" t="s">
        <v>264</v>
      </c>
      <c r="C309" s="1580"/>
      <c r="D309" s="3673"/>
      <c r="E309" s="3415"/>
      <c r="F309" s="359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3638" t="str">
        <f>INDEX(PT_DIFFERENTIATION_NTAR,MATCH(B309,PT_DIFFERENTIATION_NTAR_ID,0))</f>
        <v/>
      </c>
      <c r="H309" s="3073"/>
      <c r="I309" s="2950"/>
      <c r="J309" s="2984"/>
      <c r="K309" s="2989"/>
      <c r="L309" s="3073" t="s">
        <v>324</v>
      </c>
      <c r="M309" s="1552"/>
      <c r="N309" s="1545"/>
      <c r="O309" s="2835"/>
      <c r="P309" s="2835"/>
      <c r="AH309" s="2842">
        <v>0</v>
      </c>
    </row>
    <row s="66903" customFormat="1" customHeight="1" ht="18.75" hidden="1">
      <c r="A310" s="2991"/>
      <c r="B310" s="2991"/>
      <c r="C310" s="1580" t="s">
        <v>1356</v>
      </c>
      <c r="D310" s="3673"/>
      <c r="E310" s="3415"/>
      <c r="F310" s="3594"/>
      <c r="G310" s="3638"/>
      <c r="H310" s="2711"/>
      <c r="I310" s="1862" t="s">
        <v>1355</v>
      </c>
      <c r="J310" s="1782"/>
      <c r="K310" s="2711"/>
      <c r="L310" s="1425"/>
      <c r="M310" s="1552"/>
      <c r="N310" s="1545"/>
      <c r="O310" s="2835"/>
      <c r="P310" s="2835"/>
      <c r="AH310" s="2842">
        <v>0</v>
      </c>
    </row>
    <row s="66903" customFormat="1" customHeight="1" ht="0.75" hidden="1">
      <c r="A311" s="2991"/>
      <c r="B311" s="2991"/>
      <c r="C311" s="1580" t="s">
        <v>1363</v>
      </c>
      <c r="D311" s="3673"/>
      <c r="E311" s="3415"/>
      <c r="F311" s="3594"/>
      <c r="G311" s="1611"/>
      <c r="H311" s="2711"/>
      <c r="I311" s="1862"/>
      <c r="J311" s="1782"/>
      <c r="K311" s="2711"/>
      <c r="L311" s="1425"/>
      <c r="M311" s="1552"/>
      <c r="N311" s="1545"/>
      <c r="O311" s="2835"/>
      <c r="P311" s="2835"/>
      <c r="AH311" s="2842">
        <v>0</v>
      </c>
    </row>
    <row s="66903" customFormat="1" customHeight="1" ht="18.75" hidden="1">
      <c r="A312" s="2991" t="s">
        <v>268</v>
      </c>
      <c r="B312" s="2991" t="s">
        <v>269</v>
      </c>
      <c r="C312" s="1580"/>
      <c r="D312" s="3673"/>
      <c r="E312" s="3415"/>
      <c r="F312" s="3594" t="str">
        <f>INDEX(PT_DIFFERENTIATION_VTAR,MATCH(A312,PT_DIFFERENTIATION_VTAR_ID,0))</f>
        <v>Тариф на горячую воду (горячее водоснабжение)</v>
      </c>
      <c r="G312" s="3638" t="str">
        <f>INDEX(PT_DIFFERENTIATION_NTAR,MATCH(B312,PT_DIFFERENTIATION_NTAR_ID,0))</f>
        <v/>
      </c>
      <c r="H312" s="3073"/>
      <c r="I312" s="2950"/>
      <c r="J312" s="2984"/>
      <c r="K312" s="2989"/>
      <c r="L312" s="3073" t="s">
        <v>324</v>
      </c>
      <c r="M312" s="1552"/>
      <c r="N312" s="1545"/>
      <c r="O312" s="2835"/>
      <c r="P312" s="2835"/>
      <c r="AH312" s="2842">
        <v>0</v>
      </c>
    </row>
    <row s="66903" customFormat="1" customHeight="1" ht="18.75" hidden="1">
      <c r="A313" s="2991"/>
      <c r="B313" s="2991"/>
      <c r="C313" s="1580" t="s">
        <v>1356</v>
      </c>
      <c r="D313" s="3673"/>
      <c r="E313" s="3415"/>
      <c r="F313" s="3594"/>
      <c r="G313" s="3638"/>
      <c r="H313" s="2711"/>
      <c r="I313" s="1862" t="s">
        <v>1355</v>
      </c>
      <c r="J313" s="1782"/>
      <c r="K313" s="2711"/>
      <c r="L313" s="1425"/>
      <c r="M313" s="1552"/>
      <c r="N313" s="1545"/>
      <c r="O313" s="2835"/>
      <c r="P313" s="2835"/>
      <c r="AH313" s="2842">
        <v>0</v>
      </c>
    </row>
    <row s="66903" customFormat="1" customHeight="1" ht="0.75" hidden="1">
      <c r="A314" s="2991"/>
      <c r="B314" s="2991"/>
      <c r="C314" s="1580" t="s">
        <v>1363</v>
      </c>
      <c r="D314" s="3673"/>
      <c r="E314" s="3415"/>
      <c r="F314" s="3594"/>
      <c r="G314" s="1611"/>
      <c r="H314" s="2711"/>
      <c r="I314" s="1862"/>
      <c r="J314" s="1782"/>
      <c r="K314" s="2711"/>
      <c r="L314" s="1425"/>
      <c r="M314" s="1552"/>
      <c r="N314" s="1545"/>
      <c r="O314" s="2835"/>
      <c r="P314" s="2835"/>
      <c r="AH314" s="2842">
        <v>0</v>
      </c>
    </row>
    <row s="66903" customFormat="1" customHeight="1" ht="18.75" hidden="1">
      <c r="A315" s="2991" t="s">
        <v>273</v>
      </c>
      <c r="B315" s="2991" t="s">
        <v>274</v>
      </c>
      <c r="C315" s="1580"/>
      <c r="D315" s="3673"/>
      <c r="E315" s="3415"/>
      <c r="F315" s="3594" t="str">
        <f>INDEX(PT_DIFFERENTIATION_VTAR,MATCH(A315,PT_DIFFERENTIATION_VTAR_ID,0))</f>
        <v>Тариф на транспортировку горячей воды</v>
      </c>
      <c r="G315" s="3638" t="str">
        <f>INDEX(PT_DIFFERENTIATION_NTAR,MATCH(B315,PT_DIFFERENTIATION_NTAR_ID,0))</f>
        <v/>
      </c>
      <c r="H315" s="3073"/>
      <c r="I315" s="2950"/>
      <c r="J315" s="2984"/>
      <c r="K315" s="2989"/>
      <c r="L315" s="3073" t="s">
        <v>324</v>
      </c>
      <c r="M315" s="1552"/>
      <c r="N315" s="1545"/>
      <c r="O315" s="2835"/>
      <c r="P315" s="2835"/>
      <c r="AH315" s="2842">
        <v>0</v>
      </c>
    </row>
    <row s="66903" customFormat="1" customHeight="1" ht="18.75" hidden="1">
      <c r="A316" s="2991"/>
      <c r="B316" s="2991"/>
      <c r="C316" s="1580" t="s">
        <v>1356</v>
      </c>
      <c r="D316" s="3673"/>
      <c r="E316" s="3415"/>
      <c r="F316" s="3594"/>
      <c r="G316" s="3638"/>
      <c r="H316" s="2711"/>
      <c r="I316" s="1862" t="s">
        <v>1355</v>
      </c>
      <c r="J316" s="1782"/>
      <c r="K316" s="2711"/>
      <c r="L316" s="1425"/>
      <c r="M316" s="1552"/>
      <c r="N316" s="1545"/>
      <c r="O316" s="2835"/>
      <c r="P316" s="2835"/>
      <c r="AH316" s="2842">
        <v>0</v>
      </c>
    </row>
    <row s="66903" customFormat="1" customHeight="1" ht="0.75" hidden="1">
      <c r="A317" s="2991"/>
      <c r="B317" s="2991"/>
      <c r="C317" s="1580" t="s">
        <v>1363</v>
      </c>
      <c r="D317" s="3673"/>
      <c r="E317" s="3415"/>
      <c r="F317" s="3594"/>
      <c r="G317" s="1611"/>
      <c r="H317" s="2711"/>
      <c r="I317" s="1862"/>
      <c r="J317" s="1782"/>
      <c r="K317" s="2711"/>
      <c r="L317" s="1425"/>
      <c r="M317" s="1552"/>
      <c r="N317" s="1545"/>
      <c r="O317" s="2835"/>
      <c r="P317" s="2835"/>
      <c r="AH317" s="2842">
        <v>0</v>
      </c>
    </row>
    <row s="66903" customFormat="1" customHeight="1" ht="18.75" hidden="1">
      <c r="A318" s="2991" t="s">
        <v>278</v>
      </c>
      <c r="B318" s="2991" t="s">
        <v>279</v>
      </c>
      <c r="C318" s="1580"/>
      <c r="D318" s="3673"/>
      <c r="E318" s="3415"/>
      <c r="F318" s="3594" t="str">
        <f>INDEX(PT_DIFFERENTIATION_VTAR,MATCH(A318,PT_DIFFERENTIATION_VTAR_ID,0))</f>
        <v>Тариф на подключение (технологическое присоединение) к централизованной системе горячего водоснабжения</v>
      </c>
      <c r="G318" s="3638" t="str">
        <f>INDEX(PT_DIFFERENTIATION_NTAR,MATCH(B318,PT_DIFFERENTIATION_NTAR_ID,0))</f>
        <v/>
      </c>
      <c r="H318" s="3073"/>
      <c r="I318" s="2950"/>
      <c r="J318" s="2984"/>
      <c r="K318" s="2989"/>
      <c r="L318" s="3073" t="s">
        <v>324</v>
      </c>
      <c r="M318" s="1552"/>
      <c r="N318" s="1545"/>
      <c r="O318" s="2835"/>
      <c r="P318" s="2835"/>
      <c r="AH318" s="2842">
        <v>0</v>
      </c>
    </row>
    <row s="66903" customFormat="1" customHeight="1" ht="18.75" hidden="1">
      <c r="A319" s="2991"/>
      <c r="B319" s="2991"/>
      <c r="C319" s="1580" t="s">
        <v>1356</v>
      </c>
      <c r="D319" s="3673"/>
      <c r="E319" s="3415"/>
      <c r="F319" s="3594"/>
      <c r="G319" s="3638"/>
      <c r="H319" s="2711"/>
      <c r="I319" s="1862" t="s">
        <v>1355</v>
      </c>
      <c r="J319" s="1782"/>
      <c r="K319" s="2711"/>
      <c r="L319" s="1425"/>
      <c r="M319" s="1552"/>
      <c r="N319" s="1545"/>
      <c r="O319" s="2835"/>
      <c r="P319" s="2835"/>
      <c r="AH319" s="2842">
        <v>0</v>
      </c>
    </row>
    <row s="66903" customFormat="1" customHeight="1" ht="0.75" hidden="1">
      <c r="A320" s="2991"/>
      <c r="B320" s="2991"/>
      <c r="C320" s="1580" t="s">
        <v>1363</v>
      </c>
      <c r="D320" s="3673"/>
      <c r="E320" s="3415"/>
      <c r="F320" s="3594"/>
      <c r="G320" s="1611"/>
      <c r="H320" s="2711"/>
      <c r="I320" s="1862"/>
      <c r="J320" s="1782"/>
      <c r="K320" s="2711"/>
      <c r="L320" s="1425"/>
      <c r="M320" s="1552"/>
      <c r="N320" s="1545"/>
      <c r="O320" s="2835"/>
      <c r="P320" s="2835"/>
      <c r="AH320" s="2842">
        <v>0</v>
      </c>
    </row>
    <row s="66903" customFormat="1" customHeight="1" ht="18.75" hidden="1">
      <c r="A321" s="2991" t="s">
        <v>283</v>
      </c>
      <c r="B321" s="2991" t="s">
        <v>284</v>
      </c>
      <c r="C321" s="1580"/>
      <c r="D321" s="3673"/>
      <c r="E321" s="3415"/>
      <c r="F321" s="3594" t="str">
        <f>INDEX(PT_DIFFERENTIATION_VTAR,MATCH(A321,PT_DIFFERENTIATION_VTAR_ID,0))</f>
        <v>Тариф на водоотведение</v>
      </c>
      <c r="G321" s="3638" t="str">
        <f>INDEX(PT_DIFFERENTIATION_NTAR,MATCH(B321,PT_DIFFERENTIATION_NTAR_ID,0))</f>
        <v/>
      </c>
      <c r="H321" s="3073"/>
      <c r="I321" s="2950"/>
      <c r="J321" s="2984"/>
      <c r="K321" s="2989"/>
      <c r="L321" s="3073" t="s">
        <v>324</v>
      </c>
      <c r="M321" s="1552"/>
      <c r="N321" s="1545"/>
      <c r="O321" s="2835"/>
      <c r="P321" s="2835"/>
      <c r="AH321" s="2842">
        <v>0</v>
      </c>
    </row>
    <row s="66903" customFormat="1" customHeight="1" ht="18.75" hidden="1">
      <c r="A322" s="2991"/>
      <c r="B322" s="2991"/>
      <c r="C322" s="1580" t="s">
        <v>1356</v>
      </c>
      <c r="D322" s="3673"/>
      <c r="E322" s="3415"/>
      <c r="F322" s="3594"/>
      <c r="G322" s="3638"/>
      <c r="H322" s="2711"/>
      <c r="I322" s="1862" t="s">
        <v>1355</v>
      </c>
      <c r="J322" s="1782"/>
      <c r="K322" s="2711"/>
      <c r="L322" s="1425"/>
      <c r="M322" s="1552"/>
      <c r="N322" s="1545"/>
      <c r="O322" s="2835"/>
      <c r="P322" s="2835"/>
      <c r="AH322" s="2842">
        <v>0</v>
      </c>
    </row>
    <row s="66903" customFormat="1" customHeight="1" ht="0.75" hidden="1">
      <c r="A323" s="2991"/>
      <c r="B323" s="2991"/>
      <c r="C323" s="1580" t="s">
        <v>1363</v>
      </c>
      <c r="D323" s="3673"/>
      <c r="E323" s="3415"/>
      <c r="F323" s="3594"/>
      <c r="G323" s="1611"/>
      <c r="H323" s="2711"/>
      <c r="I323" s="1862"/>
      <c r="J323" s="1782"/>
      <c r="K323" s="2711"/>
      <c r="L323" s="1425"/>
      <c r="M323" s="1552"/>
      <c r="N323" s="1545"/>
      <c r="O323" s="2835"/>
      <c r="P323" s="2835"/>
      <c r="AH323" s="2842">
        <v>0</v>
      </c>
    </row>
    <row s="66903" customFormat="1" customHeight="1" ht="18.75" hidden="1">
      <c r="A324" s="2991" t="s">
        <v>288</v>
      </c>
      <c r="B324" s="2991" t="s">
        <v>289</v>
      </c>
      <c r="C324" s="1580"/>
      <c r="D324" s="3673"/>
      <c r="E324" s="3415"/>
      <c r="F324" s="3594" t="str">
        <f>INDEX(PT_DIFFERENTIATION_VTAR,MATCH(A324,PT_DIFFERENTIATION_VTAR_ID,0))</f>
        <v>Тариф на транспортировку сточных вод</v>
      </c>
      <c r="G324" s="3638" t="str">
        <f>INDEX(PT_DIFFERENTIATION_NTAR,MATCH(B324,PT_DIFFERENTIATION_NTAR_ID,0))</f>
        <v/>
      </c>
      <c r="H324" s="3073"/>
      <c r="I324" s="2950"/>
      <c r="J324" s="2984"/>
      <c r="K324" s="2989"/>
      <c r="L324" s="3073" t="s">
        <v>324</v>
      </c>
      <c r="M324" s="1552"/>
      <c r="N324" s="1545"/>
      <c r="O324" s="2835"/>
      <c r="P324" s="2835"/>
      <c r="AH324" s="2842">
        <v>0</v>
      </c>
    </row>
    <row s="66903" customFormat="1" customHeight="1" ht="18.75" hidden="1">
      <c r="A325" s="2991"/>
      <c r="B325" s="2991"/>
      <c r="C325" s="1580" t="s">
        <v>1356</v>
      </c>
      <c r="D325" s="3673"/>
      <c r="E325" s="3415"/>
      <c r="F325" s="3594"/>
      <c r="G325" s="3638"/>
      <c r="H325" s="2711"/>
      <c r="I325" s="1862" t="s">
        <v>1355</v>
      </c>
      <c r="J325" s="1782"/>
      <c r="K325" s="2711"/>
      <c r="L325" s="1425"/>
      <c r="M325" s="1552"/>
      <c r="N325" s="1545"/>
      <c r="O325" s="2835"/>
      <c r="P325" s="2835"/>
      <c r="AH325" s="2842">
        <v>0</v>
      </c>
    </row>
    <row s="66903" customFormat="1" customHeight="1" ht="0.75" hidden="1">
      <c r="A326" s="2991"/>
      <c r="B326" s="2991"/>
      <c r="C326" s="1580" t="s">
        <v>1363</v>
      </c>
      <c r="D326" s="3673"/>
      <c r="E326" s="3415"/>
      <c r="F326" s="3594"/>
      <c r="G326" s="1611"/>
      <c r="H326" s="2711"/>
      <c r="I326" s="1862"/>
      <c r="J326" s="1782"/>
      <c r="K326" s="2711"/>
      <c r="L326" s="1425"/>
      <c r="M326" s="1552"/>
      <c r="N326" s="1545"/>
      <c r="O326" s="2835"/>
      <c r="P326" s="2835"/>
      <c r="AH326" s="2842">
        <v>0</v>
      </c>
    </row>
    <row s="66903" customFormat="1" customHeight="1" ht="18.75" hidden="1">
      <c r="A327" s="2991" t="s">
        <v>293</v>
      </c>
      <c r="B327" s="2991" t="s">
        <v>294</v>
      </c>
      <c r="C327" s="1580"/>
      <c r="D327" s="3673"/>
      <c r="E327" s="3415"/>
      <c r="F327" s="3594" t="str">
        <f>INDEX(PT_DIFFERENTIATION_VTAR,MATCH(A327,PT_DIFFERENTIATION_VTAR_ID,0))</f>
        <v>Тариф на подключение (технологическое присоединение) к централизованной системе водоотведения</v>
      </c>
      <c r="G327" s="3638" t="str">
        <f>INDEX(PT_DIFFERENTIATION_NTAR,MATCH(B327,PT_DIFFERENTIATION_NTAR_ID,0))</f>
        <v/>
      </c>
      <c r="H327" s="3073"/>
      <c r="I327" s="2950"/>
      <c r="J327" s="2984"/>
      <c r="K327" s="2989"/>
      <c r="L327" s="3073" t="s">
        <v>324</v>
      </c>
      <c r="M327" s="1552"/>
      <c r="N327" s="1545"/>
      <c r="O327" s="2835"/>
      <c r="P327" s="2835"/>
      <c r="AH327" s="2842">
        <v>0</v>
      </c>
    </row>
    <row s="66903" customFormat="1" customHeight="1" ht="18.75" hidden="1">
      <c r="A328" s="2991"/>
      <c r="B328" s="2991"/>
      <c r="C328" s="1580" t="s">
        <v>1356</v>
      </c>
      <c r="D328" s="3673"/>
      <c r="E328" s="3415"/>
      <c r="F328" s="3594"/>
      <c r="G328" s="3638"/>
      <c r="H328" s="2711"/>
      <c r="I328" s="1862" t="s">
        <v>1355</v>
      </c>
      <c r="J328" s="1782"/>
      <c r="K328" s="2711"/>
      <c r="L328" s="1425"/>
      <c r="M328" s="1552"/>
      <c r="N328" s="1545"/>
      <c r="O328" s="2835"/>
      <c r="P328" s="2835"/>
      <c r="AH328" s="2842">
        <v>0</v>
      </c>
    </row>
    <row s="66903" customFormat="1" customHeight="1" ht="1.05">
      <c r="A329" s="2991"/>
      <c r="B329" s="2991"/>
      <c r="C329" s="1580" t="s">
        <v>1363</v>
      </c>
      <c r="D329" s="3673"/>
      <c r="E329" s="3415"/>
      <c r="F329" s="3594"/>
      <c r="G329" s="1611"/>
      <c r="H329" s="2711"/>
      <c r="I329" s="1862"/>
      <c r="J329" s="1782"/>
      <c r="K329" s="2711"/>
      <c r="L329" s="1425"/>
      <c r="M329" s="1552"/>
      <c r="N329" s="1545"/>
      <c r="O329" s="2835"/>
      <c r="P329" s="2835"/>
      <c r="AH329" s="2842">
        <v>1</v>
      </c>
    </row>
    <row s="67275" customFormat="1" customHeight="1" ht="3">
      <c r="A330" s="2991"/>
      <c r="B330" s="2991"/>
      <c r="C330" s="2992"/>
      <c r="E330" s="1613"/>
      <c r="F330" s="1613"/>
      <c r="G330" s="1613"/>
      <c r="H330" s="1613"/>
      <c r="I330" s="1613"/>
      <c r="J330" s="1613"/>
      <c r="K330" s="1613"/>
      <c r="L330" s="1613"/>
      <c r="M330" s="1613"/>
      <c r="O330" s="1407"/>
      <c r="P330" s="1407"/>
      <c r="AH330" s="1351">
        <v>3</v>
      </c>
    </row>
    <row customHeight="1" ht="26.25">
      <c r="E331" s="1413"/>
      <c r="F331" s="3496"/>
      <c r="G331" s="3496"/>
      <c r="H331" s="3496"/>
      <c r="I331" s="3496"/>
      <c r="J331" s="3496"/>
      <c r="K331" s="3496"/>
      <c r="L331" s="3496"/>
      <c r="M331" s="3496"/>
      <c r="AH331" s="1585">
        <v>25</v>
      </c>
    </row>
    <row customHeight="1" ht="14.25" hidden="1">
      <c r="A332" s="2990" t="s">
        <v>82</v>
      </c>
      <c r="B332" s="2990">
        <v>0</v>
      </c>
      <c r="C332" s="1580">
        <v>0</v>
      </c>
      <c r="D332" s="1555">
        <v>3</v>
      </c>
      <c r="E332" s="1585">
        <v>6</v>
      </c>
      <c r="F332" s="1585">
        <v>46</v>
      </c>
      <c r="G332" s="1585">
        <v>35</v>
      </c>
      <c r="H332" s="1585">
        <v>3</v>
      </c>
      <c r="I332" s="1585">
        <v>11</v>
      </c>
      <c r="J332" s="1585">
        <v>11</v>
      </c>
      <c r="K332" s="1585">
        <v>35</v>
      </c>
      <c r="L332" s="1585">
        <v>35</v>
      </c>
      <c r="M332" s="1585">
        <v>84</v>
      </c>
      <c r="N332" s="1585">
        <v>10</v>
      </c>
      <c r="O332" s="1561">
        <v>10</v>
      </c>
      <c r="P332" s="1561">
        <v>10</v>
      </c>
      <c r="Q332" s="1585">
        <v>10</v>
      </c>
      <c r="R332" s="1585">
        <v>10</v>
      </c>
      <c r="S332" s="1585">
        <v>10</v>
      </c>
      <c r="T332" s="1585">
        <v>10</v>
      </c>
      <c r="U332" s="1585">
        <v>10</v>
      </c>
      <c r="V332" s="1585">
        <v>10</v>
      </c>
      <c r="W332" s="1585">
        <v>10</v>
      </c>
      <c r="X332" s="1585">
        <v>10</v>
      </c>
      <c r="Y332" s="1585">
        <v>10</v>
      </c>
      <c r="Z332" s="1585">
        <v>10</v>
      </c>
      <c r="AA332" s="1585">
        <v>10</v>
      </c>
      <c r="AB332" s="1585">
        <v>10</v>
      </c>
      <c r="AC332" s="1585">
        <v>10</v>
      </c>
      <c r="AD332" s="1585">
        <v>10</v>
      </c>
      <c r="AE332" s="1585">
        <v>10</v>
      </c>
      <c r="AF332" s="1585">
        <v>10</v>
      </c>
      <c r="AG332" s="1585">
        <v>10</v>
      </c>
      <c r="AH332" s="158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89D3E-83C7-328F-9198-BDF1D06B5B46}"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67462" width="9.140625" hidden="1" customWidth="1"/>
    <col min="2" max="2" style="66852" width="9.140625" hidden="1" customWidth="1"/>
    <col min="3" max="3" style="66873" width="3.00390625" customWidth="1"/>
    <col min="4" max="4" style="66903" width="6.00390625" customWidth="1"/>
    <col min="5" max="5" style="66903" width="53.00390625" customWidth="1"/>
    <col min="6" max="7" style="66903" width="35.00390625" customWidth="1"/>
    <col min="8" max="8" style="66903" width="89.00390625" customWidth="1"/>
    <col min="9" max="9" style="66903" width="10.00390625" customWidth="1"/>
    <col min="10" max="11" style="66855" width="10.00390625" customWidth="1"/>
    <col min="12" max="17" style="66903" width="10.00390625" customWidth="1"/>
    <col min="18" max="18" style="66903" width="10.57421875" hidden="1"/>
  </cols>
  <sheetData>
    <row customHeight="1" ht="22.5" hidden="1">
      <c r="N1" s="1466"/>
      <c r="O1" s="1466"/>
      <c r="Q1" s="1466"/>
      <c r="R1" s="1585" t="s">
        <v>14</v>
      </c>
    </row>
    <row s="66903" customFormat="1" customHeight="1" ht="18.75" hidden="1">
      <c r="A2" s="1313"/>
      <c r="B2" s="2371"/>
      <c r="C2" s="2941" t="s">
        <v>103</v>
      </c>
      <c r="D2" s="2884"/>
      <c r="E2" s="2893"/>
      <c r="F2" s="1468"/>
      <c r="G2" s="2372"/>
      <c r="H2" s="1585"/>
      <c r="I2" s="2835"/>
      <c r="J2" s="2835"/>
      <c r="R2" s="2842">
        <v>0</v>
      </c>
    </row>
    <row customHeight="1" ht="14.25" hidden="1">
      <c r="R3" s="1585">
        <v>0</v>
      </c>
    </row>
    <row customHeight="1" ht="6.3">
      <c r="C4" s="1587"/>
      <c r="D4" s="1574"/>
      <c r="E4" s="1574"/>
      <c r="F4" s="1574"/>
      <c r="G4" s="1296"/>
      <c r="H4" s="1296"/>
      <c r="R4" s="1585">
        <v>6</v>
      </c>
    </row>
    <row customHeight="1" ht="34.5">
      <c r="C5" s="1587"/>
      <c r="D5" s="366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3666"/>
      <c r="F5" s="3666"/>
      <c r="G5" s="3667"/>
      <c r="H5" s="1477"/>
      <c r="R5" s="1585">
        <v>33</v>
      </c>
    </row>
    <row s="66903" customFormat="1" customHeight="1" ht="18">
      <c r="A6" s="2880"/>
      <c r="B6" s="2371"/>
      <c r="C6" s="1587"/>
      <c r="D6" s="3668" t="str">
        <f>IF(org=0,"Не определено",org)</f>
        <v>ПАО "ТГК-2"</v>
      </c>
      <c r="E6" s="3669"/>
      <c r="F6" s="3669"/>
      <c r="G6" s="3670"/>
      <c r="H6" s="1477"/>
      <c r="J6" s="2835"/>
      <c r="K6" s="2835"/>
      <c r="R6" s="2842">
        <v>17</v>
      </c>
    </row>
    <row customHeight="1" ht="14.699999999999998">
      <c r="C7" s="1587"/>
      <c r="D7" s="1574"/>
      <c r="E7" s="1600"/>
      <c r="F7" s="1600"/>
      <c r="G7" s="1963"/>
      <c r="H7" s="1404"/>
      <c r="R7" s="1585">
        <v>14</v>
      </c>
    </row>
    <row customHeight="1" ht="14.699999999999998">
      <c r="C8" s="1587"/>
      <c r="D8" s="3420" t="s">
        <v>318</v>
      </c>
      <c r="E8" s="3420"/>
      <c r="F8" s="3420"/>
      <c r="G8" s="3420"/>
      <c r="H8" s="3600" t="s">
        <v>319</v>
      </c>
      <c r="R8" s="1585">
        <v>14</v>
      </c>
    </row>
    <row customHeight="1" ht="24">
      <c r="C9" s="1587"/>
      <c r="D9" s="1597" t="s">
        <v>88</v>
      </c>
      <c r="E9" s="1319" t="s">
        <v>320</v>
      </c>
      <c r="F9" s="1319" t="s">
        <v>321</v>
      </c>
      <c r="G9" s="1319" t="s">
        <v>408</v>
      </c>
      <c r="H9" s="3600"/>
      <c r="R9" s="1585">
        <v>23</v>
      </c>
    </row>
    <row customHeight="1" ht="14.699999999999998">
      <c r="A10" s="1554"/>
      <c r="C10" s="1587"/>
      <c r="D10" s="1358" t="s">
        <v>99</v>
      </c>
      <c r="E10" s="309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468"/>
      <c r="G10" s="1424"/>
      <c r="H10" s="3380" t="s">
        <v>1364</v>
      </c>
      <c r="R10" s="1585">
        <v>14</v>
      </c>
    </row>
    <row customHeight="1" ht="14.699999999999998">
      <c r="A11" s="1554"/>
      <c r="C11" s="1587"/>
      <c r="D11" s="1358" t="s">
        <v>102</v>
      </c>
      <c r="E11" s="309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468"/>
      <c r="G11" s="1424"/>
      <c r="H11" s="3381"/>
      <c r="R11" s="1585">
        <v>14</v>
      </c>
    </row>
    <row customHeight="1" ht="14.699999999999998">
      <c r="A12" s="1313"/>
      <c r="C12" s="1598"/>
      <c r="D12" s="1358" t="s">
        <v>90</v>
      </c>
      <c r="E12" s="1599" t="str">
        <f>"Сведения о планировании закупочных процедур"&amp;IF(TEMPLATE_SPHERE="TKO"," &lt;1&gt;","")</f>
        <v>Сведения о планировании закупочных процедур</v>
      </c>
      <c r="F12" s="1468"/>
      <c r="G12" s="1424"/>
      <c r="H12" s="338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561"/>
      <c r="K12" s="1585"/>
      <c r="R12" s="1585">
        <v>14</v>
      </c>
    </row>
    <row customHeight="1" ht="14.699999999999998">
      <c r="A13" s="1313"/>
      <c r="C13" s="1598"/>
      <c r="D13" s="1358" t="s">
        <v>91</v>
      </c>
      <c r="E13" s="1599" t="str">
        <f>"Сведения о результатах проведения закупочных процедур"&amp;IF(TEMPLATE_SPHERE="TKO"," &lt;1&gt;","")</f>
        <v>Сведения о результатах проведения закупочных процедур</v>
      </c>
      <c r="F13" s="1468"/>
      <c r="G13" s="1424"/>
      <c r="H13" s="3381"/>
      <c r="I13" s="1561"/>
      <c r="K13" s="1585"/>
      <c r="R13" s="1585">
        <v>14</v>
      </c>
    </row>
    <row customHeight="1" ht="14.699999999999998">
      <c r="A14" s="1554"/>
      <c r="C14" s="1587"/>
      <c r="D14" s="1558"/>
      <c r="E14" s="1606" t="s">
        <v>340</v>
      </c>
      <c r="F14" s="1560"/>
      <c r="G14" s="1412"/>
      <c r="H14" s="3382"/>
      <c r="R14" s="1585">
        <v>14</v>
      </c>
    </row>
    <row s="66903" customFormat="1" customHeight="1" ht="14.699999999999998">
      <c r="A15" s="1554"/>
      <c r="B15" s="2371"/>
      <c r="C15" s="1587"/>
      <c r="D15" s="1607"/>
      <c r="E15" s="2888"/>
      <c r="F15" s="2889"/>
      <c r="G15" s="2890"/>
      <c r="H15" s="2891"/>
      <c r="J15" s="2835"/>
      <c r="K15" s="2835"/>
      <c r="R15" s="2842">
        <v>14</v>
      </c>
    </row>
    <row customHeight="1" ht="14.699999999999998">
      <c r="D16" s="2892"/>
      <c r="E16" s="3596"/>
      <c r="F16" s="3596"/>
      <c r="G16" s="3596"/>
      <c r="H16" s="3596"/>
      <c r="R16" s="1585">
        <v>14</v>
      </c>
    </row>
    <row customHeight="1" ht="22.5" hidden="1">
      <c r="A17" s="1575" t="s">
        <v>82</v>
      </c>
      <c r="B17" s="1357">
        <v>0</v>
      </c>
      <c r="C17" s="1555">
        <v>3</v>
      </c>
      <c r="D17" s="1585">
        <v>6</v>
      </c>
      <c r="E17" s="1585">
        <v>53</v>
      </c>
      <c r="F17" s="1585">
        <v>35</v>
      </c>
      <c r="G17" s="1585">
        <v>35</v>
      </c>
      <c r="H17" s="1585">
        <v>89</v>
      </c>
      <c r="I17" s="1585">
        <v>10</v>
      </c>
      <c r="J17" s="1561">
        <v>10</v>
      </c>
      <c r="K17" s="1561">
        <v>10</v>
      </c>
      <c r="L17" s="1585">
        <v>10</v>
      </c>
      <c r="M17" s="1585">
        <v>10</v>
      </c>
      <c r="N17" s="1585">
        <v>10</v>
      </c>
      <c r="O17" s="1585">
        <v>10</v>
      </c>
      <c r="P17" s="1585">
        <v>10</v>
      </c>
      <c r="Q17" s="1585">
        <v>10</v>
      </c>
      <c r="R17" s="158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7A9A73-2D75-3DF6-7C9A-AB6BD0074653}"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66855" width="3.7109375" hidden="1" customWidth="1"/>
    <col min="3" max="3" style="67333" width="3.00390625" customWidth="1"/>
    <col min="4" max="4" style="67333" width="6.00390625" customWidth="1"/>
    <col min="5" max="5" style="67333" width="42.00390625" customWidth="1"/>
    <col min="6" max="6" style="67333" width="15.00390625" customWidth="1"/>
    <col min="7" max="7" style="67333" width="42.00390625" customWidth="1"/>
    <col min="8" max="8" style="67333" width="3.00390625" customWidth="1"/>
    <col min="9" max="9" style="67333" width="5.00390625" customWidth="1"/>
    <col min="10" max="10" style="67333" width="47.00390625" customWidth="1"/>
    <col min="11" max="12" style="67333" width="3.00390625" customWidth="1"/>
    <col min="13" max="13" style="67333" width="5.00390625" customWidth="1"/>
    <col min="14" max="14" style="67333" width="28.00390625" customWidth="1"/>
    <col min="15" max="16" style="67333" width="3.00390625" customWidth="1"/>
    <col min="17" max="17" style="67333" width="5.00390625" customWidth="1"/>
    <col min="18" max="18" style="67333" width="34.00390625" customWidth="1"/>
    <col min="19" max="20" style="67333" width="3.7109375" customWidth="1"/>
    <col min="21" max="21" style="67333" width="5.7109375" customWidth="1"/>
    <col min="22" max="22" style="67333" width="34.421875" customWidth="1"/>
    <col min="23" max="23" style="67333" width="30.00390625" customWidth="1"/>
    <col min="24" max="24" style="67333" width="3.00390625" customWidth="1"/>
    <col min="25" max="28" style="66986" width="9.8515625" hidden="1" customWidth="1"/>
    <col min="29" max="29" style="66986" width="27.00390625" hidden="1" customWidth="1"/>
    <col min="30" max="30" style="66986" width="10.57421875" hidden="1" customWidth="1"/>
    <col min="31" max="31" style="66986" width="10.7109375" hidden="1" customWidth="1"/>
    <col min="32" max="32" style="66986" width="10.00390625" hidden="1" customWidth="1"/>
    <col min="33" max="33" style="66986" width="12.8515625" hidden="1" customWidth="1"/>
    <col min="34" max="34" style="66986" width="24.421875" hidden="1" customWidth="1"/>
    <col min="35" max="35" style="66986" width="15.8515625" hidden="1" customWidth="1"/>
    <col min="36" max="36" style="66986" width="19.421875" hidden="1" customWidth="1"/>
    <col min="37" max="37" style="66986" width="11.00390625" hidden="1" customWidth="1"/>
    <col min="38" max="38" style="66986" width="23.57421875" hidden="1" customWidth="1"/>
    <col min="39" max="39" style="66986" width="23.8515625" hidden="1" customWidth="1"/>
    <col min="40" max="40" style="66986" width="25.28125" hidden="1" customWidth="1"/>
    <col min="41" max="41" style="66986" width="16.8515625" hidden="1" customWidth="1"/>
    <col min="42" max="42" style="66986" width="29.57421875" hidden="1" customWidth="1"/>
    <col min="43" max="43" style="66986" width="29.8515625" hidden="1" customWidth="1"/>
    <col min="44" max="44" style="67333" width="9.140625" hidden="1"/>
  </cols>
  <sheetData>
    <row customHeight="1" ht="11.25" hidden="1">
      <c r="A1" s="1367"/>
      <c r="AR1" s="1315" t="s">
        <v>14</v>
      </c>
    </row>
    <row customHeight="1" ht="11.25" hidden="1">
      <c r="AR2" s="1315">
        <v>0</v>
      </c>
    </row>
    <row customHeight="1" ht="11.25" hidden="1">
      <c r="AR3" s="1315">
        <v>0</v>
      </c>
    </row>
    <row customHeight="1" ht="3">
      <c r="AR4" s="1315">
        <v>3</v>
      </c>
    </row>
    <row s="64814" customFormat="1" customHeight="1" ht="30.45">
      <c r="A5" s="1365"/>
      <c r="B5" s="1365"/>
      <c r="D5" s="336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3369"/>
      <c r="F5" s="3369"/>
      <c r="G5" s="3369"/>
      <c r="H5" s="3369"/>
      <c r="I5" s="3369"/>
      <c r="J5" s="3370"/>
      <c r="K5" s="1476"/>
      <c r="L5" s="1353"/>
      <c r="M5" s="1353"/>
      <c r="N5" s="1353"/>
      <c r="O5" s="1353"/>
      <c r="P5" s="1353"/>
      <c r="Q5" s="1353"/>
      <c r="R5" s="1353"/>
      <c r="S5" s="1501"/>
      <c r="T5" s="1501"/>
      <c r="U5" s="1501"/>
      <c r="V5" s="1501"/>
      <c r="W5" s="1353"/>
      <c r="Y5" s="2471"/>
      <c r="Z5" s="2471"/>
      <c r="AA5" s="2471"/>
      <c r="AB5" s="2471"/>
      <c r="AC5" s="2471"/>
      <c r="AD5" s="2471"/>
      <c r="AE5" s="2471"/>
      <c r="AF5" s="2471"/>
      <c r="AG5" s="2471"/>
      <c r="AH5" s="2471"/>
      <c r="AI5" s="2471"/>
      <c r="AJ5" s="2471"/>
      <c r="AK5" s="2471"/>
      <c r="AL5" s="2471"/>
      <c r="AM5" s="2471"/>
      <c r="AN5" s="2471"/>
      <c r="AO5" s="2471"/>
      <c r="AP5" s="2471"/>
      <c r="AQ5" s="2471"/>
      <c r="AR5" s="1322">
        <v>29</v>
      </c>
    </row>
    <row s="64814" customFormat="1" customHeight="1" ht="14.699999999999998">
      <c r="A6" s="1796"/>
      <c r="B6" s="1796"/>
      <c r="C6" s="1796"/>
      <c r="D6" s="3374" t="str">
        <f>IF(org=0,"Не определено",org)</f>
        <v>ПАО "ТГК-2"</v>
      </c>
      <c r="E6" s="3374"/>
      <c r="F6" s="3374"/>
      <c r="G6" s="3374"/>
      <c r="H6" s="3374"/>
      <c r="I6" s="3374"/>
      <c r="J6" s="3374"/>
      <c r="K6" s="1797"/>
      <c r="L6" s="1797"/>
      <c r="M6" s="1797"/>
      <c r="N6" s="1797"/>
      <c r="O6" s="2081"/>
      <c r="P6" s="2081"/>
      <c r="Q6" s="2081"/>
      <c r="R6" s="2081"/>
      <c r="S6" s="2081"/>
      <c r="T6" s="2081"/>
      <c r="U6" s="2081"/>
      <c r="V6" s="2081"/>
      <c r="W6" s="2081"/>
      <c r="X6" s="1797"/>
      <c r="Y6" s="2472"/>
      <c r="Z6" s="2472"/>
      <c r="AA6" s="2472"/>
      <c r="AB6" s="2472"/>
      <c r="AC6" s="2472"/>
      <c r="AD6" s="2472"/>
      <c r="AE6" s="2472"/>
      <c r="AF6" s="2472"/>
      <c r="AG6" s="2472"/>
      <c r="AH6" s="2472"/>
      <c r="AI6" s="2472"/>
      <c r="AJ6" s="2472"/>
      <c r="AK6" s="2472"/>
      <c r="AL6" s="2472"/>
      <c r="AM6" s="2472"/>
      <c r="AN6" s="2472"/>
      <c r="AO6" s="2472"/>
      <c r="AP6" s="2472"/>
      <c r="AQ6" s="2472"/>
      <c r="AR6" s="1798">
        <v>14</v>
      </c>
    </row>
    <row s="64812" customFormat="1" customHeight="1" ht="11.549999999999999">
      <c r="A7" s="1422"/>
      <c r="B7" s="1422"/>
      <c r="D7" s="3371"/>
      <c r="E7" s="3372"/>
      <c r="F7" s="3372"/>
      <c r="G7" s="3372"/>
      <c r="H7" s="3372"/>
      <c r="I7" s="3372"/>
      <c r="J7" s="3373"/>
      <c r="S7" s="1510"/>
      <c r="T7" s="1510"/>
      <c r="U7" s="1510"/>
      <c r="V7" s="1510"/>
      <c r="Y7" s="2473"/>
      <c r="Z7" s="2473"/>
      <c r="AA7" s="2473"/>
      <c r="AB7" s="2473"/>
      <c r="AC7" s="2473"/>
      <c r="AD7" s="2473"/>
      <c r="AE7" s="2473"/>
      <c r="AF7" s="2473"/>
      <c r="AG7" s="2473"/>
      <c r="AH7" s="2473"/>
      <c r="AI7" s="2473"/>
      <c r="AJ7" s="2473"/>
      <c r="AK7" s="2473"/>
      <c r="AL7" s="2473"/>
      <c r="AM7" s="2473"/>
      <c r="AN7" s="2473"/>
      <c r="AO7" s="2473"/>
      <c r="AP7" s="2473"/>
      <c r="AQ7" s="2473"/>
      <c r="AR7" s="1487">
        <v>11</v>
      </c>
    </row>
    <row s="64814" customFormat="1" customHeight="1" ht="1.05">
      <c r="A8" s="1365"/>
      <c r="B8" s="1365"/>
      <c r="D8" s="1423"/>
      <c r="E8" s="1423"/>
      <c r="F8" s="1423"/>
      <c r="G8" s="1423"/>
      <c r="H8" s="1423"/>
      <c r="I8" s="1423"/>
      <c r="J8" s="1423"/>
      <c r="K8" s="1423"/>
      <c r="L8" s="1423"/>
      <c r="M8" s="1423"/>
      <c r="N8" s="1423"/>
      <c r="O8" s="1423"/>
      <c r="P8" s="1423"/>
      <c r="Q8" s="1423"/>
      <c r="R8" s="1423"/>
      <c r="S8" s="1423"/>
      <c r="T8" s="1423"/>
      <c r="U8" s="1423"/>
      <c r="V8" s="1423"/>
      <c r="W8" s="1423"/>
      <c r="X8" s="1343"/>
      <c r="Y8" s="2471"/>
      <c r="Z8" s="2471"/>
      <c r="AA8" s="2471"/>
      <c r="AB8" s="2471"/>
      <c r="AC8" s="2471"/>
      <c r="AD8" s="2471"/>
      <c r="AE8" s="2471"/>
      <c r="AF8" s="2471"/>
      <c r="AG8" s="2471"/>
      <c r="AH8" s="2471"/>
      <c r="AI8" s="2471"/>
      <c r="AJ8" s="2471"/>
      <c r="AK8" s="2471"/>
      <c r="AL8" s="2471"/>
      <c r="AM8" s="2471"/>
      <c r="AN8" s="2471"/>
      <c r="AO8" s="2471"/>
      <c r="AP8" s="2471"/>
      <c r="AQ8" s="2471"/>
      <c r="AR8" s="1322">
        <v>1</v>
      </c>
    </row>
    <row customHeight="1" ht="28.5">
      <c r="D9" s="3338" t="s">
        <v>88</v>
      </c>
      <c r="E9" s="3312" t="s">
        <v>142</v>
      </c>
      <c r="F9" s="3314"/>
      <c r="G9" s="3338" t="s">
        <v>118</v>
      </c>
      <c r="H9" s="3338" t="s">
        <v>88</v>
      </c>
      <c r="I9" s="3338"/>
      <c r="J9" s="3338" t="s">
        <v>143</v>
      </c>
      <c r="K9" s="3366" t="s">
        <v>144</v>
      </c>
      <c r="L9" s="3366"/>
      <c r="M9" s="3366"/>
      <c r="N9" s="3366"/>
      <c r="O9" s="3366" t="s">
        <v>145</v>
      </c>
      <c r="P9" s="3366"/>
      <c r="Q9" s="3366"/>
      <c r="R9" s="3366"/>
      <c r="S9" s="3366" t="s">
        <v>146</v>
      </c>
      <c r="T9" s="3366"/>
      <c r="U9" s="3366"/>
      <c r="V9" s="3366"/>
      <c r="W9" s="3338" t="s">
        <v>147</v>
      </c>
      <c r="AR9" s="1315">
        <v>27</v>
      </c>
    </row>
    <row customHeight="1" ht="31.5">
      <c r="D10" s="3338"/>
      <c r="E10" s="2495" t="s">
        <v>89</v>
      </c>
      <c r="F10" s="2495" t="s">
        <v>148</v>
      </c>
      <c r="G10" s="3338"/>
      <c r="H10" s="3338"/>
      <c r="I10" s="3338"/>
      <c r="J10" s="3338"/>
      <c r="K10" s="1321" t="s">
        <v>121</v>
      </c>
      <c r="L10" s="3338" t="s">
        <v>88</v>
      </c>
      <c r="M10" s="3338"/>
      <c r="N10" s="1321" t="s">
        <v>149</v>
      </c>
      <c r="O10" s="1321" t="s">
        <v>121</v>
      </c>
      <c r="P10" s="3338" t="s">
        <v>88</v>
      </c>
      <c r="Q10" s="3338"/>
      <c r="R10" s="1321" t="s">
        <v>149</v>
      </c>
      <c r="S10" s="1494" t="s">
        <v>121</v>
      </c>
      <c r="T10" s="3338" t="s">
        <v>88</v>
      </c>
      <c r="U10" s="3338"/>
      <c r="V10" s="1494" t="s">
        <v>89</v>
      </c>
      <c r="W10" s="3338"/>
      <c r="Z10" s="2470" t="s">
        <v>150</v>
      </c>
      <c r="AA10" s="2470" t="s">
        <v>151</v>
      </c>
      <c r="AB10" s="2470" t="s">
        <v>152</v>
      </c>
      <c r="AC10" s="2470" t="s">
        <v>153</v>
      </c>
      <c r="AD10" s="2470" t="s">
        <v>154</v>
      </c>
      <c r="AE10" s="2470" t="s">
        <v>155</v>
      </c>
      <c r="AF10" s="2470" t="s">
        <v>156</v>
      </c>
      <c r="AG10" s="2470" t="s">
        <v>157</v>
      </c>
      <c r="AH10" s="2470" t="s">
        <v>158</v>
      </c>
      <c r="AI10" s="2470" t="s">
        <v>159</v>
      </c>
      <c r="AJ10" s="2470" t="s">
        <v>160</v>
      </c>
      <c r="AK10" s="2470" t="s">
        <v>161</v>
      </c>
      <c r="AL10" s="2470" t="s">
        <v>162</v>
      </c>
      <c r="AM10" s="2470" t="s">
        <v>163</v>
      </c>
      <c r="AN10" s="2470" t="s">
        <v>164</v>
      </c>
      <c r="AO10" s="2470" t="s">
        <v>165</v>
      </c>
      <c r="AP10" s="2470" t="s">
        <v>166</v>
      </c>
      <c r="AQ10" s="2470" t="s">
        <v>167</v>
      </c>
      <c r="AR10" s="1315">
        <v>30</v>
      </c>
    </row>
    <row s="66855" customFormat="1" customHeight="1" ht="12" hidden="1">
      <c r="D11" s="2460" t="s">
        <v>99</v>
      </c>
      <c r="E11" s="2460" t="s">
        <v>102</v>
      </c>
      <c r="F11" s="2460"/>
      <c r="G11" s="2460" t="s">
        <v>90</v>
      </c>
      <c r="H11" s="3367" t="s">
        <v>122</v>
      </c>
      <c r="I11" s="3367"/>
      <c r="J11" s="2460" t="s">
        <v>92</v>
      </c>
      <c r="K11" s="2460" t="s">
        <v>93</v>
      </c>
      <c r="L11" s="3367" t="s">
        <v>123</v>
      </c>
      <c r="M11" s="3367"/>
      <c r="N11" s="2460" t="s">
        <v>168</v>
      </c>
      <c r="O11" s="2460" t="s">
        <v>169</v>
      </c>
      <c r="P11" s="3367" t="s">
        <v>170</v>
      </c>
      <c r="Q11" s="3367"/>
      <c r="R11" s="2460" t="s">
        <v>171</v>
      </c>
      <c r="S11" s="2460" t="s">
        <v>170</v>
      </c>
      <c r="T11" s="3367" t="s">
        <v>171</v>
      </c>
      <c r="U11" s="3367"/>
      <c r="V11" s="2460" t="s">
        <v>172</v>
      </c>
      <c r="W11" s="2460" t="s">
        <v>173</v>
      </c>
      <c r="Y11" s="2470"/>
      <c r="Z11" s="2470"/>
      <c r="AA11" s="2470"/>
      <c r="AB11" s="2470"/>
      <c r="AC11" s="2470"/>
      <c r="AD11" s="2470"/>
      <c r="AE11" s="2470"/>
      <c r="AF11" s="2470"/>
      <c r="AG11" s="2470"/>
      <c r="AH11" s="2470"/>
      <c r="AI11" s="2470"/>
      <c r="AJ11" s="2470"/>
      <c r="AK11" s="2470"/>
      <c r="AL11" s="2470"/>
      <c r="AM11" s="2470"/>
      <c r="AN11" s="2470"/>
      <c r="AO11" s="2470"/>
      <c r="AP11" s="2470"/>
      <c r="AQ11" s="2470"/>
      <c r="AR11" s="1488">
        <v>0</v>
      </c>
    </row>
    <row customHeight="1" ht="14.25" hidden="1">
      <c r="C12" s="1420"/>
      <c r="D12" s="2493">
        <v>0</v>
      </c>
      <c r="E12" s="1461"/>
      <c r="F12" s="1461"/>
      <c r="G12" s="1461"/>
      <c r="H12" s="1462"/>
      <c r="I12" s="1462"/>
      <c r="J12" s="1369"/>
      <c r="K12" s="1323"/>
      <c r="L12" s="1369"/>
      <c r="M12" s="1369"/>
      <c r="N12" s="1463"/>
      <c r="O12" s="1323"/>
      <c r="P12" s="1369"/>
      <c r="Q12" s="1369"/>
      <c r="R12" s="1464"/>
      <c r="S12" s="1495"/>
      <c r="T12" s="1503"/>
      <c r="U12" s="1503"/>
      <c r="V12" s="1507"/>
      <c r="W12" s="1323"/>
      <c r="X12" s="1352"/>
      <c r="AR12" s="1315">
        <v>0</v>
      </c>
    </row>
    <row s="67333" customFormat="1" customHeight="1" ht="17.25" hidden="1">
      <c r="A13" s="1532"/>
      <c r="C13" s="1420"/>
      <c r="D13" s="3346">
        <v>1</v>
      </c>
      <c r="E13" s="3354" t="s">
        <v>174</v>
      </c>
      <c r="F13" s="3356" t="s">
        <v>19</v>
      </c>
      <c r="G13" s="3354"/>
      <c r="H13" s="3359"/>
      <c r="I13" s="3361"/>
      <c r="J13" s="3363"/>
      <c r="K13" s="3348"/>
      <c r="L13" s="3348"/>
      <c r="M13" s="3348"/>
      <c r="N13" s="3350"/>
      <c r="O13" s="3348"/>
      <c r="P13" s="3348"/>
      <c r="Q13" s="3348"/>
      <c r="R13" s="3353"/>
      <c r="S13" s="3348"/>
      <c r="T13" s="2631"/>
      <c r="U13" s="2631"/>
      <c r="V13" s="2630"/>
      <c r="W13" s="2507"/>
      <c r="Y13" s="2478"/>
      <c r="Z13" s="2478"/>
      <c r="AA13" s="2478"/>
      <c r="AB13" s="2478"/>
      <c r="AC13" s="2478" t="s">
        <v>175</v>
      </c>
      <c r="AD13" s="2478" t="s">
        <v>176</v>
      </c>
      <c r="AE13" s="2478" t="s">
        <v>177</v>
      </c>
      <c r="AF13" s="2478" t="s">
        <v>178</v>
      </c>
      <c r="AG13" s="2478" t="s">
        <v>179</v>
      </c>
      <c r="AH13" s="247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2478" t="str">
        <f>IF($G$13=0,"",$G$13)</f>
        <v/>
      </c>
      <c r="AJ13" s="2478" t="str">
        <f>IF($J$13=0,"",$J$13)</f>
        <v/>
      </c>
      <c r="AK13" s="2478" t="str">
        <f>IF($K$13="нет","без дифференциации",IF($N$13=0,"",$N$13))</f>
        <v/>
      </c>
      <c r="AL13" s="2478" t="str">
        <f>IF($O$13="нет","без дифференциации",IF($R$13=0,"",$R$13))</f>
        <v/>
      </c>
      <c r="AM13" s="2478" t="str">
        <f>IF($S$13="нет","без дифференциации",IF($V$13=0,"",$V$13))</f>
        <v/>
      </c>
      <c r="AN13" s="2478">
        <f>$I$13</f>
        <v>0</v>
      </c>
      <c r="AO13" s="2478" t="str">
        <f>$I$13&amp;"."&amp;$M$13</f>
        <v>.</v>
      </c>
      <c r="AP13" s="2478" t="str">
        <f>$I$13&amp;"."&amp;$M$13&amp;"."&amp;$Q$13</f>
        <v>..</v>
      </c>
      <c r="AQ13" s="2478" t="str">
        <f>$I$13&amp;"."&amp;$M$13&amp;"."&amp;$Q$13&amp;"."&amp;$U$13</f>
        <v>...</v>
      </c>
      <c r="AR13" s="1961">
        <v>0</v>
      </c>
    </row>
    <row s="67333" customFormat="1" customHeight="1" ht="17.25" hidden="1">
      <c r="A14" s="1532"/>
      <c r="C14" s="1531"/>
      <c r="D14" s="3346"/>
      <c r="E14" s="3354"/>
      <c r="F14" s="3357"/>
      <c r="G14" s="3354"/>
      <c r="H14" s="3360"/>
      <c r="I14" s="3362"/>
      <c r="J14" s="3364"/>
      <c r="K14" s="3349"/>
      <c r="L14" s="3349"/>
      <c r="M14" s="3349"/>
      <c r="N14" s="3351"/>
      <c r="O14" s="3349"/>
      <c r="P14" s="3349"/>
      <c r="Q14" s="3349"/>
      <c r="R14" s="3352"/>
      <c r="S14" s="3349"/>
      <c r="T14" s="2508"/>
      <c r="U14" s="2508"/>
      <c r="V14" s="2508"/>
      <c r="W14" s="2509"/>
      <c r="Y14" s="2470"/>
      <c r="Z14" s="2470"/>
      <c r="AA14" s="2470"/>
      <c r="AB14" s="2470"/>
      <c r="AC14" s="2470"/>
      <c r="AD14" s="2470"/>
      <c r="AE14" s="2470"/>
      <c r="AF14" s="2470"/>
      <c r="AG14" s="2470"/>
      <c r="AH14" s="2470"/>
      <c r="AI14" s="2470"/>
      <c r="AJ14" s="2470"/>
      <c r="AK14" s="2470"/>
      <c r="AL14" s="2470"/>
      <c r="AM14" s="2470"/>
      <c r="AN14" s="2470"/>
      <c r="AO14" s="2470"/>
      <c r="AP14" s="2470"/>
      <c r="AQ14" s="2470"/>
      <c r="AR14" s="1961">
        <v>0</v>
      </c>
    </row>
    <row s="67333" customFormat="1" customHeight="1" ht="17.25" hidden="1">
      <c r="A15" s="1532"/>
      <c r="C15" s="1420"/>
      <c r="D15" s="3346"/>
      <c r="E15" s="3354"/>
      <c r="F15" s="3357"/>
      <c r="G15" s="3354"/>
      <c r="H15" s="3360"/>
      <c r="I15" s="3362"/>
      <c r="J15" s="3365"/>
      <c r="K15" s="3349"/>
      <c r="L15" s="3349"/>
      <c r="M15" s="3349"/>
      <c r="N15" s="3352"/>
      <c r="O15" s="3349"/>
      <c r="P15" s="2629"/>
      <c r="Q15" s="2508"/>
      <c r="R15" s="2508"/>
      <c r="S15" s="1540"/>
      <c r="T15" s="1540"/>
      <c r="U15" s="1540"/>
      <c r="V15" s="1540"/>
      <c r="W15" s="2509"/>
      <c r="Y15" s="2478"/>
      <c r="Z15" s="2478"/>
      <c r="AA15" s="2478"/>
      <c r="AB15" s="2478"/>
      <c r="AC15" s="2478"/>
      <c r="AD15" s="2478"/>
      <c r="AE15" s="2478"/>
      <c r="AF15" s="2478"/>
      <c r="AG15" s="2478"/>
      <c r="AH15" s="2478"/>
      <c r="AI15" s="2478"/>
      <c r="AJ15" s="2478"/>
      <c r="AK15" s="2478"/>
      <c r="AL15" s="2478"/>
      <c r="AM15" s="2478"/>
      <c r="AN15" s="2478"/>
      <c r="AO15" s="2478"/>
      <c r="AP15" s="2478"/>
      <c r="AQ15" s="2478"/>
      <c r="AR15" s="2628">
        <v>0</v>
      </c>
    </row>
    <row s="67333" customFormat="1" customHeight="1" ht="17.25" hidden="1">
      <c r="A16" s="1532"/>
      <c r="C16" s="1531"/>
      <c r="D16" s="3346"/>
      <c r="E16" s="3354"/>
      <c r="F16" s="3357"/>
      <c r="G16" s="3354"/>
      <c r="H16" s="3360"/>
      <c r="I16" s="3362"/>
      <c r="J16" s="3365"/>
      <c r="K16" s="3349"/>
      <c r="L16" s="2508"/>
      <c r="M16" s="2508"/>
      <c r="N16" s="2508"/>
      <c r="O16" s="2508"/>
      <c r="P16" s="2508"/>
      <c r="Q16" s="2508"/>
      <c r="R16" s="2508"/>
      <c r="S16" s="1540"/>
      <c r="T16" s="1540"/>
      <c r="U16" s="1540"/>
      <c r="V16" s="1540"/>
      <c r="W16" s="2509"/>
      <c r="Y16" s="2470"/>
      <c r="Z16" s="2470"/>
      <c r="AA16" s="2470"/>
      <c r="AB16" s="2470"/>
      <c r="AC16" s="2470"/>
      <c r="AD16" s="2470"/>
      <c r="AE16" s="2470"/>
      <c r="AF16" s="2470"/>
      <c r="AG16" s="2470"/>
      <c r="AH16" s="2470"/>
      <c r="AI16" s="2470"/>
      <c r="AJ16" s="2470"/>
      <c r="AK16" s="2470"/>
      <c r="AL16" s="2470"/>
      <c r="AM16" s="2470"/>
      <c r="AN16" s="2470"/>
      <c r="AO16" s="2470"/>
      <c r="AP16" s="2470"/>
      <c r="AQ16" s="2470"/>
      <c r="AR16" s="2628">
        <v>0</v>
      </c>
    </row>
    <row s="67333" customFormat="1" customHeight="1" ht="17.25" hidden="1">
      <c r="A17" s="1532"/>
      <c r="C17" s="1531"/>
      <c r="D17" s="3347"/>
      <c r="E17" s="3355"/>
      <c r="F17" s="3358"/>
      <c r="G17" s="3355"/>
      <c r="H17" s="2510"/>
      <c r="I17" s="2511"/>
      <c r="J17" s="2511"/>
      <c r="K17" s="2511"/>
      <c r="L17" s="2511"/>
      <c r="M17" s="2511"/>
      <c r="N17" s="2511"/>
      <c r="O17" s="2511"/>
      <c r="P17" s="2511"/>
      <c r="Q17" s="2511"/>
      <c r="R17" s="2511"/>
      <c r="S17" s="2512"/>
      <c r="T17" s="2512"/>
      <c r="U17" s="2512"/>
      <c r="V17" s="2512"/>
      <c r="W17" s="2513"/>
      <c r="Y17" s="2470"/>
      <c r="Z17" s="2470"/>
      <c r="AA17" s="2470"/>
      <c r="AB17" s="2470"/>
      <c r="AC17" s="2470"/>
      <c r="AD17" s="2470"/>
      <c r="AE17" s="2470"/>
      <c r="AF17" s="2470"/>
      <c r="AG17" s="2470"/>
      <c r="AH17" s="2470"/>
      <c r="AI17" s="2470"/>
      <c r="AJ17" s="2470"/>
      <c r="AK17" s="2470"/>
      <c r="AL17" s="2470"/>
      <c r="AM17" s="2470"/>
      <c r="AN17" s="2470"/>
      <c r="AO17" s="2470"/>
      <c r="AP17" s="2470"/>
      <c r="AQ17" s="2470"/>
      <c r="AR17" s="1961">
        <v>0</v>
      </c>
    </row>
    <row s="67333" customFormat="1" customHeight="1" ht="17.25" hidden="1">
      <c r="A18" s="1532"/>
      <c r="C18" s="1420"/>
      <c r="D18" s="3346">
        <v>2</v>
      </c>
      <c r="E18" s="3375"/>
      <c r="F18" s="3356" t="s">
        <v>19</v>
      </c>
      <c r="G18" s="3354"/>
      <c r="H18" s="3359"/>
      <c r="I18" s="3361"/>
      <c r="J18" s="3363"/>
      <c r="K18" s="3348"/>
      <c r="L18" s="3348"/>
      <c r="M18" s="3348"/>
      <c r="N18" s="3350"/>
      <c r="O18" s="3348"/>
      <c r="P18" s="3348"/>
      <c r="Q18" s="3348"/>
      <c r="R18" s="3353"/>
      <c r="S18" s="3348"/>
      <c r="T18" s="2631"/>
      <c r="U18" s="2631"/>
      <c r="V18" s="2630"/>
      <c r="W18" s="2507"/>
      <c r="X18" s="2478"/>
      <c r="Y18" s="2478"/>
      <c r="Z18" s="2478"/>
      <c r="AA18" s="2478"/>
      <c r="AB18" s="2478"/>
      <c r="AC18" s="2478" t="s">
        <v>180</v>
      </c>
      <c r="AD18" s="2478" t="s">
        <v>181</v>
      </c>
      <c r="AE18" s="2478" t="s">
        <v>182</v>
      </c>
      <c r="AF18" s="2478" t="s">
        <v>183</v>
      </c>
      <c r="AG18" s="2478" t="s">
        <v>184</v>
      </c>
      <c r="AH18" s="2478" t="str">
        <f>IF($E$18=0,"",$E$18)</f>
        <v/>
      </c>
      <c r="AI18" s="2478" t="str">
        <f>IF($G$18=0,"",$G$18)</f>
        <v/>
      </c>
      <c r="AJ18" s="2478" t="str">
        <f>IF($J$18=0,"",$J$18)</f>
        <v/>
      </c>
      <c r="AK18" s="2478" t="str">
        <f>IF($K$18="нет","без дифференциации",IF($N$18=0,"",$N$18))</f>
        <v/>
      </c>
      <c r="AL18" s="2478" t="str">
        <f>IF($O$18="нет","без дифференциации",IF($R$18=0,"",$R$18))</f>
        <v/>
      </c>
      <c r="AM18" s="2478" t="str">
        <f>IF($S$18="нет","без дифференциации",IF($V$18=0,"",$V$18))</f>
        <v/>
      </c>
      <c r="AN18" s="2983">
        <f>$I$18</f>
        <v>0</v>
      </c>
      <c r="AO18" s="2478" t="str">
        <f>$I$18&amp;"."&amp;$M$18</f>
        <v>.</v>
      </c>
      <c r="AP18" s="2470" t="str">
        <f>$I$18&amp;"."&amp;$M$18&amp;"."&amp;$Q$18</f>
        <v>..</v>
      </c>
      <c r="AQ18" s="2470" t="str">
        <f>$I$18&amp;"."&amp;$M$18&amp;"."&amp;$Q$18&amp;"."&amp;$U$18</f>
        <v>...</v>
      </c>
      <c r="AR18" s="2494">
        <v>0</v>
      </c>
    </row>
    <row s="67333" customFormat="1" customHeight="1" ht="17.25" hidden="1">
      <c r="A19" s="1532"/>
      <c r="C19" s="1531"/>
      <c r="D19" s="3346"/>
      <c r="E19" s="3375"/>
      <c r="F19" s="3357"/>
      <c r="G19" s="3354"/>
      <c r="H19" s="3360"/>
      <c r="I19" s="3362"/>
      <c r="J19" s="3364"/>
      <c r="K19" s="3349"/>
      <c r="L19" s="3349"/>
      <c r="M19" s="3349"/>
      <c r="N19" s="3351"/>
      <c r="O19" s="3349"/>
      <c r="P19" s="3349"/>
      <c r="Q19" s="3349"/>
      <c r="R19" s="3352"/>
      <c r="S19" s="3349"/>
      <c r="T19" s="2508"/>
      <c r="U19" s="2508"/>
      <c r="V19" s="2508"/>
      <c r="W19" s="2509"/>
      <c r="X19" s="2470"/>
      <c r="Y19" s="2470"/>
      <c r="Z19" s="2470"/>
      <c r="AA19" s="2470"/>
      <c r="AB19" s="2470"/>
      <c r="AC19" s="2470"/>
      <c r="AD19" s="2470"/>
      <c r="AE19" s="2470"/>
      <c r="AF19" s="2470"/>
      <c r="AG19" s="2470"/>
      <c r="AH19" s="2470"/>
      <c r="AI19" s="2470"/>
      <c r="AJ19" s="2470"/>
      <c r="AK19" s="2470"/>
      <c r="AL19" s="2470"/>
      <c r="AM19" s="2470"/>
      <c r="AN19" s="2470"/>
      <c r="AO19" s="2470"/>
      <c r="AP19" s="2470"/>
      <c r="AQ19" s="2470"/>
      <c r="AR19" s="2494">
        <v>0</v>
      </c>
    </row>
    <row s="67333" customFormat="1" customHeight="1" ht="17.25" hidden="1">
      <c r="A20" s="1532"/>
      <c r="C20" s="1531"/>
      <c r="D20" s="3347"/>
      <c r="E20" s="3376"/>
      <c r="F20" s="3357"/>
      <c r="G20" s="3355"/>
      <c r="H20" s="3360"/>
      <c r="I20" s="3362"/>
      <c r="J20" s="3365"/>
      <c r="K20" s="3349"/>
      <c r="L20" s="3349"/>
      <c r="M20" s="3349"/>
      <c r="N20" s="3352"/>
      <c r="O20" s="3349"/>
      <c r="P20" s="2629"/>
      <c r="Q20" s="2508"/>
      <c r="R20" s="2508"/>
      <c r="S20" s="1540"/>
      <c r="T20" s="1540"/>
      <c r="U20" s="1540"/>
      <c r="V20" s="1540"/>
      <c r="W20" s="2509"/>
      <c r="X20" s="2470"/>
      <c r="Y20" s="2470"/>
      <c r="Z20" s="2470"/>
      <c r="AA20" s="2470"/>
      <c r="AB20" s="2470"/>
      <c r="AC20" s="2470"/>
      <c r="AD20" s="2470"/>
      <c r="AE20" s="2470"/>
      <c r="AF20" s="2470"/>
      <c r="AG20" s="2470"/>
      <c r="AH20" s="2470"/>
      <c r="AI20" s="2470"/>
      <c r="AJ20" s="2470"/>
      <c r="AK20" s="2470"/>
      <c r="AL20" s="2470"/>
      <c r="AM20" s="2470"/>
      <c r="AN20" s="2470"/>
      <c r="AO20" s="2470"/>
      <c r="AP20" s="2470"/>
      <c r="AQ20" s="2470"/>
      <c r="AR20" s="2494">
        <v>0</v>
      </c>
    </row>
    <row s="67333" customFormat="1" customHeight="1" ht="17.25" hidden="1">
      <c r="A21" s="1532"/>
      <c r="C21" s="1531"/>
      <c r="D21" s="3347"/>
      <c r="E21" s="3376"/>
      <c r="F21" s="3357"/>
      <c r="G21" s="3355"/>
      <c r="H21" s="3360"/>
      <c r="I21" s="3362"/>
      <c r="J21" s="3365"/>
      <c r="K21" s="3349"/>
      <c r="L21" s="2508"/>
      <c r="M21" s="2508"/>
      <c r="N21" s="2508"/>
      <c r="O21" s="2508"/>
      <c r="P21" s="2508"/>
      <c r="Q21" s="2508"/>
      <c r="R21" s="2508"/>
      <c r="S21" s="1540"/>
      <c r="T21" s="1540"/>
      <c r="U21" s="1540"/>
      <c r="V21" s="1540"/>
      <c r="W21" s="2509"/>
      <c r="X21" s="2470"/>
      <c r="Y21" s="2470"/>
      <c r="Z21" s="2470"/>
      <c r="AA21" s="2470"/>
      <c r="AB21" s="2470"/>
      <c r="AC21" s="2470"/>
      <c r="AD21" s="2470"/>
      <c r="AE21" s="2470"/>
      <c r="AF21" s="2470"/>
      <c r="AG21" s="2470"/>
      <c r="AH21" s="2470"/>
      <c r="AI21" s="2470"/>
      <c r="AJ21" s="2470"/>
      <c r="AK21" s="2470"/>
      <c r="AL21" s="2470"/>
      <c r="AM21" s="2470"/>
      <c r="AN21" s="2470"/>
      <c r="AO21" s="2470"/>
      <c r="AP21" s="2470"/>
      <c r="AQ21" s="2470"/>
      <c r="AR21" s="2494">
        <v>0</v>
      </c>
    </row>
    <row s="67333" customFormat="1" customHeight="1" ht="17.25" hidden="1">
      <c r="A22" s="1532"/>
      <c r="C22" s="1531"/>
      <c r="D22" s="3347"/>
      <c r="E22" s="3376"/>
      <c r="F22" s="3358"/>
      <c r="G22" s="3355"/>
      <c r="H22" s="2510"/>
      <c r="I22" s="2511"/>
      <c r="J22" s="2511"/>
      <c r="K22" s="2511"/>
      <c r="L22" s="2511"/>
      <c r="M22" s="2511"/>
      <c r="N22" s="2511"/>
      <c r="O22" s="2511"/>
      <c r="P22" s="2511"/>
      <c r="Q22" s="2511"/>
      <c r="R22" s="2511"/>
      <c r="S22" s="2512"/>
      <c r="T22" s="2512"/>
      <c r="U22" s="2512"/>
      <c r="V22" s="2512"/>
      <c r="W22" s="2513"/>
      <c r="X22" s="2470"/>
      <c r="Y22" s="2470"/>
      <c r="Z22" s="2470"/>
      <c r="AA22" s="2470"/>
      <c r="AB22" s="2470"/>
      <c r="AC22" s="2470"/>
      <c r="AD22" s="2470"/>
      <c r="AE22" s="2470"/>
      <c r="AF22" s="2470"/>
      <c r="AG22" s="2470"/>
      <c r="AH22" s="2470"/>
      <c r="AI22" s="2470"/>
      <c r="AJ22" s="2470"/>
      <c r="AK22" s="2470"/>
      <c r="AL22" s="2470"/>
      <c r="AM22" s="2470"/>
      <c r="AN22" s="2470"/>
      <c r="AO22" s="2470"/>
      <c r="AP22" s="2470"/>
      <c r="AQ22" s="2470"/>
      <c r="AR22" s="2494">
        <v>0</v>
      </c>
    </row>
    <row s="67333" customFormat="1" customHeight="1" ht="17.25" hidden="1">
      <c r="A23" s="1532"/>
      <c r="C23" s="1420"/>
      <c r="D23" s="3346">
        <v>2</v>
      </c>
      <c r="E23" s="3354" t="s">
        <v>185</v>
      </c>
      <c r="F23" s="3356" t="s">
        <v>19</v>
      </c>
      <c r="G23" s="3354"/>
      <c r="H23" s="3359"/>
      <c r="I23" s="3361"/>
      <c r="J23" s="3363"/>
      <c r="K23" s="3348"/>
      <c r="L23" s="3348"/>
      <c r="M23" s="3348"/>
      <c r="N23" s="3350"/>
      <c r="O23" s="3348"/>
      <c r="P23" s="3348"/>
      <c r="Q23" s="3348"/>
      <c r="R23" s="3353"/>
      <c r="S23" s="3348"/>
      <c r="T23" s="3209"/>
      <c r="U23" s="3209"/>
      <c r="V23" s="3211"/>
      <c r="W23" s="2507"/>
      <c r="X23" s="2478"/>
      <c r="Y23" s="2478"/>
      <c r="Z23" s="2478"/>
      <c r="AA23" s="2478"/>
      <c r="AB23" s="2478"/>
      <c r="AC23" s="2478" t="s">
        <v>180</v>
      </c>
      <c r="AD23" s="2478" t="s">
        <v>181</v>
      </c>
      <c r="AE23" s="2478" t="s">
        <v>182</v>
      </c>
      <c r="AF23" s="2478" t="s">
        <v>183</v>
      </c>
      <c r="AG23" s="2478" t="s">
        <v>184</v>
      </c>
      <c r="AH23" s="2478" t="str">
        <f>IF($E$23=0,"",$E$23)</f>
        <v>Тарифы на тепловую энергию (мощность), поставляемую теплоснабжающими организациями потребителям, другим теплоснабжающим организациям</v>
      </c>
      <c r="AI23" s="2478" t="str">
        <f>IF($G$23=0,"",$G$23)</f>
        <v/>
      </c>
      <c r="AJ23" s="2478" t="str">
        <f>IF($J$23=0,"",$J$23)</f>
        <v/>
      </c>
      <c r="AK23" s="2478" t="str">
        <f>IF($K$23="нет","без дифференциации",IF($N$23=0,"",$N$23))</f>
        <v/>
      </c>
      <c r="AL23" s="2478" t="str">
        <f>IF($O$23="нет","без дифференциации",IF($R$23=0,"",$R$23))</f>
        <v/>
      </c>
      <c r="AM23" s="2478" t="str">
        <f>IF($S$23="нет","без дифференциации",IF($V$23=0,"",$V$23))</f>
        <v/>
      </c>
      <c r="AN23" s="2983">
        <f>$I$23</f>
        <v>0</v>
      </c>
      <c r="AO23" s="2478" t="str">
        <f>$I$23&amp;"."&amp;$M$23</f>
        <v>.</v>
      </c>
      <c r="AP23" s="2477" t="str">
        <f>$I$23&amp;"."&amp;$M$23&amp;"."&amp;$Q$23</f>
        <v>..</v>
      </c>
      <c r="AQ23" s="2477" t="str">
        <f>$I$23&amp;"."&amp;$M$23&amp;"."&amp;$Q$23&amp;"."&amp;$U$23</f>
        <v>...</v>
      </c>
      <c r="AR23" s="2678">
        <v>0</v>
      </c>
    </row>
    <row s="67333" customFormat="1" customHeight="1" ht="17.25" hidden="1">
      <c r="A24" s="1532"/>
      <c r="C24" s="1531"/>
      <c r="D24" s="3346"/>
      <c r="E24" s="3354"/>
      <c r="F24" s="3357"/>
      <c r="G24" s="3354"/>
      <c r="H24" s="3360"/>
      <c r="I24" s="3362"/>
      <c r="J24" s="3364"/>
      <c r="K24" s="3349"/>
      <c r="L24" s="3349"/>
      <c r="M24" s="3349"/>
      <c r="N24" s="3351"/>
      <c r="O24" s="3349"/>
      <c r="P24" s="3349"/>
      <c r="Q24" s="3349"/>
      <c r="R24" s="3352"/>
      <c r="S24" s="3349"/>
      <c r="T24" s="3214"/>
      <c r="U24" s="3214"/>
      <c r="V24" s="3214"/>
      <c r="W24" s="3215"/>
      <c r="X24" s="2477"/>
      <c r="Y24" s="2477"/>
      <c r="Z24" s="2477"/>
      <c r="AA24" s="2477"/>
      <c r="AB24" s="2477"/>
      <c r="AC24" s="2477"/>
      <c r="AD24" s="2477"/>
      <c r="AE24" s="2477"/>
      <c r="AF24" s="2477"/>
      <c r="AG24" s="2477"/>
      <c r="AH24" s="2477"/>
      <c r="AI24" s="2477"/>
      <c r="AJ24" s="2477"/>
      <c r="AK24" s="2477"/>
      <c r="AL24" s="2477"/>
      <c r="AM24" s="2477"/>
      <c r="AN24" s="2477"/>
      <c r="AO24" s="2477"/>
      <c r="AP24" s="2477"/>
      <c r="AQ24" s="2477"/>
      <c r="AR24" s="2678">
        <v>0</v>
      </c>
    </row>
    <row s="67333" customFormat="1" customHeight="1" ht="17.25" hidden="1">
      <c r="A25" s="1532"/>
      <c r="C25" s="1531"/>
      <c r="D25" s="3347"/>
      <c r="E25" s="3355"/>
      <c r="F25" s="3357"/>
      <c r="G25" s="3355"/>
      <c r="H25" s="3360"/>
      <c r="I25" s="3362"/>
      <c r="J25" s="3365"/>
      <c r="K25" s="3349"/>
      <c r="L25" s="3349"/>
      <c r="M25" s="3349"/>
      <c r="N25" s="3352"/>
      <c r="O25" s="3349"/>
      <c r="P25" s="3210"/>
      <c r="Q25" s="3214"/>
      <c r="R25" s="3214"/>
      <c r="S25" s="1540"/>
      <c r="T25" s="1540"/>
      <c r="U25" s="1540"/>
      <c r="V25" s="1540"/>
      <c r="W25" s="3215"/>
      <c r="X25" s="2477"/>
      <c r="Y25" s="2477"/>
      <c r="Z25" s="2477"/>
      <c r="AA25" s="2477"/>
      <c r="AB25" s="2477"/>
      <c r="AC25" s="2477"/>
      <c r="AD25" s="2477"/>
      <c r="AE25" s="2477"/>
      <c r="AF25" s="2477"/>
      <c r="AG25" s="2477"/>
      <c r="AH25" s="2477"/>
      <c r="AI25" s="2477"/>
      <c r="AJ25" s="2477"/>
      <c r="AK25" s="2477"/>
      <c r="AL25" s="2477"/>
      <c r="AM25" s="2477"/>
      <c r="AN25" s="2477"/>
      <c r="AO25" s="2477"/>
      <c r="AP25" s="2477"/>
      <c r="AQ25" s="2477"/>
      <c r="AR25" s="2678">
        <v>0</v>
      </c>
    </row>
    <row s="67333" customFormat="1" customHeight="1" ht="17.25" hidden="1">
      <c r="A26" s="1532"/>
      <c r="C26" s="1531"/>
      <c r="D26" s="3347"/>
      <c r="E26" s="3355"/>
      <c r="F26" s="3357"/>
      <c r="G26" s="3355"/>
      <c r="H26" s="3360"/>
      <c r="I26" s="3362"/>
      <c r="J26" s="3365"/>
      <c r="K26" s="3349"/>
      <c r="L26" s="3214"/>
      <c r="M26" s="3214"/>
      <c r="N26" s="3214"/>
      <c r="O26" s="3214"/>
      <c r="P26" s="3214"/>
      <c r="Q26" s="3214"/>
      <c r="R26" s="3214"/>
      <c r="S26" s="1540"/>
      <c r="T26" s="1540"/>
      <c r="U26" s="1540"/>
      <c r="V26" s="1540"/>
      <c r="W26" s="3215"/>
      <c r="X26" s="2477"/>
      <c r="Y26" s="2477"/>
      <c r="Z26" s="2477"/>
      <c r="AA26" s="2477"/>
      <c r="AB26" s="2477"/>
      <c r="AC26" s="2477"/>
      <c r="AD26" s="2477"/>
      <c r="AE26" s="2477"/>
      <c r="AF26" s="2477"/>
      <c r="AG26" s="2477"/>
      <c r="AH26" s="2477"/>
      <c r="AI26" s="2477"/>
      <c r="AJ26" s="2477"/>
      <c r="AK26" s="2477"/>
      <c r="AL26" s="2477"/>
      <c r="AM26" s="2477"/>
      <c r="AN26" s="2477"/>
      <c r="AO26" s="2477"/>
      <c r="AP26" s="2477"/>
      <c r="AQ26" s="2477"/>
      <c r="AR26" s="2678">
        <v>0</v>
      </c>
    </row>
    <row s="67333" customFormat="1" customHeight="1" ht="17.25" hidden="1">
      <c r="A27" s="1532"/>
      <c r="C27" s="1531"/>
      <c r="D27" s="3347"/>
      <c r="E27" s="3355"/>
      <c r="F27" s="3358"/>
      <c r="G27" s="3355"/>
      <c r="H27" s="2510"/>
      <c r="I27" s="3212"/>
      <c r="J27" s="3212"/>
      <c r="K27" s="3212"/>
      <c r="L27" s="3212"/>
      <c r="M27" s="3212"/>
      <c r="N27" s="3212"/>
      <c r="O27" s="3212"/>
      <c r="P27" s="3212"/>
      <c r="Q27" s="3212"/>
      <c r="R27" s="3212"/>
      <c r="S27" s="2512"/>
      <c r="T27" s="2512"/>
      <c r="U27" s="2512"/>
      <c r="V27" s="2512"/>
      <c r="W27" s="3213"/>
      <c r="X27" s="2477"/>
      <c r="Y27" s="2477"/>
      <c r="Z27" s="2477"/>
      <c r="AA27" s="2477"/>
      <c r="AB27" s="2477"/>
      <c r="AC27" s="2477"/>
      <c r="AD27" s="2477"/>
      <c r="AE27" s="2477"/>
      <c r="AF27" s="2477"/>
      <c r="AG27" s="2477"/>
      <c r="AH27" s="2477"/>
      <c r="AI27" s="2477"/>
      <c r="AJ27" s="2477"/>
      <c r="AK27" s="2477"/>
      <c r="AL27" s="2477"/>
      <c r="AM27" s="2477"/>
      <c r="AN27" s="2477"/>
      <c r="AO27" s="2477"/>
      <c r="AP27" s="2477"/>
      <c r="AQ27" s="2477"/>
      <c r="AR27" s="2678">
        <v>0</v>
      </c>
    </row>
    <row s="67333" customFormat="1" customHeight="1" ht="17.25" hidden="1">
      <c r="A28" s="1532"/>
      <c r="C28" s="1420"/>
      <c r="D28" s="3346">
        <v>3</v>
      </c>
      <c r="E28" s="3354" t="s">
        <v>186</v>
      </c>
      <c r="F28" s="3356" t="s">
        <v>19</v>
      </c>
      <c r="G28" s="3354"/>
      <c r="H28" s="3359"/>
      <c r="I28" s="3361"/>
      <c r="J28" s="3363"/>
      <c r="K28" s="3348"/>
      <c r="L28" s="3348"/>
      <c r="M28" s="3348"/>
      <c r="N28" s="3350"/>
      <c r="O28" s="3348"/>
      <c r="P28" s="3348"/>
      <c r="Q28" s="3348"/>
      <c r="R28" s="3353"/>
      <c r="S28" s="3348"/>
      <c r="T28" s="2631"/>
      <c r="U28" s="2631"/>
      <c r="V28" s="2630"/>
      <c r="W28" s="2507"/>
      <c r="X28" s="2478"/>
      <c r="Y28" s="2478"/>
      <c r="Z28" s="2478"/>
      <c r="AA28" s="2478"/>
      <c r="AB28" s="2478"/>
      <c r="AC28" s="2478" t="s">
        <v>187</v>
      </c>
      <c r="AD28" s="2478" t="s">
        <v>188</v>
      </c>
      <c r="AE28" s="2478" t="s">
        <v>189</v>
      </c>
      <c r="AF28" s="2478" t="s">
        <v>190</v>
      </c>
      <c r="AG28" s="2478" t="s">
        <v>191</v>
      </c>
      <c r="AH28" s="2478" t="str">
        <f>IF($E$28=0,"",$E$28)</f>
        <v>Тарифы на теплоноситель, поставляемый теплоснабжающими организациями потребителям, другим теплоснабжающим организациям</v>
      </c>
      <c r="AI28" s="2478" t="str">
        <f>IF($G$28=0,"",$G$28)</f>
        <v/>
      </c>
      <c r="AJ28" s="2478" t="str">
        <f>IF($J$28=0,"",$J$28)</f>
        <v/>
      </c>
      <c r="AK28" s="2478" t="str">
        <f>IF($K$28="нет","без дифференциации",IF($N$28=0,"",$N$28))</f>
        <v/>
      </c>
      <c r="AL28" s="2478" t="str">
        <f>IF($O$28="нет","без дифференциации",IF($R$28=0,"",$R$28))</f>
        <v/>
      </c>
      <c r="AM28" s="2478" t="str">
        <f>IF($S$28="нет","без дифференциации",IF($V$28=0,"",$V$28))</f>
        <v/>
      </c>
      <c r="AN28" s="2983">
        <f>$I$28</f>
        <v>0</v>
      </c>
      <c r="AO28" s="2478" t="str">
        <f>$I$28&amp;"."&amp;$M$28</f>
        <v>.</v>
      </c>
      <c r="AP28" s="2470" t="str">
        <f>$I$28&amp;"."&amp;$M$28&amp;"."&amp;$Q$28</f>
        <v>..</v>
      </c>
      <c r="AQ28" s="2470" t="str">
        <f>$I$28&amp;"."&amp;$M$28&amp;"."&amp;$Q$28&amp;"."&amp;$U$28</f>
        <v>...</v>
      </c>
      <c r="AR28" s="2494">
        <v>0</v>
      </c>
    </row>
    <row s="67333" customFormat="1" customHeight="1" ht="17.25" hidden="1">
      <c r="A29" s="1532"/>
      <c r="C29" s="1531"/>
      <c r="D29" s="3346"/>
      <c r="E29" s="3354"/>
      <c r="F29" s="3357"/>
      <c r="G29" s="3354"/>
      <c r="H29" s="3360"/>
      <c r="I29" s="3362"/>
      <c r="J29" s="3364"/>
      <c r="K29" s="3349"/>
      <c r="L29" s="3349"/>
      <c r="M29" s="3349"/>
      <c r="N29" s="3351"/>
      <c r="O29" s="3349"/>
      <c r="P29" s="3349"/>
      <c r="Q29" s="3349"/>
      <c r="R29" s="3352"/>
      <c r="S29" s="3349"/>
      <c r="T29" s="2508"/>
      <c r="U29" s="2508"/>
      <c r="V29" s="2508"/>
      <c r="W29" s="2509"/>
      <c r="X29" s="2470"/>
      <c r="Y29" s="2470"/>
      <c r="Z29" s="2470"/>
      <c r="AA29" s="2470"/>
      <c r="AB29" s="2470"/>
      <c r="AC29" s="2470"/>
      <c r="AD29" s="2470"/>
      <c r="AE29" s="2470"/>
      <c r="AF29" s="2470"/>
      <c r="AG29" s="2470"/>
      <c r="AH29" s="2470"/>
      <c r="AI29" s="2470"/>
      <c r="AJ29" s="2470"/>
      <c r="AK29" s="2470"/>
      <c r="AL29" s="2470"/>
      <c r="AM29" s="2470"/>
      <c r="AN29" s="2470"/>
      <c r="AO29" s="2470"/>
      <c r="AP29" s="2470"/>
      <c r="AQ29" s="2470"/>
      <c r="AR29" s="2494">
        <v>0</v>
      </c>
    </row>
    <row s="67333" customFormat="1" customHeight="1" ht="17.25" hidden="1">
      <c r="A30" s="1532"/>
      <c r="C30" s="1531"/>
      <c r="D30" s="3347"/>
      <c r="E30" s="3355"/>
      <c r="F30" s="3357"/>
      <c r="G30" s="3355"/>
      <c r="H30" s="3360"/>
      <c r="I30" s="3362"/>
      <c r="J30" s="3365"/>
      <c r="K30" s="3349"/>
      <c r="L30" s="3349"/>
      <c r="M30" s="3349"/>
      <c r="N30" s="3352"/>
      <c r="O30" s="3349"/>
      <c r="P30" s="2629"/>
      <c r="Q30" s="2508"/>
      <c r="R30" s="2508"/>
      <c r="S30" s="1540"/>
      <c r="T30" s="1540"/>
      <c r="U30" s="1540"/>
      <c r="V30" s="1540"/>
      <c r="W30" s="2509"/>
      <c r="X30" s="2470"/>
      <c r="Y30" s="2470"/>
      <c r="Z30" s="2470"/>
      <c r="AA30" s="2470"/>
      <c r="AB30" s="2470"/>
      <c r="AC30" s="2470"/>
      <c r="AD30" s="2470"/>
      <c r="AE30" s="2470"/>
      <c r="AF30" s="2470"/>
      <c r="AG30" s="2470"/>
      <c r="AH30" s="2470"/>
      <c r="AI30" s="2470"/>
      <c r="AJ30" s="2470"/>
      <c r="AK30" s="2470"/>
      <c r="AL30" s="2470"/>
      <c r="AM30" s="2470"/>
      <c r="AN30" s="2470"/>
      <c r="AO30" s="2470"/>
      <c r="AP30" s="2470"/>
      <c r="AQ30" s="2470"/>
      <c r="AR30" s="2494">
        <v>0</v>
      </c>
    </row>
    <row s="67333" customFormat="1" customHeight="1" ht="17.25" hidden="1">
      <c r="A31" s="1532"/>
      <c r="C31" s="1531"/>
      <c r="D31" s="3347"/>
      <c r="E31" s="3355"/>
      <c r="F31" s="3357"/>
      <c r="G31" s="3355"/>
      <c r="H31" s="3360"/>
      <c r="I31" s="3362"/>
      <c r="J31" s="3365"/>
      <c r="K31" s="3349"/>
      <c r="L31" s="2508"/>
      <c r="M31" s="2508"/>
      <c r="N31" s="2508"/>
      <c r="O31" s="2508"/>
      <c r="P31" s="2508"/>
      <c r="Q31" s="2508"/>
      <c r="R31" s="2508"/>
      <c r="S31" s="1540"/>
      <c r="T31" s="1540"/>
      <c r="U31" s="1540"/>
      <c r="V31" s="1540"/>
      <c r="W31" s="2509"/>
      <c r="X31" s="2470"/>
      <c r="Y31" s="2470"/>
      <c r="Z31" s="2470"/>
      <c r="AA31" s="2470"/>
      <c r="AB31" s="2470"/>
      <c r="AC31" s="2470"/>
      <c r="AD31" s="2470"/>
      <c r="AE31" s="2470"/>
      <c r="AF31" s="2470"/>
      <c r="AG31" s="2470"/>
      <c r="AH31" s="2470"/>
      <c r="AI31" s="2470"/>
      <c r="AJ31" s="2470"/>
      <c r="AK31" s="2470"/>
      <c r="AL31" s="2470"/>
      <c r="AM31" s="2470"/>
      <c r="AN31" s="2470"/>
      <c r="AO31" s="2470"/>
      <c r="AP31" s="2470"/>
      <c r="AQ31" s="2470"/>
      <c r="AR31" s="2494">
        <v>0</v>
      </c>
    </row>
    <row s="67333" customFormat="1" customHeight="1" ht="17.25" hidden="1">
      <c r="A32" s="1532"/>
      <c r="C32" s="1531"/>
      <c r="D32" s="3347"/>
      <c r="E32" s="3355"/>
      <c r="F32" s="3358"/>
      <c r="G32" s="3355"/>
      <c r="H32" s="2510"/>
      <c r="I32" s="2511"/>
      <c r="J32" s="2511"/>
      <c r="K32" s="2511"/>
      <c r="L32" s="2511"/>
      <c r="M32" s="2511"/>
      <c r="N32" s="2511"/>
      <c r="O32" s="2511"/>
      <c r="P32" s="2511"/>
      <c r="Q32" s="2511"/>
      <c r="R32" s="2511"/>
      <c r="S32" s="2512"/>
      <c r="T32" s="2512"/>
      <c r="U32" s="2512"/>
      <c r="V32" s="2512"/>
      <c r="W32" s="2513"/>
      <c r="X32" s="2470"/>
      <c r="Y32" s="2470"/>
      <c r="Z32" s="2470"/>
      <c r="AA32" s="2470"/>
      <c r="AB32" s="2470"/>
      <c r="AC32" s="2470"/>
      <c r="AD32" s="2470"/>
      <c r="AE32" s="2470"/>
      <c r="AF32" s="2470"/>
      <c r="AG32" s="2470"/>
      <c r="AH32" s="2470"/>
      <c r="AI32" s="2470"/>
      <c r="AJ32" s="2470"/>
      <c r="AK32" s="2470"/>
      <c r="AL32" s="2470"/>
      <c r="AM32" s="2470"/>
      <c r="AN32" s="2470"/>
      <c r="AO32" s="2470"/>
      <c r="AP32" s="2470"/>
      <c r="AQ32" s="2470"/>
      <c r="AR32" s="2494">
        <v>0</v>
      </c>
    </row>
    <row s="67333" customFormat="1" customHeight="1" ht="17.25" hidden="1">
      <c r="A33" s="1532"/>
      <c r="C33" s="1420"/>
      <c r="D33" s="3346">
        <v>4</v>
      </c>
      <c r="E33" s="3354" t="s">
        <v>192</v>
      </c>
      <c r="F33" s="3356" t="s">
        <v>19</v>
      </c>
      <c r="G33" s="3354"/>
      <c r="H33" s="3359"/>
      <c r="I33" s="3361"/>
      <c r="J33" s="3363"/>
      <c r="K33" s="3348"/>
      <c r="L33" s="3348"/>
      <c r="M33" s="3348"/>
      <c r="N33" s="3350"/>
      <c r="O33" s="3348"/>
      <c r="P33" s="3348"/>
      <c r="Q33" s="3348"/>
      <c r="R33" s="3353"/>
      <c r="S33" s="3348"/>
      <c r="T33" s="2631"/>
      <c r="U33" s="2631"/>
      <c r="V33" s="2630"/>
      <c r="W33" s="2507"/>
      <c r="X33" s="2478"/>
      <c r="Y33" s="2478"/>
      <c r="Z33" s="2478"/>
      <c r="AA33" s="2478"/>
      <c r="AB33" s="2478"/>
      <c r="AC33" s="2478" t="s">
        <v>193</v>
      </c>
      <c r="AD33" s="2478" t="s">
        <v>194</v>
      </c>
      <c r="AE33" s="2478" t="s">
        <v>195</v>
      </c>
      <c r="AF33" s="2478" t="s">
        <v>196</v>
      </c>
      <c r="AG33" s="2478" t="s">
        <v>197</v>
      </c>
      <c r="AH33" s="247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2478" t="str">
        <f>IF($G$33=0,"",$G$33)</f>
        <v/>
      </c>
      <c r="AJ33" s="2478" t="str">
        <f>IF($J$33=0,"",$J$33)</f>
        <v/>
      </c>
      <c r="AK33" s="2478" t="str">
        <f>IF($K$33="нет","без дифференциации",IF($N$33=0,"",$N$33))</f>
        <v/>
      </c>
      <c r="AL33" s="2478" t="str">
        <f>IF($O$33="нет","без дифференциации",IF($R$33=0,"",$R$33))</f>
        <v/>
      </c>
      <c r="AM33" s="2478" t="str">
        <f>IF($S$33="нет","без дифференциации",IF($V$33=0,"",$V$33))</f>
        <v/>
      </c>
      <c r="AN33" s="2983">
        <f>$I$33</f>
        <v>0</v>
      </c>
      <c r="AO33" s="2478" t="str">
        <f>$I$33&amp;"."&amp;$M$33</f>
        <v>.</v>
      </c>
      <c r="AP33" s="2470" t="str">
        <f>$I$33&amp;"."&amp;$M$33&amp;"."&amp;$Q$33</f>
        <v>..</v>
      </c>
      <c r="AQ33" s="2470" t="str">
        <f>$I$33&amp;"."&amp;$M$33&amp;"."&amp;$Q$33&amp;"."&amp;$U$33</f>
        <v>...</v>
      </c>
      <c r="AR33" s="2494">
        <v>0</v>
      </c>
    </row>
    <row s="67333" customFormat="1" customHeight="1" ht="17.25" hidden="1">
      <c r="A34" s="1532"/>
      <c r="C34" s="1531"/>
      <c r="D34" s="3346"/>
      <c r="E34" s="3354"/>
      <c r="F34" s="3357"/>
      <c r="G34" s="3354"/>
      <c r="H34" s="3360"/>
      <c r="I34" s="3362"/>
      <c r="J34" s="3364"/>
      <c r="K34" s="3349"/>
      <c r="L34" s="3349"/>
      <c r="M34" s="3349"/>
      <c r="N34" s="3351"/>
      <c r="O34" s="3349"/>
      <c r="P34" s="3349"/>
      <c r="Q34" s="3349"/>
      <c r="R34" s="3352"/>
      <c r="S34" s="3349"/>
      <c r="T34" s="2508"/>
      <c r="U34" s="2508"/>
      <c r="V34" s="2508"/>
      <c r="W34" s="2509"/>
      <c r="X34" s="2470"/>
      <c r="Y34" s="2470"/>
      <c r="Z34" s="2470"/>
      <c r="AA34" s="2470"/>
      <c r="AB34" s="2470"/>
      <c r="AC34" s="2470"/>
      <c r="AD34" s="2470"/>
      <c r="AE34" s="2470"/>
      <c r="AF34" s="2470"/>
      <c r="AG34" s="2470"/>
      <c r="AH34" s="2470"/>
      <c r="AI34" s="2470"/>
      <c r="AJ34" s="2470"/>
      <c r="AK34" s="2470"/>
      <c r="AL34" s="2470"/>
      <c r="AM34" s="2470"/>
      <c r="AN34" s="2470"/>
      <c r="AO34" s="2470"/>
      <c r="AP34" s="2470"/>
      <c r="AQ34" s="2470"/>
      <c r="AR34" s="2494">
        <v>0</v>
      </c>
    </row>
    <row s="67333" customFormat="1" customHeight="1" ht="17.25" hidden="1">
      <c r="A35" s="1532"/>
      <c r="C35" s="1531"/>
      <c r="D35" s="3347"/>
      <c r="E35" s="3355"/>
      <c r="F35" s="3357"/>
      <c r="G35" s="3355"/>
      <c r="H35" s="3360"/>
      <c r="I35" s="3362"/>
      <c r="J35" s="3365"/>
      <c r="K35" s="3349"/>
      <c r="L35" s="3349"/>
      <c r="M35" s="3349"/>
      <c r="N35" s="3352"/>
      <c r="O35" s="3349"/>
      <c r="P35" s="2629"/>
      <c r="Q35" s="2508"/>
      <c r="R35" s="2508"/>
      <c r="S35" s="1540"/>
      <c r="T35" s="1540"/>
      <c r="U35" s="1540"/>
      <c r="V35" s="1540"/>
      <c r="W35" s="2509"/>
      <c r="X35" s="2470"/>
      <c r="Y35" s="2470"/>
      <c r="Z35" s="2470"/>
      <c r="AA35" s="2470"/>
      <c r="AB35" s="2470"/>
      <c r="AC35" s="2470"/>
      <c r="AD35" s="2470"/>
      <c r="AE35" s="2470"/>
      <c r="AF35" s="2470"/>
      <c r="AG35" s="2470"/>
      <c r="AH35" s="2470"/>
      <c r="AI35" s="2470"/>
      <c r="AJ35" s="2470"/>
      <c r="AK35" s="2470"/>
      <c r="AL35" s="2470"/>
      <c r="AM35" s="2470"/>
      <c r="AN35" s="2470"/>
      <c r="AO35" s="2470"/>
      <c r="AP35" s="2470"/>
      <c r="AQ35" s="2470"/>
      <c r="AR35" s="2494">
        <v>0</v>
      </c>
    </row>
    <row s="67333" customFormat="1" customHeight="1" ht="17.25" hidden="1">
      <c r="A36" s="1532"/>
      <c r="C36" s="1531"/>
      <c r="D36" s="3347"/>
      <c r="E36" s="3355"/>
      <c r="F36" s="3357"/>
      <c r="G36" s="3355"/>
      <c r="H36" s="3360"/>
      <c r="I36" s="3362"/>
      <c r="J36" s="3365"/>
      <c r="K36" s="3349"/>
      <c r="L36" s="2508"/>
      <c r="M36" s="2508"/>
      <c r="N36" s="2508"/>
      <c r="O36" s="2508"/>
      <c r="P36" s="2508"/>
      <c r="Q36" s="2508"/>
      <c r="R36" s="2508"/>
      <c r="S36" s="1540"/>
      <c r="T36" s="1540"/>
      <c r="U36" s="1540"/>
      <c r="V36" s="1540"/>
      <c r="W36" s="2509"/>
      <c r="X36" s="2470"/>
      <c r="Y36" s="2470"/>
      <c r="Z36" s="2470"/>
      <c r="AA36" s="2470"/>
      <c r="AB36" s="2470"/>
      <c r="AC36" s="2470"/>
      <c r="AD36" s="2470"/>
      <c r="AE36" s="2470"/>
      <c r="AF36" s="2470"/>
      <c r="AG36" s="2470"/>
      <c r="AH36" s="2470"/>
      <c r="AI36" s="2470"/>
      <c r="AJ36" s="2470"/>
      <c r="AK36" s="2470"/>
      <c r="AL36" s="2470"/>
      <c r="AM36" s="2470"/>
      <c r="AN36" s="2470"/>
      <c r="AO36" s="2470"/>
      <c r="AP36" s="2470"/>
      <c r="AQ36" s="2470"/>
      <c r="AR36" s="2494">
        <v>0</v>
      </c>
    </row>
    <row s="67333" customFormat="1" customHeight="1" ht="17.25" hidden="1">
      <c r="A37" s="1532"/>
      <c r="C37" s="1531"/>
      <c r="D37" s="3347"/>
      <c r="E37" s="3355"/>
      <c r="F37" s="3358"/>
      <c r="G37" s="3355"/>
      <c r="H37" s="2510"/>
      <c r="I37" s="2511"/>
      <c r="J37" s="2511"/>
      <c r="K37" s="2511"/>
      <c r="L37" s="2511"/>
      <c r="M37" s="2511"/>
      <c r="N37" s="2511"/>
      <c r="O37" s="2511"/>
      <c r="P37" s="2511"/>
      <c r="Q37" s="2511"/>
      <c r="R37" s="2511"/>
      <c r="S37" s="2512"/>
      <c r="T37" s="2512"/>
      <c r="U37" s="2512"/>
      <c r="V37" s="2512"/>
      <c r="W37" s="2513"/>
      <c r="X37" s="2470"/>
      <c r="Y37" s="2470"/>
      <c r="Z37" s="2470"/>
      <c r="AA37" s="2470"/>
      <c r="AB37" s="2470"/>
      <c r="AC37" s="2470"/>
      <c r="AD37" s="2470"/>
      <c r="AE37" s="2470"/>
      <c r="AF37" s="2470"/>
      <c r="AG37" s="2470"/>
      <c r="AH37" s="2470"/>
      <c r="AI37" s="2470"/>
      <c r="AJ37" s="2470"/>
      <c r="AK37" s="2470"/>
      <c r="AL37" s="2470"/>
      <c r="AM37" s="2470"/>
      <c r="AN37" s="2470"/>
      <c r="AO37" s="2470"/>
      <c r="AP37" s="2470"/>
      <c r="AQ37" s="2470"/>
      <c r="AR37" s="2494">
        <v>0</v>
      </c>
    </row>
    <row s="67333" customFormat="1" customHeight="1" ht="17.25" hidden="1">
      <c r="A38" s="1532"/>
      <c r="C38" s="1420"/>
      <c r="D38" s="3346">
        <v>5</v>
      </c>
      <c r="E38" s="3354" t="s">
        <v>198</v>
      </c>
      <c r="F38" s="3356" t="s">
        <v>19</v>
      </c>
      <c r="G38" s="3354"/>
      <c r="H38" s="3359"/>
      <c r="I38" s="3361"/>
      <c r="J38" s="3363"/>
      <c r="K38" s="3348"/>
      <c r="L38" s="3348"/>
      <c r="M38" s="3348"/>
      <c r="N38" s="3350"/>
      <c r="O38" s="3348"/>
      <c r="P38" s="3348"/>
      <c r="Q38" s="3348"/>
      <c r="R38" s="3353"/>
      <c r="S38" s="3348"/>
      <c r="T38" s="2631"/>
      <c r="U38" s="2631"/>
      <c r="V38" s="2630"/>
      <c r="W38" s="2507"/>
      <c r="X38" s="2478"/>
      <c r="Y38" s="2478"/>
      <c r="Z38" s="2478"/>
      <c r="AA38" s="2478"/>
      <c r="AB38" s="2478"/>
      <c r="AC38" s="2478" t="s">
        <v>199</v>
      </c>
      <c r="AD38" s="2478" t="s">
        <v>200</v>
      </c>
      <c r="AE38" s="2478" t="s">
        <v>201</v>
      </c>
      <c r="AF38" s="2478" t="s">
        <v>202</v>
      </c>
      <c r="AG38" s="2478" t="s">
        <v>203</v>
      </c>
      <c r="AH38" s="2478" t="str">
        <f>IF($E$38=0,"",$E$38)</f>
        <v>Тарифы на услуги по передаче тепловой энергии</v>
      </c>
      <c r="AI38" s="2478" t="str">
        <f>IF($G$38=0,"",$G$38)</f>
        <v/>
      </c>
      <c r="AJ38" s="2478" t="str">
        <f>IF($J$38=0,"",$J$38)</f>
        <v/>
      </c>
      <c r="AK38" s="2478" t="str">
        <f>IF($K$38="нет","без дифференциации",IF($N$38=0,"",$N$38))</f>
        <v/>
      </c>
      <c r="AL38" s="2478" t="str">
        <f>IF($O$38="нет","без дифференциации",IF($R$38=0,"",$R$38))</f>
        <v/>
      </c>
      <c r="AM38" s="2478" t="str">
        <f>IF($S$38="нет","без дифференциации",IF($V$38=0,"",$V$38))</f>
        <v/>
      </c>
      <c r="AN38" s="2983">
        <f>$I$38</f>
        <v>0</v>
      </c>
      <c r="AO38" s="2478" t="str">
        <f>$I$38&amp;"."&amp;$M$38</f>
        <v>.</v>
      </c>
      <c r="AP38" s="2470" t="str">
        <f>$I$38&amp;"."&amp;$M$38&amp;"."&amp;$Q$38</f>
        <v>..</v>
      </c>
      <c r="AQ38" s="2470" t="str">
        <f>$I$38&amp;"."&amp;$M$38&amp;"."&amp;$Q$38&amp;"."&amp;$U$38</f>
        <v>...</v>
      </c>
      <c r="AR38" s="2494">
        <v>0</v>
      </c>
    </row>
    <row s="67333" customFormat="1" customHeight="1" ht="17.25" hidden="1">
      <c r="A39" s="1532"/>
      <c r="C39" s="1531"/>
      <c r="D39" s="3346"/>
      <c r="E39" s="3354"/>
      <c r="F39" s="3357"/>
      <c r="G39" s="3354"/>
      <c r="H39" s="3360"/>
      <c r="I39" s="3362"/>
      <c r="J39" s="3364"/>
      <c r="K39" s="3349"/>
      <c r="L39" s="3349"/>
      <c r="M39" s="3349"/>
      <c r="N39" s="3351"/>
      <c r="O39" s="3349"/>
      <c r="P39" s="3349"/>
      <c r="Q39" s="3349"/>
      <c r="R39" s="3352"/>
      <c r="S39" s="3349"/>
      <c r="T39" s="2508"/>
      <c r="U39" s="2508"/>
      <c r="V39" s="2508"/>
      <c r="W39" s="2509"/>
      <c r="X39" s="2470"/>
      <c r="Y39" s="2470"/>
      <c r="Z39" s="2470"/>
      <c r="AA39" s="2470"/>
      <c r="AB39" s="2470"/>
      <c r="AC39" s="2470"/>
      <c r="AD39" s="2470"/>
      <c r="AE39" s="2470"/>
      <c r="AF39" s="2470"/>
      <c r="AG39" s="2470"/>
      <c r="AH39" s="2470"/>
      <c r="AI39" s="2470"/>
      <c r="AJ39" s="2470"/>
      <c r="AK39" s="2470"/>
      <c r="AL39" s="2470"/>
      <c r="AM39" s="2470"/>
      <c r="AN39" s="2470"/>
      <c r="AO39" s="2470"/>
      <c r="AP39" s="2470"/>
      <c r="AQ39" s="2470"/>
      <c r="AR39" s="2494">
        <v>0</v>
      </c>
    </row>
    <row s="67333" customFormat="1" customHeight="1" ht="17.25" hidden="1">
      <c r="A40" s="1532"/>
      <c r="C40" s="1531"/>
      <c r="D40" s="3347"/>
      <c r="E40" s="3355"/>
      <c r="F40" s="3357"/>
      <c r="G40" s="3355"/>
      <c r="H40" s="3360"/>
      <c r="I40" s="3362"/>
      <c r="J40" s="3365"/>
      <c r="K40" s="3349"/>
      <c r="L40" s="3349"/>
      <c r="M40" s="3349"/>
      <c r="N40" s="3352"/>
      <c r="O40" s="3349"/>
      <c r="P40" s="2629"/>
      <c r="Q40" s="2508"/>
      <c r="R40" s="2508"/>
      <c r="S40" s="1540"/>
      <c r="T40" s="1540"/>
      <c r="U40" s="1540"/>
      <c r="V40" s="1540"/>
      <c r="W40" s="2509"/>
      <c r="X40" s="2470"/>
      <c r="Y40" s="2470"/>
      <c r="Z40" s="2470"/>
      <c r="AA40" s="2470"/>
      <c r="AB40" s="2470"/>
      <c r="AC40" s="2470"/>
      <c r="AD40" s="2470"/>
      <c r="AE40" s="2470"/>
      <c r="AF40" s="2470"/>
      <c r="AG40" s="2470"/>
      <c r="AH40" s="2470"/>
      <c r="AI40" s="2470"/>
      <c r="AJ40" s="2470"/>
      <c r="AK40" s="2470"/>
      <c r="AL40" s="2470"/>
      <c r="AM40" s="2470"/>
      <c r="AN40" s="2470"/>
      <c r="AO40" s="2470"/>
      <c r="AP40" s="2470"/>
      <c r="AQ40" s="2470"/>
      <c r="AR40" s="2494">
        <v>0</v>
      </c>
    </row>
    <row s="67333" customFormat="1" customHeight="1" ht="17.25" hidden="1">
      <c r="A41" s="1532"/>
      <c r="C41" s="1531"/>
      <c r="D41" s="3347"/>
      <c r="E41" s="3355"/>
      <c r="F41" s="3357"/>
      <c r="G41" s="3355"/>
      <c r="H41" s="3360"/>
      <c r="I41" s="3362"/>
      <c r="J41" s="3365"/>
      <c r="K41" s="3349"/>
      <c r="L41" s="2508"/>
      <c r="M41" s="2508"/>
      <c r="N41" s="2508"/>
      <c r="O41" s="2508"/>
      <c r="P41" s="2508"/>
      <c r="Q41" s="2508"/>
      <c r="R41" s="2508"/>
      <c r="S41" s="1540"/>
      <c r="T41" s="1540"/>
      <c r="U41" s="1540"/>
      <c r="V41" s="1540"/>
      <c r="W41" s="2509"/>
      <c r="X41" s="2470"/>
      <c r="Y41" s="2470"/>
      <c r="Z41" s="2470"/>
      <c r="AA41" s="2470"/>
      <c r="AB41" s="2470"/>
      <c r="AC41" s="2470"/>
      <c r="AD41" s="2470"/>
      <c r="AE41" s="2470"/>
      <c r="AF41" s="2470"/>
      <c r="AG41" s="2470"/>
      <c r="AH41" s="2470"/>
      <c r="AI41" s="2470"/>
      <c r="AJ41" s="2470"/>
      <c r="AK41" s="2470"/>
      <c r="AL41" s="2470"/>
      <c r="AM41" s="2470"/>
      <c r="AN41" s="2470"/>
      <c r="AO41" s="2470"/>
      <c r="AP41" s="2470"/>
      <c r="AQ41" s="2470"/>
      <c r="AR41" s="2494">
        <v>0</v>
      </c>
    </row>
    <row s="67333" customFormat="1" customHeight="1" ht="17.25" hidden="1">
      <c r="A42" s="1532"/>
      <c r="C42" s="1531"/>
      <c r="D42" s="3347"/>
      <c r="E42" s="3355"/>
      <c r="F42" s="3358"/>
      <c r="G42" s="3355"/>
      <c r="H42" s="2510"/>
      <c r="I42" s="2511"/>
      <c r="J42" s="2511"/>
      <c r="K42" s="2511"/>
      <c r="L42" s="2511"/>
      <c r="M42" s="2511"/>
      <c r="N42" s="2511"/>
      <c r="O42" s="2511"/>
      <c r="P42" s="2511"/>
      <c r="Q42" s="2511"/>
      <c r="R42" s="2511"/>
      <c r="S42" s="2512"/>
      <c r="T42" s="2512"/>
      <c r="U42" s="2512"/>
      <c r="V42" s="2512"/>
      <c r="W42" s="2513"/>
      <c r="X42" s="2470"/>
      <c r="Y42" s="2470"/>
      <c r="Z42" s="2470"/>
      <c r="AA42" s="2470"/>
      <c r="AB42" s="2470"/>
      <c r="AC42" s="2470"/>
      <c r="AD42" s="2470"/>
      <c r="AE42" s="2470"/>
      <c r="AF42" s="2470"/>
      <c r="AG42" s="2470"/>
      <c r="AH42" s="2470"/>
      <c r="AI42" s="2470"/>
      <c r="AJ42" s="2470"/>
      <c r="AK42" s="2470"/>
      <c r="AL42" s="2470"/>
      <c r="AM42" s="2470"/>
      <c r="AN42" s="2470"/>
      <c r="AO42" s="2470"/>
      <c r="AP42" s="2470"/>
      <c r="AQ42" s="2470"/>
      <c r="AR42" s="2494">
        <v>0</v>
      </c>
    </row>
    <row s="67333" customFormat="1" customHeight="1" ht="17.25" hidden="1">
      <c r="A43" s="1532"/>
      <c r="C43" s="1420"/>
      <c r="D43" s="3346">
        <v>6</v>
      </c>
      <c r="E43" s="3354" t="s">
        <v>204</v>
      </c>
      <c r="F43" s="3356" t="s">
        <v>19</v>
      </c>
      <c r="G43" s="3354"/>
      <c r="H43" s="3359"/>
      <c r="I43" s="3361"/>
      <c r="J43" s="3363"/>
      <c r="K43" s="3348"/>
      <c r="L43" s="3348"/>
      <c r="M43" s="3348"/>
      <c r="N43" s="3350"/>
      <c r="O43" s="3348"/>
      <c r="P43" s="3348"/>
      <c r="Q43" s="3348"/>
      <c r="R43" s="3353"/>
      <c r="S43" s="3348"/>
      <c r="T43" s="2631"/>
      <c r="U43" s="2631"/>
      <c r="V43" s="2630"/>
      <c r="W43" s="2507"/>
      <c r="X43" s="2478"/>
      <c r="Y43" s="2478"/>
      <c r="Z43" s="2478"/>
      <c r="AA43" s="2478"/>
      <c r="AB43" s="2478"/>
      <c r="AC43" s="2478" t="s">
        <v>205</v>
      </c>
      <c r="AD43" s="2478" t="s">
        <v>206</v>
      </c>
      <c r="AE43" s="2478" t="s">
        <v>207</v>
      </c>
      <c r="AF43" s="2478" t="s">
        <v>208</v>
      </c>
      <c r="AG43" s="2478" t="s">
        <v>209</v>
      </c>
      <c r="AH43" s="2478" t="str">
        <f>IF($E$43=0,"",$E$43)</f>
        <v>Тарифы на услуги по передаче теплоносителя</v>
      </c>
      <c r="AI43" s="2478" t="str">
        <f>IF($G$43=0,"",$G$43)</f>
        <v/>
      </c>
      <c r="AJ43" s="2478" t="str">
        <f>IF($J$43=0,"",$J$43)</f>
        <v/>
      </c>
      <c r="AK43" s="2478" t="str">
        <f>IF($K$43="нет","без дифференциации",IF($N$43=0,"",$N$43))</f>
        <v/>
      </c>
      <c r="AL43" s="2478" t="str">
        <f>IF($O$43="нет","без дифференциации",IF($R$43=0,"",$R$43))</f>
        <v/>
      </c>
      <c r="AM43" s="2478" t="str">
        <f>IF($S$43="нет","без дифференциации",IF($V$43=0,"",$V$43))</f>
        <v/>
      </c>
      <c r="AN43" s="2983">
        <f>$I$43</f>
        <v>0</v>
      </c>
      <c r="AO43" s="2478" t="str">
        <f>$I$43&amp;"."&amp;$M$43</f>
        <v>.</v>
      </c>
      <c r="AP43" s="2470" t="str">
        <f>$I$43&amp;"."&amp;$M$43&amp;"."&amp;$Q$43</f>
        <v>..</v>
      </c>
      <c r="AQ43" s="2470" t="str">
        <f>$I$43&amp;"."&amp;$M$43&amp;"."&amp;$Q$43&amp;"."&amp;$U$43</f>
        <v>...</v>
      </c>
      <c r="AR43" s="2494">
        <v>0</v>
      </c>
    </row>
    <row s="67333" customFormat="1" customHeight="1" ht="17.25" hidden="1">
      <c r="A44" s="1532"/>
      <c r="C44" s="1531"/>
      <c r="D44" s="3346"/>
      <c r="E44" s="3354"/>
      <c r="F44" s="3357"/>
      <c r="G44" s="3354"/>
      <c r="H44" s="3360"/>
      <c r="I44" s="3362"/>
      <c r="J44" s="3364"/>
      <c r="K44" s="3349"/>
      <c r="L44" s="3349"/>
      <c r="M44" s="3349"/>
      <c r="N44" s="3351"/>
      <c r="O44" s="3349"/>
      <c r="P44" s="3349"/>
      <c r="Q44" s="3349"/>
      <c r="R44" s="3352"/>
      <c r="S44" s="3349"/>
      <c r="T44" s="2508"/>
      <c r="U44" s="2508"/>
      <c r="V44" s="2508"/>
      <c r="W44" s="2509"/>
      <c r="X44" s="2470"/>
      <c r="Y44" s="2470"/>
      <c r="Z44" s="2470"/>
      <c r="AA44" s="2470"/>
      <c r="AB44" s="2470"/>
      <c r="AC44" s="2470"/>
      <c r="AD44" s="2470"/>
      <c r="AE44" s="2470"/>
      <c r="AF44" s="2470"/>
      <c r="AG44" s="2470"/>
      <c r="AH44" s="2470"/>
      <c r="AI44" s="2470"/>
      <c r="AJ44" s="2470"/>
      <c r="AK44" s="2470"/>
      <c r="AL44" s="2470"/>
      <c r="AM44" s="2470"/>
      <c r="AN44" s="2470"/>
      <c r="AO44" s="2470"/>
      <c r="AP44" s="2470"/>
      <c r="AQ44" s="2470"/>
      <c r="AR44" s="2494">
        <v>0</v>
      </c>
    </row>
    <row s="67333" customFormat="1" customHeight="1" ht="17.25" hidden="1">
      <c r="A45" s="1532"/>
      <c r="C45" s="1531"/>
      <c r="D45" s="3347"/>
      <c r="E45" s="3355"/>
      <c r="F45" s="3357"/>
      <c r="G45" s="3355"/>
      <c r="H45" s="3360"/>
      <c r="I45" s="3362"/>
      <c r="J45" s="3365"/>
      <c r="K45" s="3349"/>
      <c r="L45" s="3349"/>
      <c r="M45" s="3349"/>
      <c r="N45" s="3352"/>
      <c r="O45" s="3349"/>
      <c r="P45" s="2629"/>
      <c r="Q45" s="2508"/>
      <c r="R45" s="2508"/>
      <c r="S45" s="1540"/>
      <c r="T45" s="1540"/>
      <c r="U45" s="1540"/>
      <c r="V45" s="1540"/>
      <c r="W45" s="2509"/>
      <c r="X45" s="2470"/>
      <c r="Y45" s="2470"/>
      <c r="Z45" s="2470"/>
      <c r="AA45" s="2470"/>
      <c r="AB45" s="2470"/>
      <c r="AC45" s="2470"/>
      <c r="AD45" s="2470"/>
      <c r="AE45" s="2470"/>
      <c r="AF45" s="2470"/>
      <c r="AG45" s="2470"/>
      <c r="AH45" s="2470"/>
      <c r="AI45" s="2470"/>
      <c r="AJ45" s="2470"/>
      <c r="AK45" s="2470"/>
      <c r="AL45" s="2470"/>
      <c r="AM45" s="2470"/>
      <c r="AN45" s="2470"/>
      <c r="AO45" s="2470"/>
      <c r="AP45" s="2470"/>
      <c r="AQ45" s="2470"/>
      <c r="AR45" s="2494">
        <v>0</v>
      </c>
    </row>
    <row s="67333" customFormat="1" customHeight="1" ht="17.25" hidden="1">
      <c r="A46" s="1532"/>
      <c r="C46" s="1420"/>
      <c r="D46" s="3347"/>
      <c r="E46" s="3355"/>
      <c r="F46" s="3357"/>
      <c r="G46" s="3355"/>
      <c r="H46" s="3360"/>
      <c r="I46" s="3362"/>
      <c r="J46" s="3365"/>
      <c r="K46" s="3349"/>
      <c r="L46" s="2508"/>
      <c r="M46" s="2508"/>
      <c r="N46" s="2508"/>
      <c r="O46" s="2508"/>
      <c r="P46" s="2508"/>
      <c r="Q46" s="2508"/>
      <c r="R46" s="2508"/>
      <c r="S46" s="1540"/>
      <c r="T46" s="1540"/>
      <c r="U46" s="1540"/>
      <c r="V46" s="1540"/>
      <c r="W46" s="2509"/>
      <c r="Y46" s="2478"/>
      <c r="Z46" s="2478"/>
      <c r="AA46" s="2478"/>
      <c r="AB46" s="2478"/>
      <c r="AC46" s="2478"/>
      <c r="AD46" s="2478"/>
      <c r="AE46" s="2478"/>
      <c r="AF46" s="2478"/>
      <c r="AG46" s="2478"/>
      <c r="AH46" s="2478"/>
      <c r="AI46" s="2478"/>
      <c r="AJ46" s="2478"/>
      <c r="AK46" s="2478"/>
      <c r="AL46" s="2478"/>
      <c r="AM46" s="2478"/>
      <c r="AN46" s="2478"/>
      <c r="AO46" s="2478"/>
      <c r="AP46" s="2478"/>
      <c r="AQ46" s="2478"/>
      <c r="AR46" s="2537">
        <v>0</v>
      </c>
    </row>
    <row s="67333" customFormat="1" customHeight="1" ht="17.25" hidden="1">
      <c r="A47" s="1532"/>
      <c r="C47" s="1531"/>
      <c r="D47" s="3347"/>
      <c r="E47" s="3355"/>
      <c r="F47" s="3358"/>
      <c r="G47" s="3355"/>
      <c r="H47" s="2510"/>
      <c r="I47" s="2511"/>
      <c r="J47" s="2511"/>
      <c r="K47" s="2511"/>
      <c r="L47" s="2511"/>
      <c r="M47" s="2511"/>
      <c r="N47" s="2511"/>
      <c r="O47" s="2511"/>
      <c r="P47" s="2511"/>
      <c r="Q47" s="2511"/>
      <c r="R47" s="2511"/>
      <c r="S47" s="2512"/>
      <c r="T47" s="2512"/>
      <c r="U47" s="2512"/>
      <c r="V47" s="2512"/>
      <c r="W47" s="2513"/>
      <c r="X47" s="2470"/>
      <c r="Y47" s="2470"/>
      <c r="Z47" s="2470"/>
      <c r="AA47" s="2470"/>
      <c r="AB47" s="2470"/>
      <c r="AC47" s="2470"/>
      <c r="AD47" s="2470"/>
      <c r="AE47" s="2470"/>
      <c r="AF47" s="2470"/>
      <c r="AG47" s="2470"/>
      <c r="AH47" s="2470"/>
      <c r="AI47" s="2470"/>
      <c r="AJ47" s="2470"/>
      <c r="AK47" s="2470"/>
      <c r="AL47" s="2470"/>
      <c r="AM47" s="2470"/>
      <c r="AN47" s="2470"/>
      <c r="AO47" s="2470"/>
      <c r="AP47" s="2470"/>
      <c r="AQ47" s="2470"/>
      <c r="AR47" s="2494">
        <v>0</v>
      </c>
    </row>
    <row s="67333" customFormat="1" customHeight="1" ht="17.25" hidden="1">
      <c r="A48" s="1532"/>
      <c r="C48" s="1420"/>
      <c r="D48" s="3377">
        <v>7</v>
      </c>
      <c r="E48" s="3380" t="s">
        <v>210</v>
      </c>
      <c r="F48" s="3356" t="s">
        <v>19</v>
      </c>
      <c r="G48" s="3380"/>
      <c r="H48" s="3359"/>
      <c r="I48" s="3361"/>
      <c r="J48" s="3363"/>
      <c r="K48" s="3348"/>
      <c r="L48" s="3348"/>
      <c r="M48" s="3348"/>
      <c r="N48" s="3350"/>
      <c r="O48" s="3348"/>
      <c r="P48" s="3348"/>
      <c r="Q48" s="3348"/>
      <c r="R48" s="3353"/>
      <c r="S48" s="3348"/>
      <c r="T48" s="2631"/>
      <c r="U48" s="2631"/>
      <c r="V48" s="2630"/>
      <c r="W48" s="2507"/>
      <c r="X48" s="2478"/>
      <c r="Y48" s="2478"/>
      <c r="Z48" s="2478"/>
      <c r="AA48" s="2478"/>
      <c r="AB48" s="2478"/>
      <c r="AC48" s="2478" t="s">
        <v>211</v>
      </c>
      <c r="AD48" s="2478" t="s">
        <v>212</v>
      </c>
      <c r="AE48" s="2478" t="s">
        <v>213</v>
      </c>
      <c r="AF48" s="2478" t="s">
        <v>214</v>
      </c>
      <c r="AG48" s="2478" t="s">
        <v>215</v>
      </c>
      <c r="AH48" s="2478" t="str">
        <f>IF($E$48=0,"",$E$48)</f>
        <v>Плата за услуги по поддержанию резервной тепловой мощности при отсутствии потребления тепловой энергии</v>
      </c>
      <c r="AI48" s="2478" t="str">
        <f>IF($G$48=0,"",$G$48)</f>
        <v/>
      </c>
      <c r="AJ48" s="2478" t="str">
        <f>IF($J$48=0,"",$J$48)</f>
        <v/>
      </c>
      <c r="AK48" s="2478" t="str">
        <f>IF($K$48="нет","без дифференциации",IF($N$48=0,"",$N$48))</f>
        <v/>
      </c>
      <c r="AL48" s="2478" t="str">
        <f>IF($O$48="нет","без дифференциации",IF($R$48=0,"",$R$48))</f>
        <v/>
      </c>
      <c r="AM48" s="2478" t="str">
        <f>IF($S$48="нет","без дифференциации",IF($V$48=0,"",$V$48))</f>
        <v/>
      </c>
      <c r="AN48" s="2983">
        <f>$I$48</f>
        <v>0</v>
      </c>
      <c r="AO48" s="2478" t="str">
        <f>$I$48&amp;"."&amp;$M$48</f>
        <v>.</v>
      </c>
      <c r="AP48" s="2470" t="str">
        <f>$I$48&amp;"."&amp;$M$48&amp;"."&amp;$Q$48</f>
        <v>..</v>
      </c>
      <c r="AQ48" s="2470" t="str">
        <f>$I$48&amp;"."&amp;$M$48&amp;"."&amp;$Q$48&amp;"."&amp;$U$48</f>
        <v>...</v>
      </c>
      <c r="AR48" s="2519">
        <v>0</v>
      </c>
    </row>
    <row s="67333" customFormat="1" customHeight="1" ht="17.25" hidden="1">
      <c r="A49" s="1532"/>
      <c r="C49" s="1531"/>
      <c r="D49" s="3378"/>
      <c r="E49" s="3381"/>
      <c r="F49" s="3357"/>
      <c r="G49" s="3381"/>
      <c r="H49" s="3360"/>
      <c r="I49" s="3362"/>
      <c r="J49" s="3364"/>
      <c r="K49" s="3349"/>
      <c r="L49" s="3349"/>
      <c r="M49" s="3349"/>
      <c r="N49" s="3351"/>
      <c r="O49" s="3349"/>
      <c r="P49" s="3349"/>
      <c r="Q49" s="3349"/>
      <c r="R49" s="3352"/>
      <c r="S49" s="3349"/>
      <c r="T49" s="2508"/>
      <c r="U49" s="2508"/>
      <c r="V49" s="2508"/>
      <c r="W49" s="2509"/>
      <c r="X49" s="2470"/>
      <c r="Y49" s="2470"/>
      <c r="Z49" s="2470"/>
      <c r="AA49" s="2470"/>
      <c r="AB49" s="2470"/>
      <c r="AC49" s="2470"/>
      <c r="AD49" s="2470"/>
      <c r="AE49" s="2470"/>
      <c r="AF49" s="2470"/>
      <c r="AG49" s="2470"/>
      <c r="AH49" s="2470"/>
      <c r="AI49" s="2470"/>
      <c r="AJ49" s="2470"/>
      <c r="AK49" s="2470"/>
      <c r="AL49" s="2470"/>
      <c r="AM49" s="2470"/>
      <c r="AN49" s="2470"/>
      <c r="AO49" s="2470"/>
      <c r="AP49" s="2470"/>
      <c r="AQ49" s="2470"/>
      <c r="AR49" s="2519">
        <v>0</v>
      </c>
    </row>
    <row s="67333" customFormat="1" customHeight="1" ht="17.25" hidden="1">
      <c r="A50" s="1532"/>
      <c r="C50" s="1531"/>
      <c r="D50" s="3378"/>
      <c r="E50" s="3381"/>
      <c r="F50" s="3357"/>
      <c r="G50" s="3381"/>
      <c r="H50" s="3360"/>
      <c r="I50" s="3362"/>
      <c r="J50" s="3365"/>
      <c r="K50" s="3349"/>
      <c r="L50" s="3349"/>
      <c r="M50" s="3349"/>
      <c r="N50" s="3352"/>
      <c r="O50" s="3349"/>
      <c r="P50" s="2629"/>
      <c r="Q50" s="2508"/>
      <c r="R50" s="2508"/>
      <c r="S50" s="1540"/>
      <c r="T50" s="1540"/>
      <c r="U50" s="1540"/>
      <c r="V50" s="1540"/>
      <c r="W50" s="2509"/>
      <c r="X50" s="2470"/>
      <c r="Y50" s="2470"/>
      <c r="Z50" s="2470"/>
      <c r="AA50" s="2470"/>
      <c r="AB50" s="2470"/>
      <c r="AC50" s="2470"/>
      <c r="AD50" s="2470"/>
      <c r="AE50" s="2470"/>
      <c r="AF50" s="2470"/>
      <c r="AG50" s="2470"/>
      <c r="AH50" s="2470"/>
      <c r="AI50" s="2470"/>
      <c r="AJ50" s="2470"/>
      <c r="AK50" s="2470"/>
      <c r="AL50" s="2470"/>
      <c r="AM50" s="2470"/>
      <c r="AN50" s="2470"/>
      <c r="AO50" s="2470"/>
      <c r="AP50" s="2470"/>
      <c r="AQ50" s="2470"/>
      <c r="AR50" s="2519">
        <v>0</v>
      </c>
    </row>
    <row s="67333" customFormat="1" customHeight="1" ht="17.25" hidden="1">
      <c r="A51" s="1532"/>
      <c r="C51" s="1420"/>
      <c r="D51" s="3378"/>
      <c r="E51" s="3381"/>
      <c r="F51" s="3357"/>
      <c r="G51" s="3381"/>
      <c r="H51" s="3360"/>
      <c r="I51" s="3362"/>
      <c r="J51" s="3365"/>
      <c r="K51" s="3349"/>
      <c r="L51" s="2508"/>
      <c r="M51" s="2508"/>
      <c r="N51" s="2508"/>
      <c r="O51" s="2508"/>
      <c r="P51" s="2508"/>
      <c r="Q51" s="2508"/>
      <c r="R51" s="2508"/>
      <c r="S51" s="1540"/>
      <c r="T51" s="1540"/>
      <c r="U51" s="1540"/>
      <c r="V51" s="1540"/>
      <c r="W51" s="2509"/>
      <c r="Y51" s="2478"/>
      <c r="Z51" s="2478"/>
      <c r="AA51" s="2478"/>
      <c r="AB51" s="2478"/>
      <c r="AC51" s="2478"/>
      <c r="AD51" s="2478"/>
      <c r="AE51" s="2478"/>
      <c r="AF51" s="2478"/>
      <c r="AG51" s="2478"/>
      <c r="AH51" s="2478"/>
      <c r="AI51" s="2478"/>
      <c r="AJ51" s="2478"/>
      <c r="AK51" s="2478"/>
      <c r="AL51" s="2478"/>
      <c r="AM51" s="2478"/>
      <c r="AN51" s="2478"/>
      <c r="AO51" s="2478"/>
      <c r="AP51" s="2478"/>
      <c r="AQ51" s="2478"/>
      <c r="AR51" s="2537">
        <v>0</v>
      </c>
    </row>
    <row s="67333" customFormat="1" customHeight="1" ht="17.25" hidden="1">
      <c r="A52" s="1532"/>
      <c r="C52" s="1531"/>
      <c r="D52" s="3379"/>
      <c r="E52" s="3382"/>
      <c r="F52" s="3358"/>
      <c r="G52" s="3382"/>
      <c r="H52" s="2510"/>
      <c r="I52" s="2511"/>
      <c r="J52" s="2511"/>
      <c r="K52" s="2511"/>
      <c r="L52" s="2511"/>
      <c r="M52" s="2511"/>
      <c r="N52" s="2511"/>
      <c r="O52" s="2511"/>
      <c r="P52" s="2511"/>
      <c r="Q52" s="2511"/>
      <c r="R52" s="2511"/>
      <c r="S52" s="2512"/>
      <c r="T52" s="2512"/>
      <c r="U52" s="2512"/>
      <c r="V52" s="2512"/>
      <c r="W52" s="2513"/>
      <c r="X52" s="2470"/>
      <c r="Y52" s="2470"/>
      <c r="Z52" s="2470"/>
      <c r="AA52" s="2470"/>
      <c r="AB52" s="2470"/>
      <c r="AC52" s="2470"/>
      <c r="AD52" s="2470"/>
      <c r="AE52" s="2470"/>
      <c r="AF52" s="2470"/>
      <c r="AG52" s="2470"/>
      <c r="AH52" s="2470"/>
      <c r="AI52" s="2470"/>
      <c r="AJ52" s="2470"/>
      <c r="AK52" s="2470"/>
      <c r="AL52" s="2470"/>
      <c r="AM52" s="2470"/>
      <c r="AN52" s="2470"/>
      <c r="AO52" s="2470"/>
      <c r="AP52" s="2470"/>
      <c r="AQ52" s="2470"/>
      <c r="AR52" s="2519">
        <v>0</v>
      </c>
    </row>
    <row s="67333" customFormat="1" customHeight="1" ht="17.25" hidden="1">
      <c r="A53" s="1532"/>
      <c r="C53" s="1420"/>
      <c r="D53" s="3346">
        <v>8</v>
      </c>
      <c r="E53" s="3354" t="s">
        <v>216</v>
      </c>
      <c r="F53" s="3356" t="s">
        <v>19</v>
      </c>
      <c r="G53" s="3354"/>
      <c r="H53" s="3359"/>
      <c r="I53" s="3361"/>
      <c r="J53" s="3363"/>
      <c r="K53" s="3348"/>
      <c r="L53" s="3348"/>
      <c r="M53" s="3348"/>
      <c r="N53" s="3350"/>
      <c r="O53" s="3348"/>
      <c r="P53" s="3348"/>
      <c r="Q53" s="3348"/>
      <c r="R53" s="3353"/>
      <c r="S53" s="3348"/>
      <c r="T53" s="2681"/>
      <c r="U53" s="2681"/>
      <c r="V53" s="2683"/>
      <c r="W53" s="2507"/>
      <c r="X53" s="2478"/>
      <c r="Y53" s="2478"/>
      <c r="Z53" s="2478"/>
      <c r="AA53" s="2478"/>
      <c r="AB53" s="2478"/>
      <c r="AC53" s="2478" t="s">
        <v>217</v>
      </c>
      <c r="AD53" s="2478" t="s">
        <v>218</v>
      </c>
      <c r="AE53" s="2478" t="s">
        <v>219</v>
      </c>
      <c r="AF53" s="2478" t="s">
        <v>220</v>
      </c>
      <c r="AG53" s="2478" t="s">
        <v>221</v>
      </c>
      <c r="AH53" s="2478" t="str">
        <f>IF($E$53=0,"",$E$53)</f>
        <v>Плата за подключение (технологическое присоединение) к системе теплоснабжения</v>
      </c>
      <c r="AI53" s="2478" t="str">
        <f>IF($G$53=0,"",$G$53)</f>
        <v/>
      </c>
      <c r="AJ53" s="2478" t="str">
        <f>IF($J$53=0,"",$J$53)</f>
        <v/>
      </c>
      <c r="AK53" s="2478" t="str">
        <f>IF($K$53="нет","без дифференциации",IF($N$53=0,"",$N$53))</f>
        <v/>
      </c>
      <c r="AL53" s="2478" t="str">
        <f>IF($O$53="нет","без дифференциации",IF($R$53=0,"",$R$53))</f>
        <v/>
      </c>
      <c r="AM53" s="2478" t="str">
        <f>IF($S$53="нет","без дифференциации",IF($V$53=0,"",$V$53))</f>
        <v/>
      </c>
      <c r="AN53" s="2983">
        <f>$I$53</f>
        <v>0</v>
      </c>
      <c r="AO53" s="2478" t="str">
        <f>$I$53&amp;"."&amp;$M$53</f>
        <v>.</v>
      </c>
      <c r="AP53" s="2470" t="str">
        <f>$I$53&amp;"."&amp;$M$53&amp;"."&amp;$Q$53</f>
        <v>..</v>
      </c>
      <c r="AQ53" s="2470" t="str">
        <f>$I$53&amp;"."&amp;$M$53&amp;"."&amp;$Q$53&amp;"."&amp;$U$53</f>
        <v>...</v>
      </c>
      <c r="AR53" s="2519">
        <v>0</v>
      </c>
    </row>
    <row s="67333" customFormat="1" customHeight="1" ht="17.25" hidden="1">
      <c r="A54" s="1532"/>
      <c r="C54" s="1531"/>
      <c r="D54" s="3346"/>
      <c r="E54" s="3354"/>
      <c r="F54" s="3357"/>
      <c r="G54" s="3354"/>
      <c r="H54" s="3360"/>
      <c r="I54" s="3362"/>
      <c r="J54" s="3364"/>
      <c r="K54" s="3349"/>
      <c r="L54" s="3349"/>
      <c r="M54" s="3349"/>
      <c r="N54" s="3351"/>
      <c r="O54" s="3349"/>
      <c r="P54" s="3349"/>
      <c r="Q54" s="3349"/>
      <c r="R54" s="3352"/>
      <c r="S54" s="3349"/>
      <c r="T54" s="2508"/>
      <c r="U54" s="2508"/>
      <c r="V54" s="2508"/>
      <c r="W54" s="2509"/>
      <c r="X54" s="2470"/>
      <c r="Y54" s="2470"/>
      <c r="Z54" s="2470"/>
      <c r="AA54" s="2470"/>
      <c r="AB54" s="2470"/>
      <c r="AC54" s="2470"/>
      <c r="AD54" s="2470"/>
      <c r="AE54" s="2470"/>
      <c r="AF54" s="2470"/>
      <c r="AG54" s="2470"/>
      <c r="AH54" s="2470"/>
      <c r="AI54" s="2470"/>
      <c r="AJ54" s="2470"/>
      <c r="AK54" s="2470"/>
      <c r="AL54" s="2470"/>
      <c r="AM54" s="2470"/>
      <c r="AN54" s="2470"/>
      <c r="AO54" s="2470"/>
      <c r="AP54" s="2470"/>
      <c r="AQ54" s="2470"/>
      <c r="AR54" s="2519">
        <v>0</v>
      </c>
    </row>
    <row s="67333" customFormat="1" customHeight="1" ht="17.25" hidden="1">
      <c r="A55" s="1532"/>
      <c r="C55" s="1531"/>
      <c r="D55" s="3347"/>
      <c r="E55" s="3355"/>
      <c r="F55" s="3357"/>
      <c r="G55" s="3355"/>
      <c r="H55" s="3360"/>
      <c r="I55" s="3362"/>
      <c r="J55" s="3365"/>
      <c r="K55" s="3349"/>
      <c r="L55" s="3349"/>
      <c r="M55" s="3349"/>
      <c r="N55" s="3352"/>
      <c r="O55" s="3349"/>
      <c r="P55" s="2682"/>
      <c r="Q55" s="2508"/>
      <c r="R55" s="2508"/>
      <c r="S55" s="1540"/>
      <c r="T55" s="1540"/>
      <c r="U55" s="1540"/>
      <c r="V55" s="1540"/>
      <c r="W55" s="2509"/>
      <c r="X55" s="2470"/>
      <c r="Y55" s="2470"/>
      <c r="Z55" s="2470"/>
      <c r="AA55" s="2470"/>
      <c r="AB55" s="2470"/>
      <c r="AC55" s="2470"/>
      <c r="AD55" s="2470"/>
      <c r="AE55" s="2470"/>
      <c r="AF55" s="2470"/>
      <c r="AG55" s="2470"/>
      <c r="AH55" s="2470"/>
      <c r="AI55" s="2470"/>
      <c r="AJ55" s="2470"/>
      <c r="AK55" s="2470"/>
      <c r="AL55" s="2470"/>
      <c r="AM55" s="2470"/>
      <c r="AN55" s="2470"/>
      <c r="AO55" s="2470"/>
      <c r="AP55" s="2470"/>
      <c r="AQ55" s="2470"/>
      <c r="AR55" s="2519">
        <v>0</v>
      </c>
    </row>
    <row s="67333" customFormat="1" customHeight="1" ht="17.25" hidden="1">
      <c r="A56" s="1532"/>
      <c r="C56" s="1420"/>
      <c r="D56" s="3347"/>
      <c r="E56" s="3355"/>
      <c r="F56" s="3357"/>
      <c r="G56" s="3355"/>
      <c r="H56" s="3360"/>
      <c r="I56" s="3362"/>
      <c r="J56" s="3365"/>
      <c r="K56" s="3349"/>
      <c r="L56" s="2508"/>
      <c r="M56" s="2508"/>
      <c r="N56" s="2508"/>
      <c r="O56" s="2508"/>
      <c r="P56" s="2508"/>
      <c r="Q56" s="2508"/>
      <c r="R56" s="2508"/>
      <c r="S56" s="1540"/>
      <c r="T56" s="1540"/>
      <c r="U56" s="1540"/>
      <c r="V56" s="1540"/>
      <c r="W56" s="2509"/>
      <c r="Y56" s="2478"/>
      <c r="Z56" s="2478"/>
      <c r="AA56" s="2478"/>
      <c r="AB56" s="2478"/>
      <c r="AC56" s="2478"/>
      <c r="AD56" s="2478"/>
      <c r="AE56" s="2478"/>
      <c r="AF56" s="2478"/>
      <c r="AG56" s="2478"/>
      <c r="AH56" s="2478"/>
      <c r="AI56" s="2478"/>
      <c r="AJ56" s="2478"/>
      <c r="AK56" s="2478"/>
      <c r="AL56" s="2478"/>
      <c r="AM56" s="2478"/>
      <c r="AN56" s="2478"/>
      <c r="AO56" s="2478"/>
      <c r="AP56" s="2478"/>
      <c r="AQ56" s="2478"/>
      <c r="AR56" s="2537">
        <v>0</v>
      </c>
    </row>
    <row s="67333" customFormat="1" customHeight="1" ht="17.25" hidden="1">
      <c r="A57" s="1532"/>
      <c r="C57" s="1531"/>
      <c r="D57" s="3347"/>
      <c r="E57" s="3355"/>
      <c r="F57" s="3358"/>
      <c r="G57" s="3355"/>
      <c r="H57" s="2510"/>
      <c r="I57" s="2511"/>
      <c r="J57" s="2511"/>
      <c r="K57" s="2511"/>
      <c r="L57" s="2511"/>
      <c r="M57" s="2511"/>
      <c r="N57" s="2511"/>
      <c r="O57" s="2511"/>
      <c r="P57" s="2511"/>
      <c r="Q57" s="2511"/>
      <c r="R57" s="2511"/>
      <c r="S57" s="2512"/>
      <c r="T57" s="2512"/>
      <c r="U57" s="2512"/>
      <c r="V57" s="2512"/>
      <c r="W57" s="2513"/>
      <c r="X57" s="2470"/>
      <c r="Y57" s="2470"/>
      <c r="Z57" s="2470"/>
      <c r="AA57" s="2470"/>
      <c r="AB57" s="2470"/>
      <c r="AC57" s="2470"/>
      <c r="AD57" s="2470"/>
      <c r="AE57" s="2470"/>
      <c r="AF57" s="2470"/>
      <c r="AG57" s="2470"/>
      <c r="AH57" s="2470"/>
      <c r="AI57" s="2470"/>
      <c r="AJ57" s="2470"/>
      <c r="AK57" s="2470"/>
      <c r="AL57" s="2470"/>
      <c r="AM57" s="2470"/>
      <c r="AN57" s="2470"/>
      <c r="AO57" s="2470"/>
      <c r="AP57" s="2470"/>
      <c r="AQ57" s="2470"/>
      <c r="AR57" s="2519">
        <v>0</v>
      </c>
    </row>
    <row s="67333" customFormat="1" customHeight="1" ht="17.25" hidden="1">
      <c r="A58" s="1532"/>
      <c r="C58" s="1420"/>
      <c r="D58" s="3346">
        <v>9</v>
      </c>
      <c r="E58" s="3354" t="s">
        <v>222</v>
      </c>
      <c r="F58" s="3356" t="s">
        <v>19</v>
      </c>
      <c r="G58" s="3354"/>
      <c r="H58" s="3359"/>
      <c r="I58" s="3361"/>
      <c r="J58" s="3363"/>
      <c r="K58" s="3348"/>
      <c r="L58" s="3348"/>
      <c r="M58" s="3348"/>
      <c r="N58" s="3350"/>
      <c r="O58" s="3348"/>
      <c r="P58" s="3348"/>
      <c r="Q58" s="3348"/>
      <c r="R58" s="3353"/>
      <c r="S58" s="3348"/>
      <c r="T58" s="3142"/>
      <c r="U58" s="3142"/>
      <c r="V58" s="3144"/>
      <c r="W58" s="2507"/>
      <c r="X58" s="2478"/>
      <c r="Y58" s="2478"/>
      <c r="Z58" s="2478"/>
      <c r="AA58" s="2478"/>
      <c r="AB58" s="2478"/>
      <c r="AC58" s="2478" t="s">
        <v>223</v>
      </c>
      <c r="AD58" s="2478" t="s">
        <v>224</v>
      </c>
      <c r="AE58" s="2478" t="s">
        <v>225</v>
      </c>
      <c r="AF58" s="2478" t="s">
        <v>226</v>
      </c>
      <c r="AG58" s="2478" t="s">
        <v>227</v>
      </c>
      <c r="AH58" s="2478" t="str">
        <f>IF($E$58=0,"",$E$58)</f>
        <v>Плата за подключение (технологическое присоединение) к системе теплоснабжения (индивидуальная)</v>
      </c>
      <c r="AI58" s="2478" t="str">
        <f>IF($G$58=0,"",$G$58)</f>
        <v/>
      </c>
      <c r="AJ58" s="2478" t="str">
        <f>IF($J$58=0,"",$J$58)</f>
        <v/>
      </c>
      <c r="AK58" s="2478" t="str">
        <f>IF($K$58="нет","без дифференциации",IF($N$58=0,"",$N$58))</f>
        <v/>
      </c>
      <c r="AL58" s="2478" t="str">
        <f>IF($O$58="нет","без дифференциации",IF($R$58=0,"",$R$58))</f>
        <v/>
      </c>
      <c r="AM58" s="2478" t="str">
        <f>IF($S$58="нет","без дифференциации",IF($V$58=0,"",$V$58))</f>
        <v/>
      </c>
      <c r="AN58" s="2983">
        <f>$I$58</f>
        <v>0</v>
      </c>
      <c r="AO58" s="2478" t="str">
        <f>$I$58&amp;"."&amp;$M$58</f>
        <v>.</v>
      </c>
      <c r="AP58" s="2477" t="str">
        <f>$I$58&amp;"."&amp;$M$58&amp;"."&amp;$Q$58</f>
        <v>..</v>
      </c>
      <c r="AQ58" s="2477" t="str">
        <f>$I$58&amp;"."&amp;$M$58&amp;"."&amp;$Q$58&amp;"."&amp;$U$58</f>
        <v>...</v>
      </c>
      <c r="AR58" s="2678">
        <v>0</v>
      </c>
    </row>
    <row s="67333" customFormat="1" customHeight="1" ht="17.25" hidden="1">
      <c r="A59" s="1532"/>
      <c r="C59" s="1531"/>
      <c r="D59" s="3346"/>
      <c r="E59" s="3354"/>
      <c r="F59" s="3357"/>
      <c r="G59" s="3354"/>
      <c r="H59" s="3360"/>
      <c r="I59" s="3362"/>
      <c r="J59" s="3364"/>
      <c r="K59" s="3349"/>
      <c r="L59" s="3349"/>
      <c r="M59" s="3349"/>
      <c r="N59" s="3351"/>
      <c r="O59" s="3349"/>
      <c r="P59" s="3349"/>
      <c r="Q59" s="3349"/>
      <c r="R59" s="3352"/>
      <c r="S59" s="3349"/>
      <c r="T59" s="3145"/>
      <c r="U59" s="3145"/>
      <c r="V59" s="3145"/>
      <c r="W59" s="3146"/>
      <c r="X59" s="2477"/>
      <c r="Y59" s="2477"/>
      <c r="Z59" s="2477"/>
      <c r="AA59" s="2477"/>
      <c r="AB59" s="2477"/>
      <c r="AC59" s="2477"/>
      <c r="AD59" s="2477"/>
      <c r="AE59" s="2477"/>
      <c r="AF59" s="2477"/>
      <c r="AG59" s="2477"/>
      <c r="AH59" s="2477"/>
      <c r="AI59" s="2477"/>
      <c r="AJ59" s="2477"/>
      <c r="AK59" s="2477"/>
      <c r="AL59" s="2477"/>
      <c r="AM59" s="2477"/>
      <c r="AN59" s="2477"/>
      <c r="AO59" s="2477"/>
      <c r="AP59" s="2477"/>
      <c r="AQ59" s="2477"/>
      <c r="AR59" s="2678">
        <v>0</v>
      </c>
    </row>
    <row s="67333" customFormat="1" customHeight="1" ht="17.25" hidden="1">
      <c r="A60" s="1532"/>
      <c r="C60" s="1531"/>
      <c r="D60" s="3347"/>
      <c r="E60" s="3355"/>
      <c r="F60" s="3357"/>
      <c r="G60" s="3355"/>
      <c r="H60" s="3360"/>
      <c r="I60" s="3362"/>
      <c r="J60" s="3365"/>
      <c r="K60" s="3349"/>
      <c r="L60" s="3349"/>
      <c r="M60" s="3349"/>
      <c r="N60" s="3352"/>
      <c r="O60" s="3349"/>
      <c r="P60" s="3143"/>
      <c r="Q60" s="3145"/>
      <c r="R60" s="3145"/>
      <c r="S60" s="1540"/>
      <c r="T60" s="1540"/>
      <c r="U60" s="1540"/>
      <c r="V60" s="1540"/>
      <c r="W60" s="3146"/>
      <c r="X60" s="2477"/>
      <c r="Y60" s="2477"/>
      <c r="Z60" s="2477"/>
      <c r="AA60" s="2477"/>
      <c r="AB60" s="2477"/>
      <c r="AC60" s="2477"/>
      <c r="AD60" s="2477"/>
      <c r="AE60" s="2477"/>
      <c r="AF60" s="2477"/>
      <c r="AG60" s="2477"/>
      <c r="AH60" s="2477"/>
      <c r="AI60" s="2477"/>
      <c r="AJ60" s="2477"/>
      <c r="AK60" s="2477"/>
      <c r="AL60" s="2477"/>
      <c r="AM60" s="2477"/>
      <c r="AN60" s="2477"/>
      <c r="AO60" s="2477"/>
      <c r="AP60" s="2477"/>
      <c r="AQ60" s="2477"/>
      <c r="AR60" s="2678">
        <v>0</v>
      </c>
    </row>
    <row s="67333" customFormat="1" customHeight="1" ht="17.25" hidden="1">
      <c r="A61" s="1532"/>
      <c r="C61" s="1420"/>
      <c r="D61" s="3347"/>
      <c r="E61" s="3355"/>
      <c r="F61" s="3357"/>
      <c r="G61" s="3355"/>
      <c r="H61" s="3360"/>
      <c r="I61" s="3362"/>
      <c r="J61" s="3365"/>
      <c r="K61" s="3349"/>
      <c r="L61" s="3145"/>
      <c r="M61" s="3145"/>
      <c r="N61" s="3145"/>
      <c r="O61" s="3145"/>
      <c r="P61" s="3145"/>
      <c r="Q61" s="3145"/>
      <c r="R61" s="3145"/>
      <c r="S61" s="1540"/>
      <c r="T61" s="1540"/>
      <c r="U61" s="1540"/>
      <c r="V61" s="1540"/>
      <c r="W61" s="3146"/>
      <c r="Y61" s="2478"/>
      <c r="Z61" s="2478"/>
      <c r="AA61" s="2478"/>
      <c r="AB61" s="2478"/>
      <c r="AC61" s="2478"/>
      <c r="AD61" s="2478"/>
      <c r="AE61" s="2478"/>
      <c r="AF61" s="2478"/>
      <c r="AG61" s="2478"/>
      <c r="AH61" s="2478"/>
      <c r="AI61" s="2478"/>
      <c r="AJ61" s="2478"/>
      <c r="AK61" s="2478"/>
      <c r="AL61" s="2478"/>
      <c r="AM61" s="2478"/>
      <c r="AN61" s="2478"/>
      <c r="AO61" s="2478"/>
      <c r="AP61" s="2478"/>
      <c r="AQ61" s="2478"/>
      <c r="AR61" s="2678">
        <v>0</v>
      </c>
    </row>
    <row s="67333" customFormat="1" customHeight="1" ht="17.25" hidden="1">
      <c r="A62" s="1532"/>
      <c r="C62" s="1531"/>
      <c r="D62" s="3347"/>
      <c r="E62" s="3355"/>
      <c r="F62" s="3358"/>
      <c r="G62" s="3355"/>
      <c r="H62" s="2510"/>
      <c r="I62" s="3147"/>
      <c r="J62" s="3147"/>
      <c r="K62" s="3147"/>
      <c r="L62" s="3147"/>
      <c r="M62" s="3147"/>
      <c r="N62" s="3147"/>
      <c r="O62" s="3147"/>
      <c r="P62" s="3147"/>
      <c r="Q62" s="3147"/>
      <c r="R62" s="3147"/>
      <c r="S62" s="2512"/>
      <c r="T62" s="2512"/>
      <c r="U62" s="2512"/>
      <c r="V62" s="2512"/>
      <c r="W62" s="3148"/>
      <c r="X62" s="2477"/>
      <c r="Y62" s="2477"/>
      <c r="Z62" s="2477"/>
      <c r="AA62" s="2477"/>
      <c r="AB62" s="2477"/>
      <c r="AC62" s="2477"/>
      <c r="AD62" s="2477"/>
      <c r="AE62" s="2477"/>
      <c r="AF62" s="2477"/>
      <c r="AG62" s="2477"/>
      <c r="AH62" s="2477"/>
      <c r="AI62" s="2477"/>
      <c r="AJ62" s="2477"/>
      <c r="AK62" s="2477"/>
      <c r="AL62" s="2477"/>
      <c r="AM62" s="2477"/>
      <c r="AN62" s="2477"/>
      <c r="AO62" s="2477"/>
      <c r="AP62" s="2477"/>
      <c r="AQ62" s="2477"/>
      <c r="AR62" s="2678">
        <v>0</v>
      </c>
    </row>
    <row s="67333" customFormat="1" customHeight="1" ht="17.25" hidden="1">
      <c r="A63" s="1532"/>
      <c r="C63" s="1420"/>
      <c r="D63" s="3346">
        <v>10</v>
      </c>
      <c r="E63" s="3354" t="s">
        <v>228</v>
      </c>
      <c r="F63" s="3356" t="s">
        <v>19</v>
      </c>
      <c r="G63" s="3354"/>
      <c r="H63" s="3359"/>
      <c r="I63" s="3361"/>
      <c r="J63" s="3363"/>
      <c r="K63" s="3348"/>
      <c r="L63" s="3348"/>
      <c r="M63" s="3348"/>
      <c r="N63" s="3350"/>
      <c r="O63" s="3348"/>
      <c r="P63" s="3348"/>
      <c r="Q63" s="3348"/>
      <c r="R63" s="3353"/>
      <c r="S63" s="3348"/>
      <c r="T63" s="3142"/>
      <c r="U63" s="3142"/>
      <c r="V63" s="3144"/>
      <c r="W63" s="2507"/>
      <c r="X63" s="2478"/>
      <c r="Y63" s="2478"/>
      <c r="Z63" s="2478"/>
      <c r="AA63" s="2478"/>
      <c r="AB63" s="2478"/>
      <c r="AC63" s="2478" t="s">
        <v>229</v>
      </c>
      <c r="AD63" s="2478" t="s">
        <v>230</v>
      </c>
      <c r="AE63" s="2478" t="s">
        <v>231</v>
      </c>
      <c r="AF63" s="2478" t="s">
        <v>232</v>
      </c>
      <c r="AG63" s="2478" t="s">
        <v>233</v>
      </c>
      <c r="AH63" s="2478" t="str">
        <f>IF($E$63=0,"",$E$63)</f>
        <v>Предельный уровень цены на тепловую энергию (мощность), поставляемую теплоснабжающими организациями потребителям</v>
      </c>
      <c r="AI63" s="2478" t="str">
        <f>IF($G$63=0,"",$G$63)</f>
        <v/>
      </c>
      <c r="AJ63" s="2478" t="str">
        <f>IF($J$63=0,"",$J$63)</f>
        <v/>
      </c>
      <c r="AK63" s="2478" t="str">
        <f>IF($K$63="нет","без дифференциации",IF($N$63=0,"",$N$63))</f>
        <v/>
      </c>
      <c r="AL63" s="2478" t="str">
        <f>IF($O$63="нет","без дифференциации",IF($R$63=0,"",$R$63))</f>
        <v/>
      </c>
      <c r="AM63" s="2478" t="str">
        <f>IF($S$63="нет","без дифференциации",IF($V$63=0,"",$V$63))</f>
        <v/>
      </c>
      <c r="AN63" s="2983">
        <f>$I$63</f>
        <v>0</v>
      </c>
      <c r="AO63" s="2478" t="str">
        <f>$I$63&amp;"."&amp;$M$63</f>
        <v>.</v>
      </c>
      <c r="AP63" s="2477" t="str">
        <f>$I$63&amp;"."&amp;$M$63&amp;"."&amp;$Q$63</f>
        <v>..</v>
      </c>
      <c r="AQ63" s="2477" t="str">
        <f>$I$63&amp;"."&amp;$M$63&amp;"."&amp;$Q$63&amp;"."&amp;$U$63</f>
        <v>...</v>
      </c>
      <c r="AR63" s="2678">
        <v>0</v>
      </c>
    </row>
    <row s="67333" customFormat="1" customHeight="1" ht="17.25" hidden="1">
      <c r="A64" s="1532"/>
      <c r="C64" s="1531"/>
      <c r="D64" s="3346"/>
      <c r="E64" s="3354"/>
      <c r="F64" s="3357"/>
      <c r="G64" s="3354"/>
      <c r="H64" s="3360"/>
      <c r="I64" s="3362"/>
      <c r="J64" s="3364"/>
      <c r="K64" s="3349"/>
      <c r="L64" s="3349"/>
      <c r="M64" s="3349"/>
      <c r="N64" s="3351"/>
      <c r="O64" s="3349"/>
      <c r="P64" s="3349"/>
      <c r="Q64" s="3349"/>
      <c r="R64" s="3352"/>
      <c r="S64" s="3349"/>
      <c r="T64" s="3145"/>
      <c r="U64" s="3145"/>
      <c r="V64" s="3145"/>
      <c r="W64" s="3146"/>
      <c r="X64" s="2477"/>
      <c r="Y64" s="2477"/>
      <c r="Z64" s="2477"/>
      <c r="AA64" s="2477"/>
      <c r="AB64" s="2477"/>
      <c r="AC64" s="2477"/>
      <c r="AD64" s="2477"/>
      <c r="AE64" s="2477"/>
      <c r="AF64" s="2477"/>
      <c r="AG64" s="2477"/>
      <c r="AH64" s="2477"/>
      <c r="AI64" s="2477"/>
      <c r="AJ64" s="2477"/>
      <c r="AK64" s="2477"/>
      <c r="AL64" s="2477"/>
      <c r="AM64" s="2477"/>
      <c r="AN64" s="2477"/>
      <c r="AO64" s="2477"/>
      <c r="AP64" s="2477"/>
      <c r="AQ64" s="2477"/>
      <c r="AR64" s="2678">
        <v>0</v>
      </c>
    </row>
    <row s="67333" customFormat="1" customHeight="1" ht="17.25" hidden="1">
      <c r="A65" s="1532"/>
      <c r="C65" s="1531"/>
      <c r="D65" s="3347"/>
      <c r="E65" s="3355"/>
      <c r="F65" s="3357"/>
      <c r="G65" s="3355"/>
      <c r="H65" s="3360"/>
      <c r="I65" s="3362"/>
      <c r="J65" s="3365"/>
      <c r="K65" s="3349"/>
      <c r="L65" s="3349"/>
      <c r="M65" s="3349"/>
      <c r="N65" s="3352"/>
      <c r="O65" s="3349"/>
      <c r="P65" s="3143"/>
      <c r="Q65" s="3145"/>
      <c r="R65" s="3145"/>
      <c r="S65" s="1540"/>
      <c r="T65" s="1540"/>
      <c r="U65" s="1540"/>
      <c r="V65" s="1540"/>
      <c r="W65" s="3146"/>
      <c r="X65" s="2477"/>
      <c r="Y65" s="2477"/>
      <c r="Z65" s="2477"/>
      <c r="AA65" s="2477"/>
      <c r="AB65" s="2477"/>
      <c r="AC65" s="2477"/>
      <c r="AD65" s="2477"/>
      <c r="AE65" s="2477"/>
      <c r="AF65" s="2477"/>
      <c r="AG65" s="2477"/>
      <c r="AH65" s="2477"/>
      <c r="AI65" s="2477"/>
      <c r="AJ65" s="2477"/>
      <c r="AK65" s="2477"/>
      <c r="AL65" s="2477"/>
      <c r="AM65" s="2477"/>
      <c r="AN65" s="2477"/>
      <c r="AO65" s="2477"/>
      <c r="AP65" s="2477"/>
      <c r="AQ65" s="2477"/>
      <c r="AR65" s="2678">
        <v>0</v>
      </c>
    </row>
    <row s="67333" customFormat="1" customHeight="1" ht="17.25" hidden="1">
      <c r="A66" s="1532"/>
      <c r="C66" s="1420"/>
      <c r="D66" s="3347"/>
      <c r="E66" s="3355"/>
      <c r="F66" s="3357"/>
      <c r="G66" s="3355"/>
      <c r="H66" s="3360"/>
      <c r="I66" s="3362"/>
      <c r="J66" s="3365"/>
      <c r="K66" s="3349"/>
      <c r="L66" s="3145"/>
      <c r="M66" s="3145"/>
      <c r="N66" s="3145"/>
      <c r="O66" s="3145"/>
      <c r="P66" s="3145"/>
      <c r="Q66" s="3145"/>
      <c r="R66" s="3145"/>
      <c r="S66" s="1540"/>
      <c r="T66" s="1540"/>
      <c r="U66" s="1540"/>
      <c r="V66" s="1540"/>
      <c r="W66" s="3146"/>
      <c r="Y66" s="2478"/>
      <c r="Z66" s="2478"/>
      <c r="AA66" s="2478"/>
      <c r="AB66" s="2478"/>
      <c r="AC66" s="2478"/>
      <c r="AD66" s="2478"/>
      <c r="AE66" s="2478"/>
      <c r="AF66" s="2478"/>
      <c r="AG66" s="2478"/>
      <c r="AH66" s="2478"/>
      <c r="AI66" s="2478"/>
      <c r="AJ66" s="2478"/>
      <c r="AK66" s="2478"/>
      <c r="AL66" s="2478"/>
      <c r="AM66" s="2478"/>
      <c r="AN66" s="2478"/>
      <c r="AO66" s="2478"/>
      <c r="AP66" s="2478"/>
      <c r="AQ66" s="2478"/>
      <c r="AR66" s="2678">
        <v>0</v>
      </c>
    </row>
    <row s="67333" customFormat="1" customHeight="1" ht="17.25" hidden="1">
      <c r="A67" s="1532"/>
      <c r="C67" s="1531"/>
      <c r="D67" s="3347"/>
      <c r="E67" s="3355"/>
      <c r="F67" s="3358"/>
      <c r="G67" s="3355"/>
      <c r="H67" s="2510"/>
      <c r="I67" s="3147"/>
      <c r="J67" s="3147"/>
      <c r="K67" s="3147"/>
      <c r="L67" s="3147"/>
      <c r="M67" s="3147"/>
      <c r="N67" s="3147"/>
      <c r="O67" s="3147"/>
      <c r="P67" s="3147"/>
      <c r="Q67" s="3147"/>
      <c r="R67" s="3147"/>
      <c r="S67" s="2512"/>
      <c r="T67" s="2512"/>
      <c r="U67" s="2512"/>
      <c r="V67" s="2512"/>
      <c r="W67" s="3148"/>
      <c r="X67" s="2477"/>
      <c r="Y67" s="2477"/>
      <c r="Z67" s="2477"/>
      <c r="AA67" s="2477"/>
      <c r="AB67" s="2477"/>
      <c r="AC67" s="2477"/>
      <c r="AD67" s="2477"/>
      <c r="AE67" s="2477"/>
      <c r="AF67" s="2477"/>
      <c r="AG67" s="2477"/>
      <c r="AH67" s="2477"/>
      <c r="AI67" s="2477"/>
      <c r="AJ67" s="2477"/>
      <c r="AK67" s="2477"/>
      <c r="AL67" s="2477"/>
      <c r="AM67" s="2477"/>
      <c r="AN67" s="2477"/>
      <c r="AO67" s="2477"/>
      <c r="AP67" s="2477"/>
      <c r="AQ67" s="2477"/>
      <c r="AR67" s="2678">
        <v>0</v>
      </c>
    </row>
    <row customHeight="1" ht="11.25" hidden="1">
      <c r="AR68" s="1315">
        <v>0</v>
      </c>
    </row>
    <row customHeight="1" ht="11.25" hidden="1">
      <c r="E69" s="3385" t="s">
        <v>234</v>
      </c>
      <c r="F69" s="3385"/>
      <c r="G69" s="3385"/>
      <c r="H69" s="3385"/>
      <c r="I69" s="3385"/>
      <c r="J69" s="3385"/>
      <c r="K69" s="3385"/>
      <c r="L69" s="3385"/>
      <c r="M69" s="3385"/>
      <c r="N69" s="3385"/>
      <c r="O69" s="3385"/>
      <c r="P69" s="3385"/>
      <c r="Q69" s="3385"/>
      <c r="R69" s="3385"/>
      <c r="S69" s="3385"/>
      <c r="T69" s="3385"/>
      <c r="U69" s="3385"/>
      <c r="V69" s="3385"/>
      <c r="W69" s="3385"/>
      <c r="AR69" s="1315">
        <v>0</v>
      </c>
    </row>
    <row customHeight="1" ht="36.75" hidden="1">
      <c r="E70" s="3383" t="s">
        <v>235</v>
      </c>
      <c r="F70" s="3383"/>
      <c r="G70" s="3384"/>
      <c r="H70" s="3384"/>
      <c r="I70" s="3384"/>
      <c r="J70" s="3384"/>
      <c r="K70" s="3384"/>
      <c r="L70" s="3384"/>
      <c r="M70" s="3384"/>
      <c r="N70" s="3384"/>
      <c r="O70" s="3384"/>
      <c r="P70" s="3384"/>
      <c r="Q70" s="3384"/>
      <c r="R70" s="3384"/>
      <c r="S70" s="3384"/>
      <c r="T70" s="3384"/>
      <c r="U70" s="3384"/>
      <c r="V70" s="3384"/>
      <c r="W70" s="3384"/>
      <c r="AR70" s="1315">
        <v>0</v>
      </c>
    </row>
    <row customHeight="1" ht="28.5" hidden="1">
      <c r="E71" s="3383" t="s">
        <v>236</v>
      </c>
      <c r="F71" s="3383"/>
      <c r="G71" s="3384"/>
      <c r="H71" s="3384"/>
      <c r="I71" s="3384"/>
      <c r="J71" s="3384"/>
      <c r="K71" s="3384"/>
      <c r="L71" s="3384"/>
      <c r="M71" s="3384"/>
      <c r="N71" s="3384"/>
      <c r="O71" s="3384"/>
      <c r="P71" s="3384"/>
      <c r="Q71" s="3384"/>
      <c r="R71" s="3384"/>
      <c r="S71" s="3384"/>
      <c r="T71" s="3384"/>
      <c r="U71" s="3384"/>
      <c r="V71" s="3384"/>
      <c r="W71" s="3384"/>
      <c r="AR71" s="1315">
        <v>0</v>
      </c>
    </row>
    <row customHeight="1" ht="27" hidden="1">
      <c r="E72" s="3383" t="s">
        <v>237</v>
      </c>
      <c r="F72" s="3383"/>
      <c r="G72" s="3384"/>
      <c r="H72" s="3384"/>
      <c r="I72" s="3384"/>
      <c r="J72" s="3384"/>
      <c r="K72" s="3384"/>
      <c r="L72" s="3384"/>
      <c r="M72" s="3384"/>
      <c r="N72" s="3384"/>
      <c r="O72" s="3384"/>
      <c r="P72" s="3384"/>
      <c r="Q72" s="3384"/>
      <c r="R72" s="3384"/>
      <c r="S72" s="3384"/>
      <c r="T72" s="3384"/>
      <c r="U72" s="3384"/>
      <c r="V72" s="3384"/>
      <c r="W72" s="3384"/>
      <c r="AR72" s="1315">
        <v>0</v>
      </c>
    </row>
    <row customHeight="1" ht="17.25" hidden="1">
      <c r="E73" s="3383" t="s">
        <v>238</v>
      </c>
      <c r="F73" s="3383"/>
      <c r="G73" s="3384"/>
      <c r="H73" s="3384"/>
      <c r="I73" s="3384"/>
      <c r="J73" s="3384"/>
      <c r="K73" s="3384"/>
      <c r="L73" s="3384"/>
      <c r="M73" s="3384"/>
      <c r="N73" s="3384"/>
      <c r="O73" s="3384"/>
      <c r="P73" s="3384"/>
      <c r="Q73" s="3384"/>
      <c r="R73" s="3384"/>
      <c r="S73" s="3384"/>
      <c r="T73" s="3384"/>
      <c r="U73" s="3384"/>
      <c r="V73" s="3384"/>
      <c r="W73" s="3384"/>
      <c r="AR73" s="1315">
        <v>0</v>
      </c>
    </row>
    <row customHeight="1" ht="15" hidden="1">
      <c r="E74" s="1551"/>
      <c r="F74" s="2496"/>
      <c r="G74" s="1368"/>
      <c r="H74" s="1368"/>
      <c r="I74" s="1368"/>
      <c r="J74" s="1368"/>
      <c r="K74" s="1368"/>
      <c r="L74" s="1368"/>
      <c r="M74" s="1368"/>
      <c r="N74" s="1368"/>
      <c r="O74" s="1368"/>
      <c r="P74" s="1368"/>
      <c r="Q74" s="1368"/>
      <c r="R74" s="1368"/>
      <c r="S74" s="1368"/>
      <c r="T74" s="1368"/>
      <c r="U74" s="1368"/>
      <c r="V74" s="1368"/>
      <c r="W74" s="1368"/>
      <c r="AR74" s="1315">
        <v>0</v>
      </c>
    </row>
    <row customHeight="1" ht="15" hidden="1">
      <c r="E75" s="3385" t="s">
        <v>239</v>
      </c>
      <c r="F75" s="3385"/>
      <c r="G75" s="3385"/>
      <c r="H75" s="3385"/>
      <c r="I75" s="3385"/>
      <c r="J75" s="3385"/>
      <c r="K75" s="3385"/>
      <c r="L75" s="3385"/>
      <c r="M75" s="3385"/>
      <c r="N75" s="3385"/>
      <c r="O75" s="3385"/>
      <c r="P75" s="3385"/>
      <c r="Q75" s="3385"/>
      <c r="R75" s="3385"/>
      <c r="S75" s="3385"/>
      <c r="T75" s="3385"/>
      <c r="U75" s="3385"/>
      <c r="V75" s="3385"/>
      <c r="W75" s="3385"/>
      <c r="AR75" s="1315">
        <v>0</v>
      </c>
    </row>
    <row customHeight="1" ht="17.25" hidden="1">
      <c r="E76" s="3383" t="s">
        <v>240</v>
      </c>
      <c r="F76" s="3383"/>
      <c r="G76" s="3384"/>
      <c r="H76" s="3384"/>
      <c r="I76" s="3384"/>
      <c r="J76" s="3384"/>
      <c r="K76" s="3384"/>
      <c r="L76" s="3384"/>
      <c r="M76" s="3384"/>
      <c r="N76" s="3384"/>
      <c r="O76" s="3384"/>
      <c r="P76" s="3384"/>
      <c r="Q76" s="3384"/>
      <c r="R76" s="3384"/>
      <c r="S76" s="3384"/>
      <c r="T76" s="3384"/>
      <c r="U76" s="3384"/>
      <c r="V76" s="3384"/>
      <c r="W76" s="3384"/>
      <c r="AR76" s="1315">
        <v>0</v>
      </c>
    </row>
    <row customHeight="1" ht="17.25" hidden="1">
      <c r="E77" s="3383" t="s">
        <v>241</v>
      </c>
      <c r="F77" s="3383"/>
      <c r="G77" s="3384"/>
      <c r="H77" s="3384"/>
      <c r="I77" s="3384"/>
      <c r="J77" s="3384"/>
      <c r="K77" s="3384"/>
      <c r="L77" s="3384"/>
      <c r="M77" s="3384"/>
      <c r="N77" s="3384"/>
      <c r="O77" s="3384"/>
      <c r="P77" s="3384"/>
      <c r="Q77" s="3384"/>
      <c r="R77" s="3384"/>
      <c r="S77" s="3384"/>
      <c r="T77" s="3384"/>
      <c r="U77" s="3384"/>
      <c r="V77" s="3384"/>
      <c r="W77" s="3384"/>
      <c r="AR77" s="1315">
        <v>0</v>
      </c>
    </row>
    <row s="67333" customFormat="1" customHeight="1" ht="11.25" hidden="1">
      <c r="A78" s="1488"/>
      <c r="B78" s="1488"/>
      <c r="Y78" s="2470"/>
      <c r="Z78" s="2470"/>
      <c r="AA78" s="2470"/>
      <c r="AB78" s="2470"/>
      <c r="AC78" s="2470"/>
      <c r="AD78" s="2470"/>
      <c r="AE78" s="2470"/>
      <c r="AF78" s="2470"/>
      <c r="AG78" s="2470"/>
      <c r="AH78" s="2470"/>
      <c r="AI78" s="2470"/>
      <c r="AJ78" s="2470"/>
      <c r="AK78" s="2470"/>
      <c r="AL78" s="2470"/>
      <c r="AM78" s="2470"/>
      <c r="AN78" s="2470"/>
      <c r="AO78" s="2470"/>
      <c r="AP78" s="2470"/>
      <c r="AQ78" s="2470"/>
      <c r="AR78" s="2561">
        <v>0</v>
      </c>
    </row>
    <row s="67333" customFormat="1" customHeight="1" ht="17.25" hidden="1">
      <c r="A79" s="1532"/>
      <c r="C79" s="1420"/>
      <c r="D79" s="3346">
        <v>1</v>
      </c>
      <c r="E79" s="3354" t="s">
        <v>242</v>
      </c>
      <c r="F79" s="3356" t="s">
        <v>19</v>
      </c>
      <c r="G79" s="3354"/>
      <c r="H79" s="3359"/>
      <c r="I79" s="3361"/>
      <c r="J79" s="3363"/>
      <c r="K79" s="3348"/>
      <c r="L79" s="3348"/>
      <c r="M79" s="3348"/>
      <c r="N79" s="3350"/>
      <c r="O79" s="3348"/>
      <c r="P79" s="3348"/>
      <c r="Q79" s="3348"/>
      <c r="R79" s="3353"/>
      <c r="S79" s="3348"/>
      <c r="T79" s="2681"/>
      <c r="U79" s="2681"/>
      <c r="V79" s="2683"/>
      <c r="W79" s="2507"/>
      <c r="Y79" s="2478"/>
      <c r="Z79" s="2478"/>
      <c r="AA79" s="2478"/>
      <c r="AB79" s="2478"/>
      <c r="AC79" s="2478" t="s">
        <v>243</v>
      </c>
      <c r="AD79" s="2478" t="s">
        <v>244</v>
      </c>
      <c r="AE79" s="2478" t="s">
        <v>245</v>
      </c>
      <c r="AF79" s="2478" t="s">
        <v>246</v>
      </c>
      <c r="AG79" s="2478"/>
      <c r="AH79" s="2478" t="str">
        <f>IF($E$79=0,"",$E$79)</f>
        <v>Тариф на питьевую воду (питьевое водоснабжение)</v>
      </c>
      <c r="AI79" s="2478" t="str">
        <f>IF($G$79=0,"",$G$79)</f>
        <v/>
      </c>
      <c r="AJ79" s="2478" t="str">
        <f>IF($J$79=0,"",$J$79)</f>
        <v/>
      </c>
      <c r="AK79" s="2478" t="str">
        <f>IF($K$79="нет","без дифференциации",IF($N$79=0,"",$N$79))</f>
        <v/>
      </c>
      <c r="AL79" s="2478" t="str">
        <f>IF($O$79="нет","без дифференциации",IF($R$79=0,"",$R$79))</f>
        <v/>
      </c>
      <c r="AM79" s="2478" t="str">
        <f>IF($S$79="нет","без дифференциации",IF($V$79=0,"",$V$79))</f>
        <v/>
      </c>
      <c r="AN79" s="2478">
        <f>$I$79</f>
        <v>0</v>
      </c>
      <c r="AO79" s="2478" t="str">
        <f>$I$79&amp;"."&amp;$M$79</f>
        <v>.</v>
      </c>
      <c r="AP79" s="2478" t="str">
        <f>$I$79&amp;"."&amp;$M$79&amp;"."&amp;$Q$79</f>
        <v>..</v>
      </c>
      <c r="AQ79" s="2478" t="str">
        <f>$I$79&amp;"."&amp;$M$79&amp;"."&amp;$Q$79&amp;"."&amp;$U$79</f>
        <v>...</v>
      </c>
      <c r="AR79" s="2561">
        <v>0</v>
      </c>
    </row>
    <row s="67333" customFormat="1" customHeight="1" ht="17.25" hidden="1">
      <c r="A80" s="1532"/>
      <c r="C80" s="1531"/>
      <c r="D80" s="3346"/>
      <c r="E80" s="3354"/>
      <c r="F80" s="3357"/>
      <c r="G80" s="3354"/>
      <c r="H80" s="3360"/>
      <c r="I80" s="3362"/>
      <c r="J80" s="3364"/>
      <c r="K80" s="3349"/>
      <c r="L80" s="3349"/>
      <c r="M80" s="3349"/>
      <c r="N80" s="3351"/>
      <c r="O80" s="3349"/>
      <c r="P80" s="3349"/>
      <c r="Q80" s="3349"/>
      <c r="R80" s="3352"/>
      <c r="S80" s="3349"/>
      <c r="T80" s="2508"/>
      <c r="U80" s="2508"/>
      <c r="V80" s="2508"/>
      <c r="W80" s="2509"/>
      <c r="Y80" s="2470"/>
      <c r="Z80" s="2470"/>
      <c r="AA80" s="2470"/>
      <c r="AB80" s="2470"/>
      <c r="AC80" s="2470"/>
      <c r="AD80" s="2470"/>
      <c r="AE80" s="2470"/>
      <c r="AF80" s="2470"/>
      <c r="AG80" s="2470"/>
      <c r="AH80" s="2470"/>
      <c r="AI80" s="2470"/>
      <c r="AJ80" s="2470"/>
      <c r="AK80" s="2470"/>
      <c r="AL80" s="2470"/>
      <c r="AM80" s="2470"/>
      <c r="AN80" s="2470"/>
      <c r="AO80" s="2470"/>
      <c r="AP80" s="2470"/>
      <c r="AQ80" s="2470"/>
      <c r="AR80" s="2561">
        <v>0</v>
      </c>
    </row>
    <row s="67333" customFormat="1" customHeight="1" ht="17.25" hidden="1">
      <c r="A81" s="1532"/>
      <c r="C81" s="1420"/>
      <c r="D81" s="3346"/>
      <c r="E81" s="3354"/>
      <c r="F81" s="3357"/>
      <c r="G81" s="3354"/>
      <c r="H81" s="3360"/>
      <c r="I81" s="3362"/>
      <c r="J81" s="3365"/>
      <c r="K81" s="3349"/>
      <c r="L81" s="3349"/>
      <c r="M81" s="3349"/>
      <c r="N81" s="3352"/>
      <c r="O81" s="3349"/>
      <c r="P81" s="2682"/>
      <c r="Q81" s="2508"/>
      <c r="R81" s="2508"/>
      <c r="S81" s="1540"/>
      <c r="T81" s="1540"/>
      <c r="U81" s="1540"/>
      <c r="V81" s="1540"/>
      <c r="W81" s="2509"/>
      <c r="Y81" s="2478"/>
      <c r="Z81" s="2478"/>
      <c r="AA81" s="2478"/>
      <c r="AB81" s="2478"/>
      <c r="AC81" s="2478"/>
      <c r="AD81" s="2478"/>
      <c r="AE81" s="2478"/>
      <c r="AF81" s="2478"/>
      <c r="AG81" s="2478"/>
      <c r="AH81" s="2478"/>
      <c r="AI81" s="2478"/>
      <c r="AJ81" s="2478"/>
      <c r="AK81" s="2478"/>
      <c r="AL81" s="2478"/>
      <c r="AM81" s="2478"/>
      <c r="AN81" s="2478"/>
      <c r="AO81" s="2478"/>
      <c r="AP81" s="2478"/>
      <c r="AQ81" s="2478"/>
      <c r="AR81" s="2652">
        <v>0</v>
      </c>
    </row>
    <row s="67333" customFormat="1" customHeight="1" ht="17.25" hidden="1">
      <c r="A82" s="1532"/>
      <c r="C82" s="1531"/>
      <c r="D82" s="3346"/>
      <c r="E82" s="3354"/>
      <c r="F82" s="3357"/>
      <c r="G82" s="3354"/>
      <c r="H82" s="3360"/>
      <c r="I82" s="3362"/>
      <c r="J82" s="3365"/>
      <c r="K82" s="3349"/>
      <c r="L82" s="2508"/>
      <c r="M82" s="2508"/>
      <c r="N82" s="2508"/>
      <c r="O82" s="2508"/>
      <c r="P82" s="2508"/>
      <c r="Q82" s="2508"/>
      <c r="R82" s="2508"/>
      <c r="S82" s="1540"/>
      <c r="T82" s="1540"/>
      <c r="U82" s="1540"/>
      <c r="V82" s="1540"/>
      <c r="W82" s="2509"/>
      <c r="Y82" s="2470"/>
      <c r="Z82" s="2470"/>
      <c r="AA82" s="2470"/>
      <c r="AB82" s="2470"/>
      <c r="AC82" s="2470"/>
      <c r="AD82" s="2470"/>
      <c r="AE82" s="2470"/>
      <c r="AF82" s="2470"/>
      <c r="AG82" s="2470"/>
      <c r="AH82" s="2470"/>
      <c r="AI82" s="2470"/>
      <c r="AJ82" s="2470"/>
      <c r="AK82" s="2470"/>
      <c r="AL82" s="2470"/>
      <c r="AM82" s="2470"/>
      <c r="AN82" s="2470"/>
      <c r="AO82" s="2470"/>
      <c r="AP82" s="2470"/>
      <c r="AQ82" s="2470"/>
      <c r="AR82" s="2652">
        <v>0</v>
      </c>
    </row>
    <row s="67333" customFormat="1" customHeight="1" ht="17.25" hidden="1">
      <c r="A83" s="1532"/>
      <c r="C83" s="1531"/>
      <c r="D83" s="3347"/>
      <c r="E83" s="3355"/>
      <c r="F83" s="3358"/>
      <c r="G83" s="3355"/>
      <c r="H83" s="2510"/>
      <c r="I83" s="2511"/>
      <c r="J83" s="2511"/>
      <c r="K83" s="2511"/>
      <c r="L83" s="2511"/>
      <c r="M83" s="2511"/>
      <c r="N83" s="2511"/>
      <c r="O83" s="2511"/>
      <c r="P83" s="2511"/>
      <c r="Q83" s="2511"/>
      <c r="R83" s="2511"/>
      <c r="S83" s="2512"/>
      <c r="T83" s="2512"/>
      <c r="U83" s="2512"/>
      <c r="V83" s="2512"/>
      <c r="W83" s="2513"/>
      <c r="Y83" s="2470"/>
      <c r="Z83" s="2470"/>
      <c r="AA83" s="2470"/>
      <c r="AB83" s="2470"/>
      <c r="AC83" s="2470"/>
      <c r="AD83" s="2470"/>
      <c r="AE83" s="2470"/>
      <c r="AF83" s="2470"/>
      <c r="AG83" s="2470"/>
      <c r="AH83" s="2470"/>
      <c r="AI83" s="2470"/>
      <c r="AJ83" s="2470"/>
      <c r="AK83" s="2470"/>
      <c r="AL83" s="2470"/>
      <c r="AM83" s="2470"/>
      <c r="AN83" s="2470"/>
      <c r="AO83" s="2470"/>
      <c r="AP83" s="2470"/>
      <c r="AQ83" s="2470"/>
      <c r="AR83" s="2561">
        <v>0</v>
      </c>
    </row>
    <row s="67333" customFormat="1" customHeight="1" ht="17.25" hidden="1">
      <c r="A84" s="1532"/>
      <c r="C84" s="1420"/>
      <c r="D84" s="3346">
        <v>2</v>
      </c>
      <c r="E84" s="3354" t="s">
        <v>247</v>
      </c>
      <c r="F84" s="3356" t="s">
        <v>19</v>
      </c>
      <c r="G84" s="3354"/>
      <c r="H84" s="3359"/>
      <c r="I84" s="3361"/>
      <c r="J84" s="3363"/>
      <c r="K84" s="3348"/>
      <c r="L84" s="3348"/>
      <c r="M84" s="3348"/>
      <c r="N84" s="3350"/>
      <c r="O84" s="3348"/>
      <c r="P84" s="3348"/>
      <c r="Q84" s="3348"/>
      <c r="R84" s="3353"/>
      <c r="S84" s="3348"/>
      <c r="T84" s="2654"/>
      <c r="U84" s="2654"/>
      <c r="V84" s="2656"/>
      <c r="W84" s="2507"/>
      <c r="X84" s="2478"/>
      <c r="Y84" s="2478"/>
      <c r="Z84" s="2478"/>
      <c r="AA84" s="2478"/>
      <c r="AB84" s="2478"/>
      <c r="AC84" s="2478" t="s">
        <v>248</v>
      </c>
      <c r="AD84" s="2478" t="s">
        <v>249</v>
      </c>
      <c r="AE84" s="2478" t="s">
        <v>250</v>
      </c>
      <c r="AF84" s="2478" t="s">
        <v>251</v>
      </c>
      <c r="AG84" s="2478"/>
      <c r="AH84" s="2478" t="str">
        <f>IF($E$84=0,"",$E$84)</f>
        <v>Тариф на техническую воду</v>
      </c>
      <c r="AI84" s="2478" t="str">
        <f>IF($G$84=0,"",$G$84)</f>
        <v/>
      </c>
      <c r="AJ84" s="2478" t="str">
        <f>IF($J$84=0,"",$J$84)</f>
        <v/>
      </c>
      <c r="AK84" s="2478" t="str">
        <f>IF($K$84="нет","без дифференциации",IF($N$84=0,"",$N$84))</f>
        <v/>
      </c>
      <c r="AL84" s="2478" t="str">
        <f>IF($O$84="нет","без дифференциации",IF($R$84=0,"",$R$84))</f>
        <v/>
      </c>
      <c r="AM84" s="2478" t="str">
        <f>IF($S$84="нет","без дифференциации",IF($V$84=0,"",$V$84))</f>
        <v/>
      </c>
      <c r="AN84" s="2983">
        <f>$I$84</f>
        <v>0</v>
      </c>
      <c r="AO84" s="2478" t="str">
        <f>$I$84&amp;"."&amp;$M$84</f>
        <v>.</v>
      </c>
      <c r="AP84" s="2470" t="str">
        <f>$I$84&amp;"."&amp;$M$84&amp;"."&amp;$Q$84</f>
        <v>..</v>
      </c>
      <c r="AQ84" s="2470" t="str">
        <f>$I$84&amp;"."&amp;$M$84&amp;"."&amp;$Q$84&amp;"."&amp;$U$84</f>
        <v>...</v>
      </c>
      <c r="AR84" s="2561">
        <v>0</v>
      </c>
    </row>
    <row s="67333" customFormat="1" customHeight="1" ht="17.25" hidden="1">
      <c r="A85" s="1532"/>
      <c r="C85" s="1531"/>
      <c r="D85" s="3346"/>
      <c r="E85" s="3354"/>
      <c r="F85" s="3357"/>
      <c r="G85" s="3354"/>
      <c r="H85" s="3360"/>
      <c r="I85" s="3362"/>
      <c r="J85" s="3364"/>
      <c r="K85" s="3349"/>
      <c r="L85" s="3349"/>
      <c r="M85" s="3349"/>
      <c r="N85" s="3351"/>
      <c r="O85" s="3349"/>
      <c r="P85" s="3349"/>
      <c r="Q85" s="3349"/>
      <c r="R85" s="3352"/>
      <c r="S85" s="3349"/>
      <c r="T85" s="2508"/>
      <c r="U85" s="2508"/>
      <c r="V85" s="2508"/>
      <c r="W85" s="2509"/>
      <c r="X85" s="2470"/>
      <c r="Y85" s="2470"/>
      <c r="Z85" s="2470"/>
      <c r="AA85" s="2470"/>
      <c r="AB85" s="2470"/>
      <c r="AC85" s="2470"/>
      <c r="AD85" s="2470"/>
      <c r="AE85" s="2470"/>
      <c r="AF85" s="2470"/>
      <c r="AG85" s="2470"/>
      <c r="AH85" s="2470"/>
      <c r="AI85" s="2470"/>
      <c r="AJ85" s="2470"/>
      <c r="AK85" s="2470"/>
      <c r="AL85" s="2470"/>
      <c r="AM85" s="2470"/>
      <c r="AN85" s="2470"/>
      <c r="AO85" s="2470"/>
      <c r="AP85" s="2470"/>
      <c r="AQ85" s="2470"/>
      <c r="AR85" s="2561">
        <v>0</v>
      </c>
    </row>
    <row s="67333" customFormat="1" customHeight="1" ht="17.25" hidden="1">
      <c r="A86" s="1532"/>
      <c r="C86" s="1531"/>
      <c r="D86" s="3347"/>
      <c r="E86" s="3355"/>
      <c r="F86" s="3357"/>
      <c r="G86" s="3355"/>
      <c r="H86" s="3360"/>
      <c r="I86" s="3362"/>
      <c r="J86" s="3365"/>
      <c r="K86" s="3349"/>
      <c r="L86" s="3349"/>
      <c r="M86" s="3349"/>
      <c r="N86" s="3352"/>
      <c r="O86" s="3349"/>
      <c r="P86" s="2655"/>
      <c r="Q86" s="2508"/>
      <c r="R86" s="2508"/>
      <c r="S86" s="1540"/>
      <c r="T86" s="1540"/>
      <c r="U86" s="1540"/>
      <c r="V86" s="1540"/>
      <c r="W86" s="2509"/>
      <c r="X86" s="2470"/>
      <c r="Y86" s="2470"/>
      <c r="Z86" s="2470"/>
      <c r="AA86" s="2470"/>
      <c r="AB86" s="2470"/>
      <c r="AC86" s="2470"/>
      <c r="AD86" s="2470"/>
      <c r="AE86" s="2470"/>
      <c r="AF86" s="2470"/>
      <c r="AG86" s="2470"/>
      <c r="AH86" s="2470"/>
      <c r="AI86" s="2470"/>
      <c r="AJ86" s="2470"/>
      <c r="AK86" s="2470"/>
      <c r="AL86" s="2470"/>
      <c r="AM86" s="2470"/>
      <c r="AN86" s="2470"/>
      <c r="AO86" s="2470"/>
      <c r="AP86" s="2470"/>
      <c r="AQ86" s="2470"/>
      <c r="AR86" s="2561">
        <v>0</v>
      </c>
    </row>
    <row s="67333" customFormat="1" customHeight="1" ht="17.25" hidden="1">
      <c r="A87" s="1532"/>
      <c r="C87" s="1531"/>
      <c r="D87" s="3347"/>
      <c r="E87" s="3355"/>
      <c r="F87" s="3357"/>
      <c r="G87" s="3355"/>
      <c r="H87" s="3360"/>
      <c r="I87" s="3362"/>
      <c r="J87" s="3365"/>
      <c r="K87" s="3349"/>
      <c r="L87" s="2508"/>
      <c r="M87" s="2508"/>
      <c r="N87" s="2508"/>
      <c r="O87" s="2508"/>
      <c r="P87" s="2508"/>
      <c r="Q87" s="2508"/>
      <c r="R87" s="2508"/>
      <c r="S87" s="1540"/>
      <c r="T87" s="1540"/>
      <c r="U87" s="1540"/>
      <c r="V87" s="1540"/>
      <c r="W87" s="2509"/>
      <c r="X87" s="2470"/>
      <c r="Y87" s="2470"/>
      <c r="Z87" s="2470"/>
      <c r="AA87" s="2470"/>
      <c r="AB87" s="2470"/>
      <c r="AC87" s="2470"/>
      <c r="AD87" s="2470"/>
      <c r="AE87" s="2470"/>
      <c r="AF87" s="2470"/>
      <c r="AG87" s="2470"/>
      <c r="AH87" s="2470"/>
      <c r="AI87" s="2470"/>
      <c r="AJ87" s="2470"/>
      <c r="AK87" s="2470"/>
      <c r="AL87" s="2470"/>
      <c r="AM87" s="2470"/>
      <c r="AN87" s="2470"/>
      <c r="AO87" s="2470"/>
      <c r="AP87" s="2470"/>
      <c r="AQ87" s="2470"/>
      <c r="AR87" s="2561">
        <v>0</v>
      </c>
    </row>
    <row s="67333" customFormat="1" customHeight="1" ht="17.25" hidden="1">
      <c r="A88" s="1532"/>
      <c r="C88" s="1531"/>
      <c r="D88" s="3347"/>
      <c r="E88" s="3355"/>
      <c r="F88" s="3358"/>
      <c r="G88" s="3355"/>
      <c r="H88" s="2510"/>
      <c r="I88" s="2511"/>
      <c r="J88" s="2511"/>
      <c r="K88" s="2511"/>
      <c r="L88" s="2511"/>
      <c r="M88" s="2511"/>
      <c r="N88" s="2511"/>
      <c r="O88" s="2511"/>
      <c r="P88" s="2511"/>
      <c r="Q88" s="2511"/>
      <c r="R88" s="2511"/>
      <c r="S88" s="2512"/>
      <c r="T88" s="2512"/>
      <c r="U88" s="2512"/>
      <c r="V88" s="2512"/>
      <c r="W88" s="2513"/>
      <c r="X88" s="2470"/>
      <c r="Y88" s="2470"/>
      <c r="Z88" s="2470"/>
      <c r="AA88" s="2470"/>
      <c r="AB88" s="2470"/>
      <c r="AC88" s="2470"/>
      <c r="AD88" s="2470"/>
      <c r="AE88" s="2470"/>
      <c r="AF88" s="2470"/>
      <c r="AG88" s="2470"/>
      <c r="AH88" s="2470"/>
      <c r="AI88" s="2470"/>
      <c r="AJ88" s="2470"/>
      <c r="AK88" s="2470"/>
      <c r="AL88" s="2470"/>
      <c r="AM88" s="2470"/>
      <c r="AN88" s="2470"/>
      <c r="AO88" s="2470"/>
      <c r="AP88" s="2470"/>
      <c r="AQ88" s="2470"/>
      <c r="AR88" s="2561">
        <v>0</v>
      </c>
    </row>
    <row s="67333" customFormat="1" customHeight="1" ht="17.25" hidden="1">
      <c r="A89" s="1532"/>
      <c r="C89" s="1420"/>
      <c r="D89" s="3346">
        <v>3</v>
      </c>
      <c r="E89" s="3354" t="s">
        <v>252</v>
      </c>
      <c r="F89" s="3356" t="s">
        <v>19</v>
      </c>
      <c r="G89" s="3354"/>
      <c r="H89" s="3359"/>
      <c r="I89" s="3361"/>
      <c r="J89" s="3363"/>
      <c r="K89" s="3348"/>
      <c r="L89" s="3348"/>
      <c r="M89" s="3348"/>
      <c r="N89" s="3350"/>
      <c r="O89" s="3348"/>
      <c r="P89" s="3348"/>
      <c r="Q89" s="3348"/>
      <c r="R89" s="3353"/>
      <c r="S89" s="3348"/>
      <c r="T89" s="2654"/>
      <c r="U89" s="2654"/>
      <c r="V89" s="2656"/>
      <c r="W89" s="2507"/>
      <c r="X89" s="2478"/>
      <c r="Y89" s="2478"/>
      <c r="Z89" s="2478"/>
      <c r="AA89" s="2478"/>
      <c r="AB89" s="2478"/>
      <c r="AC89" s="2478" t="s">
        <v>253</v>
      </c>
      <c r="AD89" s="2478" t="s">
        <v>254</v>
      </c>
      <c r="AE89" s="2478" t="s">
        <v>255</v>
      </c>
      <c r="AF89" s="2478" t="s">
        <v>256</v>
      </c>
      <c r="AG89" s="2478"/>
      <c r="AH89" s="2478" t="str">
        <f>IF($E$89=0,"",$E$89)</f>
        <v>Тариф на транспортировку воды</v>
      </c>
      <c r="AI89" s="2478" t="str">
        <f>IF($G$89=0,"",$G$89)</f>
        <v/>
      </c>
      <c r="AJ89" s="2478" t="str">
        <f>IF($J$89=0,"",$J$89)</f>
        <v/>
      </c>
      <c r="AK89" s="2478" t="str">
        <f>IF($K$89="нет","без дифференциации",IF($N$89=0,"",$N$89))</f>
        <v/>
      </c>
      <c r="AL89" s="2478" t="str">
        <f>IF($O$89="нет","без дифференциации",IF($R$89=0,"",$R$89))</f>
        <v/>
      </c>
      <c r="AM89" s="2478" t="str">
        <f>IF($S$89="нет","без дифференциации",IF($V$89=0,"",$V$89))</f>
        <v/>
      </c>
      <c r="AN89" s="2983">
        <f>$I$89</f>
        <v>0</v>
      </c>
      <c r="AO89" s="2478" t="str">
        <f>$I$89&amp;"."&amp;$M$89</f>
        <v>.</v>
      </c>
      <c r="AP89" s="2470" t="str">
        <f>$I$89&amp;"."&amp;$M$89&amp;"."&amp;$Q$89</f>
        <v>..</v>
      </c>
      <c r="AQ89" s="2470" t="str">
        <f>$I$89&amp;"."&amp;$M$89&amp;"."&amp;$Q$89&amp;"."&amp;$U$89</f>
        <v>...</v>
      </c>
      <c r="AR89" s="2561">
        <v>0</v>
      </c>
    </row>
    <row s="67333" customFormat="1" customHeight="1" ht="17.25" hidden="1">
      <c r="A90" s="1532"/>
      <c r="C90" s="1531"/>
      <c r="D90" s="3346"/>
      <c r="E90" s="3354"/>
      <c r="F90" s="3357"/>
      <c r="G90" s="3354"/>
      <c r="H90" s="3360"/>
      <c r="I90" s="3362"/>
      <c r="J90" s="3364"/>
      <c r="K90" s="3349"/>
      <c r="L90" s="3349"/>
      <c r="M90" s="3349"/>
      <c r="N90" s="3351"/>
      <c r="O90" s="3349"/>
      <c r="P90" s="3349"/>
      <c r="Q90" s="3349"/>
      <c r="R90" s="3352"/>
      <c r="S90" s="3349"/>
      <c r="T90" s="2508"/>
      <c r="U90" s="2508"/>
      <c r="V90" s="2508"/>
      <c r="W90" s="2509"/>
      <c r="X90" s="2470"/>
      <c r="Y90" s="2470"/>
      <c r="Z90" s="2470"/>
      <c r="AA90" s="2470"/>
      <c r="AB90" s="2470"/>
      <c r="AC90" s="2470"/>
      <c r="AD90" s="2470"/>
      <c r="AE90" s="2470"/>
      <c r="AF90" s="2470"/>
      <c r="AG90" s="2470"/>
      <c r="AH90" s="2470"/>
      <c r="AI90" s="2470"/>
      <c r="AJ90" s="2470"/>
      <c r="AK90" s="2470"/>
      <c r="AL90" s="2470"/>
      <c r="AM90" s="2470"/>
      <c r="AN90" s="2470"/>
      <c r="AO90" s="2470"/>
      <c r="AP90" s="2470"/>
      <c r="AQ90" s="2470"/>
      <c r="AR90" s="2561">
        <v>0</v>
      </c>
    </row>
    <row s="67333" customFormat="1" customHeight="1" ht="17.25" hidden="1">
      <c r="A91" s="1532"/>
      <c r="C91" s="1531"/>
      <c r="D91" s="3347"/>
      <c r="E91" s="3355"/>
      <c r="F91" s="3357"/>
      <c r="G91" s="3355"/>
      <c r="H91" s="3360"/>
      <c r="I91" s="3362"/>
      <c r="J91" s="3365"/>
      <c r="K91" s="3349"/>
      <c r="L91" s="3349"/>
      <c r="M91" s="3349"/>
      <c r="N91" s="3352"/>
      <c r="O91" s="3349"/>
      <c r="P91" s="2655"/>
      <c r="Q91" s="2508"/>
      <c r="R91" s="2508"/>
      <c r="S91" s="1540"/>
      <c r="T91" s="1540"/>
      <c r="U91" s="1540"/>
      <c r="V91" s="1540"/>
      <c r="W91" s="2509"/>
      <c r="X91" s="2470"/>
      <c r="Y91" s="2470"/>
      <c r="Z91" s="2470"/>
      <c r="AA91" s="2470"/>
      <c r="AB91" s="2470"/>
      <c r="AC91" s="2470"/>
      <c r="AD91" s="2470"/>
      <c r="AE91" s="2470"/>
      <c r="AF91" s="2470"/>
      <c r="AG91" s="2470"/>
      <c r="AH91" s="2470"/>
      <c r="AI91" s="2470"/>
      <c r="AJ91" s="2470"/>
      <c r="AK91" s="2470"/>
      <c r="AL91" s="2470"/>
      <c r="AM91" s="2470"/>
      <c r="AN91" s="2470"/>
      <c r="AO91" s="2470"/>
      <c r="AP91" s="2470"/>
      <c r="AQ91" s="2470"/>
      <c r="AR91" s="2561">
        <v>0</v>
      </c>
    </row>
    <row s="67333" customFormat="1" customHeight="1" ht="17.25" hidden="1">
      <c r="A92" s="1532"/>
      <c r="C92" s="1531"/>
      <c r="D92" s="3347"/>
      <c r="E92" s="3355"/>
      <c r="F92" s="3357"/>
      <c r="G92" s="3355"/>
      <c r="H92" s="3360"/>
      <c r="I92" s="3362"/>
      <c r="J92" s="3365"/>
      <c r="K92" s="3349"/>
      <c r="L92" s="2508"/>
      <c r="M92" s="2508"/>
      <c r="N92" s="2508"/>
      <c r="O92" s="2508"/>
      <c r="P92" s="2508"/>
      <c r="Q92" s="2508"/>
      <c r="R92" s="2508"/>
      <c r="S92" s="1540"/>
      <c r="T92" s="1540"/>
      <c r="U92" s="1540"/>
      <c r="V92" s="1540"/>
      <c r="W92" s="2509"/>
      <c r="X92" s="2470"/>
      <c r="Y92" s="2470"/>
      <c r="Z92" s="2470"/>
      <c r="AA92" s="2470"/>
      <c r="AB92" s="2470"/>
      <c r="AC92" s="2470"/>
      <c r="AD92" s="2470"/>
      <c r="AE92" s="2470"/>
      <c r="AF92" s="2470"/>
      <c r="AG92" s="2470"/>
      <c r="AH92" s="2470"/>
      <c r="AI92" s="2470"/>
      <c r="AJ92" s="2470"/>
      <c r="AK92" s="2470"/>
      <c r="AL92" s="2470"/>
      <c r="AM92" s="2470"/>
      <c r="AN92" s="2470"/>
      <c r="AO92" s="2470"/>
      <c r="AP92" s="2470"/>
      <c r="AQ92" s="2470"/>
      <c r="AR92" s="2561">
        <v>0</v>
      </c>
    </row>
    <row s="67333" customFormat="1" customHeight="1" ht="17.25" hidden="1">
      <c r="A93" s="1532"/>
      <c r="C93" s="1531"/>
      <c r="D93" s="3347"/>
      <c r="E93" s="3355"/>
      <c r="F93" s="3358"/>
      <c r="G93" s="3355"/>
      <c r="H93" s="2510"/>
      <c r="I93" s="2511"/>
      <c r="J93" s="2511"/>
      <c r="K93" s="2511"/>
      <c r="L93" s="2511"/>
      <c r="M93" s="2511"/>
      <c r="N93" s="2511"/>
      <c r="O93" s="2511"/>
      <c r="P93" s="2511"/>
      <c r="Q93" s="2511"/>
      <c r="R93" s="2511"/>
      <c r="S93" s="2512"/>
      <c r="T93" s="2512"/>
      <c r="U93" s="2512"/>
      <c r="V93" s="2512"/>
      <c r="W93" s="2513"/>
      <c r="X93" s="2470"/>
      <c r="Y93" s="2470"/>
      <c r="Z93" s="2470"/>
      <c r="AA93" s="2470"/>
      <c r="AB93" s="2470"/>
      <c r="AC93" s="2470"/>
      <c r="AD93" s="2470"/>
      <c r="AE93" s="2470"/>
      <c r="AF93" s="2470"/>
      <c r="AG93" s="2470"/>
      <c r="AH93" s="2470"/>
      <c r="AI93" s="2470"/>
      <c r="AJ93" s="2470"/>
      <c r="AK93" s="2470"/>
      <c r="AL93" s="2470"/>
      <c r="AM93" s="2470"/>
      <c r="AN93" s="2470"/>
      <c r="AO93" s="2470"/>
      <c r="AP93" s="2470"/>
      <c r="AQ93" s="2470"/>
      <c r="AR93" s="2561">
        <v>0</v>
      </c>
    </row>
    <row s="67333" customFormat="1" customHeight="1" ht="17.25" hidden="1">
      <c r="A94" s="1532"/>
      <c r="C94" s="1420"/>
      <c r="D94" s="3346">
        <v>4</v>
      </c>
      <c r="E94" s="3354" t="s">
        <v>257</v>
      </c>
      <c r="F94" s="3356" t="s">
        <v>19</v>
      </c>
      <c r="G94" s="3354"/>
      <c r="H94" s="3359"/>
      <c r="I94" s="3361"/>
      <c r="J94" s="3363"/>
      <c r="K94" s="3348"/>
      <c r="L94" s="3348"/>
      <c r="M94" s="3348"/>
      <c r="N94" s="3350"/>
      <c r="O94" s="3348"/>
      <c r="P94" s="3348"/>
      <c r="Q94" s="3348"/>
      <c r="R94" s="3353"/>
      <c r="S94" s="3348"/>
      <c r="T94" s="2654"/>
      <c r="U94" s="2654"/>
      <c r="V94" s="2656"/>
      <c r="W94" s="2507"/>
      <c r="X94" s="2478"/>
      <c r="Y94" s="2478"/>
      <c r="Z94" s="2478"/>
      <c r="AA94" s="2478"/>
      <c r="AB94" s="2478"/>
      <c r="AC94" s="2478" t="s">
        <v>258</v>
      </c>
      <c r="AD94" s="2478" t="s">
        <v>259</v>
      </c>
      <c r="AE94" s="2478" t="s">
        <v>260</v>
      </c>
      <c r="AF94" s="2478" t="s">
        <v>261</v>
      </c>
      <c r="AG94" s="2478"/>
      <c r="AH94" s="2478" t="str">
        <f>IF($E$94=0,"",$E$94)</f>
        <v>Тариф на подвоз воды</v>
      </c>
      <c r="AI94" s="2478" t="str">
        <f>IF($G$94=0,"",$G$94)</f>
        <v/>
      </c>
      <c r="AJ94" s="2478" t="str">
        <f>IF($J$94=0,"",$J$94)</f>
        <v/>
      </c>
      <c r="AK94" s="2478" t="str">
        <f>IF($K$94="нет","без дифференциации",IF($N$94=0,"",$N$94))</f>
        <v/>
      </c>
      <c r="AL94" s="2478" t="str">
        <f>IF($O$94="нет","без дифференциации",IF($R$94=0,"",$R$94))</f>
        <v/>
      </c>
      <c r="AM94" s="2478" t="str">
        <f>IF($S$94="нет","без дифференциации",IF($V$94=0,"",$V$94))</f>
        <v/>
      </c>
      <c r="AN94" s="2983">
        <f>$I$94</f>
        <v>0</v>
      </c>
      <c r="AO94" s="2478" t="str">
        <f>$I$94&amp;"."&amp;$M$94</f>
        <v>.</v>
      </c>
      <c r="AP94" s="2470" t="str">
        <f>$I$94&amp;"."&amp;$M$94&amp;"."&amp;$Q$94</f>
        <v>..</v>
      </c>
      <c r="AQ94" s="2470" t="str">
        <f>$I$94&amp;"."&amp;$M$94&amp;"."&amp;$Q$94&amp;"."&amp;$U$94</f>
        <v>...</v>
      </c>
      <c r="AR94" s="2561">
        <v>0</v>
      </c>
    </row>
    <row s="67333" customFormat="1" customHeight="1" ht="17.25" hidden="1">
      <c r="A95" s="1532"/>
      <c r="C95" s="1531"/>
      <c r="D95" s="3346"/>
      <c r="E95" s="3354"/>
      <c r="F95" s="3357"/>
      <c r="G95" s="3354"/>
      <c r="H95" s="3360"/>
      <c r="I95" s="3362"/>
      <c r="J95" s="3364"/>
      <c r="K95" s="3349"/>
      <c r="L95" s="3349"/>
      <c r="M95" s="3349"/>
      <c r="N95" s="3351"/>
      <c r="O95" s="3349"/>
      <c r="P95" s="3349"/>
      <c r="Q95" s="3349"/>
      <c r="R95" s="3352"/>
      <c r="S95" s="3349"/>
      <c r="T95" s="2508"/>
      <c r="U95" s="2508"/>
      <c r="V95" s="2508"/>
      <c r="W95" s="2509"/>
      <c r="X95" s="2470"/>
      <c r="Y95" s="2470"/>
      <c r="Z95" s="2470"/>
      <c r="AA95" s="2470"/>
      <c r="AB95" s="2470"/>
      <c r="AC95" s="2470"/>
      <c r="AD95" s="2470"/>
      <c r="AE95" s="2470"/>
      <c r="AF95" s="2470"/>
      <c r="AG95" s="2470"/>
      <c r="AH95" s="2470"/>
      <c r="AI95" s="2470"/>
      <c r="AJ95" s="2470"/>
      <c r="AK95" s="2470"/>
      <c r="AL95" s="2470"/>
      <c r="AM95" s="2470"/>
      <c r="AN95" s="2470"/>
      <c r="AO95" s="2470"/>
      <c r="AP95" s="2470"/>
      <c r="AQ95" s="2470"/>
      <c r="AR95" s="2561">
        <v>0</v>
      </c>
    </row>
    <row s="67333" customFormat="1" customHeight="1" ht="17.25" hidden="1">
      <c r="A96" s="1532"/>
      <c r="C96" s="1531"/>
      <c r="D96" s="3347"/>
      <c r="E96" s="3355"/>
      <c r="F96" s="3357"/>
      <c r="G96" s="3355"/>
      <c r="H96" s="3360"/>
      <c r="I96" s="3362"/>
      <c r="J96" s="3365"/>
      <c r="K96" s="3349"/>
      <c r="L96" s="3349"/>
      <c r="M96" s="3349"/>
      <c r="N96" s="3352"/>
      <c r="O96" s="3349"/>
      <c r="P96" s="2655"/>
      <c r="Q96" s="2508"/>
      <c r="R96" s="2508"/>
      <c r="S96" s="1540"/>
      <c r="T96" s="1540"/>
      <c r="U96" s="1540"/>
      <c r="V96" s="1540"/>
      <c r="W96" s="2509"/>
      <c r="X96" s="2470"/>
      <c r="Y96" s="2470"/>
      <c r="Z96" s="2470"/>
      <c r="AA96" s="2470"/>
      <c r="AB96" s="2470"/>
      <c r="AC96" s="2470"/>
      <c r="AD96" s="2470"/>
      <c r="AE96" s="2470"/>
      <c r="AF96" s="2470"/>
      <c r="AG96" s="2470"/>
      <c r="AH96" s="2470"/>
      <c r="AI96" s="2470"/>
      <c r="AJ96" s="2470"/>
      <c r="AK96" s="2470"/>
      <c r="AL96" s="2470"/>
      <c r="AM96" s="2470"/>
      <c r="AN96" s="2470"/>
      <c r="AO96" s="2470"/>
      <c r="AP96" s="2470"/>
      <c r="AQ96" s="2470"/>
      <c r="AR96" s="2561">
        <v>0</v>
      </c>
    </row>
    <row s="67333" customFormat="1" customHeight="1" ht="17.25" hidden="1">
      <c r="A97" s="1532"/>
      <c r="C97" s="1531"/>
      <c r="D97" s="3347"/>
      <c r="E97" s="3355"/>
      <c r="F97" s="3357"/>
      <c r="G97" s="3355"/>
      <c r="H97" s="3360"/>
      <c r="I97" s="3362"/>
      <c r="J97" s="3365"/>
      <c r="K97" s="3349"/>
      <c r="L97" s="2508"/>
      <c r="M97" s="2508"/>
      <c r="N97" s="2508"/>
      <c r="O97" s="2508"/>
      <c r="P97" s="2508"/>
      <c r="Q97" s="2508"/>
      <c r="R97" s="2508"/>
      <c r="S97" s="1540"/>
      <c r="T97" s="1540"/>
      <c r="U97" s="1540"/>
      <c r="V97" s="1540"/>
      <c r="W97" s="2509"/>
      <c r="X97" s="2470"/>
      <c r="Y97" s="2470"/>
      <c r="Z97" s="2470"/>
      <c r="AA97" s="2470"/>
      <c r="AB97" s="2470"/>
      <c r="AC97" s="2470"/>
      <c r="AD97" s="2470"/>
      <c r="AE97" s="2470"/>
      <c r="AF97" s="2470"/>
      <c r="AG97" s="2470"/>
      <c r="AH97" s="2470"/>
      <c r="AI97" s="2470"/>
      <c r="AJ97" s="2470"/>
      <c r="AK97" s="2470"/>
      <c r="AL97" s="2470"/>
      <c r="AM97" s="2470"/>
      <c r="AN97" s="2470"/>
      <c r="AO97" s="2470"/>
      <c r="AP97" s="2470"/>
      <c r="AQ97" s="2470"/>
      <c r="AR97" s="2561">
        <v>0</v>
      </c>
    </row>
    <row s="67333" customFormat="1" customHeight="1" ht="17.25" hidden="1">
      <c r="A98" s="1532"/>
      <c r="C98" s="1531"/>
      <c r="D98" s="3347"/>
      <c r="E98" s="3355"/>
      <c r="F98" s="3358"/>
      <c r="G98" s="3355"/>
      <c r="H98" s="2510"/>
      <c r="I98" s="2511"/>
      <c r="J98" s="2511"/>
      <c r="K98" s="2511"/>
      <c r="L98" s="2511"/>
      <c r="M98" s="2511"/>
      <c r="N98" s="2511"/>
      <c r="O98" s="2511"/>
      <c r="P98" s="2511"/>
      <c r="Q98" s="2511"/>
      <c r="R98" s="2511"/>
      <c r="S98" s="2512"/>
      <c r="T98" s="2512"/>
      <c r="U98" s="2512"/>
      <c r="V98" s="2512"/>
      <c r="W98" s="2513"/>
      <c r="X98" s="2470"/>
      <c r="Y98" s="2470"/>
      <c r="Z98" s="2470"/>
      <c r="AA98" s="2470"/>
      <c r="AB98" s="2470"/>
      <c r="AC98" s="2470"/>
      <c r="AD98" s="2470"/>
      <c r="AE98" s="2470"/>
      <c r="AF98" s="2470"/>
      <c r="AG98" s="2470"/>
      <c r="AH98" s="2470"/>
      <c r="AI98" s="2470"/>
      <c r="AJ98" s="2470"/>
      <c r="AK98" s="2470"/>
      <c r="AL98" s="2470"/>
      <c r="AM98" s="2470"/>
      <c r="AN98" s="2470"/>
      <c r="AO98" s="2470"/>
      <c r="AP98" s="2470"/>
      <c r="AQ98" s="2470"/>
      <c r="AR98" s="2561">
        <v>0</v>
      </c>
    </row>
    <row s="67333" customFormat="1" customHeight="1" ht="17.25" hidden="1">
      <c r="A99" s="1532"/>
      <c r="C99" s="1420"/>
      <c r="D99" s="3346">
        <v>5</v>
      </c>
      <c r="E99" s="3354" t="s">
        <v>262</v>
      </c>
      <c r="F99" s="3356" t="s">
        <v>19</v>
      </c>
      <c r="G99" s="3354"/>
      <c r="H99" s="3359"/>
      <c r="I99" s="3361"/>
      <c r="J99" s="3363"/>
      <c r="K99" s="3348"/>
      <c r="L99" s="3348"/>
      <c r="M99" s="3348"/>
      <c r="N99" s="3350"/>
      <c r="O99" s="3348"/>
      <c r="P99" s="3348"/>
      <c r="Q99" s="3348"/>
      <c r="R99" s="3353"/>
      <c r="S99" s="3348"/>
      <c r="T99" s="3154"/>
      <c r="U99" s="3154"/>
      <c r="V99" s="3156"/>
      <c r="W99" s="2507"/>
      <c r="X99" s="2478"/>
      <c r="Y99" s="2478"/>
      <c r="Z99" s="2478"/>
      <c r="AA99" s="2478"/>
      <c r="AB99" s="2478"/>
      <c r="AC99" s="2478" t="s">
        <v>263</v>
      </c>
      <c r="AD99" s="2478" t="s">
        <v>264</v>
      </c>
      <c r="AE99" s="2478" t="s">
        <v>265</v>
      </c>
      <c r="AF99" s="2478" t="s">
        <v>266</v>
      </c>
      <c r="AG99" s="2478"/>
      <c r="AH99" s="2478" t="str">
        <f>IF($E$99=0,"",$E$99)</f>
        <v>Тариф на подключение (технологическое присоединение) к централизованной системе холодного водоснабжения</v>
      </c>
      <c r="AI99" s="2478" t="str">
        <f>IF($G$99=0,"",$G$99)</f>
        <v/>
      </c>
      <c r="AJ99" s="2478" t="str">
        <f>IF($J$99=0,"",$J$99)</f>
        <v/>
      </c>
      <c r="AK99" s="2478" t="str">
        <f>IF($K$99="нет","без дифференциации",IF($N$99=0,"",$N$99))</f>
        <v/>
      </c>
      <c r="AL99" s="2478" t="str">
        <f>IF($O$99="нет","без дифференциации",IF($R$99=0,"",$R$99))</f>
        <v/>
      </c>
      <c r="AM99" s="2478" t="str">
        <f>IF($S$99="нет","без дифференциации",IF($V$99=0,"",$V$99))</f>
        <v/>
      </c>
      <c r="AN99" s="2983">
        <f>$I$99</f>
        <v>0</v>
      </c>
      <c r="AO99" s="2478" t="str">
        <f>$I$99&amp;"."&amp;$M$99</f>
        <v>.</v>
      </c>
      <c r="AP99" s="2477" t="str">
        <f>$I$99&amp;"."&amp;$M$99&amp;"."&amp;$Q$99</f>
        <v>..</v>
      </c>
      <c r="AQ99" s="2477" t="str">
        <f>$I$99&amp;"."&amp;$M$99&amp;"."&amp;$Q$99&amp;"."&amp;$U$99</f>
        <v>...</v>
      </c>
      <c r="AR99" s="2678">
        <v>0</v>
      </c>
    </row>
    <row s="67333" customFormat="1" customHeight="1" ht="17.25" hidden="1">
      <c r="A100" s="1532"/>
      <c r="C100" s="1531"/>
      <c r="D100" s="3346"/>
      <c r="E100" s="3354"/>
      <c r="F100" s="3357"/>
      <c r="G100" s="3354"/>
      <c r="H100" s="3360"/>
      <c r="I100" s="3362"/>
      <c r="J100" s="3364"/>
      <c r="K100" s="3349"/>
      <c r="L100" s="3349"/>
      <c r="M100" s="3349"/>
      <c r="N100" s="3351"/>
      <c r="O100" s="3349"/>
      <c r="P100" s="3349"/>
      <c r="Q100" s="3349"/>
      <c r="R100" s="3352"/>
      <c r="S100" s="3349"/>
      <c r="T100" s="3159"/>
      <c r="U100" s="3159"/>
      <c r="V100" s="3159"/>
      <c r="W100" s="3160"/>
      <c r="X100" s="2477"/>
      <c r="Y100" s="2477"/>
      <c r="Z100" s="2477"/>
      <c r="AA100" s="2477"/>
      <c r="AB100" s="2477"/>
      <c r="AC100" s="2477"/>
      <c r="AD100" s="2477"/>
      <c r="AE100" s="2477"/>
      <c r="AF100" s="2477"/>
      <c r="AG100" s="2477"/>
      <c r="AH100" s="2477"/>
      <c r="AI100" s="2477"/>
      <c r="AJ100" s="2477"/>
      <c r="AK100" s="2477"/>
      <c r="AL100" s="2477"/>
      <c r="AM100" s="2477"/>
      <c r="AN100" s="2477"/>
      <c r="AO100" s="2477"/>
      <c r="AP100" s="2477"/>
      <c r="AQ100" s="2477"/>
      <c r="AR100" s="2678">
        <v>0</v>
      </c>
    </row>
    <row s="67333" customFormat="1" customHeight="1" ht="17.25" hidden="1">
      <c r="A101" s="1532"/>
      <c r="C101" s="1531"/>
      <c r="D101" s="3347"/>
      <c r="E101" s="3355"/>
      <c r="F101" s="3357"/>
      <c r="G101" s="3355"/>
      <c r="H101" s="3360"/>
      <c r="I101" s="3362"/>
      <c r="J101" s="3365"/>
      <c r="K101" s="3349"/>
      <c r="L101" s="3349"/>
      <c r="M101" s="3349"/>
      <c r="N101" s="3352"/>
      <c r="O101" s="3349"/>
      <c r="P101" s="3155"/>
      <c r="Q101" s="3159"/>
      <c r="R101" s="3159"/>
      <c r="S101" s="1540"/>
      <c r="T101" s="1540"/>
      <c r="U101" s="1540"/>
      <c r="V101" s="1540"/>
      <c r="W101" s="3160"/>
      <c r="X101" s="2477"/>
      <c r="Y101" s="2477"/>
      <c r="Z101" s="2477"/>
      <c r="AA101" s="2477"/>
      <c r="AB101" s="2477"/>
      <c r="AC101" s="2477"/>
      <c r="AD101" s="2477"/>
      <c r="AE101" s="2477"/>
      <c r="AF101" s="2477"/>
      <c r="AG101" s="2477"/>
      <c r="AH101" s="2477"/>
      <c r="AI101" s="2477"/>
      <c r="AJ101" s="2477"/>
      <c r="AK101" s="2477"/>
      <c r="AL101" s="2477"/>
      <c r="AM101" s="2477"/>
      <c r="AN101" s="2477"/>
      <c r="AO101" s="2477"/>
      <c r="AP101" s="2477"/>
      <c r="AQ101" s="2477"/>
      <c r="AR101" s="2678">
        <v>0</v>
      </c>
    </row>
    <row s="67333" customFormat="1" customHeight="1" ht="17.25" hidden="1">
      <c r="A102" s="1532"/>
      <c r="C102" s="1531"/>
      <c r="D102" s="3347"/>
      <c r="E102" s="3355"/>
      <c r="F102" s="3357"/>
      <c r="G102" s="3355"/>
      <c r="H102" s="3360"/>
      <c r="I102" s="3362"/>
      <c r="J102" s="3365"/>
      <c r="K102" s="3349"/>
      <c r="L102" s="3159"/>
      <c r="M102" s="3159"/>
      <c r="N102" s="3159"/>
      <c r="O102" s="3159"/>
      <c r="P102" s="3159"/>
      <c r="Q102" s="3159"/>
      <c r="R102" s="3159"/>
      <c r="S102" s="1540"/>
      <c r="T102" s="1540"/>
      <c r="U102" s="1540"/>
      <c r="V102" s="1540"/>
      <c r="W102" s="3160"/>
      <c r="X102" s="2477"/>
      <c r="Y102" s="2477"/>
      <c r="Z102" s="2477"/>
      <c r="AA102" s="2477"/>
      <c r="AB102" s="2477"/>
      <c r="AC102" s="2477"/>
      <c r="AD102" s="2477"/>
      <c r="AE102" s="2477"/>
      <c r="AF102" s="2477"/>
      <c r="AG102" s="2477"/>
      <c r="AH102" s="2477"/>
      <c r="AI102" s="2477"/>
      <c r="AJ102" s="2477"/>
      <c r="AK102" s="2477"/>
      <c r="AL102" s="2477"/>
      <c r="AM102" s="2477"/>
      <c r="AN102" s="2477"/>
      <c r="AO102" s="2477"/>
      <c r="AP102" s="2477"/>
      <c r="AQ102" s="2477"/>
      <c r="AR102" s="2678">
        <v>0</v>
      </c>
    </row>
    <row s="67333" customFormat="1" customHeight="1" ht="17.25" hidden="1">
      <c r="A103" s="1532"/>
      <c r="C103" s="1531"/>
      <c r="D103" s="3347"/>
      <c r="E103" s="3355"/>
      <c r="F103" s="3358"/>
      <c r="G103" s="3355"/>
      <c r="H103" s="2510"/>
      <c r="I103" s="3157"/>
      <c r="J103" s="3157"/>
      <c r="K103" s="3157"/>
      <c r="L103" s="3157"/>
      <c r="M103" s="3157"/>
      <c r="N103" s="3157"/>
      <c r="O103" s="3157"/>
      <c r="P103" s="3157"/>
      <c r="Q103" s="3157"/>
      <c r="R103" s="3157"/>
      <c r="S103" s="2512"/>
      <c r="T103" s="2512"/>
      <c r="U103" s="2512"/>
      <c r="V103" s="2512"/>
      <c r="W103" s="3158"/>
      <c r="X103" s="2477"/>
      <c r="Y103" s="2477"/>
      <c r="Z103" s="2477"/>
      <c r="AA103" s="2477"/>
      <c r="AB103" s="2477"/>
      <c r="AC103" s="2477"/>
      <c r="AD103" s="2477"/>
      <c r="AE103" s="2477"/>
      <c r="AF103" s="2477"/>
      <c r="AG103" s="2477"/>
      <c r="AH103" s="2477"/>
      <c r="AI103" s="2477"/>
      <c r="AJ103" s="2477"/>
      <c r="AK103" s="2477"/>
      <c r="AL103" s="2477"/>
      <c r="AM103" s="2477"/>
      <c r="AN103" s="2477"/>
      <c r="AO103" s="2477"/>
      <c r="AP103" s="2477"/>
      <c r="AQ103" s="2477"/>
      <c r="AR103" s="2678">
        <v>0</v>
      </c>
    </row>
    <row s="67333" customFormat="1" customHeight="1" ht="11.25" hidden="1">
      <c r="A104" s="1488"/>
      <c r="B104" s="1488"/>
      <c r="Y104" s="2470"/>
      <c r="Z104" s="2470"/>
      <c r="AA104" s="2470"/>
      <c r="AB104" s="2470"/>
      <c r="AC104" s="2470"/>
      <c r="AD104" s="2470"/>
      <c r="AE104" s="2470"/>
      <c r="AF104" s="2470"/>
      <c r="AG104" s="2470"/>
      <c r="AH104" s="2470"/>
      <c r="AI104" s="2470"/>
      <c r="AJ104" s="2470"/>
      <c r="AK104" s="2470"/>
      <c r="AL104" s="2470"/>
      <c r="AM104" s="2470"/>
      <c r="AN104" s="2470"/>
      <c r="AO104" s="2470"/>
      <c r="AP104" s="2470"/>
      <c r="AQ104" s="2470"/>
      <c r="AR104" s="2678">
        <v>0</v>
      </c>
    </row>
    <row s="67333" customFormat="1" customHeight="1" ht="17.25" hidden="1">
      <c r="A105" s="1532"/>
      <c r="C105" s="1420"/>
      <c r="D105" s="3346">
        <v>1</v>
      </c>
      <c r="E105" s="3354" t="s">
        <v>267</v>
      </c>
      <c r="F105" s="3356" t="s">
        <v>19</v>
      </c>
      <c r="G105" s="3354"/>
      <c r="H105" s="3359"/>
      <c r="I105" s="3361"/>
      <c r="J105" s="3363"/>
      <c r="K105" s="3348"/>
      <c r="L105" s="3348"/>
      <c r="M105" s="3348"/>
      <c r="N105" s="3350"/>
      <c r="O105" s="3348"/>
      <c r="P105" s="3348"/>
      <c r="Q105" s="3348"/>
      <c r="R105" s="3353"/>
      <c r="S105" s="3348"/>
      <c r="T105" s="2681"/>
      <c r="U105" s="2681"/>
      <c r="V105" s="2683"/>
      <c r="W105" s="2507"/>
      <c r="Y105" s="2478"/>
      <c r="Z105" s="2478"/>
      <c r="AA105" s="2478"/>
      <c r="AB105" s="2478"/>
      <c r="AC105" s="2478" t="s">
        <v>268</v>
      </c>
      <c r="AD105" s="2478" t="s">
        <v>269</v>
      </c>
      <c r="AE105" s="2478" t="s">
        <v>270</v>
      </c>
      <c r="AF105" s="2478" t="s">
        <v>271</v>
      </c>
      <c r="AG105" s="2478"/>
      <c r="AH105" s="2478" t="str">
        <f>IF($E$105=0,"",$E$105)</f>
        <v>Тариф на горячую воду (горячее водоснабжение)</v>
      </c>
      <c r="AI105" s="2478" t="str">
        <f>IF($G$105=0,"",$G$105)</f>
        <v/>
      </c>
      <c r="AJ105" s="2478" t="str">
        <f>IF($J$105=0,"",$J$105)</f>
        <v/>
      </c>
      <c r="AK105" s="2478" t="str">
        <f>IF($K$105="нет","без дифференциации",IF($N$105=0,"",$N$105))</f>
        <v/>
      </c>
      <c r="AL105" s="2478" t="str">
        <f>IF($O$105="нет","без дифференциации",IF($R$105=0,"",$R$105))</f>
        <v/>
      </c>
      <c r="AM105" s="2478" t="str">
        <f>IF($S$105="нет","без дифференциации",IF($V$105=0,"",$V$105))</f>
        <v/>
      </c>
      <c r="AN105" s="2478">
        <f>$I$105</f>
        <v>0</v>
      </c>
      <c r="AO105" s="2478" t="str">
        <f>$I$105&amp;"."&amp;$M$105</f>
        <v>.</v>
      </c>
      <c r="AP105" s="2478" t="str">
        <f>$I$105&amp;"."&amp;$M$105&amp;"."&amp;$Q$105</f>
        <v>..</v>
      </c>
      <c r="AQ105" s="2478" t="str">
        <f>$I$105&amp;"."&amp;$M$105&amp;"."&amp;$Q$105&amp;"."&amp;$U$105</f>
        <v>...</v>
      </c>
      <c r="AR105" s="2678">
        <v>0</v>
      </c>
    </row>
    <row s="67333" customFormat="1" customHeight="1" ht="17.25" hidden="1">
      <c r="A106" s="1532"/>
      <c r="C106" s="1531"/>
      <c r="D106" s="3346"/>
      <c r="E106" s="3354"/>
      <c r="F106" s="3357"/>
      <c r="G106" s="3354"/>
      <c r="H106" s="3360"/>
      <c r="I106" s="3362"/>
      <c r="J106" s="3364"/>
      <c r="K106" s="3349"/>
      <c r="L106" s="3349"/>
      <c r="M106" s="3349"/>
      <c r="N106" s="3351"/>
      <c r="O106" s="3349"/>
      <c r="P106" s="3349"/>
      <c r="Q106" s="3349"/>
      <c r="R106" s="3352"/>
      <c r="S106" s="3349"/>
      <c r="T106" s="2508"/>
      <c r="U106" s="2508"/>
      <c r="V106" s="2508"/>
      <c r="W106" s="2509"/>
      <c r="Y106" s="2470"/>
      <c r="Z106" s="2470"/>
      <c r="AA106" s="2470"/>
      <c r="AB106" s="2470"/>
      <c r="AC106" s="2470"/>
      <c r="AD106" s="2470"/>
      <c r="AE106" s="2470"/>
      <c r="AF106" s="2470"/>
      <c r="AG106" s="2470"/>
      <c r="AH106" s="2470"/>
      <c r="AI106" s="2470"/>
      <c r="AJ106" s="2470"/>
      <c r="AK106" s="2470"/>
      <c r="AL106" s="2470"/>
      <c r="AM106" s="2470"/>
      <c r="AN106" s="2470"/>
      <c r="AO106" s="2470"/>
      <c r="AP106" s="2470"/>
      <c r="AQ106" s="2470"/>
      <c r="AR106" s="2678">
        <v>0</v>
      </c>
    </row>
    <row s="67333" customFormat="1" customHeight="1" ht="17.25" hidden="1">
      <c r="A107" s="1532"/>
      <c r="C107" s="1420"/>
      <c r="D107" s="3346"/>
      <c r="E107" s="3354"/>
      <c r="F107" s="3357"/>
      <c r="G107" s="3354"/>
      <c r="H107" s="3360"/>
      <c r="I107" s="3362"/>
      <c r="J107" s="3365"/>
      <c r="K107" s="3349"/>
      <c r="L107" s="3349"/>
      <c r="M107" s="3349"/>
      <c r="N107" s="3352"/>
      <c r="O107" s="3349"/>
      <c r="P107" s="2682"/>
      <c r="Q107" s="2508"/>
      <c r="R107" s="2508"/>
      <c r="S107" s="1540"/>
      <c r="T107" s="1540"/>
      <c r="U107" s="1540"/>
      <c r="V107" s="1540"/>
      <c r="W107" s="2509"/>
      <c r="Y107" s="2478"/>
      <c r="Z107" s="2478"/>
      <c r="AA107" s="2478"/>
      <c r="AB107" s="2478"/>
      <c r="AC107" s="2478"/>
      <c r="AD107" s="2478"/>
      <c r="AE107" s="2478"/>
      <c r="AF107" s="2478"/>
      <c r="AG107" s="2478"/>
      <c r="AH107" s="2478"/>
      <c r="AI107" s="2478"/>
      <c r="AJ107" s="2478"/>
      <c r="AK107" s="2478"/>
      <c r="AL107" s="2478"/>
      <c r="AM107" s="2478"/>
      <c r="AN107" s="2478"/>
      <c r="AO107" s="2478"/>
      <c r="AP107" s="2478"/>
      <c r="AQ107" s="2478"/>
      <c r="AR107" s="2678">
        <v>0</v>
      </c>
    </row>
    <row s="67333" customFormat="1" customHeight="1" ht="17.25" hidden="1">
      <c r="A108" s="1532"/>
      <c r="C108" s="1531"/>
      <c r="D108" s="3346"/>
      <c r="E108" s="3354"/>
      <c r="F108" s="3357"/>
      <c r="G108" s="3354"/>
      <c r="H108" s="3360"/>
      <c r="I108" s="3362"/>
      <c r="J108" s="3365"/>
      <c r="K108" s="3349"/>
      <c r="L108" s="2508"/>
      <c r="M108" s="2508"/>
      <c r="N108" s="2508"/>
      <c r="O108" s="2508"/>
      <c r="P108" s="2508"/>
      <c r="Q108" s="2508"/>
      <c r="R108" s="2508"/>
      <c r="S108" s="1540"/>
      <c r="T108" s="1540"/>
      <c r="U108" s="1540"/>
      <c r="V108" s="1540"/>
      <c r="W108" s="2509"/>
      <c r="Y108" s="2470"/>
      <c r="Z108" s="2470"/>
      <c r="AA108" s="2470"/>
      <c r="AB108" s="2470"/>
      <c r="AC108" s="2470"/>
      <c r="AD108" s="2470"/>
      <c r="AE108" s="2470"/>
      <c r="AF108" s="2470"/>
      <c r="AG108" s="2470"/>
      <c r="AH108" s="2470"/>
      <c r="AI108" s="2470"/>
      <c r="AJ108" s="2470"/>
      <c r="AK108" s="2470"/>
      <c r="AL108" s="2470"/>
      <c r="AM108" s="2470"/>
      <c r="AN108" s="2470"/>
      <c r="AO108" s="2470"/>
      <c r="AP108" s="2470"/>
      <c r="AQ108" s="2470"/>
      <c r="AR108" s="2678">
        <v>0</v>
      </c>
    </row>
    <row s="67333" customFormat="1" customHeight="1" ht="17.25" hidden="1">
      <c r="A109" s="1532"/>
      <c r="C109" s="1531"/>
      <c r="D109" s="3347"/>
      <c r="E109" s="3355"/>
      <c r="F109" s="3358"/>
      <c r="G109" s="3355"/>
      <c r="H109" s="2510"/>
      <c r="I109" s="2511"/>
      <c r="J109" s="2511"/>
      <c r="K109" s="2511"/>
      <c r="L109" s="2511"/>
      <c r="M109" s="2511"/>
      <c r="N109" s="2511"/>
      <c r="O109" s="2511"/>
      <c r="P109" s="2511"/>
      <c r="Q109" s="2511"/>
      <c r="R109" s="2511"/>
      <c r="S109" s="2512"/>
      <c r="T109" s="2512"/>
      <c r="U109" s="2512"/>
      <c r="V109" s="2512"/>
      <c r="W109" s="2513"/>
      <c r="Y109" s="2470"/>
      <c r="Z109" s="2470"/>
      <c r="AA109" s="2470"/>
      <c r="AB109" s="2470"/>
      <c r="AC109" s="2470"/>
      <c r="AD109" s="2470"/>
      <c r="AE109" s="2470"/>
      <c r="AF109" s="2470"/>
      <c r="AG109" s="2470"/>
      <c r="AH109" s="2470"/>
      <c r="AI109" s="2470"/>
      <c r="AJ109" s="2470"/>
      <c r="AK109" s="2470"/>
      <c r="AL109" s="2470"/>
      <c r="AM109" s="2470"/>
      <c r="AN109" s="2470"/>
      <c r="AO109" s="2470"/>
      <c r="AP109" s="2470"/>
      <c r="AQ109" s="2470"/>
      <c r="AR109" s="2678">
        <v>0</v>
      </c>
    </row>
    <row s="67333" customFormat="1" customHeight="1" ht="17.25" hidden="1">
      <c r="A110" s="1532"/>
      <c r="C110" s="1420"/>
      <c r="D110" s="3346">
        <v>2</v>
      </c>
      <c r="E110" s="3354" t="s">
        <v>272</v>
      </c>
      <c r="F110" s="3356" t="s">
        <v>19</v>
      </c>
      <c r="G110" s="3354"/>
      <c r="H110" s="3359"/>
      <c r="I110" s="3361"/>
      <c r="J110" s="3363"/>
      <c r="K110" s="3348"/>
      <c r="L110" s="3348"/>
      <c r="M110" s="3348"/>
      <c r="N110" s="3350"/>
      <c r="O110" s="3348"/>
      <c r="P110" s="3348"/>
      <c r="Q110" s="3348"/>
      <c r="R110" s="3353"/>
      <c r="S110" s="3348"/>
      <c r="T110" s="2681"/>
      <c r="U110" s="2681"/>
      <c r="V110" s="2683"/>
      <c r="W110" s="2507"/>
      <c r="X110" s="2478"/>
      <c r="Y110" s="2478"/>
      <c r="Z110" s="2478"/>
      <c r="AA110" s="2478"/>
      <c r="AB110" s="2478"/>
      <c r="AC110" s="2478" t="s">
        <v>273</v>
      </c>
      <c r="AD110" s="2478" t="s">
        <v>274</v>
      </c>
      <c r="AE110" s="2478" t="s">
        <v>275</v>
      </c>
      <c r="AF110" s="2478" t="s">
        <v>276</v>
      </c>
      <c r="AG110" s="2478"/>
      <c r="AH110" s="2478" t="str">
        <f>IF($E$110=0,"",$E$110)</f>
        <v>Тариф на транспортировку горячей воды</v>
      </c>
      <c r="AI110" s="2478" t="str">
        <f>IF($G$110=0,"",$G$110)</f>
        <v/>
      </c>
      <c r="AJ110" s="2478" t="str">
        <f>IF($J$110=0,"",$J$110)</f>
        <v/>
      </c>
      <c r="AK110" s="2478" t="str">
        <f>IF($K$110="нет","без дифференциации",IF($N$110=0,"",$N$110))</f>
        <v/>
      </c>
      <c r="AL110" s="2478" t="str">
        <f>IF($O$110="нет","без дифференциации",IF($R$110=0,"",$R$110))</f>
        <v/>
      </c>
      <c r="AM110" s="2478" t="str">
        <f>IF($S$110="нет","без дифференциации",IF($V$110=0,"",$V$110))</f>
        <v/>
      </c>
      <c r="AN110" s="2983">
        <f>$I$110</f>
        <v>0</v>
      </c>
      <c r="AO110" s="2478" t="str">
        <f>$I$110&amp;"."&amp;$M$110</f>
        <v>.</v>
      </c>
      <c r="AP110" s="2470" t="str">
        <f>$I$110&amp;"."&amp;$M$110&amp;"."&amp;$Q$110</f>
        <v>..</v>
      </c>
      <c r="AQ110" s="2470" t="str">
        <f>$I$110&amp;"."&amp;$M$110&amp;"."&amp;$Q$110&amp;"."&amp;$U$110</f>
        <v>...</v>
      </c>
      <c r="AR110" s="2678">
        <v>0</v>
      </c>
    </row>
    <row s="67333" customFormat="1" customHeight="1" ht="17.25" hidden="1">
      <c r="A111" s="1532"/>
      <c r="C111" s="1531"/>
      <c r="D111" s="3346"/>
      <c r="E111" s="3354"/>
      <c r="F111" s="3357"/>
      <c r="G111" s="3354"/>
      <c r="H111" s="3360"/>
      <c r="I111" s="3362"/>
      <c r="J111" s="3364"/>
      <c r="K111" s="3349"/>
      <c r="L111" s="3349"/>
      <c r="M111" s="3349"/>
      <c r="N111" s="3351"/>
      <c r="O111" s="3349"/>
      <c r="P111" s="3349"/>
      <c r="Q111" s="3349"/>
      <c r="R111" s="3352"/>
      <c r="S111" s="3349"/>
      <c r="T111" s="2508"/>
      <c r="U111" s="2508"/>
      <c r="V111" s="2508"/>
      <c r="W111" s="2509"/>
      <c r="X111" s="2470"/>
      <c r="Y111" s="2470"/>
      <c r="Z111" s="2470"/>
      <c r="AA111" s="2470"/>
      <c r="AB111" s="2470"/>
      <c r="AC111" s="2470"/>
      <c r="AD111" s="2470"/>
      <c r="AE111" s="2470"/>
      <c r="AF111" s="2470"/>
      <c r="AG111" s="2470"/>
      <c r="AH111" s="2470"/>
      <c r="AI111" s="2470"/>
      <c r="AJ111" s="2470"/>
      <c r="AK111" s="2470"/>
      <c r="AL111" s="2470"/>
      <c r="AM111" s="2470"/>
      <c r="AN111" s="2470"/>
      <c r="AO111" s="2470"/>
      <c r="AP111" s="2470"/>
      <c r="AQ111" s="2470"/>
      <c r="AR111" s="2678">
        <v>0</v>
      </c>
    </row>
    <row s="67333" customFormat="1" customHeight="1" ht="17.25" hidden="1">
      <c r="A112" s="1532"/>
      <c r="C112" s="1531"/>
      <c r="D112" s="3347"/>
      <c r="E112" s="3355"/>
      <c r="F112" s="3357"/>
      <c r="G112" s="3355"/>
      <c r="H112" s="3360"/>
      <c r="I112" s="3362"/>
      <c r="J112" s="3365"/>
      <c r="K112" s="3349"/>
      <c r="L112" s="3349"/>
      <c r="M112" s="3349"/>
      <c r="N112" s="3352"/>
      <c r="O112" s="3349"/>
      <c r="P112" s="2682"/>
      <c r="Q112" s="2508"/>
      <c r="R112" s="2508"/>
      <c r="S112" s="1540"/>
      <c r="T112" s="1540"/>
      <c r="U112" s="1540"/>
      <c r="V112" s="1540"/>
      <c r="W112" s="2509"/>
      <c r="X112" s="2470"/>
      <c r="Y112" s="2470"/>
      <c r="Z112" s="2470"/>
      <c r="AA112" s="2470"/>
      <c r="AB112" s="2470"/>
      <c r="AC112" s="2470"/>
      <c r="AD112" s="2470"/>
      <c r="AE112" s="2470"/>
      <c r="AF112" s="2470"/>
      <c r="AG112" s="2470"/>
      <c r="AH112" s="2470"/>
      <c r="AI112" s="2470"/>
      <c r="AJ112" s="2470"/>
      <c r="AK112" s="2470"/>
      <c r="AL112" s="2470"/>
      <c r="AM112" s="2470"/>
      <c r="AN112" s="2470"/>
      <c r="AO112" s="2470"/>
      <c r="AP112" s="2470"/>
      <c r="AQ112" s="2470"/>
      <c r="AR112" s="2678">
        <v>0</v>
      </c>
    </row>
    <row s="67333" customFormat="1" customHeight="1" ht="17.25" hidden="1">
      <c r="A113" s="1532"/>
      <c r="C113" s="1531"/>
      <c r="D113" s="3347"/>
      <c r="E113" s="3355"/>
      <c r="F113" s="3357"/>
      <c r="G113" s="3355"/>
      <c r="H113" s="3360"/>
      <c r="I113" s="3362"/>
      <c r="J113" s="3365"/>
      <c r="K113" s="3349"/>
      <c r="L113" s="2508"/>
      <c r="M113" s="2508"/>
      <c r="N113" s="2508"/>
      <c r="O113" s="2508"/>
      <c r="P113" s="2508"/>
      <c r="Q113" s="2508"/>
      <c r="R113" s="2508"/>
      <c r="S113" s="1540"/>
      <c r="T113" s="1540"/>
      <c r="U113" s="1540"/>
      <c r="V113" s="1540"/>
      <c r="W113" s="2509"/>
      <c r="X113" s="2470"/>
      <c r="Y113" s="2470"/>
      <c r="Z113" s="2470"/>
      <c r="AA113" s="2470"/>
      <c r="AB113" s="2470"/>
      <c r="AC113" s="2470"/>
      <c r="AD113" s="2470"/>
      <c r="AE113" s="2470"/>
      <c r="AF113" s="2470"/>
      <c r="AG113" s="2470"/>
      <c r="AH113" s="2470"/>
      <c r="AI113" s="2470"/>
      <c r="AJ113" s="2470"/>
      <c r="AK113" s="2470"/>
      <c r="AL113" s="2470"/>
      <c r="AM113" s="2470"/>
      <c r="AN113" s="2470"/>
      <c r="AO113" s="2470"/>
      <c r="AP113" s="2470"/>
      <c r="AQ113" s="2470"/>
      <c r="AR113" s="2678">
        <v>0</v>
      </c>
    </row>
    <row s="67333" customFormat="1" customHeight="1" ht="17.25" hidden="1">
      <c r="A114" s="1532"/>
      <c r="C114" s="1531"/>
      <c r="D114" s="3347"/>
      <c r="E114" s="3355"/>
      <c r="F114" s="3358"/>
      <c r="G114" s="3355"/>
      <c r="H114" s="2510"/>
      <c r="I114" s="2511"/>
      <c r="J114" s="2511"/>
      <c r="K114" s="2511"/>
      <c r="L114" s="2511"/>
      <c r="M114" s="2511"/>
      <c r="N114" s="2511"/>
      <c r="O114" s="2511"/>
      <c r="P114" s="2511"/>
      <c r="Q114" s="2511"/>
      <c r="R114" s="2511"/>
      <c r="S114" s="2512"/>
      <c r="T114" s="2512"/>
      <c r="U114" s="2512"/>
      <c r="V114" s="2512"/>
      <c r="W114" s="2513"/>
      <c r="X114" s="2470"/>
      <c r="Y114" s="2470"/>
      <c r="Z114" s="2470"/>
      <c r="AA114" s="2470"/>
      <c r="AB114" s="2470"/>
      <c r="AC114" s="2470"/>
      <c r="AD114" s="2470"/>
      <c r="AE114" s="2470"/>
      <c r="AF114" s="2470"/>
      <c r="AG114" s="2470"/>
      <c r="AH114" s="2470"/>
      <c r="AI114" s="2470"/>
      <c r="AJ114" s="2470"/>
      <c r="AK114" s="2470"/>
      <c r="AL114" s="2470"/>
      <c r="AM114" s="2470"/>
      <c r="AN114" s="2470"/>
      <c r="AO114" s="2470"/>
      <c r="AP114" s="2470"/>
      <c r="AQ114" s="2470"/>
      <c r="AR114" s="2678">
        <v>0</v>
      </c>
    </row>
    <row s="67333" customFormat="1" customHeight="1" ht="17.25" hidden="1">
      <c r="A115" s="1532"/>
      <c r="C115" s="1420"/>
      <c r="D115" s="3346">
        <v>3</v>
      </c>
      <c r="E115" s="3354" t="s">
        <v>277</v>
      </c>
      <c r="F115" s="3356" t="s">
        <v>19</v>
      </c>
      <c r="G115" s="3354"/>
      <c r="H115" s="3359"/>
      <c r="I115" s="3361"/>
      <c r="J115" s="3363"/>
      <c r="K115" s="3348"/>
      <c r="L115" s="3348"/>
      <c r="M115" s="3348"/>
      <c r="N115" s="3350"/>
      <c r="O115" s="3348"/>
      <c r="P115" s="3348"/>
      <c r="Q115" s="3348"/>
      <c r="R115" s="3353"/>
      <c r="S115" s="3348"/>
      <c r="T115" s="3154"/>
      <c r="U115" s="3154"/>
      <c r="V115" s="3156"/>
      <c r="W115" s="2507"/>
      <c r="X115" s="2478"/>
      <c r="Y115" s="2478"/>
      <c r="Z115" s="2478"/>
      <c r="AA115" s="2478"/>
      <c r="AB115" s="2478"/>
      <c r="AC115" s="2478" t="s">
        <v>278</v>
      </c>
      <c r="AD115" s="2478" t="s">
        <v>279</v>
      </c>
      <c r="AE115" s="2478" t="s">
        <v>280</v>
      </c>
      <c r="AF115" s="2478" t="s">
        <v>281</v>
      </c>
      <c r="AG115" s="2478"/>
      <c r="AH115" s="2478" t="str">
        <f>IF($E$115=0,"",$E$115)</f>
        <v>Тариф на подключение (технологическое присоединение) к централизованной системе горячего водоснабжения</v>
      </c>
      <c r="AI115" s="2478" t="str">
        <f>IF($G$115=0,"",$G$115)</f>
        <v/>
      </c>
      <c r="AJ115" s="2478" t="str">
        <f>IF($J$115=0,"",$J$115)</f>
        <v/>
      </c>
      <c r="AK115" s="2478" t="str">
        <f>IF($K$115="нет","без дифференциации",IF($N$115=0,"",$N$115))</f>
        <v/>
      </c>
      <c r="AL115" s="2478" t="str">
        <f>IF($O$115="нет","без дифференциации",IF($R$115=0,"",$R$115))</f>
        <v/>
      </c>
      <c r="AM115" s="2478" t="str">
        <f>IF($S$115="нет","без дифференциации",IF($V$115=0,"",$V$115))</f>
        <v/>
      </c>
      <c r="AN115" s="2983">
        <f>$I$115</f>
        <v>0</v>
      </c>
      <c r="AO115" s="2478" t="str">
        <f>$I$115&amp;"."&amp;$M$115</f>
        <v>.</v>
      </c>
      <c r="AP115" s="2477" t="str">
        <f>$I$115&amp;"."&amp;$M$115&amp;"."&amp;$Q$115</f>
        <v>..</v>
      </c>
      <c r="AQ115" s="2477" t="str">
        <f>$I$115&amp;"."&amp;$M$115&amp;"."&amp;$Q$115&amp;"."&amp;$U$115</f>
        <v>...</v>
      </c>
      <c r="AR115" s="2678">
        <v>0</v>
      </c>
    </row>
    <row s="67333" customFormat="1" customHeight="1" ht="17.25" hidden="1">
      <c r="A116" s="1532"/>
      <c r="C116" s="1531"/>
      <c r="D116" s="3346"/>
      <c r="E116" s="3354"/>
      <c r="F116" s="3357"/>
      <c r="G116" s="3354"/>
      <c r="H116" s="3360"/>
      <c r="I116" s="3362"/>
      <c r="J116" s="3364"/>
      <c r="K116" s="3349"/>
      <c r="L116" s="3349"/>
      <c r="M116" s="3349"/>
      <c r="N116" s="3351"/>
      <c r="O116" s="3349"/>
      <c r="P116" s="3349"/>
      <c r="Q116" s="3349"/>
      <c r="R116" s="3352"/>
      <c r="S116" s="3349"/>
      <c r="T116" s="3159"/>
      <c r="U116" s="3159"/>
      <c r="V116" s="3159"/>
      <c r="W116" s="3160"/>
      <c r="X116" s="2477"/>
      <c r="Y116" s="2477"/>
      <c r="Z116" s="2477"/>
      <c r="AA116" s="2477"/>
      <c r="AB116" s="2477"/>
      <c r="AC116" s="2477"/>
      <c r="AD116" s="2477"/>
      <c r="AE116" s="2477"/>
      <c r="AF116" s="2477"/>
      <c r="AG116" s="2477"/>
      <c r="AH116" s="2477"/>
      <c r="AI116" s="2477"/>
      <c r="AJ116" s="2477"/>
      <c r="AK116" s="2477"/>
      <c r="AL116" s="2477"/>
      <c r="AM116" s="2477"/>
      <c r="AN116" s="2477"/>
      <c r="AO116" s="2477"/>
      <c r="AP116" s="2477"/>
      <c r="AQ116" s="2477"/>
      <c r="AR116" s="2678">
        <v>0</v>
      </c>
    </row>
    <row s="67333" customFormat="1" customHeight="1" ht="17.25" hidden="1">
      <c r="A117" s="1532"/>
      <c r="C117" s="1531"/>
      <c r="D117" s="3347"/>
      <c r="E117" s="3355"/>
      <c r="F117" s="3357"/>
      <c r="G117" s="3355"/>
      <c r="H117" s="3360"/>
      <c r="I117" s="3362"/>
      <c r="J117" s="3365"/>
      <c r="K117" s="3349"/>
      <c r="L117" s="3349"/>
      <c r="M117" s="3349"/>
      <c r="N117" s="3352"/>
      <c r="O117" s="3349"/>
      <c r="P117" s="3155"/>
      <c r="Q117" s="3159"/>
      <c r="R117" s="3159"/>
      <c r="S117" s="1540"/>
      <c r="T117" s="1540"/>
      <c r="U117" s="1540"/>
      <c r="V117" s="1540"/>
      <c r="W117" s="3160"/>
      <c r="X117" s="2477"/>
      <c r="Y117" s="2477"/>
      <c r="Z117" s="2477"/>
      <c r="AA117" s="2477"/>
      <c r="AB117" s="2477"/>
      <c r="AC117" s="2477"/>
      <c r="AD117" s="2477"/>
      <c r="AE117" s="2477"/>
      <c r="AF117" s="2477"/>
      <c r="AG117" s="2477"/>
      <c r="AH117" s="2477"/>
      <c r="AI117" s="2477"/>
      <c r="AJ117" s="2477"/>
      <c r="AK117" s="2477"/>
      <c r="AL117" s="2477"/>
      <c r="AM117" s="2477"/>
      <c r="AN117" s="2477"/>
      <c r="AO117" s="2477"/>
      <c r="AP117" s="2477"/>
      <c r="AQ117" s="2477"/>
      <c r="AR117" s="2678">
        <v>0</v>
      </c>
    </row>
    <row s="67333" customFormat="1" customHeight="1" ht="17.25" hidden="1">
      <c r="A118" s="1532"/>
      <c r="C118" s="1531"/>
      <c r="D118" s="3347"/>
      <c r="E118" s="3355"/>
      <c r="F118" s="3357"/>
      <c r="G118" s="3355"/>
      <c r="H118" s="3360"/>
      <c r="I118" s="3362"/>
      <c r="J118" s="3365"/>
      <c r="K118" s="3349"/>
      <c r="L118" s="3159"/>
      <c r="M118" s="3159"/>
      <c r="N118" s="3159"/>
      <c r="O118" s="3159"/>
      <c r="P118" s="3159"/>
      <c r="Q118" s="3159"/>
      <c r="R118" s="3159"/>
      <c r="S118" s="1540"/>
      <c r="T118" s="1540"/>
      <c r="U118" s="1540"/>
      <c r="V118" s="1540"/>
      <c r="W118" s="3160"/>
      <c r="X118" s="2477"/>
      <c r="Y118" s="2477"/>
      <c r="Z118" s="2477"/>
      <c r="AA118" s="2477"/>
      <c r="AB118" s="2477"/>
      <c r="AC118" s="2477"/>
      <c r="AD118" s="2477"/>
      <c r="AE118" s="2477"/>
      <c r="AF118" s="2477"/>
      <c r="AG118" s="2477"/>
      <c r="AH118" s="2477"/>
      <c r="AI118" s="2477"/>
      <c r="AJ118" s="2477"/>
      <c r="AK118" s="2477"/>
      <c r="AL118" s="2477"/>
      <c r="AM118" s="2477"/>
      <c r="AN118" s="2477"/>
      <c r="AO118" s="2477"/>
      <c r="AP118" s="2477"/>
      <c r="AQ118" s="2477"/>
      <c r="AR118" s="2678">
        <v>0</v>
      </c>
    </row>
    <row s="67333" customFormat="1" customHeight="1" ht="17.25" hidden="1">
      <c r="A119" s="1532"/>
      <c r="C119" s="1531"/>
      <c r="D119" s="3347"/>
      <c r="E119" s="3355"/>
      <c r="F119" s="3358"/>
      <c r="G119" s="3355"/>
      <c r="H119" s="2510"/>
      <c r="I119" s="3157"/>
      <c r="J119" s="3157"/>
      <c r="K119" s="3157"/>
      <c r="L119" s="3157"/>
      <c r="M119" s="3157"/>
      <c r="N119" s="3157"/>
      <c r="O119" s="3157"/>
      <c r="P119" s="3157"/>
      <c r="Q119" s="3157"/>
      <c r="R119" s="3157"/>
      <c r="S119" s="2512"/>
      <c r="T119" s="2512"/>
      <c r="U119" s="2512"/>
      <c r="V119" s="2512"/>
      <c r="W119" s="3158"/>
      <c r="X119" s="2477"/>
      <c r="Y119" s="2477"/>
      <c r="Z119" s="2477"/>
      <c r="AA119" s="2477"/>
      <c r="AB119" s="2477"/>
      <c r="AC119" s="2477"/>
      <c r="AD119" s="2477"/>
      <c r="AE119" s="2477"/>
      <c r="AF119" s="2477"/>
      <c r="AG119" s="2477"/>
      <c r="AH119" s="2477"/>
      <c r="AI119" s="2477"/>
      <c r="AJ119" s="2477"/>
      <c r="AK119" s="2477"/>
      <c r="AL119" s="2477"/>
      <c r="AM119" s="2477"/>
      <c r="AN119" s="2477"/>
      <c r="AO119" s="2477"/>
      <c r="AP119" s="2477"/>
      <c r="AQ119" s="2477"/>
      <c r="AR119" s="2678">
        <v>0</v>
      </c>
    </row>
    <row s="67333" customFormat="1" customHeight="1" ht="11.25" hidden="1">
      <c r="A120" s="1488"/>
      <c r="B120" s="1488"/>
      <c r="Y120" s="2470"/>
      <c r="Z120" s="2470"/>
      <c r="AA120" s="2470"/>
      <c r="AB120" s="2470"/>
      <c r="AC120" s="2470"/>
      <c r="AD120" s="2470"/>
      <c r="AE120" s="2470"/>
      <c r="AF120" s="2470"/>
      <c r="AG120" s="2470"/>
      <c r="AH120" s="2470"/>
      <c r="AI120" s="2470"/>
      <c r="AJ120" s="2470"/>
      <c r="AK120" s="2470"/>
      <c r="AL120" s="2470"/>
      <c r="AM120" s="2470"/>
      <c r="AN120" s="2470"/>
      <c r="AO120" s="2470"/>
      <c r="AP120" s="2470"/>
      <c r="AQ120" s="2470"/>
      <c r="AR120" s="2678">
        <v>0</v>
      </c>
    </row>
    <row s="67333" customFormat="1" customHeight="1" ht="17.25" hidden="1">
      <c r="A121" s="1532"/>
      <c r="C121" s="1420"/>
      <c r="D121" s="3346">
        <v>1</v>
      </c>
      <c r="E121" s="3354" t="s">
        <v>282</v>
      </c>
      <c r="F121" s="3356" t="s">
        <v>19</v>
      </c>
      <c r="G121" s="3354"/>
      <c r="H121" s="3359"/>
      <c r="I121" s="3361"/>
      <c r="J121" s="3363"/>
      <c r="K121" s="3348"/>
      <c r="L121" s="3348"/>
      <c r="M121" s="3348"/>
      <c r="N121" s="3350"/>
      <c r="O121" s="3348"/>
      <c r="P121" s="3348"/>
      <c r="Q121" s="3348"/>
      <c r="R121" s="3353"/>
      <c r="S121" s="3348"/>
      <c r="T121" s="2681"/>
      <c r="U121" s="2681"/>
      <c r="V121" s="2683"/>
      <c r="W121" s="2507"/>
      <c r="Y121" s="2478"/>
      <c r="Z121" s="2478"/>
      <c r="AA121" s="2478"/>
      <c r="AB121" s="2478"/>
      <c r="AC121" s="2478" t="s">
        <v>283</v>
      </c>
      <c r="AD121" s="2478" t="s">
        <v>284</v>
      </c>
      <c r="AE121" s="2478" t="s">
        <v>285</v>
      </c>
      <c r="AF121" s="2478" t="s">
        <v>286</v>
      </c>
      <c r="AG121" s="2478"/>
      <c r="AH121" s="2478" t="str">
        <f>IF($E$121=0,"",$E$121)</f>
        <v>Тариф на водоотведение</v>
      </c>
      <c r="AI121" s="2478" t="str">
        <f>IF($G$121=0,"",$G$121)</f>
        <v/>
      </c>
      <c r="AJ121" s="2478" t="str">
        <f>IF($J$121=0,"",$J$121)</f>
        <v/>
      </c>
      <c r="AK121" s="2478" t="str">
        <f>IF($K$121="нет","без дифференциации",IF($N$121=0,"",$N$121))</f>
        <v/>
      </c>
      <c r="AL121" s="2478" t="str">
        <f>IF($O$121="нет","без дифференциации",IF($R$121=0,"",$R$121))</f>
        <v/>
      </c>
      <c r="AM121" s="2478" t="str">
        <f>IF($S$121="нет","без дифференциации",IF($V$121=0,"",$V$121))</f>
        <v/>
      </c>
      <c r="AN121" s="2478">
        <f>$I$121</f>
        <v>0</v>
      </c>
      <c r="AO121" s="2478" t="str">
        <f>$I$121&amp;"."&amp;$M$121</f>
        <v>.</v>
      </c>
      <c r="AP121" s="2478" t="str">
        <f>$I$121&amp;"."&amp;$M$121&amp;"."&amp;$Q$121</f>
        <v>..</v>
      </c>
      <c r="AQ121" s="2478" t="str">
        <f>$I$121&amp;"."&amp;$M$121&amp;"."&amp;$Q$121&amp;"."&amp;$U$121</f>
        <v>...</v>
      </c>
      <c r="AR121" s="2678">
        <v>0</v>
      </c>
    </row>
    <row s="67333" customFormat="1" customHeight="1" ht="17.25" hidden="1">
      <c r="A122" s="1532"/>
      <c r="C122" s="1531"/>
      <c r="D122" s="3346"/>
      <c r="E122" s="3354"/>
      <c r="F122" s="3357"/>
      <c r="G122" s="3354"/>
      <c r="H122" s="3360"/>
      <c r="I122" s="3362"/>
      <c r="J122" s="3364"/>
      <c r="K122" s="3349"/>
      <c r="L122" s="3349"/>
      <c r="M122" s="3349"/>
      <c r="N122" s="3351"/>
      <c r="O122" s="3349"/>
      <c r="P122" s="3349"/>
      <c r="Q122" s="3349"/>
      <c r="R122" s="3352"/>
      <c r="S122" s="3349"/>
      <c r="T122" s="2508"/>
      <c r="U122" s="2508"/>
      <c r="V122" s="2508"/>
      <c r="W122" s="2509"/>
      <c r="Y122" s="2470"/>
      <c r="Z122" s="2470"/>
      <c r="AA122" s="2470"/>
      <c r="AB122" s="2470"/>
      <c r="AC122" s="2470"/>
      <c r="AD122" s="2470"/>
      <c r="AE122" s="2470"/>
      <c r="AF122" s="2470"/>
      <c r="AG122" s="2470"/>
      <c r="AH122" s="2470"/>
      <c r="AI122" s="2470"/>
      <c r="AJ122" s="2470"/>
      <c r="AK122" s="2470"/>
      <c r="AL122" s="2470"/>
      <c r="AM122" s="2470"/>
      <c r="AN122" s="2470"/>
      <c r="AO122" s="2470"/>
      <c r="AP122" s="2470"/>
      <c r="AQ122" s="2470"/>
      <c r="AR122" s="2678">
        <v>0</v>
      </c>
    </row>
    <row s="67333" customFormat="1" customHeight="1" ht="17.25" hidden="1">
      <c r="A123" s="1532"/>
      <c r="C123" s="1420"/>
      <c r="D123" s="3346"/>
      <c r="E123" s="3354"/>
      <c r="F123" s="3357"/>
      <c r="G123" s="3354"/>
      <c r="H123" s="3360"/>
      <c r="I123" s="3362"/>
      <c r="J123" s="3365"/>
      <c r="K123" s="3349"/>
      <c r="L123" s="3349"/>
      <c r="M123" s="3349"/>
      <c r="N123" s="3352"/>
      <c r="O123" s="3349"/>
      <c r="P123" s="2682"/>
      <c r="Q123" s="2508"/>
      <c r="R123" s="2508"/>
      <c r="S123" s="1540"/>
      <c r="T123" s="1540"/>
      <c r="U123" s="1540"/>
      <c r="V123" s="1540"/>
      <c r="W123" s="2509"/>
      <c r="Y123" s="2478"/>
      <c r="Z123" s="2478"/>
      <c r="AA123" s="2478"/>
      <c r="AB123" s="2478"/>
      <c r="AC123" s="2478"/>
      <c r="AD123" s="2478"/>
      <c r="AE123" s="2478"/>
      <c r="AF123" s="2478"/>
      <c r="AG123" s="2478"/>
      <c r="AH123" s="2478"/>
      <c r="AI123" s="2478"/>
      <c r="AJ123" s="2478"/>
      <c r="AK123" s="2478"/>
      <c r="AL123" s="2478"/>
      <c r="AM123" s="2478"/>
      <c r="AN123" s="2478"/>
      <c r="AO123" s="2478"/>
      <c r="AP123" s="2478"/>
      <c r="AQ123" s="2478"/>
      <c r="AR123" s="2678">
        <v>0</v>
      </c>
    </row>
    <row s="67333" customFormat="1" customHeight="1" ht="17.25" hidden="1">
      <c r="A124" s="1532"/>
      <c r="C124" s="1531"/>
      <c r="D124" s="3346"/>
      <c r="E124" s="3354"/>
      <c r="F124" s="3357"/>
      <c r="G124" s="3354"/>
      <c r="H124" s="3360"/>
      <c r="I124" s="3362"/>
      <c r="J124" s="3365"/>
      <c r="K124" s="3349"/>
      <c r="L124" s="2508"/>
      <c r="M124" s="2508"/>
      <c r="N124" s="2508"/>
      <c r="O124" s="2508"/>
      <c r="P124" s="2508"/>
      <c r="Q124" s="2508"/>
      <c r="R124" s="2508"/>
      <c r="S124" s="1540"/>
      <c r="T124" s="1540"/>
      <c r="U124" s="1540"/>
      <c r="V124" s="1540"/>
      <c r="W124" s="2509"/>
      <c r="Y124" s="2470"/>
      <c r="Z124" s="2470"/>
      <c r="AA124" s="2470"/>
      <c r="AB124" s="2470"/>
      <c r="AC124" s="2470"/>
      <c r="AD124" s="2470"/>
      <c r="AE124" s="2470"/>
      <c r="AF124" s="2470"/>
      <c r="AG124" s="2470"/>
      <c r="AH124" s="2470"/>
      <c r="AI124" s="2470"/>
      <c r="AJ124" s="2470"/>
      <c r="AK124" s="2470"/>
      <c r="AL124" s="2470"/>
      <c r="AM124" s="2470"/>
      <c r="AN124" s="2470"/>
      <c r="AO124" s="2470"/>
      <c r="AP124" s="2470"/>
      <c r="AQ124" s="2470"/>
      <c r="AR124" s="2678">
        <v>0</v>
      </c>
    </row>
    <row s="67333" customFormat="1" customHeight="1" ht="17.25" hidden="1">
      <c r="A125" s="1532"/>
      <c r="C125" s="1531"/>
      <c r="D125" s="3347"/>
      <c r="E125" s="3355"/>
      <c r="F125" s="3358"/>
      <c r="G125" s="3355"/>
      <c r="H125" s="2510"/>
      <c r="I125" s="2511"/>
      <c r="J125" s="2511"/>
      <c r="K125" s="2511"/>
      <c r="L125" s="2511"/>
      <c r="M125" s="2511"/>
      <c r="N125" s="2511"/>
      <c r="O125" s="2511"/>
      <c r="P125" s="2511"/>
      <c r="Q125" s="2511"/>
      <c r="R125" s="2511"/>
      <c r="S125" s="2512"/>
      <c r="T125" s="2512"/>
      <c r="U125" s="2512"/>
      <c r="V125" s="2512"/>
      <c r="W125" s="2513"/>
      <c r="Y125" s="2470"/>
      <c r="Z125" s="2470"/>
      <c r="AA125" s="2470"/>
      <c r="AB125" s="2470"/>
      <c r="AC125" s="2470"/>
      <c r="AD125" s="2470"/>
      <c r="AE125" s="2470"/>
      <c r="AF125" s="2470"/>
      <c r="AG125" s="2470"/>
      <c r="AH125" s="2470"/>
      <c r="AI125" s="2470"/>
      <c r="AJ125" s="2470"/>
      <c r="AK125" s="2470"/>
      <c r="AL125" s="2470"/>
      <c r="AM125" s="2470"/>
      <c r="AN125" s="2470"/>
      <c r="AO125" s="2470"/>
      <c r="AP125" s="2470"/>
      <c r="AQ125" s="2470"/>
      <c r="AR125" s="2678">
        <v>0</v>
      </c>
    </row>
    <row s="67333" customFormat="1" customHeight="1" ht="17.25" hidden="1">
      <c r="A126" s="1532"/>
      <c r="C126" s="1420"/>
      <c r="D126" s="3346">
        <v>2</v>
      </c>
      <c r="E126" s="3354" t="s">
        <v>287</v>
      </c>
      <c r="F126" s="3356" t="s">
        <v>19</v>
      </c>
      <c r="G126" s="3354"/>
      <c r="H126" s="3359"/>
      <c r="I126" s="3361"/>
      <c r="J126" s="3363"/>
      <c r="K126" s="3348"/>
      <c r="L126" s="3348"/>
      <c r="M126" s="3348"/>
      <c r="N126" s="3350"/>
      <c r="O126" s="3348"/>
      <c r="P126" s="3348"/>
      <c r="Q126" s="3348"/>
      <c r="R126" s="3353"/>
      <c r="S126" s="3348"/>
      <c r="T126" s="2681"/>
      <c r="U126" s="2681"/>
      <c r="V126" s="2683"/>
      <c r="W126" s="2507"/>
      <c r="X126" s="2478"/>
      <c r="Y126" s="2478"/>
      <c r="Z126" s="2478"/>
      <c r="AA126" s="2478"/>
      <c r="AB126" s="2478"/>
      <c r="AC126" s="2478" t="s">
        <v>288</v>
      </c>
      <c r="AD126" s="2478" t="s">
        <v>289</v>
      </c>
      <c r="AE126" s="2478" t="s">
        <v>290</v>
      </c>
      <c r="AF126" s="2478" t="s">
        <v>291</v>
      </c>
      <c r="AG126" s="2478"/>
      <c r="AH126" s="2478" t="str">
        <f>IF($E$126=0,"",$E$126)</f>
        <v>Тариф на транспортировку сточных вод</v>
      </c>
      <c r="AI126" s="2478" t="str">
        <f>IF($G$126=0,"",$G$126)</f>
        <v/>
      </c>
      <c r="AJ126" s="2478" t="str">
        <f>IF($J$126=0,"",$J$126)</f>
        <v/>
      </c>
      <c r="AK126" s="2478" t="str">
        <f>IF($K$126="нет","без дифференциации",IF($N$126=0,"",$N$126))</f>
        <v/>
      </c>
      <c r="AL126" s="2478" t="str">
        <f>IF($O$126="нет","без дифференциации",IF($R$126=0,"",$R$126))</f>
        <v/>
      </c>
      <c r="AM126" s="2478" t="str">
        <f>IF($S$126="нет","без дифференциации",IF($V$126=0,"",$V$126))</f>
        <v/>
      </c>
      <c r="AN126" s="2983">
        <f>$I$126</f>
        <v>0</v>
      </c>
      <c r="AO126" s="2478" t="str">
        <f>$I$126&amp;"."&amp;$M$126</f>
        <v>.</v>
      </c>
      <c r="AP126" s="2470" t="str">
        <f>$I$126&amp;"."&amp;$M$126&amp;"."&amp;$Q$126</f>
        <v>..</v>
      </c>
      <c r="AQ126" s="2470" t="str">
        <f>$I$126&amp;"."&amp;$M$126&amp;"."&amp;$Q$126&amp;"."&amp;$U$126</f>
        <v>...</v>
      </c>
      <c r="AR126" s="2678">
        <v>0</v>
      </c>
    </row>
    <row s="67333" customFormat="1" customHeight="1" ht="17.25" hidden="1">
      <c r="A127" s="1532"/>
      <c r="C127" s="1531"/>
      <c r="D127" s="3346"/>
      <c r="E127" s="3354"/>
      <c r="F127" s="3357"/>
      <c r="G127" s="3354"/>
      <c r="H127" s="3360"/>
      <c r="I127" s="3362"/>
      <c r="J127" s="3364"/>
      <c r="K127" s="3349"/>
      <c r="L127" s="3349"/>
      <c r="M127" s="3349"/>
      <c r="N127" s="3351"/>
      <c r="O127" s="3349"/>
      <c r="P127" s="3349"/>
      <c r="Q127" s="3349"/>
      <c r="R127" s="3352"/>
      <c r="S127" s="3349"/>
      <c r="T127" s="2508"/>
      <c r="U127" s="2508"/>
      <c r="V127" s="2508"/>
      <c r="W127" s="2509"/>
      <c r="X127" s="2470"/>
      <c r="Y127" s="2470"/>
      <c r="Z127" s="2470"/>
      <c r="AA127" s="2470"/>
      <c r="AB127" s="2470"/>
      <c r="AC127" s="2470"/>
      <c r="AD127" s="2470"/>
      <c r="AE127" s="2470"/>
      <c r="AF127" s="2470"/>
      <c r="AG127" s="2470"/>
      <c r="AH127" s="2470"/>
      <c r="AI127" s="2470"/>
      <c r="AJ127" s="2470"/>
      <c r="AK127" s="2470"/>
      <c r="AL127" s="2470"/>
      <c r="AM127" s="2470"/>
      <c r="AN127" s="2470"/>
      <c r="AO127" s="2470"/>
      <c r="AP127" s="2470"/>
      <c r="AQ127" s="2470"/>
      <c r="AR127" s="2678">
        <v>0</v>
      </c>
    </row>
    <row s="67333" customFormat="1" customHeight="1" ht="17.25" hidden="1">
      <c r="A128" s="1532"/>
      <c r="C128" s="1531"/>
      <c r="D128" s="3347"/>
      <c r="E128" s="3355"/>
      <c r="F128" s="3357"/>
      <c r="G128" s="3355"/>
      <c r="H128" s="3360"/>
      <c r="I128" s="3362"/>
      <c r="J128" s="3365"/>
      <c r="K128" s="3349"/>
      <c r="L128" s="3349"/>
      <c r="M128" s="3349"/>
      <c r="N128" s="3352"/>
      <c r="O128" s="3349"/>
      <c r="P128" s="2682"/>
      <c r="Q128" s="2508"/>
      <c r="R128" s="2508"/>
      <c r="S128" s="1540"/>
      <c r="T128" s="1540"/>
      <c r="U128" s="1540"/>
      <c r="V128" s="1540"/>
      <c r="W128" s="2509"/>
      <c r="X128" s="2470"/>
      <c r="Y128" s="2470"/>
      <c r="Z128" s="2470"/>
      <c r="AA128" s="2470"/>
      <c r="AB128" s="2470"/>
      <c r="AC128" s="2470"/>
      <c r="AD128" s="2470"/>
      <c r="AE128" s="2470"/>
      <c r="AF128" s="2470"/>
      <c r="AG128" s="2470"/>
      <c r="AH128" s="2470"/>
      <c r="AI128" s="2470"/>
      <c r="AJ128" s="2470"/>
      <c r="AK128" s="2470"/>
      <c r="AL128" s="2470"/>
      <c r="AM128" s="2470"/>
      <c r="AN128" s="2470"/>
      <c r="AO128" s="2470"/>
      <c r="AP128" s="2470"/>
      <c r="AQ128" s="2470"/>
      <c r="AR128" s="2678">
        <v>0</v>
      </c>
    </row>
    <row s="67333" customFormat="1" customHeight="1" ht="17.25" hidden="1">
      <c r="A129" s="1532"/>
      <c r="C129" s="1531"/>
      <c r="D129" s="3347"/>
      <c r="E129" s="3355"/>
      <c r="F129" s="3357"/>
      <c r="G129" s="3355"/>
      <c r="H129" s="3360"/>
      <c r="I129" s="3362"/>
      <c r="J129" s="3365"/>
      <c r="K129" s="3349"/>
      <c r="L129" s="2508"/>
      <c r="M129" s="2508"/>
      <c r="N129" s="2508"/>
      <c r="O129" s="2508"/>
      <c r="P129" s="2508"/>
      <c r="Q129" s="2508"/>
      <c r="R129" s="2508"/>
      <c r="S129" s="1540"/>
      <c r="T129" s="1540"/>
      <c r="U129" s="1540"/>
      <c r="V129" s="1540"/>
      <c r="W129" s="2509"/>
      <c r="X129" s="2470"/>
      <c r="Y129" s="2470"/>
      <c r="Z129" s="2470"/>
      <c r="AA129" s="2470"/>
      <c r="AB129" s="2470"/>
      <c r="AC129" s="2470"/>
      <c r="AD129" s="2470"/>
      <c r="AE129" s="2470"/>
      <c r="AF129" s="2470"/>
      <c r="AG129" s="2470"/>
      <c r="AH129" s="2470"/>
      <c r="AI129" s="2470"/>
      <c r="AJ129" s="2470"/>
      <c r="AK129" s="2470"/>
      <c r="AL129" s="2470"/>
      <c r="AM129" s="2470"/>
      <c r="AN129" s="2470"/>
      <c r="AO129" s="2470"/>
      <c r="AP129" s="2470"/>
      <c r="AQ129" s="2470"/>
      <c r="AR129" s="2678">
        <v>0</v>
      </c>
    </row>
    <row s="67333" customFormat="1" customHeight="1" ht="17.25" hidden="1">
      <c r="A130" s="1532"/>
      <c r="C130" s="1531"/>
      <c r="D130" s="3347"/>
      <c r="E130" s="3355"/>
      <c r="F130" s="3358"/>
      <c r="G130" s="3355"/>
      <c r="H130" s="2510"/>
      <c r="I130" s="2511"/>
      <c r="J130" s="2511"/>
      <c r="K130" s="2511"/>
      <c r="L130" s="2511"/>
      <c r="M130" s="2511"/>
      <c r="N130" s="2511"/>
      <c r="O130" s="2511"/>
      <c r="P130" s="2511"/>
      <c r="Q130" s="2511"/>
      <c r="R130" s="2511"/>
      <c r="S130" s="2512"/>
      <c r="T130" s="2512"/>
      <c r="U130" s="2512"/>
      <c r="V130" s="2512"/>
      <c r="W130" s="2513"/>
      <c r="X130" s="2470"/>
      <c r="Y130" s="2470"/>
      <c r="Z130" s="2470"/>
      <c r="AA130" s="2470"/>
      <c r="AB130" s="2470"/>
      <c r="AC130" s="2470"/>
      <c r="AD130" s="2470"/>
      <c r="AE130" s="2470"/>
      <c r="AF130" s="2470"/>
      <c r="AG130" s="2470"/>
      <c r="AH130" s="2470"/>
      <c r="AI130" s="2470"/>
      <c r="AJ130" s="2470"/>
      <c r="AK130" s="2470"/>
      <c r="AL130" s="2470"/>
      <c r="AM130" s="2470"/>
      <c r="AN130" s="2470"/>
      <c r="AO130" s="2470"/>
      <c r="AP130" s="2470"/>
      <c r="AQ130" s="2470"/>
      <c r="AR130" s="2678">
        <v>0</v>
      </c>
    </row>
    <row s="67333" customFormat="1" customHeight="1" ht="17.25" hidden="1">
      <c r="A131" s="1532"/>
      <c r="C131" s="1420"/>
      <c r="D131" s="3346">
        <v>3</v>
      </c>
      <c r="E131" s="3354" t="s">
        <v>292</v>
      </c>
      <c r="F131" s="3356" t="s">
        <v>19</v>
      </c>
      <c r="G131" s="3354"/>
      <c r="H131" s="3359"/>
      <c r="I131" s="3361"/>
      <c r="J131" s="3363"/>
      <c r="K131" s="3348"/>
      <c r="L131" s="3348"/>
      <c r="M131" s="3348"/>
      <c r="N131" s="3350"/>
      <c r="O131" s="3348"/>
      <c r="P131" s="3348"/>
      <c r="Q131" s="3348"/>
      <c r="R131" s="3353"/>
      <c r="S131" s="3348"/>
      <c r="T131" s="3154"/>
      <c r="U131" s="3154"/>
      <c r="V131" s="3156"/>
      <c r="W131" s="2507"/>
      <c r="X131" s="2478"/>
      <c r="Y131" s="2478"/>
      <c r="Z131" s="2478"/>
      <c r="AA131" s="2478"/>
      <c r="AB131" s="2478"/>
      <c r="AC131" s="2478" t="s">
        <v>293</v>
      </c>
      <c r="AD131" s="2478" t="s">
        <v>294</v>
      </c>
      <c r="AE131" s="2478" t="s">
        <v>295</v>
      </c>
      <c r="AF131" s="2478" t="s">
        <v>296</v>
      </c>
      <c r="AG131" s="2478"/>
      <c r="AH131" s="2478" t="str">
        <f>IF($E$131=0,"",$E$131)</f>
        <v>Тариф на подключение (технологическое присоединение) к централизованной системе водоотведения</v>
      </c>
      <c r="AI131" s="2478" t="str">
        <f>IF($G$131=0,"",$G$131)</f>
        <v/>
      </c>
      <c r="AJ131" s="2478" t="str">
        <f>IF($J$131=0,"",$J$131)</f>
        <v/>
      </c>
      <c r="AK131" s="2478" t="str">
        <f>IF($K$131="нет","без дифференциации",IF($N$131=0,"",$N$131))</f>
        <v/>
      </c>
      <c r="AL131" s="2478" t="str">
        <f>IF($O$131="нет","без дифференциации",IF($R$131=0,"",$R$131))</f>
        <v/>
      </c>
      <c r="AM131" s="2478" t="str">
        <f>IF($S$131="нет","без дифференциации",IF($V$131=0,"",$V$131))</f>
        <v/>
      </c>
      <c r="AN131" s="2983">
        <f>$I$131</f>
        <v>0</v>
      </c>
      <c r="AO131" s="2478" t="str">
        <f>$I$131&amp;"."&amp;$M$131</f>
        <v>.</v>
      </c>
      <c r="AP131" s="2477" t="str">
        <f>$I$131&amp;"."&amp;$M$131&amp;"."&amp;$Q$131</f>
        <v>..</v>
      </c>
      <c r="AQ131" s="2477" t="str">
        <f>$I$131&amp;"."&amp;$M$131&amp;"."&amp;$Q$131&amp;"."&amp;$U$131</f>
        <v>...</v>
      </c>
      <c r="AR131" s="2678">
        <v>0</v>
      </c>
    </row>
    <row s="67333" customFormat="1" customHeight="1" ht="17.25" hidden="1">
      <c r="A132" s="1532"/>
      <c r="C132" s="1531"/>
      <c r="D132" s="3346"/>
      <c r="E132" s="3354"/>
      <c r="F132" s="3357"/>
      <c r="G132" s="3354"/>
      <c r="H132" s="3360"/>
      <c r="I132" s="3362"/>
      <c r="J132" s="3364"/>
      <c r="K132" s="3349"/>
      <c r="L132" s="3349"/>
      <c r="M132" s="3349"/>
      <c r="N132" s="3351"/>
      <c r="O132" s="3349"/>
      <c r="P132" s="3349"/>
      <c r="Q132" s="3349"/>
      <c r="R132" s="3352"/>
      <c r="S132" s="3349"/>
      <c r="T132" s="3159"/>
      <c r="U132" s="3159"/>
      <c r="V132" s="3159"/>
      <c r="W132" s="3160"/>
      <c r="X132" s="2477"/>
      <c r="Y132" s="2477"/>
      <c r="Z132" s="2477"/>
      <c r="AA132" s="2477"/>
      <c r="AB132" s="2477"/>
      <c r="AC132" s="2477"/>
      <c r="AD132" s="2477"/>
      <c r="AE132" s="2477"/>
      <c r="AF132" s="2477"/>
      <c r="AG132" s="2477"/>
      <c r="AH132" s="2477"/>
      <c r="AI132" s="2477"/>
      <c r="AJ132" s="2477"/>
      <c r="AK132" s="2477"/>
      <c r="AL132" s="2477"/>
      <c r="AM132" s="2477"/>
      <c r="AN132" s="2477"/>
      <c r="AO132" s="2477"/>
      <c r="AP132" s="2477"/>
      <c r="AQ132" s="2477"/>
      <c r="AR132" s="2678">
        <v>0</v>
      </c>
    </row>
    <row s="67333" customFormat="1" customHeight="1" ht="17.25" hidden="1">
      <c r="A133" s="1532"/>
      <c r="C133" s="1531"/>
      <c r="D133" s="3347"/>
      <c r="E133" s="3355"/>
      <c r="F133" s="3357"/>
      <c r="G133" s="3355"/>
      <c r="H133" s="3360"/>
      <c r="I133" s="3362"/>
      <c r="J133" s="3365"/>
      <c r="K133" s="3349"/>
      <c r="L133" s="3349"/>
      <c r="M133" s="3349"/>
      <c r="N133" s="3352"/>
      <c r="O133" s="3349"/>
      <c r="P133" s="3155"/>
      <c r="Q133" s="3159"/>
      <c r="R133" s="3159"/>
      <c r="S133" s="1540"/>
      <c r="T133" s="1540"/>
      <c r="U133" s="1540"/>
      <c r="V133" s="1540"/>
      <c r="W133" s="3160"/>
      <c r="X133" s="2477"/>
      <c r="Y133" s="2477"/>
      <c r="Z133" s="2477"/>
      <c r="AA133" s="2477"/>
      <c r="AB133" s="2477"/>
      <c r="AC133" s="2477"/>
      <c r="AD133" s="2477"/>
      <c r="AE133" s="2477"/>
      <c r="AF133" s="2477"/>
      <c r="AG133" s="2477"/>
      <c r="AH133" s="2477"/>
      <c r="AI133" s="2477"/>
      <c r="AJ133" s="2477"/>
      <c r="AK133" s="2477"/>
      <c r="AL133" s="2477"/>
      <c r="AM133" s="2477"/>
      <c r="AN133" s="2477"/>
      <c r="AO133" s="2477"/>
      <c r="AP133" s="2477"/>
      <c r="AQ133" s="2477"/>
      <c r="AR133" s="2678">
        <v>0</v>
      </c>
    </row>
    <row s="67333" customFormat="1" customHeight="1" ht="17.25" hidden="1">
      <c r="A134" s="1532"/>
      <c r="C134" s="1531"/>
      <c r="D134" s="3347"/>
      <c r="E134" s="3355"/>
      <c r="F134" s="3357"/>
      <c r="G134" s="3355"/>
      <c r="H134" s="3360"/>
      <c r="I134" s="3362"/>
      <c r="J134" s="3365"/>
      <c r="K134" s="3349"/>
      <c r="L134" s="3159"/>
      <c r="M134" s="3159"/>
      <c r="N134" s="3159"/>
      <c r="O134" s="3159"/>
      <c r="P134" s="3159"/>
      <c r="Q134" s="3159"/>
      <c r="R134" s="3159"/>
      <c r="S134" s="1540"/>
      <c r="T134" s="1540"/>
      <c r="U134" s="1540"/>
      <c r="V134" s="1540"/>
      <c r="W134" s="3160"/>
      <c r="X134" s="2477"/>
      <c r="Y134" s="2477"/>
      <c r="Z134" s="2477"/>
      <c r="AA134" s="2477"/>
      <c r="AB134" s="2477"/>
      <c r="AC134" s="2477"/>
      <c r="AD134" s="2477"/>
      <c r="AE134" s="2477"/>
      <c r="AF134" s="2477"/>
      <c r="AG134" s="2477"/>
      <c r="AH134" s="2477"/>
      <c r="AI134" s="2477"/>
      <c r="AJ134" s="2477"/>
      <c r="AK134" s="2477"/>
      <c r="AL134" s="2477"/>
      <c r="AM134" s="2477"/>
      <c r="AN134" s="2477"/>
      <c r="AO134" s="2477"/>
      <c r="AP134" s="2477"/>
      <c r="AQ134" s="2477"/>
      <c r="AR134" s="2678">
        <v>0</v>
      </c>
    </row>
    <row s="67333" customFormat="1" customHeight="1" ht="17.25" hidden="1">
      <c r="A135" s="1532"/>
      <c r="C135" s="1531"/>
      <c r="D135" s="3347"/>
      <c r="E135" s="3355"/>
      <c r="F135" s="3358"/>
      <c r="G135" s="3355"/>
      <c r="H135" s="2510"/>
      <c r="I135" s="3157"/>
      <c r="J135" s="3157"/>
      <c r="K135" s="3157"/>
      <c r="L135" s="3157"/>
      <c r="M135" s="3157"/>
      <c r="N135" s="3157"/>
      <c r="O135" s="3157"/>
      <c r="P135" s="3157"/>
      <c r="Q135" s="3157"/>
      <c r="R135" s="3157"/>
      <c r="S135" s="2512"/>
      <c r="T135" s="2512"/>
      <c r="U135" s="2512"/>
      <c r="V135" s="2512"/>
      <c r="W135" s="3158"/>
      <c r="X135" s="2477"/>
      <c r="Y135" s="2477"/>
      <c r="Z135" s="2477"/>
      <c r="AA135" s="2477"/>
      <c r="AB135" s="2477"/>
      <c r="AC135" s="2477"/>
      <c r="AD135" s="2477"/>
      <c r="AE135" s="2477"/>
      <c r="AF135" s="2477"/>
      <c r="AG135" s="2477"/>
      <c r="AH135" s="2477"/>
      <c r="AI135" s="2477"/>
      <c r="AJ135" s="2477"/>
      <c r="AK135" s="2477"/>
      <c r="AL135" s="2477"/>
      <c r="AM135" s="2477"/>
      <c r="AN135" s="2477"/>
      <c r="AO135" s="2477"/>
      <c r="AP135" s="2477"/>
      <c r="AQ135" s="2477"/>
      <c r="AR135" s="2678">
        <v>0</v>
      </c>
    </row>
    <row customHeight="1" ht="11.549999999999999">
      <c r="AR136" s="1315">
        <v>11</v>
      </c>
    </row>
    <row customHeight="1" ht="11.549999999999999">
      <c r="AR137" s="1315">
        <v>11</v>
      </c>
    </row>
    <row customHeight="1" ht="11.549999999999999">
      <c r="AR138" s="1315">
        <v>11</v>
      </c>
    </row>
    <row customHeight="1" ht="11.549999999999999">
      <c r="E139" s="2561"/>
      <c r="AR139" s="1315">
        <v>11</v>
      </c>
    </row>
    <row customHeight="1" ht="11.549999999999999">
      <c r="E140" s="2561"/>
      <c r="AR140" s="1315">
        <v>11</v>
      </c>
    </row>
    <row customHeight="1" ht="11.549999999999999">
      <c r="E141" s="2561"/>
      <c r="AR141" s="1315">
        <v>11</v>
      </c>
    </row>
    <row customHeight="1" ht="11.549999999999999">
      <c r="E142" s="2561"/>
      <c r="AR142" s="1315">
        <v>11</v>
      </c>
    </row>
    <row customHeight="1" ht="11.549999999999999">
      <c r="E143" s="2561"/>
      <c r="AR143" s="1315">
        <v>11</v>
      </c>
    </row>
    <row customHeight="1" ht="11.549999999999999">
      <c r="E144" s="2561"/>
      <c r="AR144" s="1315">
        <v>11</v>
      </c>
    </row>
    <row customHeight="1" ht="11.549999999999999">
      <c r="E145" s="2561"/>
      <c r="AR145" s="1315">
        <v>11</v>
      </c>
    </row>
    <row customHeight="1" ht="11.25" hidden="1">
      <c r="A146" s="1364" t="s">
        <v>82</v>
      </c>
      <c r="B146" s="1364">
        <v>0</v>
      </c>
      <c r="C146" s="1315">
        <v>3</v>
      </c>
      <c r="D146" s="1315">
        <v>6</v>
      </c>
      <c r="E146" s="1315">
        <v>42</v>
      </c>
      <c r="F146" s="2494">
        <v>14</v>
      </c>
      <c r="G146" s="1315">
        <v>42</v>
      </c>
      <c r="H146" s="1315">
        <v>3</v>
      </c>
      <c r="I146" s="1315">
        <v>5</v>
      </c>
      <c r="J146" s="1315">
        <v>47</v>
      </c>
      <c r="K146" s="1315">
        <v>3</v>
      </c>
      <c r="L146" s="1315">
        <v>3</v>
      </c>
      <c r="M146" s="1315">
        <v>5</v>
      </c>
      <c r="N146" s="1315">
        <v>28</v>
      </c>
      <c r="O146" s="1315">
        <v>3</v>
      </c>
      <c r="P146" s="1315">
        <v>3</v>
      </c>
      <c r="Q146" s="1315">
        <v>5</v>
      </c>
      <c r="R146" s="1315">
        <v>34</v>
      </c>
      <c r="S146" s="1493">
        <v>0</v>
      </c>
      <c r="T146" s="1493">
        <v>0</v>
      </c>
      <c r="U146" s="1493">
        <v>0</v>
      </c>
      <c r="V146" s="1493">
        <v>0</v>
      </c>
      <c r="W146" s="1315">
        <v>30</v>
      </c>
      <c r="X146" s="1315">
        <v>3</v>
      </c>
      <c r="Y146" s="2470">
        <v>0</v>
      </c>
      <c r="Z146" s="2470">
        <v>0</v>
      </c>
      <c r="AA146" s="2470">
        <v>0</v>
      </c>
      <c r="AB146" s="2470">
        <v>0</v>
      </c>
      <c r="AC146" s="2470">
        <v>0</v>
      </c>
      <c r="AD146" s="2470">
        <v>0</v>
      </c>
      <c r="AE146" s="2470">
        <v>0</v>
      </c>
      <c r="AF146" s="2470">
        <v>0</v>
      </c>
      <c r="AG146" s="2470">
        <v>0</v>
      </c>
      <c r="AH146" s="2470">
        <v>0</v>
      </c>
      <c r="AI146" s="2470">
        <v>0</v>
      </c>
      <c r="AJ146" s="2470">
        <v>0</v>
      </c>
      <c r="AK146" s="2470">
        <v>0</v>
      </c>
      <c r="AL146" s="2470">
        <v>0</v>
      </c>
      <c r="AM146" s="2470">
        <v>0</v>
      </c>
      <c r="AN146" s="2470">
        <v>0</v>
      </c>
      <c r="AO146" s="2470">
        <v>0</v>
      </c>
      <c r="AP146" s="2470">
        <v>0</v>
      </c>
      <c r="AQ146" s="2470">
        <v>0</v>
      </c>
      <c r="AR146" s="131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3CAAD-81A2-59D9-95A6-94B20658B96B}" mc:Ignorable="x14ac xr xr2 xr3">
  <sheetPr>
    <tabColor theme="2" tint="-0.1"/>
  </sheetPr>
  <dimension ref="A1:AF30"/>
  <sheetViews>
    <sheetView showGridLines="0" zoomScale="90" workbookViewId="0">
      <pane xSplit="8" ySplit="18" topLeftCell="I19" activePane="bottomRight" state="frozen"/>
      <selection pane="bottomLeft" activeCell="A19" sqref="A19"/>
      <selection pane="topRight" activeCell="I1" sqref="I1"/>
      <selection pane="bottomRight" activeCell="S8" sqref="S8"/>
    </sheetView>
  </sheetViews>
  <sheetFormatPr defaultColWidth="10.57421875" customHeight="1" defaultRowHeight="15"/>
  <cols>
    <col min="1" max="1" style="67156" width="9.140625" hidden="1" customWidth="1"/>
    <col min="2" max="2" style="66903" width="9.140625" hidden="1" customWidth="1"/>
    <col min="3" max="3" style="66807" width="4.00390625" customWidth="1"/>
    <col min="4" max="4" style="66903" width="6.00390625" customWidth="1"/>
    <col min="5" max="5" style="66903" width="47.00390625" customWidth="1"/>
    <col min="6" max="6" style="66903" width="9.00390625" customWidth="1"/>
    <col min="7" max="7" style="66903" width="25.7109375" hidden="1" customWidth="1"/>
    <col min="8" max="8" style="66903" width="34.00390625" hidden="1" customWidth="1"/>
    <col min="9" max="9" style="66903" width="25.7109375" customWidth="1"/>
    <col min="10" max="10" style="66903" width="33.00390625" customWidth="1"/>
    <col min="11" max="11" style="66903" width="25.7109375" customWidth="1"/>
    <col min="12" max="12" style="66903" width="34.00390625" customWidth="1"/>
    <col min="13" max="13" style="66903" width="25.7109375" customWidth="1"/>
    <col min="14" max="14" style="66903" width="34.00390625" customWidth="1"/>
    <col min="15" max="15" style="66903" width="25.7109375" customWidth="1"/>
    <col min="16" max="16" style="66903" width="34.00390625" customWidth="1"/>
    <col min="17" max="17" style="66903" width="25.7109375" customWidth="1"/>
    <col min="18" max="18" style="66903" width="34.00390625" customWidth="1"/>
    <col min="19" max="19" style="66903" width="25.7109375" customWidth="1"/>
    <col min="20" max="20" style="66903" width="34.00390625" customWidth="1"/>
    <col min="21" max="21" style="66852" width="50.00390625" customWidth="1"/>
    <col min="22" max="30" style="66903" width="10.00390625" customWidth="1"/>
    <col min="31" max="31" style="66940" width="10.00390625" customWidth="1"/>
    <col min="32" max="32" style="66903" width="10.57421875" hidden="1"/>
  </cols>
  <sheetData>
    <row s="66852" customFormat="1" customHeight="1" ht="22.5" hidden="1">
      <c r="C1" s="1883"/>
      <c r="G1" s="1628">
        <v>4</v>
      </c>
      <c r="I1" s="1628">
        <v>4</v>
      </c>
      <c r="K1" s="13336">
        <v>4</v>
      </c>
      <c r="L1" s="13336"/>
      <c r="M1" s="13336">
        <v>4</v>
      </c>
      <c r="N1" s="13336"/>
      <c r="O1" s="13336">
        <v>4</v>
      </c>
      <c r="P1" s="13336"/>
      <c r="Q1" s="13336">
        <v>4</v>
      </c>
      <c r="R1" s="13336"/>
      <c r="S1" s="13336">
        <v>4</v>
      </c>
      <c r="T1" s="13336"/>
      <c r="AE1" s="1631"/>
      <c r="AF1" s="1628" t="s">
        <v>14</v>
      </c>
    </row>
    <row s="66903" customFormat="1" customHeight="1" ht="15" hidden="1">
      <c r="A2" s="1573"/>
      <c r="C2" s="1387"/>
      <c r="D2" s="1557"/>
      <c r="E2" s="1884"/>
      <c r="F2" s="1733"/>
      <c r="G2" s="1827"/>
      <c r="H2" s="1827"/>
      <c r="I2" s="1827"/>
      <c r="J2" s="1827"/>
      <c r="K2" s="14496"/>
      <c r="L2" s="14496"/>
      <c r="M2" s="14496"/>
      <c r="N2" s="14496"/>
      <c r="O2" s="14496"/>
      <c r="P2" s="14496"/>
      <c r="Q2" s="14496"/>
      <c r="R2" s="14496"/>
      <c r="S2" s="14496"/>
      <c r="T2" s="14496"/>
      <c r="AE2" s="1885"/>
      <c r="AF2" s="1720">
        <v>0</v>
      </c>
    </row>
    <row s="66852" customFormat="1" customHeight="1" ht="15" hidden="1">
      <c r="C3" s="1883"/>
      <c r="K3" s="13336"/>
      <c r="L3" s="13336"/>
      <c r="M3" s="13336"/>
      <c r="N3" s="13336"/>
      <c r="O3" s="13336"/>
      <c r="P3" s="13336"/>
      <c r="Q3" s="13336"/>
      <c r="R3" s="13336"/>
      <c r="S3" s="13336"/>
      <c r="T3" s="13336"/>
      <c r="AE3" s="1631"/>
      <c r="AF3" s="1628">
        <v>0</v>
      </c>
    </row>
    <row customHeight="1" ht="15.75">
      <c r="C4" s="1387"/>
      <c r="D4" s="1720"/>
      <c r="E4" s="1720"/>
      <c r="F4" s="1720"/>
      <c r="G4" s="1720"/>
      <c r="H4" s="1720"/>
      <c r="I4" s="1720"/>
      <c r="J4" s="1720"/>
      <c r="K4" s="13315"/>
      <c r="L4" s="13315"/>
      <c r="M4" s="13315"/>
      <c r="N4" s="13315"/>
      <c r="O4" s="13315"/>
      <c r="P4" s="13315"/>
      <c r="Q4" s="13315"/>
      <c r="R4" s="13315"/>
      <c r="S4" s="13315"/>
      <c r="T4" s="13315"/>
      <c r="AF4" s="1716">
        <v>15</v>
      </c>
    </row>
    <row customHeight="1" ht="66">
      <c r="C5" s="1387"/>
      <c r="D5" s="3448" t="s">
        <v>1365</v>
      </c>
      <c r="E5" s="3448"/>
      <c r="F5" s="3448"/>
      <c r="G5" s="3448"/>
      <c r="H5" s="3448"/>
      <c r="I5" s="3448"/>
      <c r="J5" s="3448"/>
      <c r="K5" s="13347"/>
      <c r="L5" s="13347"/>
      <c r="M5" s="13347"/>
      <c r="N5" s="13347"/>
      <c r="O5" s="13347"/>
      <c r="P5" s="13347"/>
      <c r="Q5" s="13347"/>
      <c r="R5" s="13347"/>
      <c r="S5" s="13347"/>
      <c r="T5" s="13347"/>
      <c r="AF5" s="1716">
        <v>63</v>
      </c>
    </row>
    <row customHeight="1" ht="15.75">
      <c r="C6" s="1387"/>
      <c r="D6" s="3387" t="str">
        <f>IF(org=0,"Не определено",org)</f>
        <v>ПАО "ТГК-2"</v>
      </c>
      <c r="E6" s="3387"/>
      <c r="F6" s="3387"/>
      <c r="G6" s="3387"/>
      <c r="H6" s="3387"/>
      <c r="I6" s="3387"/>
      <c r="J6" s="3387"/>
      <c r="K6" s="13349"/>
      <c r="L6" s="13349"/>
      <c r="M6" s="13349"/>
      <c r="N6" s="13349"/>
      <c r="O6" s="13349"/>
      <c r="P6" s="13349"/>
      <c r="Q6" s="13349"/>
      <c r="R6" s="13349"/>
      <c r="S6" s="13349"/>
      <c r="T6" s="13349"/>
      <c r="U6" s="1748"/>
      <c r="AF6" s="1716">
        <v>15</v>
      </c>
    </row>
    <row customHeight="1" ht="15.75">
      <c r="C7" s="1387"/>
      <c r="D7" s="1963"/>
      <c r="E7" s="1720"/>
      <c r="F7" s="1720"/>
      <c r="G7" s="1748">
        <v>22</v>
      </c>
      <c r="I7" s="1748">
        <v>1</v>
      </c>
      <c r="J7" s="1963"/>
      <c r="K7" s="13336" t="s">
        <v>22</v>
      </c>
      <c r="L7" s="13315"/>
      <c r="M7" s="13336" t="s">
        <v>22</v>
      </c>
      <c r="N7" s="13315"/>
      <c r="O7" s="13336" t="s">
        <v>22</v>
      </c>
      <c r="P7" s="13315"/>
      <c r="Q7" s="13336" t="s">
        <v>22</v>
      </c>
      <c r="R7" s="13315"/>
      <c r="S7" s="13336" t="s">
        <v>22</v>
      </c>
      <c r="T7" s="13315"/>
      <c r="AF7" s="1716">
        <v>15</v>
      </c>
    </row>
    <row s="66903" customFormat="1" customHeight="1" ht="1.05">
      <c r="A8" s="1970"/>
      <c r="C8" s="1387"/>
      <c r="D8" s="1720"/>
      <c r="E8" s="1720"/>
      <c r="F8" s="1720"/>
      <c r="G8" s="1748"/>
      <c r="H8" s="1963"/>
      <c r="I8" s="1748" t="s">
        <v>128</v>
      </c>
      <c r="J8" s="1963"/>
      <c r="K8" s="13336" t="s">
        <v>132</v>
      </c>
      <c r="L8" s="13704"/>
      <c r="M8" s="13336" t="s">
        <v>134</v>
      </c>
      <c r="N8" s="13704"/>
      <c r="O8" s="13336" t="s">
        <v>136</v>
      </c>
      <c r="P8" s="13704"/>
      <c r="Q8" s="13336" t="s">
        <v>138</v>
      </c>
      <c r="R8" s="13704"/>
      <c r="S8" s="13336" t="s">
        <v>139</v>
      </c>
      <c r="T8" s="13704"/>
      <c r="U8" s="1628"/>
      <c r="AE8" s="1886"/>
      <c r="AF8" s="1969">
        <v>1</v>
      </c>
    </row>
    <row customHeight="1" ht="15.75">
      <c r="C9" s="1387"/>
      <c r="D9" s="1922"/>
      <c r="E9" s="3578" t="s">
        <v>118</v>
      </c>
      <c r="F9" s="3579"/>
      <c r="G9" s="3606" t="str">
        <f>IF(G8="","",INDEX(DIFFERENTIATION_UNMERGE_VD,MATCH(G8,DIFFERENTIATION_ID_DIFF,0)))</f>
        <v/>
      </c>
      <c r="H9" s="3607"/>
      <c r="I9" s="3606"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3607"/>
      <c r="K9" s="13810" t="str">
        <f>IF(K8="","",INDEX(DIFFERENTIATION_UNMERGE_VD,MATCH(K8,DIFFERENTIATION_ID_DIFF,0)))</f>
        <v>Производство тепловой энергии. Комбинированная выработка с уст. мощностью производства электрической энергии 25 МВт и более</v>
      </c>
      <c r="L9" s="13811"/>
      <c r="M9" s="13810" t="str">
        <f>IF(M8="","",INDEX(DIFFERENTIATION_UNMERGE_VD,MATCH(M8,DIFFERENTIATION_ID_DIFF,0)))</f>
        <v>Производство тепловой энергии. Некомбинированная выработка</v>
      </c>
      <c r="N9" s="13811"/>
      <c r="O9" s="13810" t="str">
        <f>IF(O8="","",INDEX(DIFFERENTIATION_UNMERGE_VD,MATCH(O8,DIFFERENTIATION_ID_DIFF,0)))</f>
        <v>Передача. Тепловая энергия; Сбыт. Тепловая энергия</v>
      </c>
      <c r="P9" s="13811"/>
      <c r="Q9" s="13810" t="str">
        <f>IF(Q8="","",INDEX(DIFFERENTIATION_UNMERGE_VD,MATCH(Q8,DIFFERENTIATION_ID_DIFF,0)))</f>
        <v>Передача. Тепловая энергия; Сбыт. Тепловая энергия</v>
      </c>
      <c r="R9" s="13811"/>
      <c r="S9" s="13810" t="str">
        <f>IF(S8="","",INDEX(DIFFERENTIATION_UNMERGE_VD,MATCH(S8,DIFFERENTIATION_ID_DIFF,0)))</f>
        <v>Производство. Теплоноситель; Сбыт. Теплоноситель</v>
      </c>
      <c r="T9" s="13811"/>
      <c r="U9" s="3386" t="s">
        <v>319</v>
      </c>
      <c r="AF9" s="1716">
        <v>15</v>
      </c>
    </row>
    <row s="66903" customFormat="1" customHeight="1" ht="15.75">
      <c r="A10" s="1970"/>
      <c r="C10" s="1387"/>
      <c r="D10" s="1922"/>
      <c r="E10" s="3578" t="s">
        <v>582</v>
      </c>
      <c r="F10" s="3579"/>
      <c r="G10" s="3606" t="str">
        <f>IF(G8="","",INDEX(DIFFERENTIATION_UNMERGE_AREA,MATCH(G8,DIFFERENTIATION_ID_DIFF,0)))</f>
        <v/>
      </c>
      <c r="H10" s="3607"/>
      <c r="I10" s="3606" t="str">
        <f>IF(I8="","",INDEX(DIFFERENTIATION_UNMERGE_AREA,MATCH(I8,DIFFERENTIATION_ID_DIFF,0)))</f>
        <v>Территория 1</v>
      </c>
      <c r="J10" s="3607"/>
      <c r="K10" s="13810" t="str">
        <f>IF(K8="","",INDEX(DIFFERENTIATION_UNMERGE_AREA,MATCH(K8,DIFFERENTIATION_ID_DIFF,0)))</f>
        <v>Территория 2</v>
      </c>
      <c r="L10" s="13811"/>
      <c r="M10" s="13810" t="str">
        <f>IF(M8="","",INDEX(DIFFERENTIATION_UNMERGE_AREA,MATCH(M8,DIFFERENTIATION_ID_DIFF,0)))</f>
        <v>Территория 1</v>
      </c>
      <c r="N10" s="13811"/>
      <c r="O10" s="13810" t="str">
        <f>IF(O8="","",INDEX(DIFFERENTIATION_UNMERGE_AREA,MATCH(O8,DIFFERENTIATION_ID_DIFF,0)))</f>
        <v>Территория 1</v>
      </c>
      <c r="P10" s="13811"/>
      <c r="Q10" s="13810" t="str">
        <f>IF(Q8="","",INDEX(DIFFERENTIATION_UNMERGE_AREA,MATCH(Q8,DIFFERENTIATION_ID_DIFF,0)))</f>
        <v>Территория 2</v>
      </c>
      <c r="R10" s="13811"/>
      <c r="S10" s="13810" t="str">
        <f>IF(S8="","",INDEX(DIFFERENTIATION_UNMERGE_AREA,MATCH(S8,DIFFERENTIATION_ID_DIFF,0)))</f>
        <v>Территория 2</v>
      </c>
      <c r="T10" s="13811"/>
      <c r="U10" s="3410"/>
      <c r="AE10" s="1886"/>
      <c r="AF10" s="1969">
        <v>15</v>
      </c>
    </row>
    <row s="66903" customFormat="1" customHeight="1" ht="15.75">
      <c r="A11" s="1970"/>
      <c r="C11" s="1387"/>
      <c r="D11" s="1922"/>
      <c r="E11" s="3578" t="s">
        <v>583</v>
      </c>
      <c r="F11" s="3579"/>
      <c r="G11" s="3606" t="str">
        <f>IF(G8="","",INDEX(DIFFERENTIATION_UNMERGE_SYSTEM,MATCH(G8,DIFFERENTIATION_ID_DIFF,0)))</f>
        <v/>
      </c>
      <c r="H11" s="3607"/>
      <c r="I11" s="3606" t="str">
        <f>IF(I8="","",INDEX(DIFFERENTIATION_UNMERGE_SYSTEM,MATCH(I8,DIFFERENTIATION_ID_DIFF,0)))</f>
        <v>без дифференциации</v>
      </c>
      <c r="J11" s="3607"/>
      <c r="K11" s="13810" t="str">
        <f>IF(K8="","",INDEX(DIFFERENTIATION_UNMERGE_SYSTEM,MATCH(K8,DIFFERENTIATION_ID_DIFF,0)))</f>
        <v>без дифференциации</v>
      </c>
      <c r="L11" s="13811"/>
      <c r="M11" s="13810" t="str">
        <f>IF(M8="","",INDEX(DIFFERENTIATION_UNMERGE_SYSTEM,MATCH(M8,DIFFERENTIATION_ID_DIFF,0)))</f>
        <v>без дифференциации</v>
      </c>
      <c r="N11" s="13811"/>
      <c r="O11" s="13810" t="str">
        <f>IF(O8="","",INDEX(DIFFERENTIATION_UNMERGE_SYSTEM,MATCH(O8,DIFFERENTIATION_ID_DIFF,0)))</f>
        <v>без дифференциации</v>
      </c>
      <c r="P11" s="13811"/>
      <c r="Q11" s="13810" t="str">
        <f>IF(Q8="","",INDEX(DIFFERENTIATION_UNMERGE_SYSTEM,MATCH(Q8,DIFFERENTIATION_ID_DIFF,0)))</f>
        <v>без дифференциации</v>
      </c>
      <c r="R11" s="13811"/>
      <c r="S11" s="13810" t="str">
        <f>IF(S8="","",INDEX(DIFFERENTIATION_UNMERGE_SYSTEM,MATCH(S8,DIFFERENTIATION_ID_DIFF,0)))</f>
        <v>без дифференциации</v>
      </c>
      <c r="T11" s="13811"/>
      <c r="U11" s="3410"/>
      <c r="AE11" s="1886"/>
      <c r="AF11" s="1969">
        <v>15</v>
      </c>
    </row>
    <row s="66903" customFormat="1" customHeight="1" ht="15.75">
      <c r="A12" s="1970"/>
      <c r="C12" s="1387"/>
      <c r="D12" s="3580" t="s">
        <v>318</v>
      </c>
      <c r="E12" s="3581"/>
      <c r="F12" s="3581"/>
      <c r="G12" s="2098"/>
      <c r="H12" s="2098"/>
      <c r="I12" s="2098"/>
      <c r="J12" s="2098"/>
      <c r="K12" s="13362"/>
      <c r="L12" s="13362"/>
      <c r="M12" s="13362"/>
      <c r="N12" s="13362"/>
      <c r="O12" s="13362"/>
      <c r="P12" s="13362"/>
      <c r="Q12" s="13362"/>
      <c r="R12" s="13362"/>
      <c r="S12" s="13362"/>
      <c r="T12" s="13362"/>
      <c r="U12" s="3410"/>
      <c r="AE12" s="1886"/>
      <c r="AF12" s="1969">
        <v>15</v>
      </c>
    </row>
    <row customHeight="1" ht="35.699999999999996">
      <c r="C13" s="1387"/>
      <c r="D13" s="2016" t="s">
        <v>88</v>
      </c>
      <c r="E13" s="2018" t="s">
        <v>320</v>
      </c>
      <c r="F13" s="2018" t="s">
        <v>584</v>
      </c>
      <c r="G13" s="2019" t="s">
        <v>321</v>
      </c>
      <c r="H13" s="2018" t="s">
        <v>408</v>
      </c>
      <c r="I13" s="2019" t="s">
        <v>321</v>
      </c>
      <c r="J13" s="2018" t="s">
        <v>408</v>
      </c>
      <c r="K13" s="13602" t="s">
        <v>321</v>
      </c>
      <c r="L13" s="13321" t="s">
        <v>408</v>
      </c>
      <c r="M13" s="13602" t="s">
        <v>321</v>
      </c>
      <c r="N13" s="13321" t="s">
        <v>408</v>
      </c>
      <c r="O13" s="13602" t="s">
        <v>321</v>
      </c>
      <c r="P13" s="13321" t="s">
        <v>408</v>
      </c>
      <c r="Q13" s="13602" t="s">
        <v>321</v>
      </c>
      <c r="R13" s="13321" t="s">
        <v>408</v>
      </c>
      <c r="S13" s="13602" t="s">
        <v>321</v>
      </c>
      <c r="T13" s="13321" t="s">
        <v>408</v>
      </c>
      <c r="U13" s="3443"/>
      <c r="AF13" s="1716">
        <v>34</v>
      </c>
    </row>
    <row customHeight="1" ht="15" hidden="1">
      <c r="C14" s="1387"/>
      <c r="D14" s="1804" t="s">
        <v>99</v>
      </c>
      <c r="E14" s="1804" t="s">
        <v>102</v>
      </c>
      <c r="F14" s="1804" t="s">
        <v>90</v>
      </c>
      <c r="G14" s="1870" t="str">
        <f>G1&amp;".1"</f>
        <v>4.1</v>
      </c>
      <c r="H14" s="1870"/>
      <c r="I14" s="1870" t="str">
        <f>I1&amp;".1"</f>
        <v>4.1</v>
      </c>
      <c r="J14" s="1870"/>
      <c r="K14" s="13818" t="str">
        <f>K1&amp;".1"</f>
        <v>4.1</v>
      </c>
      <c r="L14" s="13818"/>
      <c r="M14" s="13818" t="str">
        <f>M1&amp;".1"</f>
        <v>4.1</v>
      </c>
      <c r="N14" s="13818"/>
      <c r="O14" s="13818" t="str">
        <f>O1&amp;".1"</f>
        <v>4.1</v>
      </c>
      <c r="P14" s="13818"/>
      <c r="Q14" s="13818" t="str">
        <f>Q1&amp;".1"</f>
        <v>4.1</v>
      </c>
      <c r="R14" s="13818"/>
      <c r="S14" s="13818" t="str">
        <f>S1&amp;".1"</f>
        <v>4.1</v>
      </c>
      <c r="T14" s="13818"/>
      <c r="U14" s="1500"/>
      <c r="AF14" s="1716">
        <v>0</v>
      </c>
    </row>
    <row customHeight="1" ht="22.5" hidden="1">
      <c r="A15" s="1716"/>
      <c r="C15" s="1737"/>
      <c r="D15" s="1732">
        <v>1</v>
      </c>
      <c r="E15" s="1888" t="s">
        <v>979</v>
      </c>
      <c r="F15" s="1732" t="s">
        <v>980</v>
      </c>
      <c r="G15" s="1889"/>
      <c r="H15" s="1889"/>
      <c r="I15" s="1889"/>
      <c r="J15" s="1889"/>
      <c r="K15" s="14501"/>
      <c r="L15" s="14501"/>
      <c r="M15" s="14501"/>
      <c r="N15" s="14501"/>
      <c r="O15" s="14501"/>
      <c r="P15" s="14501"/>
      <c r="Q15" s="14501"/>
      <c r="R15" s="14501"/>
      <c r="S15" s="14501"/>
      <c r="T15" s="14501"/>
      <c r="U15" s="1500" t="s">
        <v>981</v>
      </c>
      <c r="AF15" s="1716">
        <v>0</v>
      </c>
    </row>
    <row customHeight="1" ht="22.5" hidden="1">
      <c r="A16" s="1716"/>
      <c r="C16" s="1737"/>
      <c r="D16" s="1732">
        <v>2</v>
      </c>
      <c r="E16" s="1490" t="s">
        <v>982</v>
      </c>
      <c r="F16" s="1732" t="s">
        <v>983</v>
      </c>
      <c r="G16" s="1889"/>
      <c r="H16" s="1889"/>
      <c r="I16" s="1889"/>
      <c r="J16" s="1889"/>
      <c r="K16" s="14501"/>
      <c r="L16" s="14501"/>
      <c r="M16" s="14501"/>
      <c r="N16" s="14501"/>
      <c r="O16" s="14501"/>
      <c r="P16" s="14501"/>
      <c r="Q16" s="14501"/>
      <c r="R16" s="14501"/>
      <c r="S16" s="14501"/>
      <c r="T16" s="14501"/>
      <c r="U16" s="1500" t="s">
        <v>984</v>
      </c>
      <c r="AF16" s="1716">
        <v>0</v>
      </c>
    </row>
    <row customHeight="1" ht="123.75" hidden="1">
      <c r="A17" s="1716"/>
      <c r="C17" s="1737"/>
      <c r="D17" s="1732">
        <v>3</v>
      </c>
      <c r="E17" s="1490" t="s">
        <v>1366</v>
      </c>
      <c r="F17" s="1732" t="s">
        <v>324</v>
      </c>
      <c r="G17" s="1889"/>
      <c r="H17" s="1889"/>
      <c r="I17" s="1889"/>
      <c r="J17" s="1889"/>
      <c r="K17" s="14501"/>
      <c r="L17" s="14501"/>
      <c r="M17" s="14501"/>
      <c r="N17" s="14501"/>
      <c r="O17" s="14501"/>
      <c r="P17" s="14501"/>
      <c r="Q17" s="14501"/>
      <c r="R17" s="14501"/>
      <c r="S17" s="14501"/>
      <c r="T17" s="14501"/>
      <c r="U17" s="1500" t="s">
        <v>1367</v>
      </c>
      <c r="AF17" s="1716">
        <v>0</v>
      </c>
    </row>
    <row customHeight="1" ht="48.29999999999999">
      <c r="A18" s="1716"/>
      <c r="C18" s="1737"/>
      <c r="D18" s="1732">
        <v>3</v>
      </c>
      <c r="E18" s="1490" t="s">
        <v>985</v>
      </c>
      <c r="F18" s="1732" t="s">
        <v>324</v>
      </c>
      <c r="G18" s="2020" t="s">
        <v>324</v>
      </c>
      <c r="H18" s="2021" t="s">
        <v>324</v>
      </c>
      <c r="I18" s="1732" t="s">
        <v>324</v>
      </c>
      <c r="J18" s="1789" t="s">
        <v>324</v>
      </c>
      <c r="K18" s="13321" t="s">
        <v>324</v>
      </c>
      <c r="L18" s="13741" t="s">
        <v>324</v>
      </c>
      <c r="M18" s="13321" t="s">
        <v>324</v>
      </c>
      <c r="N18" s="13741" t="s">
        <v>324</v>
      </c>
      <c r="O18" s="13321" t="s">
        <v>324</v>
      </c>
      <c r="P18" s="13741" t="s">
        <v>324</v>
      </c>
      <c r="Q18" s="13321" t="s">
        <v>324</v>
      </c>
      <c r="R18" s="13741" t="s">
        <v>324</v>
      </c>
      <c r="S18" s="13321" t="s">
        <v>324</v>
      </c>
      <c r="T18" s="13741" t="s">
        <v>324</v>
      </c>
      <c r="U18" s="1500" t="s">
        <v>1368</v>
      </c>
      <c r="AF18" s="1716">
        <v>46</v>
      </c>
    </row>
    <row customHeight="1" ht="35.699999999999996">
      <c r="A19" s="1716"/>
      <c r="C19" s="1737"/>
      <c r="D19" s="1750" t="s">
        <v>342</v>
      </c>
      <c r="E19" s="1770" t="s">
        <v>987</v>
      </c>
      <c r="F19" s="1732" t="s">
        <v>988</v>
      </c>
      <c r="G19" s="2028"/>
      <c r="H19" s="1317"/>
      <c r="I19" s="2028"/>
      <c r="J19" s="2029"/>
      <c r="K19" s="13733"/>
      <c r="L19" s="13731"/>
      <c r="M19" s="13733"/>
      <c r="N19" s="13731"/>
      <c r="O19" s="13733"/>
      <c r="P19" s="13731"/>
      <c r="Q19" s="13733"/>
      <c r="R19" s="13731"/>
      <c r="S19" s="13733"/>
      <c r="T19" s="13731"/>
      <c r="U19" s="1890"/>
      <c r="AF19" s="1716">
        <v>34</v>
      </c>
    </row>
    <row customHeight="1" ht="35.699999999999996">
      <c r="A20" s="1716"/>
      <c r="C20" s="1737"/>
      <c r="D20" s="3101" t="s">
        <v>350</v>
      </c>
      <c r="E20" s="1770" t="s">
        <v>989</v>
      </c>
      <c r="F20" s="1732" t="s">
        <v>990</v>
      </c>
      <c r="G20" s="2028"/>
      <c r="H20" s="1317"/>
      <c r="I20" s="2028"/>
      <c r="J20" s="1317"/>
      <c r="K20" s="13733"/>
      <c r="L20" s="13731"/>
      <c r="M20" s="13733"/>
      <c r="N20" s="13731"/>
      <c r="O20" s="13733"/>
      <c r="P20" s="13731"/>
      <c r="Q20" s="13733"/>
      <c r="R20" s="13731"/>
      <c r="S20" s="13733"/>
      <c r="T20" s="13731"/>
      <c r="U20" s="1890"/>
      <c r="AF20" s="1716">
        <v>34</v>
      </c>
    </row>
    <row customHeight="1" ht="48.29999999999999">
      <c r="A21" s="1716"/>
      <c r="C21" s="1737"/>
      <c r="D21" s="3101" t="s">
        <v>352</v>
      </c>
      <c r="E21" s="1770" t="s">
        <v>991</v>
      </c>
      <c r="F21" s="1732" t="s">
        <v>595</v>
      </c>
      <c r="G21" s="1891"/>
      <c r="H21" s="1317"/>
      <c r="I21" s="1891"/>
      <c r="J21" s="1317"/>
      <c r="K21" s="13735"/>
      <c r="L21" s="13731"/>
      <c r="M21" s="13735"/>
      <c r="N21" s="13731"/>
      <c r="O21" s="13735"/>
      <c r="P21" s="13731"/>
      <c r="Q21" s="13735"/>
      <c r="R21" s="13731"/>
      <c r="S21" s="13735"/>
      <c r="T21" s="13731"/>
      <c r="U21" s="1890"/>
      <c r="AF21" s="1716">
        <v>46</v>
      </c>
    </row>
    <row customHeight="1" ht="67.5" hidden="1">
      <c r="A22" s="1716"/>
      <c r="C22" s="1737"/>
      <c r="D22" s="1732">
        <v>5</v>
      </c>
      <c r="E22" s="1490" t="s">
        <v>1369</v>
      </c>
      <c r="F22" s="1732" t="s">
        <v>576</v>
      </c>
      <c r="G22" s="1892"/>
      <c r="H22" s="1893"/>
      <c r="I22" s="1892"/>
      <c r="J22" s="1893"/>
      <c r="K22" s="14509"/>
      <c r="L22" s="14510"/>
      <c r="M22" s="14509"/>
      <c r="N22" s="14510"/>
      <c r="O22" s="14509"/>
      <c r="P22" s="14510"/>
      <c r="Q22" s="14509"/>
      <c r="R22" s="14510"/>
      <c r="S22" s="14509"/>
      <c r="T22" s="14510"/>
      <c r="U22" s="1500" t="s">
        <v>1370</v>
      </c>
      <c r="AF22" s="1716">
        <v>0</v>
      </c>
    </row>
    <row customHeight="1" ht="33.75" hidden="1">
      <c r="C23" s="1662"/>
      <c r="D23" s="1732">
        <v>6</v>
      </c>
      <c r="E23" s="1490" t="s">
        <v>1371</v>
      </c>
      <c r="F23" s="1732" t="s">
        <v>1372</v>
      </c>
      <c r="G23" s="1892"/>
      <c r="H23" s="1892"/>
      <c r="I23" s="1892"/>
      <c r="J23" s="1892"/>
      <c r="K23" s="14509"/>
      <c r="L23" s="14509"/>
      <c r="M23" s="14509"/>
      <c r="N23" s="14509"/>
      <c r="O23" s="14509"/>
      <c r="P23" s="14509"/>
      <c r="Q23" s="14509"/>
      <c r="R23" s="14509"/>
      <c r="S23" s="14509"/>
      <c r="T23" s="14509"/>
      <c r="U23" s="1500" t="s">
        <v>1373</v>
      </c>
      <c r="AF23" s="1716">
        <v>0</v>
      </c>
    </row>
    <row customHeight="1" ht="15.75">
      <c r="K24" s="13315"/>
      <c r="L24" s="13315"/>
      <c r="M24" s="13315"/>
      <c r="N24" s="13315"/>
      <c r="O24" s="13315"/>
      <c r="P24" s="13315"/>
      <c r="Q24" s="13315"/>
      <c r="R24" s="13315"/>
      <c r="S24" s="13315"/>
      <c r="T24" s="13315"/>
      <c r="AF24" s="1716">
        <v>15</v>
      </c>
    </row>
    <row customHeight="1" ht="15.75">
      <c r="K25" s="13315"/>
      <c r="L25" s="13315"/>
      <c r="M25" s="13315"/>
      <c r="N25" s="13315"/>
      <c r="O25" s="13315"/>
      <c r="P25" s="13315"/>
      <c r="Q25" s="13315"/>
      <c r="R25" s="13315"/>
      <c r="S25" s="13315"/>
      <c r="T25" s="13315"/>
      <c r="AF25" s="1716">
        <v>15</v>
      </c>
    </row>
    <row customHeight="1" ht="15.75">
      <c r="K26" s="13315"/>
      <c r="L26" s="13315"/>
      <c r="M26" s="13315"/>
      <c r="N26" s="13315"/>
      <c r="O26" s="13315"/>
      <c r="P26" s="13315"/>
      <c r="Q26" s="13315"/>
      <c r="R26" s="13315"/>
      <c r="S26" s="13315"/>
      <c r="T26" s="13315"/>
      <c r="AF26" s="1716">
        <v>15</v>
      </c>
    </row>
    <row customHeight="1" ht="15.75">
      <c r="K27" s="13315"/>
      <c r="L27" s="13315"/>
      <c r="M27" s="13315"/>
      <c r="N27" s="13315"/>
      <c r="O27" s="13315"/>
      <c r="P27" s="13315"/>
      <c r="Q27" s="13315"/>
      <c r="R27" s="13315"/>
      <c r="S27" s="13315"/>
      <c r="T27" s="13315"/>
      <c r="AF27" s="1716">
        <v>15</v>
      </c>
    </row>
    <row customHeight="1" ht="15.75">
      <c r="K28" s="13315"/>
      <c r="L28" s="13315"/>
      <c r="M28" s="13315"/>
      <c r="N28" s="13315"/>
      <c r="O28" s="13315"/>
      <c r="P28" s="13315"/>
      <c r="Q28" s="13315"/>
      <c r="R28" s="13315"/>
      <c r="S28" s="13315"/>
      <c r="T28" s="13315"/>
      <c r="AF28" s="1716">
        <v>15</v>
      </c>
    </row>
    <row customHeight="1" ht="15.75">
      <c r="J29" s="2030"/>
      <c r="K29" s="13315"/>
      <c r="L29" s="13315"/>
      <c r="M29" s="13315"/>
      <c r="N29" s="13315"/>
      <c r="O29" s="13315"/>
      <c r="P29" s="13315"/>
      <c r="Q29" s="13315"/>
      <c r="R29" s="13315"/>
      <c r="S29" s="13315"/>
      <c r="T29" s="13315"/>
      <c r="AF29" s="1716">
        <v>15</v>
      </c>
    </row>
    <row customHeight="1" ht="22.5" hidden="1">
      <c r="A30" s="1660" t="s">
        <v>82</v>
      </c>
      <c r="B30" s="1716">
        <v>0</v>
      </c>
      <c r="C30" s="1894">
        <v>4</v>
      </c>
      <c r="D30" s="1716">
        <v>6</v>
      </c>
      <c r="E30" s="1716">
        <v>47</v>
      </c>
      <c r="F30" s="1716">
        <v>9</v>
      </c>
      <c r="G30" s="1969">
        <v>0</v>
      </c>
      <c r="H30" s="1969">
        <v>0</v>
      </c>
      <c r="I30" s="1716">
        <v>25</v>
      </c>
      <c r="J30" s="1716">
        <v>33</v>
      </c>
      <c r="K30" s="13315">
        <v>0</v>
      </c>
      <c r="L30" s="13315">
        <v>0</v>
      </c>
      <c r="M30" s="13315">
        <v>0</v>
      </c>
      <c r="N30" s="13315">
        <v>0</v>
      </c>
      <c r="O30" s="13315">
        <v>0</v>
      </c>
      <c r="P30" s="13315">
        <v>0</v>
      </c>
      <c r="Q30" s="13315">
        <v>0</v>
      </c>
      <c r="R30" s="13315">
        <v>0</v>
      </c>
      <c r="S30" s="13315">
        <v>0</v>
      </c>
      <c r="T30" s="13315">
        <v>0</v>
      </c>
      <c r="U30" s="1628">
        <v>50</v>
      </c>
      <c r="V30" s="1716">
        <v>10</v>
      </c>
      <c r="W30" s="1716">
        <v>10</v>
      </c>
      <c r="X30" s="1716">
        <v>10</v>
      </c>
      <c r="Y30" s="1716">
        <v>10</v>
      </c>
      <c r="Z30" s="1716">
        <v>10</v>
      </c>
      <c r="AA30" s="1716">
        <v>10</v>
      </c>
      <c r="AB30" s="1716">
        <v>10</v>
      </c>
      <c r="AC30" s="1716">
        <v>10</v>
      </c>
      <c r="AD30" s="1716">
        <v>10</v>
      </c>
      <c r="AE30" s="1886">
        <v>10</v>
      </c>
      <c r="AF30" s="1716">
        <v>23</v>
      </c>
    </row>
  </sheetData>
  <sheetProtection formatColumns="0" formatRows="0" autoFilter="0" sort="0" insertRows="0" insertColumns="1" deleteRows="0" deleteColumns="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DDC44C9-0315-29A1-A6EE-AA98A67C3F8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67052" width="32.57421875" customWidth="1"/>
    <col min="2" max="2" style="67502" width="11.00390625" customWidth="1"/>
    <col min="3" max="3" style="67502" width="9.140625"/>
    <col min="4" max="4" style="67502" width="26.57421875" customWidth="1"/>
    <col min="5" max="5" style="67275" width="36.8515625" customWidth="1"/>
    <col min="6" max="6" style="67275" width="23.57421875" customWidth="1"/>
    <col min="7" max="7" style="67275" width="31.421875" customWidth="1"/>
    <col min="8" max="8" style="67275" width="40.8515625" customWidth="1"/>
    <col min="9" max="9" style="67275" width="14.57421875" customWidth="1"/>
    <col min="10" max="10" style="67275" width="26.8515625" customWidth="1"/>
    <col min="11" max="11" style="67275" width="50.00390625" customWidth="1"/>
    <col min="12" max="12" style="67275" width="52.421875" customWidth="1"/>
    <col min="13" max="13" style="67275" width="10.7109375" customWidth="1"/>
    <col min="14" max="14" style="67275" width="55.140625" customWidth="1"/>
    <col min="15" max="15" style="67275" width="31.8515625" customWidth="1"/>
    <col min="16" max="16" style="67275" width="23.8515625" customWidth="1"/>
    <col min="17" max="17" style="67275" width="46.57421875" customWidth="1"/>
    <col min="18" max="18" style="67275" width="24.00390625" customWidth="1"/>
    <col min="19" max="19" style="67275" width="20.57421875" customWidth="1"/>
    <col min="20" max="20" style="67275" width="22.00390625" customWidth="1"/>
    <col min="21" max="22" style="67275" width="26.421875" customWidth="1"/>
    <col min="23" max="23" style="67275" width="8.28125" hidden="1" customWidth="1"/>
    <col min="24" max="24" style="67275" width="59.7109375" customWidth="1"/>
    <col min="25" max="25" style="67275" width="49.140625" customWidth="1"/>
    <col min="26" max="26" style="67275" width="11.140625" customWidth="1"/>
    <col min="27" max="30" style="67275" width="29.00390625" customWidth="1"/>
    <col min="31" max="31" style="67275" width="9.140625"/>
    <col min="32" max="32" style="67275" width="34.7109375" customWidth="1"/>
    <col min="33" max="33" style="67275" width="9.140625"/>
    <col min="34" max="35" style="67275" width="34.421875" customWidth="1"/>
    <col min="36" max="36" style="67275" width="9.140625"/>
    <col min="37" max="37" style="67275" width="24.57421875" customWidth="1"/>
    <col min="38" max="38" style="67275" width="9.140625"/>
    <col min="39" max="39" style="67275" width="26.140625" customWidth="1"/>
    <col min="40" max="40" style="67275" width="1.7109375" customWidth="1"/>
    <col min="41" max="41" style="67275" width="9.140625"/>
    <col min="42" max="43" style="67275" width="47.8515625" customWidth="1"/>
    <col min="44" max="44" style="67275" width="1.7109375" customWidth="1"/>
    <col min="45" max="45" style="67275" width="21.421875" customWidth="1"/>
    <col min="46" max="46" style="67275" width="1.7109375" customWidth="1"/>
    <col min="47" max="47" style="67275" width="31.28125" customWidth="1"/>
    <col min="48" max="48" style="67275" width="1.7109375" customWidth="1"/>
    <col min="49" max="50" style="67275" width="9.140625"/>
    <col min="51" max="51" style="67275" width="3.7109375" customWidth="1"/>
    <col min="52" max="52" style="67275" width="60.8515625" customWidth="1"/>
    <col min="53" max="53" style="67275" width="49.28125" customWidth="1"/>
    <col min="54" max="54" style="67275" width="35.140625" customWidth="1"/>
    <col min="55" max="55" style="67275" width="9.140625"/>
    <col min="56" max="56" style="67275" width="1.7109375" customWidth="1"/>
    <col min="57" max="57" style="67053" width="12.57421875" customWidth="1"/>
    <col min="58" max="58" style="67053" width="14.28125" customWidth="1"/>
    <col min="59" max="59" style="67275" width="30.7109375" customWidth="1"/>
    <col min="60" max="60" style="67281" width="40.7109375" customWidth="1"/>
    <col min="61" max="61" style="67281" width="15.00390625" customWidth="1"/>
    <col min="62" max="62" style="67281" width="40.7109375" customWidth="1"/>
    <col min="63" max="63" style="67281" width="2.7109375" customWidth="1"/>
    <col min="64" max="64" style="67281" width="44.7109375" customWidth="1"/>
    <col min="65" max="65" style="67281" width="2.7109375" customWidth="1"/>
    <col min="66" max="66" style="67281" width="40.7109375" customWidth="1"/>
    <col min="67" max="68" style="67275" width="9.140625"/>
    <col min="69" max="69" style="67275" width="18.140625" customWidth="1"/>
    <col min="70" max="70" style="67275" width="57.8515625" customWidth="1"/>
    <col min="71" max="71" style="67275" width="1.7109375" customWidth="1"/>
    <col min="72" max="72" style="67275" width="22.57421875" customWidth="1"/>
    <col min="73" max="73" style="67275" width="57.8515625" customWidth="1"/>
    <col min="74" max="74" style="67275" width="1.7109375" customWidth="1"/>
    <col min="75" max="75" style="67275" width="22.57421875" customWidth="1"/>
    <col min="76" max="76" style="67275" width="57.8515625" customWidth="1"/>
    <col min="77" max="77" style="67275" width="1.7109375" customWidth="1"/>
    <col min="78" max="78" style="67275" width="22.57421875" customWidth="1"/>
    <col min="79" max="79" style="67275" width="57.8515625" customWidth="1"/>
    <col min="80" max="81" style="67275" width="9.140625"/>
    <col min="82" max="82" style="67275" width="49.57421875" customWidth="1"/>
  </cols>
  <sheetData>
    <row s="66964" customFormat="1" customHeight="1" ht="11.25">
      <c r="A1" s="2278" t="s">
        <v>1374</v>
      </c>
      <c r="B1" s="2278" t="s">
        <v>1375</v>
      </c>
      <c r="C1" s="2278" t="s">
        <v>1376</v>
      </c>
      <c r="D1" s="2278" t="s">
        <v>1377</v>
      </c>
      <c r="E1" s="2278" t="s">
        <v>1378</v>
      </c>
      <c r="F1" s="2278" t="s">
        <v>1379</v>
      </c>
      <c r="G1" s="2278" t="s">
        <v>1380</v>
      </c>
      <c r="H1" s="2278" t="s">
        <v>1381</v>
      </c>
      <c r="I1" s="2278" t="s">
        <v>1382</v>
      </c>
      <c r="J1" s="2278" t="s">
        <v>1383</v>
      </c>
      <c r="K1" s="2278" t="s">
        <v>1384</v>
      </c>
      <c r="L1" s="2278" t="s">
        <v>1385</v>
      </c>
      <c r="M1" s="2278"/>
      <c r="N1" s="2278" t="s">
        <v>1386</v>
      </c>
      <c r="O1" s="2278" t="s">
        <v>1387</v>
      </c>
      <c r="P1" s="2278" t="s">
        <v>1388</v>
      </c>
      <c r="Q1" s="2278" t="s">
        <v>1389</v>
      </c>
      <c r="R1" s="2278" t="s">
        <v>1390</v>
      </c>
      <c r="S1" s="2278" t="s">
        <v>1391</v>
      </c>
      <c r="T1" s="2278" t="s">
        <v>1392</v>
      </c>
      <c r="U1" s="2278" t="s">
        <v>1393</v>
      </c>
      <c r="V1" s="2278"/>
      <c r="W1" s="2008" t="s">
        <v>1394</v>
      </c>
      <c r="X1" s="2278" t="s">
        <v>1395</v>
      </c>
      <c r="Y1" s="2278" t="s">
        <v>1396</v>
      </c>
      <c r="Z1" s="2278"/>
      <c r="AA1" s="2278" t="s">
        <v>1397</v>
      </c>
      <c r="AB1" s="2278"/>
      <c r="AC1" s="2278" t="s">
        <v>1398</v>
      </c>
      <c r="AD1" s="2278"/>
      <c r="AF1" s="2278" t="s">
        <v>1399</v>
      </c>
      <c r="AH1" s="2278" t="s">
        <v>1400</v>
      </c>
      <c r="AI1" s="2278" t="s">
        <v>1401</v>
      </c>
      <c r="AK1" s="2278" t="s">
        <v>1402</v>
      </c>
      <c r="AM1" s="2278" t="s">
        <v>1403</v>
      </c>
      <c r="AP1" s="2278" t="s">
        <v>1404</v>
      </c>
      <c r="AQ1" s="2278" t="s">
        <v>1405</v>
      </c>
      <c r="AS1" s="2278" t="s">
        <v>1406</v>
      </c>
      <c r="AU1" s="2278" t="s">
        <v>1407</v>
      </c>
      <c r="AW1" s="2278" t="s">
        <v>1408</v>
      </c>
      <c r="AX1" s="2278" t="s">
        <v>1409</v>
      </c>
      <c r="AZ1" s="2363" t="s">
        <v>1410</v>
      </c>
      <c r="BB1" s="2278" t="s">
        <v>1411</v>
      </c>
      <c r="BC1" s="2278"/>
      <c r="BE1" s="2278" t="s">
        <v>1412</v>
      </c>
      <c r="BF1" s="2278" t="s">
        <v>1413</v>
      </c>
      <c r="BH1" s="2280" t="s">
        <v>978</v>
      </c>
      <c r="BI1" s="2281"/>
      <c r="BJ1" s="2282" t="s">
        <v>1414</v>
      </c>
      <c r="BK1" s="2281"/>
      <c r="BL1" s="2283" t="s">
        <v>1078</v>
      </c>
      <c r="BM1" s="2281"/>
      <c r="BN1" s="2284" t="s">
        <v>1415</v>
      </c>
      <c r="BS1" s="2638"/>
    </row>
    <row customHeight="1" ht="11.25">
      <c r="A2" s="2285" t="s">
        <v>1416</v>
      </c>
      <c r="B2" s="2286">
        <v>2000</v>
      </c>
      <c r="C2" s="2286">
        <v>2022</v>
      </c>
      <c r="D2" s="2286" t="s">
        <v>62</v>
      </c>
      <c r="E2" s="2287" t="s">
        <v>1417</v>
      </c>
      <c r="F2" s="2287" t="s">
        <v>1418</v>
      </c>
      <c r="G2" s="2287" t="s">
        <v>1419</v>
      </c>
      <c r="H2" s="2288" t="s">
        <v>54</v>
      </c>
      <c r="I2" s="2287" t="s">
        <v>99</v>
      </c>
      <c r="J2" s="2287" t="s">
        <v>1420</v>
      </c>
      <c r="K2" s="2289" t="s">
        <v>1421</v>
      </c>
      <c r="L2" s="2290"/>
      <c r="M2" s="2289">
        <v>1</v>
      </c>
      <c r="N2" s="2373" t="s">
        <v>1422</v>
      </c>
      <c r="O2" s="2288" t="s">
        <v>1423</v>
      </c>
      <c r="P2" s="2291" t="s">
        <v>37</v>
      </c>
      <c r="Q2" s="2292" t="s">
        <v>1424</v>
      </c>
      <c r="R2" s="1354" t="s">
        <v>1425</v>
      </c>
      <c r="S2" s="1354" t="s">
        <v>1426</v>
      </c>
      <c r="T2" s="2293" t="s">
        <v>1427</v>
      </c>
      <c r="U2" s="2290" t="s">
        <v>1428</v>
      </c>
      <c r="V2" s="2294">
        <v>1</v>
      </c>
      <c r="W2" s="2295"/>
      <c r="X2" s="2295" t="s">
        <v>1429</v>
      </c>
      <c r="Y2" s="2286" t="s">
        <v>1430</v>
      </c>
      <c r="Z2" s="2296"/>
      <c r="AA2" s="2286" t="s">
        <v>1431</v>
      </c>
      <c r="AB2" s="2297" t="s">
        <v>1431</v>
      </c>
      <c r="AC2" s="2286" t="s">
        <v>1432</v>
      </c>
      <c r="AD2" s="2297" t="s">
        <v>1432</v>
      </c>
      <c r="AF2" s="2288" t="s">
        <v>1428</v>
      </c>
      <c r="AH2" s="2287" t="s">
        <v>1433</v>
      </c>
      <c r="AI2" s="2287" t="s">
        <v>1433</v>
      </c>
      <c r="AK2" s="2287" t="s">
        <v>1434</v>
      </c>
      <c r="AM2" s="2287" t="s">
        <v>1435</v>
      </c>
      <c r="AP2" s="2298" t="s">
        <v>1429</v>
      </c>
      <c r="AQ2" s="2299" t="s">
        <v>1429</v>
      </c>
      <c r="AS2" s="2286" t="s">
        <v>1436</v>
      </c>
      <c r="AU2" s="2331" t="s">
        <v>1437</v>
      </c>
      <c r="AW2" s="2331" t="s">
        <v>1438</v>
      </c>
      <c r="AX2" s="2331" t="s">
        <v>1438</v>
      </c>
      <c r="AZ2" s="2331" t="s">
        <v>52</v>
      </c>
      <c r="BB2" s="2331" t="s">
        <v>587</v>
      </c>
      <c r="BC2" s="2331" t="s">
        <v>588</v>
      </c>
      <c r="BE2" s="2331" t="s">
        <v>1439</v>
      </c>
      <c r="BF2" s="2331" t="s">
        <v>1439</v>
      </c>
    </row>
    <row customHeight="1" ht="11.25">
      <c r="A3" s="2285" t="s">
        <v>1440</v>
      </c>
      <c r="B3" s="2286">
        <v>2001</v>
      </c>
      <c r="C3" s="2286">
        <v>2023</v>
      </c>
      <c r="D3" s="2286" t="s">
        <v>19</v>
      </c>
      <c r="E3" s="2287" t="s">
        <v>1441</v>
      </c>
      <c r="F3" s="2287" t="s">
        <v>1442</v>
      </c>
      <c r="G3" s="2287" t="s">
        <v>1443</v>
      </c>
      <c r="H3" s="2288" t="s">
        <v>1444</v>
      </c>
      <c r="I3" s="2287" t="s">
        <v>102</v>
      </c>
      <c r="J3" s="2287" t="s">
        <v>574</v>
      </c>
      <c r="K3" s="2289" t="s">
        <v>1445</v>
      </c>
      <c r="L3" s="2290">
        <f>_xlfn.IFERROR(MATCH(K3,OFFER_METHOD,0),0)</f>
        <v>0</v>
      </c>
      <c r="M3" s="2289">
        <v>2</v>
      </c>
      <c r="N3" s="2373" t="s">
        <v>1446</v>
      </c>
      <c r="O3" s="2288" t="s">
        <v>1447</v>
      </c>
      <c r="P3" s="2291" t="s">
        <v>1448</v>
      </c>
      <c r="Q3" s="2292" t="s">
        <v>1449</v>
      </c>
      <c r="R3" s="1354" t="s">
        <v>1450</v>
      </c>
      <c r="S3" s="1354" t="s">
        <v>1451</v>
      </c>
      <c r="T3" s="2293" t="s">
        <v>1452</v>
      </c>
      <c r="U3" s="2290" t="s">
        <v>1453</v>
      </c>
      <c r="V3" s="2294">
        <v>2</v>
      </c>
      <c r="W3" s="2295"/>
      <c r="X3" s="2295" t="s">
        <v>1454</v>
      </c>
      <c r="Y3" s="2286" t="s">
        <v>1430</v>
      </c>
      <c r="Z3" s="2296"/>
      <c r="AA3" s="2286" t="s">
        <v>1455</v>
      </c>
      <c r="AB3" s="2297" t="s">
        <v>1455</v>
      </c>
      <c r="AC3" s="2286" t="s">
        <v>1456</v>
      </c>
      <c r="AD3" s="2297" t="s">
        <v>1456</v>
      </c>
      <c r="AF3" s="2288" t="s">
        <v>1453</v>
      </c>
      <c r="AH3" s="2287" t="s">
        <v>1457</v>
      </c>
      <c r="AI3" s="2287" t="s">
        <v>1458</v>
      </c>
      <c r="AK3" s="2287" t="s">
        <v>1459</v>
      </c>
      <c r="AM3" s="2287" t="s">
        <v>1460</v>
      </c>
      <c r="AP3" s="2298" t="s">
        <v>1461</v>
      </c>
      <c r="AQ3" s="2299" t="s">
        <v>1461</v>
      </c>
      <c r="AS3" s="2286" t="s">
        <v>1462</v>
      </c>
      <c r="AU3" s="2331" t="s">
        <v>1463</v>
      </c>
      <c r="AW3" s="2331" t="s">
        <v>1464</v>
      </c>
      <c r="AX3" s="2331" t="s">
        <v>1464</v>
      </c>
      <c r="AZ3" s="2331" t="s">
        <v>1465</v>
      </c>
      <c r="BB3" s="2331" t="s">
        <v>1466</v>
      </c>
      <c r="BC3" s="2331" t="s">
        <v>588</v>
      </c>
      <c r="BE3" s="2331" t="s">
        <v>1467</v>
      </c>
      <c r="BF3" s="2331" t="s">
        <v>1467</v>
      </c>
      <c r="BH3" s="2278" t="s">
        <v>1468</v>
      </c>
      <c r="BJ3" s="2278" t="s">
        <v>1469</v>
      </c>
      <c r="BL3" s="2278" t="s">
        <v>1470</v>
      </c>
      <c r="BN3" s="2278" t="s">
        <v>1471</v>
      </c>
      <c r="BR3" s="2278" t="s">
        <v>1472</v>
      </c>
      <c r="BS3" s="2639"/>
      <c r="BT3" s="2281"/>
      <c r="BU3" s="2278" t="s">
        <v>1473</v>
      </c>
      <c r="BV3" s="2281"/>
      <c r="BW3" s="2901"/>
      <c r="BX3" s="2903" t="s">
        <v>1474</v>
      </c>
      <c r="CA3" s="2278" t="s">
        <v>1475</v>
      </c>
    </row>
    <row customHeight="1" ht="11.25">
      <c r="A4" s="2285" t="s">
        <v>16</v>
      </c>
      <c r="B4" s="2286">
        <v>2002</v>
      </c>
      <c r="C4" s="2286">
        <v>2024</v>
      </c>
      <c r="E4" s="2287" t="s">
        <v>1476</v>
      </c>
      <c r="F4" s="2287" t="s">
        <v>1477</v>
      </c>
      <c r="H4" s="2288" t="s">
        <v>1478</v>
      </c>
      <c r="I4" s="2287" t="s">
        <v>90</v>
      </c>
      <c r="J4" s="2287" t="s">
        <v>1479</v>
      </c>
      <c r="K4" s="2289" t="s">
        <v>1480</v>
      </c>
      <c r="L4" s="2290">
        <f>_xlfn.IFERROR(MATCH(K4,OFFER_METHOD,0),0)</f>
        <v>0</v>
      </c>
      <c r="M4" s="2289">
        <v>3</v>
      </c>
      <c r="N4" s="2373" t="s">
        <v>1481</v>
      </c>
      <c r="O4" s="2287" t="s">
        <v>1482</v>
      </c>
      <c r="Q4" s="2292" t="s">
        <v>1483</v>
      </c>
      <c r="R4" s="1354" t="s">
        <v>1484</v>
      </c>
      <c r="S4" s="1354" t="s">
        <v>1485</v>
      </c>
      <c r="T4" s="2293" t="s">
        <v>1486</v>
      </c>
      <c r="U4" s="2290" t="s">
        <v>1487</v>
      </c>
      <c r="V4" s="2294">
        <v>3</v>
      </c>
      <c r="W4" s="2295"/>
      <c r="X4" s="2295" t="s">
        <v>1488</v>
      </c>
      <c r="Y4" s="2286" t="s">
        <v>1430</v>
      </c>
      <c r="Z4" s="2302"/>
      <c r="AC4" s="2286" t="s">
        <v>1489</v>
      </c>
      <c r="AD4" s="2297" t="s">
        <v>1489</v>
      </c>
      <c r="AF4" s="2288" t="s">
        <v>1487</v>
      </c>
      <c r="AH4" s="2288" t="s">
        <v>1490</v>
      </c>
      <c r="AK4" s="2287" t="s">
        <v>1491</v>
      </c>
      <c r="AM4" s="2287" t="s">
        <v>1492</v>
      </c>
      <c r="AP4" s="2298" t="s">
        <v>1454</v>
      </c>
      <c r="AQ4" s="2299" t="s">
        <v>1454</v>
      </c>
      <c r="AS4" s="2286" t="s">
        <v>1493</v>
      </c>
      <c r="AU4" s="2331" t="s">
        <v>1494</v>
      </c>
      <c r="AW4" s="2331" t="s">
        <v>1495</v>
      </c>
      <c r="AX4" s="2331" t="s">
        <v>1495</v>
      </c>
      <c r="AZ4" s="2331" t="s">
        <v>1496</v>
      </c>
      <c r="BB4" s="2331" t="s">
        <v>1497</v>
      </c>
      <c r="BC4" s="2331" t="s">
        <v>1498</v>
      </c>
      <c r="BE4" s="66996">
        <v>2000</v>
      </c>
      <c r="BF4" s="66996" t="s">
        <v>1220</v>
      </c>
      <c r="BH4" s="2279" t="s">
        <v>1499</v>
      </c>
      <c r="BJ4" s="2279" t="s">
        <v>1499</v>
      </c>
      <c r="BL4" s="2279" t="s">
        <v>1499</v>
      </c>
      <c r="BN4" s="2279" t="s">
        <v>1499</v>
      </c>
      <c r="BQ4" s="2643" t="s">
        <v>1500</v>
      </c>
      <c r="BR4" s="2370" t="s">
        <v>1501</v>
      </c>
      <c r="BS4" s="1485"/>
      <c r="BT4" s="2643" t="s">
        <v>1502</v>
      </c>
      <c r="BU4" s="2370" t="s">
        <v>1503</v>
      </c>
      <c r="BV4" s="2281"/>
      <c r="BW4" s="2908" t="s">
        <v>1504</v>
      </c>
      <c r="BX4" s="2902" t="s">
        <v>1505</v>
      </c>
      <c r="BZ4" s="2643" t="s">
        <v>1506</v>
      </c>
      <c r="CA4" s="2370" t="s">
        <v>1507</v>
      </c>
    </row>
    <row customHeight="1" ht="11.25">
      <c r="A5" s="2285" t="s">
        <v>1508</v>
      </c>
      <c r="B5" s="2286">
        <v>2003</v>
      </c>
      <c r="C5" s="2286">
        <v>2025</v>
      </c>
      <c r="E5" s="2287" t="s">
        <v>1509</v>
      </c>
      <c r="F5" s="2287" t="s">
        <v>1510</v>
      </c>
      <c r="H5" s="2288" t="s">
        <v>1511</v>
      </c>
      <c r="I5" s="2287" t="s">
        <v>91</v>
      </c>
      <c r="K5" s="2289" t="s">
        <v>1512</v>
      </c>
      <c r="L5" s="2290">
        <f>_xlfn.IFERROR(MATCH(K5,OFFER_METHOD,0),0)</f>
        <v>0</v>
      </c>
      <c r="M5" s="2289">
        <v>4</v>
      </c>
      <c r="N5" s="2303" t="s">
        <v>1513</v>
      </c>
      <c r="O5" s="2287" t="s">
        <v>1514</v>
      </c>
      <c r="Q5" s="2292" t="s">
        <v>1515</v>
      </c>
      <c r="R5" s="1354" t="s">
        <v>602</v>
      </c>
      <c r="T5" s="2288" t="s">
        <v>1516</v>
      </c>
      <c r="U5" s="2290" t="s">
        <v>1517</v>
      </c>
      <c r="V5" s="2294">
        <v>4</v>
      </c>
      <c r="W5" s="2295"/>
      <c r="X5" s="2295" t="s">
        <v>186</v>
      </c>
      <c r="Y5" s="2286" t="s">
        <v>1518</v>
      </c>
      <c r="Z5" s="2302">
        <v>1</v>
      </c>
      <c r="AF5" s="2288" t="s">
        <v>1519</v>
      </c>
      <c r="AH5" s="2287" t="s">
        <v>1520</v>
      </c>
      <c r="AK5" s="2287" t="s">
        <v>1521</v>
      </c>
      <c r="AM5" s="2287" t="s">
        <v>1522</v>
      </c>
      <c r="AP5" s="2298" t="s">
        <v>186</v>
      </c>
      <c r="AQ5" s="2299" t="s">
        <v>186</v>
      </c>
      <c r="AU5" s="2331" t="s">
        <v>1523</v>
      </c>
      <c r="AW5" s="2331" t="s">
        <v>1524</v>
      </c>
      <c r="AX5" s="2331" t="s">
        <v>1524</v>
      </c>
      <c r="AZ5" s="2331" t="s">
        <v>1525</v>
      </c>
      <c r="BB5" s="2331" t="s">
        <v>1526</v>
      </c>
      <c r="BC5" s="2331" t="s">
        <v>590</v>
      </c>
      <c r="BE5" s="66996">
        <v>2001</v>
      </c>
      <c r="BF5" s="66996" t="s">
        <v>1527</v>
      </c>
      <c r="BH5" s="2279" t="s">
        <v>1214</v>
      </c>
      <c r="BJ5" s="2279" t="s">
        <v>1214</v>
      </c>
      <c r="BL5" s="2279" t="s">
        <v>1214</v>
      </c>
      <c r="BN5" s="2279" t="s">
        <v>1528</v>
      </c>
      <c r="BQ5" s="2492">
        <v>4213775</v>
      </c>
      <c r="BR5" s="2279" t="s">
        <v>1429</v>
      </c>
      <c r="BS5" s="2640"/>
      <c r="BT5" s="2492">
        <v>64236871</v>
      </c>
      <c r="BU5" s="2279" t="s">
        <v>247</v>
      </c>
      <c r="BV5" s="2281"/>
      <c r="BW5" s="2906">
        <v>4213767</v>
      </c>
      <c r="BX5" s="2904" t="s">
        <v>1529</v>
      </c>
      <c r="BZ5" s="2492">
        <v>64237509</v>
      </c>
      <c r="CA5" s="2506" t="s">
        <v>1530</v>
      </c>
    </row>
    <row customHeight="1" ht="11.25">
      <c r="A6" s="2285" t="s">
        <v>1531</v>
      </c>
      <c r="B6" s="2286">
        <v>2004</v>
      </c>
      <c r="C6" s="2286">
        <v>2026</v>
      </c>
      <c r="E6" s="2287" t="s">
        <v>1532</v>
      </c>
      <c r="F6" s="2304"/>
      <c r="H6" s="2288" t="s">
        <v>1533</v>
      </c>
      <c r="I6" s="2287" t="s">
        <v>122</v>
      </c>
      <c r="J6" s="2278" t="s">
        <v>1534</v>
      </c>
      <c r="L6" s="2290">
        <f>SUM(kind_of_control_method_filter)</f>
        <v>0</v>
      </c>
      <c r="N6" s="2303" t="s">
        <v>1535</v>
      </c>
      <c r="O6" s="2287" t="s">
        <v>1536</v>
      </c>
      <c r="R6" s="1354" t="s">
        <v>1424</v>
      </c>
      <c r="T6" s="2288" t="s">
        <v>1537</v>
      </c>
      <c r="U6" s="2290" t="s">
        <v>1519</v>
      </c>
      <c r="V6" s="2294">
        <v>5</v>
      </c>
      <c r="W6" s="2295"/>
      <c r="X6" s="2286" t="s">
        <v>192</v>
      </c>
      <c r="Y6" s="2286" t="s">
        <v>1538</v>
      </c>
      <c r="Z6" s="2302"/>
      <c r="AA6" s="2305"/>
      <c r="AH6" s="2287" t="s">
        <v>1539</v>
      </c>
      <c r="AK6" s="2287" t="s">
        <v>1540</v>
      </c>
      <c r="AM6" s="2287" t="s">
        <v>1541</v>
      </c>
      <c r="AP6" s="2298" t="s">
        <v>192</v>
      </c>
      <c r="AQ6" s="2299" t="s">
        <v>192</v>
      </c>
      <c r="AU6" s="2331" t="s">
        <v>1542</v>
      </c>
      <c r="AW6" s="2331" t="s">
        <v>1543</v>
      </c>
      <c r="AX6" s="2331" t="s">
        <v>1543</v>
      </c>
      <c r="BB6" s="2331" t="s">
        <v>1544</v>
      </c>
      <c r="BC6" s="2331" t="s">
        <v>590</v>
      </c>
      <c r="BE6" s="66996">
        <v>2002</v>
      </c>
      <c r="BF6" s="66996" t="s">
        <v>1218</v>
      </c>
      <c r="BH6" s="2279" t="s">
        <v>1545</v>
      </c>
      <c r="BJ6" s="2279" t="s">
        <v>1546</v>
      </c>
      <c r="BL6" s="2279" t="s">
        <v>1546</v>
      </c>
      <c r="BN6" s="2279" t="s">
        <v>1547</v>
      </c>
      <c r="BQ6" s="2492">
        <v>4213784</v>
      </c>
      <c r="BR6" s="2506" t="s">
        <v>1461</v>
      </c>
      <c r="BS6" s="2641"/>
      <c r="BT6" s="2492">
        <v>64236872</v>
      </c>
      <c r="BU6" s="2279" t="s">
        <v>252</v>
      </c>
      <c r="BV6" s="2281"/>
      <c r="BW6" s="2906">
        <v>4213768</v>
      </c>
      <c r="BX6" s="2904" t="s">
        <v>272</v>
      </c>
      <c r="BZ6" s="2492">
        <v>64237510</v>
      </c>
      <c r="CA6" s="2279" t="s">
        <v>1548</v>
      </c>
    </row>
    <row customHeight="1" ht="11.25">
      <c r="A7" s="2285" t="s">
        <v>1549</v>
      </c>
      <c r="B7" s="2286">
        <v>2005</v>
      </c>
      <c r="E7" s="2287" t="s">
        <v>1550</v>
      </c>
      <c r="F7" s="2304"/>
      <c r="H7" s="2288" t="s">
        <v>1551</v>
      </c>
      <c r="I7" s="2287" t="s">
        <v>92</v>
      </c>
      <c r="J7" s="2287" t="s">
        <v>1552</v>
      </c>
      <c r="N7" s="2307" t="s">
        <v>1553</v>
      </c>
      <c r="O7" s="2287" t="s">
        <v>1554</v>
      </c>
      <c r="U7" s="2290" t="s">
        <v>19</v>
      </c>
      <c r="V7" s="1581" t="s">
        <v>92</v>
      </c>
      <c r="W7" s="2295"/>
      <c r="X7" s="2286" t="s">
        <v>198</v>
      </c>
      <c r="Y7" s="2286" t="s">
        <v>1518</v>
      </c>
      <c r="Z7" s="2302"/>
      <c r="AA7" s="2305"/>
      <c r="AH7" s="2287" t="s">
        <v>1555</v>
      </c>
      <c r="AK7" s="2287" t="s">
        <v>1556</v>
      </c>
      <c r="AM7" s="2287" t="s">
        <v>1557</v>
      </c>
      <c r="AP7" s="2298" t="s">
        <v>198</v>
      </c>
      <c r="AQ7" s="2299" t="s">
        <v>198</v>
      </c>
      <c r="AU7" s="2331" t="s">
        <v>1558</v>
      </c>
      <c r="AW7" s="2331" t="s">
        <v>1559</v>
      </c>
      <c r="AX7" s="2331" t="s">
        <v>1559</v>
      </c>
      <c r="AZ7" s="2278" t="s">
        <v>1560</v>
      </c>
      <c r="BB7" s="2331" t="s">
        <v>589</v>
      </c>
      <c r="BC7" s="2331" t="s">
        <v>590</v>
      </c>
      <c r="BE7" s="66996">
        <v>2003</v>
      </c>
      <c r="BF7" s="66996" t="s">
        <v>1561</v>
      </c>
      <c r="BH7" s="2279" t="s">
        <v>1562</v>
      </c>
      <c r="BJ7" s="2279" t="s">
        <v>1545</v>
      </c>
      <c r="BL7" s="2279" t="s">
        <v>1545</v>
      </c>
      <c r="BN7" s="2279" t="s">
        <v>1563</v>
      </c>
      <c r="BQ7" s="2492">
        <v>4213781</v>
      </c>
      <c r="BR7" s="2279" t="s">
        <v>1454</v>
      </c>
      <c r="BS7" s="2640"/>
      <c r="BT7" s="2492">
        <v>64236873</v>
      </c>
      <c r="BU7" s="2279" t="s">
        <v>257</v>
      </c>
      <c r="BV7" s="2281"/>
      <c r="BW7" s="2906">
        <v>4213769</v>
      </c>
      <c r="BX7" s="2904" t="s">
        <v>1564</v>
      </c>
      <c r="BZ7" s="2492">
        <v>64237511</v>
      </c>
      <c r="CA7" s="2279" t="s">
        <v>287</v>
      </c>
    </row>
    <row customHeight="1" ht="11.25">
      <c r="A8" s="2285" t="s">
        <v>1565</v>
      </c>
      <c r="B8" s="2286">
        <v>2006</v>
      </c>
      <c r="E8" s="2287" t="s">
        <v>1566</v>
      </c>
      <c r="F8" s="2304"/>
      <c r="H8" s="2288" t="s">
        <v>1567</v>
      </c>
      <c r="I8" s="2287" t="s">
        <v>93</v>
      </c>
      <c r="J8" s="2287" t="s">
        <v>1568</v>
      </c>
      <c r="N8" s="2374" t="s">
        <v>1569</v>
      </c>
      <c r="O8" s="2287" t="s">
        <v>1570</v>
      </c>
      <c r="V8" s="1581" t="s">
        <v>93</v>
      </c>
      <c r="W8" s="2295"/>
      <c r="X8" s="2286" t="s">
        <v>204</v>
      </c>
      <c r="Y8" s="2286" t="s">
        <v>1518</v>
      </c>
      <c r="Z8" s="2302"/>
      <c r="AA8" s="2305"/>
      <c r="AK8" s="2287" t="s">
        <v>1571</v>
      </c>
      <c r="AP8" s="2298" t="s">
        <v>204</v>
      </c>
      <c r="AQ8" s="2299" t="s">
        <v>204</v>
      </c>
      <c r="AU8" s="2331" t="s">
        <v>1572</v>
      </c>
      <c r="AW8" s="2331" t="s">
        <v>1573</v>
      </c>
      <c r="AX8" s="2331" t="s">
        <v>1573</v>
      </c>
      <c r="AZ8" s="2331" t="s">
        <v>1574</v>
      </c>
      <c r="BB8" s="2331" t="s">
        <v>1575</v>
      </c>
      <c r="BC8" s="2331" t="s">
        <v>590</v>
      </c>
      <c r="BE8" s="66996">
        <v>2004</v>
      </c>
      <c r="BF8" s="66996" t="s">
        <v>1576</v>
      </c>
      <c r="BH8" s="2279" t="s">
        <v>1209</v>
      </c>
      <c r="BJ8" s="2279" t="s">
        <v>1577</v>
      </c>
      <c r="BL8" s="2279" t="s">
        <v>1577</v>
      </c>
      <c r="BN8" s="2279" t="s">
        <v>1578</v>
      </c>
      <c r="BQ8" s="2492">
        <v>4213776</v>
      </c>
      <c r="BR8" s="2279" t="s">
        <v>186</v>
      </c>
      <c r="BS8" s="2640"/>
      <c r="BT8" s="2492">
        <v>64236874</v>
      </c>
      <c r="BU8" s="2506" t="s">
        <v>1579</v>
      </c>
      <c r="BV8" s="2281"/>
      <c r="BW8" s="2906">
        <v>4213770</v>
      </c>
      <c r="BX8" s="2907" t="s">
        <v>1580</v>
      </c>
      <c r="BZ8" s="2492">
        <v>64237512</v>
      </c>
      <c r="CA8" s="2279" t="s">
        <v>282</v>
      </c>
    </row>
    <row customHeight="1" ht="11.25">
      <c r="A9" s="2285" t="s">
        <v>1581</v>
      </c>
      <c r="B9" s="2286">
        <v>2007</v>
      </c>
      <c r="E9" s="2287" t="s">
        <v>1582</v>
      </c>
      <c r="F9" s="2304"/>
      <c r="G9" s="2278" t="s">
        <v>1583</v>
      </c>
      <c r="H9" s="2278" t="s">
        <v>1584</v>
      </c>
      <c r="I9" s="2287" t="s">
        <v>123</v>
      </c>
      <c r="O9" s="2287" t="s">
        <v>1585</v>
      </c>
      <c r="V9" s="1581" t="s">
        <v>123</v>
      </c>
      <c r="W9" s="2295"/>
      <c r="X9" s="2286" t="s">
        <v>210</v>
      </c>
      <c r="Y9" s="2286" t="s">
        <v>1430</v>
      </c>
      <c r="Z9" s="2302">
        <v>1</v>
      </c>
      <c r="AA9" s="2305"/>
      <c r="AK9" s="2287" t="s">
        <v>1586</v>
      </c>
      <c r="AP9" s="2298" t="s">
        <v>1587</v>
      </c>
      <c r="AQ9" s="2299" t="s">
        <v>1587</v>
      </c>
      <c r="AW9" s="2331" t="s">
        <v>1588</v>
      </c>
      <c r="AX9" s="2331" t="s">
        <v>1588</v>
      </c>
      <c r="AZ9" s="2331" t="s">
        <v>67</v>
      </c>
      <c r="BB9" s="2331" t="s">
        <v>592</v>
      </c>
      <c r="BC9" s="2331" t="s">
        <v>590</v>
      </c>
      <c r="BE9" s="66996">
        <v>2005</v>
      </c>
      <c r="BF9" s="66996" t="s">
        <v>1589</v>
      </c>
      <c r="BH9" s="2279" t="s">
        <v>1590</v>
      </c>
      <c r="BJ9" s="2279" t="s">
        <v>1591</v>
      </c>
      <c r="BL9" s="2279" t="s">
        <v>1591</v>
      </c>
      <c r="BN9" s="2279" t="s">
        <v>1592</v>
      </c>
      <c r="BQ9" s="2492">
        <v>4213777</v>
      </c>
      <c r="BR9" s="2279" t="s">
        <v>192</v>
      </c>
      <c r="BS9" s="2640"/>
      <c r="BT9" s="2492">
        <v>64236875</v>
      </c>
      <c r="BU9" s="2279" t="s">
        <v>262</v>
      </c>
      <c r="BV9" s="2281"/>
      <c r="BW9" s="2901"/>
      <c r="BX9" s="2901"/>
    </row>
    <row customHeight="1" ht="11.25">
      <c r="A10" s="2285" t="s">
        <v>1593</v>
      </c>
      <c r="B10" s="2286">
        <v>2008</v>
      </c>
      <c r="E10" s="2287" t="s">
        <v>1594</v>
      </c>
      <c r="F10" s="2304"/>
      <c r="G10" s="2287" t="s">
        <v>1595</v>
      </c>
      <c r="H10" s="2287" t="s">
        <v>1596</v>
      </c>
      <c r="I10" s="2287" t="s">
        <v>168</v>
      </c>
      <c r="J10" s="2278" t="s">
        <v>1597</v>
      </c>
      <c r="K10" s="2278" t="s">
        <v>1598</v>
      </c>
      <c r="O10" s="2287" t="s">
        <v>1599</v>
      </c>
      <c r="V10" s="1582" t="s">
        <v>168</v>
      </c>
      <c r="W10" s="2308"/>
      <c r="X10" s="2308" t="s">
        <v>1600</v>
      </c>
      <c r="Y10" s="2309" t="s">
        <v>1601</v>
      </c>
      <c r="Z10" s="2302"/>
      <c r="AP10" s="2298" t="s">
        <v>1600</v>
      </c>
      <c r="AQ10" s="2299" t="s">
        <v>1600</v>
      </c>
      <c r="AW10" s="2331" t="s">
        <v>1602</v>
      </c>
      <c r="AX10" s="2331" t="s">
        <v>1602</v>
      </c>
      <c r="AZ10" s="2331" t="s">
        <v>1603</v>
      </c>
      <c r="BB10" s="2331" t="s">
        <v>1604</v>
      </c>
      <c r="BC10" s="2331" t="s">
        <v>590</v>
      </c>
      <c r="BE10" s="66996">
        <v>2006</v>
      </c>
      <c r="BF10" s="66996" t="s">
        <v>1605</v>
      </c>
      <c r="BH10" s="2279" t="s">
        <v>1205</v>
      </c>
      <c r="BJ10" s="2279" t="s">
        <v>1606</v>
      </c>
      <c r="BL10" s="2279" t="s">
        <v>1606</v>
      </c>
      <c r="BN10" s="2279" t="s">
        <v>1607</v>
      </c>
      <c r="BQ10" s="2492">
        <v>4213778</v>
      </c>
      <c r="BR10" s="2279" t="s">
        <v>198</v>
      </c>
      <c r="BS10" s="2640"/>
      <c r="BT10" s="2492">
        <v>64236876</v>
      </c>
      <c r="BU10" s="2279" t="s">
        <v>242</v>
      </c>
      <c r="BV10" s="2281"/>
      <c r="BW10" s="2901"/>
      <c r="BX10" s="2901"/>
    </row>
    <row customHeight="1" ht="11.25">
      <c r="A11" s="2285" t="s">
        <v>1608</v>
      </c>
      <c r="B11" s="2286">
        <v>2009</v>
      </c>
      <c r="E11" s="2287" t="s">
        <v>1609</v>
      </c>
      <c r="F11" s="2304"/>
      <c r="G11" s="2287" t="s">
        <v>1610</v>
      </c>
      <c r="H11" s="2287" t="s">
        <v>1611</v>
      </c>
      <c r="I11" s="2287" t="s">
        <v>169</v>
      </c>
      <c r="J11" s="2288" t="s">
        <v>1612</v>
      </c>
      <c r="K11" s="2310" t="s">
        <v>672</v>
      </c>
      <c r="O11" s="2288" t="s">
        <v>1613</v>
      </c>
      <c r="V11" s="1581" t="s">
        <v>169</v>
      </c>
      <c r="W11" s="1486"/>
      <c r="X11" s="2295" t="s">
        <v>1587</v>
      </c>
      <c r="Y11" s="2286" t="s">
        <v>1614</v>
      </c>
      <c r="Z11" s="2302"/>
      <c r="AP11" s="2298" t="s">
        <v>210</v>
      </c>
      <c r="AQ11" s="2300" t="s">
        <v>210</v>
      </c>
      <c r="AW11" s="2331" t="s">
        <v>1615</v>
      </c>
      <c r="AX11" s="2331" t="s">
        <v>1615</v>
      </c>
      <c r="AZ11" s="2331" t="s">
        <v>1616</v>
      </c>
      <c r="BB11" s="2331" t="s">
        <v>591</v>
      </c>
      <c r="BC11" s="2331" t="s">
        <v>590</v>
      </c>
      <c r="BE11" s="66996">
        <v>2007</v>
      </c>
      <c r="BF11" s="66996" t="s">
        <v>1617</v>
      </c>
      <c r="BH11" s="2279" t="s">
        <v>1618</v>
      </c>
      <c r="BJ11" s="2279" t="s">
        <v>1590</v>
      </c>
      <c r="BL11" s="2279" t="s">
        <v>1590</v>
      </c>
      <c r="BN11" s="2279" t="s">
        <v>1619</v>
      </c>
      <c r="BQ11" s="2492">
        <v>4213780</v>
      </c>
      <c r="BR11" s="2279" t="s">
        <v>204</v>
      </c>
      <c r="BS11" s="2640"/>
      <c r="BW11" s="2901"/>
      <c r="BX11" s="2901"/>
    </row>
    <row customHeight="1" ht="11.25">
      <c r="A12" s="2285" t="s">
        <v>1620</v>
      </c>
      <c r="B12" s="2286">
        <v>2010</v>
      </c>
      <c r="E12" s="2287" t="s">
        <v>1621</v>
      </c>
      <c r="F12" s="2304"/>
      <c r="G12" s="2287" t="s">
        <v>1611</v>
      </c>
      <c r="I12" s="2287" t="s">
        <v>170</v>
      </c>
      <c r="J12" s="2288" t="s">
        <v>1622</v>
      </c>
      <c r="K12" s="2310" t="s">
        <v>653</v>
      </c>
      <c r="O12" s="2288" t="s">
        <v>1424</v>
      </c>
      <c r="V12" s="1581" t="s">
        <v>170</v>
      </c>
      <c r="W12" s="2300"/>
      <c r="X12" s="2295" t="s">
        <v>1623</v>
      </c>
      <c r="Y12" s="2286" t="s">
        <v>1430</v>
      </c>
      <c r="AP12" s="2298"/>
      <c r="AW12" s="2331" t="s">
        <v>169</v>
      </c>
      <c r="AX12" s="2331" t="s">
        <v>169</v>
      </c>
      <c r="AZ12" s="2331" t="s">
        <v>1624</v>
      </c>
      <c r="BB12" s="2331" t="s">
        <v>1625</v>
      </c>
      <c r="BC12" s="2331" t="s">
        <v>590</v>
      </c>
      <c r="BE12" s="66996">
        <v>2008</v>
      </c>
      <c r="BF12" s="66996" t="s">
        <v>1626</v>
      </c>
      <c r="BH12" s="2279" t="s">
        <v>1627</v>
      </c>
      <c r="BJ12" s="2279" t="s">
        <v>1628</v>
      </c>
      <c r="BL12" s="2279" t="s">
        <v>1628</v>
      </c>
      <c r="BN12" s="2279" t="s">
        <v>1629</v>
      </c>
      <c r="BQ12" s="2492">
        <v>4213779</v>
      </c>
      <c r="BR12" s="2279" t="s">
        <v>1587</v>
      </c>
      <c r="BS12" s="2640"/>
      <c r="BT12" s="2281"/>
      <c r="BU12" s="2281"/>
      <c r="BV12" s="2281"/>
      <c r="BW12" s="2901"/>
      <c r="BX12" s="2901"/>
    </row>
    <row customHeight="1" ht="11.25">
      <c r="A13" s="2285" t="s">
        <v>1630</v>
      </c>
      <c r="B13" s="2286">
        <v>2011</v>
      </c>
      <c r="E13" s="2287" t="s">
        <v>1631</v>
      </c>
      <c r="F13" s="2304"/>
      <c r="I13" s="2287" t="s">
        <v>171</v>
      </c>
      <c r="K13" s="2310" t="s">
        <v>1586</v>
      </c>
      <c r="V13" s="1581" t="s">
        <v>171</v>
      </c>
      <c r="W13" s="2300"/>
      <c r="X13" s="2300"/>
      <c r="Y13" s="2300"/>
      <c r="AW13" s="2331" t="s">
        <v>170</v>
      </c>
      <c r="AX13" s="2331" t="s">
        <v>170</v>
      </c>
      <c r="BB13" s="2331" t="s">
        <v>1632</v>
      </c>
      <c r="BC13" s="2331" t="s">
        <v>1633</v>
      </c>
      <c r="BE13" s="66996">
        <v>2009</v>
      </c>
      <c r="BF13" s="66996" t="s">
        <v>1634</v>
      </c>
      <c r="BH13" s="2279" t="s">
        <v>1635</v>
      </c>
      <c r="BJ13" s="2279" t="s">
        <v>1618</v>
      </c>
      <c r="BL13" s="2279" t="s">
        <v>1618</v>
      </c>
      <c r="BN13" s="2279" t="s">
        <v>1636</v>
      </c>
      <c r="BQ13" s="2492">
        <v>4213783</v>
      </c>
      <c r="BR13" s="2279" t="s">
        <v>1600</v>
      </c>
      <c r="BS13" s="2640"/>
      <c r="BT13" s="2281"/>
      <c r="BU13" s="2281"/>
      <c r="BV13" s="2281"/>
      <c r="BW13" s="2905"/>
      <c r="BX13" s="2901"/>
    </row>
    <row customHeight="1" ht="11.25">
      <c r="A14" s="2285" t="s">
        <v>1637</v>
      </c>
      <c r="B14" s="2286">
        <v>2012</v>
      </c>
      <c r="I14" s="2287" t="s">
        <v>172</v>
      </c>
      <c r="J14" s="2278" t="s">
        <v>1638</v>
      </c>
      <c r="N14" s="2278" t="s">
        <v>1639</v>
      </c>
      <c r="V14" s="2294">
        <v>13</v>
      </c>
      <c r="W14" s="2295"/>
      <c r="X14" s="2295" t="s">
        <v>1461</v>
      </c>
      <c r="Y14" s="2286" t="s">
        <v>1430</v>
      </c>
      <c r="AW14" s="2331" t="s">
        <v>171</v>
      </c>
      <c r="AX14" s="2331" t="s">
        <v>171</v>
      </c>
      <c r="AZ14" s="2278" t="s">
        <v>1640</v>
      </c>
      <c r="BB14" s="2331" t="s">
        <v>1641</v>
      </c>
      <c r="BC14" s="2331" t="s">
        <v>1633</v>
      </c>
      <c r="BE14" s="66996">
        <v>2010</v>
      </c>
      <c r="BF14" s="66996" t="s">
        <v>1642</v>
      </c>
      <c r="BH14" s="2279" t="s">
        <v>1563</v>
      </c>
      <c r="BJ14" s="2428" t="s">
        <v>1643</v>
      </c>
      <c r="BL14" s="2428" t="s">
        <v>1643</v>
      </c>
      <c r="BN14" s="2279" t="s">
        <v>1644</v>
      </c>
      <c r="BQ14" s="2492">
        <v>4213782</v>
      </c>
      <c r="BR14" s="2279" t="s">
        <v>210</v>
      </c>
      <c r="BS14" s="2640"/>
      <c r="BT14" s="2281"/>
      <c r="BU14" s="2281"/>
      <c r="BV14" s="2281"/>
      <c r="BW14" s="2905"/>
      <c r="BX14" s="2901"/>
    </row>
    <row customHeight="1" ht="19.5">
      <c r="A15" s="2285" t="s">
        <v>1645</v>
      </c>
      <c r="B15" s="2286">
        <v>2013</v>
      </c>
      <c r="E15" s="2909" t="s">
        <v>1646</v>
      </c>
      <c r="G15" s="2278" t="s">
        <v>1647</v>
      </c>
      <c r="H15" s="2278" t="s">
        <v>1648</v>
      </c>
      <c r="I15" s="2289" t="s">
        <v>173</v>
      </c>
      <c r="J15" s="2300" t="s">
        <v>611</v>
      </c>
      <c r="N15" s="2369" t="s">
        <v>1649</v>
      </c>
      <c r="X15" s="2298"/>
      <c r="AW15" s="2331" t="s">
        <v>172</v>
      </c>
      <c r="AX15" s="2331" t="s">
        <v>172</v>
      </c>
      <c r="AZ15" s="2331" t="s">
        <v>1574</v>
      </c>
      <c r="BB15" s="2331" t="s">
        <v>1650</v>
      </c>
      <c r="BC15" s="2331" t="s">
        <v>1633</v>
      </c>
      <c r="BE15" s="66996">
        <v>2011</v>
      </c>
      <c r="BF15" s="66996" t="s">
        <v>1203</v>
      </c>
      <c r="BH15" s="2279" t="s">
        <v>1578</v>
      </c>
      <c r="BJ15" s="2428" t="s">
        <v>1651</v>
      </c>
      <c r="BL15" s="2428" t="s">
        <v>1651</v>
      </c>
      <c r="BN15" s="2279" t="s">
        <v>1652</v>
      </c>
      <c r="BR15" s="2281"/>
      <c r="BS15" s="2642"/>
      <c r="BT15" s="2281"/>
      <c r="BU15" s="2281"/>
      <c r="BV15" s="2281"/>
      <c r="BW15" s="2905"/>
      <c r="BX15" s="2901"/>
    </row>
    <row customHeight="1" ht="21">
      <c r="A16" s="3081" t="s">
        <v>1653</v>
      </c>
      <c r="B16" s="2286">
        <v>2014</v>
      </c>
      <c r="E16" s="2910" t="s">
        <v>1654</v>
      </c>
      <c r="G16" s="2287" t="s">
        <v>1655</v>
      </c>
      <c r="H16" s="2287" t="s">
        <v>1656</v>
      </c>
      <c r="I16" s="2289" t="s">
        <v>1657</v>
      </c>
      <c r="J16" s="2300" t="s">
        <v>574</v>
      </c>
      <c r="N16" s="2369" t="s">
        <v>1658</v>
      </c>
      <c r="AW16" s="2331" t="s">
        <v>173</v>
      </c>
      <c r="AX16" s="2331" t="s">
        <v>173</v>
      </c>
      <c r="AZ16" s="2331" t="s">
        <v>67</v>
      </c>
      <c r="BB16" s="2331" t="s">
        <v>1659</v>
      </c>
      <c r="BC16" s="2331" t="s">
        <v>1633</v>
      </c>
      <c r="BE16" s="66996">
        <v>2012</v>
      </c>
      <c r="BH16" s="2279" t="s">
        <v>1592</v>
      </c>
      <c r="BJ16" s="2428" t="s">
        <v>1660</v>
      </c>
      <c r="BL16" s="2428" t="s">
        <v>1660</v>
      </c>
      <c r="BN16" s="2279" t="s">
        <v>1661</v>
      </c>
      <c r="BR16" s="2281"/>
      <c r="BS16" s="2642"/>
      <c r="BT16" s="2281"/>
      <c r="BU16" s="2281"/>
      <c r="BV16" s="2281"/>
      <c r="BW16" s="2905"/>
      <c r="BX16" s="2901"/>
    </row>
    <row customHeight="1" ht="21">
      <c r="A17" s="2285" t="s">
        <v>1662</v>
      </c>
      <c r="B17" s="2286">
        <v>2015</v>
      </c>
      <c r="G17" s="2287" t="s">
        <v>1611</v>
      </c>
      <c r="H17" s="2287" t="s">
        <v>1611</v>
      </c>
      <c r="I17" s="2287" t="s">
        <v>1663</v>
      </c>
      <c r="N17" s="2369" t="s">
        <v>1664</v>
      </c>
      <c r="X17" s="2298"/>
      <c r="AW17" s="2331" t="s">
        <v>1657</v>
      </c>
      <c r="AX17" s="2331" t="s">
        <v>1657</v>
      </c>
      <c r="AZ17" s="2331" t="s">
        <v>1665</v>
      </c>
      <c r="BB17" s="2331" t="s">
        <v>1666</v>
      </c>
      <c r="BC17" s="2331" t="s">
        <v>590</v>
      </c>
      <c r="BE17" s="66996">
        <v>2013</v>
      </c>
      <c r="BH17" s="2279" t="s">
        <v>1607</v>
      </c>
      <c r="BJ17" s="2428" t="s">
        <v>1667</v>
      </c>
      <c r="BL17" s="2428" t="s">
        <v>1667</v>
      </c>
      <c r="BN17" s="2279" t="s">
        <v>1668</v>
      </c>
      <c r="BR17" s="2278" t="s">
        <v>1472</v>
      </c>
      <c r="BS17" s="2639"/>
      <c r="BU17" s="2278" t="s">
        <v>1669</v>
      </c>
      <c r="BV17" s="2281"/>
      <c r="BW17" s="2901"/>
      <c r="BX17" s="2903" t="s">
        <v>1670</v>
      </c>
      <c r="CA17" s="2278" t="s">
        <v>1671</v>
      </c>
      <c r="CD17" s="2278" t="s">
        <v>1672</v>
      </c>
    </row>
    <row customHeight="1" ht="21">
      <c r="A18" s="2285" t="s">
        <v>1673</v>
      </c>
      <c r="B18" s="2286">
        <v>2016</v>
      </c>
      <c r="E18" s="3216" t="s">
        <v>1674</v>
      </c>
      <c r="I18" s="2287" t="s">
        <v>1675</v>
      </c>
      <c r="N18" s="2369" t="s">
        <v>1676</v>
      </c>
      <c r="X18" s="2298"/>
      <c r="AW18" s="2331" t="s">
        <v>1663</v>
      </c>
      <c r="AX18" s="2331" t="s">
        <v>1663</v>
      </c>
      <c r="BB18" s="2331" t="s">
        <v>1677</v>
      </c>
      <c r="BC18" s="2331" t="s">
        <v>590</v>
      </c>
      <c r="BE18" s="66996">
        <v>2014</v>
      </c>
      <c r="BH18" s="2279" t="s">
        <v>1619</v>
      </c>
      <c r="BJ18" s="2428" t="s">
        <v>1678</v>
      </c>
      <c r="BL18" s="2428" t="s">
        <v>1678</v>
      </c>
      <c r="BN18" s="2279" t="s">
        <v>1679</v>
      </c>
      <c r="BQ18" s="2643" t="s">
        <v>1500</v>
      </c>
      <c r="BR18" s="2370" t="s">
        <v>1501</v>
      </c>
      <c r="BS18" s="1485"/>
      <c r="BT18" s="2643" t="s">
        <v>1680</v>
      </c>
      <c r="BU18" s="2370" t="s">
        <v>1681</v>
      </c>
      <c r="BV18" s="2281"/>
      <c r="BW18" s="2908" t="s">
        <v>1682</v>
      </c>
      <c r="BX18" s="2902" t="s">
        <v>1683</v>
      </c>
      <c r="BZ18" s="2643" t="s">
        <v>1684</v>
      </c>
      <c r="CA18" s="2370" t="s">
        <v>1685</v>
      </c>
      <c r="CC18" s="2643" t="s">
        <v>1686</v>
      </c>
      <c r="CD18" s="2370" t="s">
        <v>1687</v>
      </c>
    </row>
    <row customHeight="1" ht="21">
      <c r="A19" s="3081" t="s">
        <v>1688</v>
      </c>
      <c r="B19" s="2286">
        <v>2017</v>
      </c>
      <c r="E19" s="2285" t="s">
        <v>185</v>
      </c>
      <c r="I19" s="2287" t="s">
        <v>1689</v>
      </c>
      <c r="N19" s="2369" t="s">
        <v>1690</v>
      </c>
      <c r="X19" s="2298"/>
      <c r="AW19" s="2331" t="s">
        <v>1675</v>
      </c>
      <c r="AX19" s="2331" t="s">
        <v>1675</v>
      </c>
      <c r="AZ19" s="2278" t="s">
        <v>1691</v>
      </c>
      <c r="BB19" s="2331" t="s">
        <v>1692</v>
      </c>
      <c r="BC19" s="2331" t="s">
        <v>590</v>
      </c>
      <c r="BE19" s="66996">
        <v>2015</v>
      </c>
      <c r="BH19" s="2279" t="s">
        <v>1693</v>
      </c>
      <c r="BJ19" s="2428" t="s">
        <v>1694</v>
      </c>
      <c r="BL19" s="2428" t="s">
        <v>1694</v>
      </c>
      <c r="BQ19" s="2492">
        <v>4190064</v>
      </c>
      <c r="BR19" s="2279" t="s">
        <v>1695</v>
      </c>
      <c r="BS19" s="2640"/>
      <c r="BT19" s="2492">
        <v>4189671</v>
      </c>
      <c r="BU19" s="2279" t="s">
        <v>1696</v>
      </c>
      <c r="BV19" s="2281"/>
      <c r="BW19" s="2906">
        <v>4189706</v>
      </c>
      <c r="BX19" s="2904" t="s">
        <v>1697</v>
      </c>
      <c r="BZ19" s="2492">
        <v>4189714</v>
      </c>
      <c r="CA19" s="2279" t="s">
        <v>1698</v>
      </c>
      <c r="CC19" s="2492">
        <v>4189708</v>
      </c>
      <c r="CD19" s="2279" t="s">
        <v>1699</v>
      </c>
    </row>
    <row customHeight="1" ht="21">
      <c r="A20" s="2285" t="s">
        <v>1700</v>
      </c>
      <c r="B20" s="2286">
        <v>2018</v>
      </c>
      <c r="E20" s="2285" t="s">
        <v>1461</v>
      </c>
      <c r="I20" s="2287" t="s">
        <v>1701</v>
      </c>
      <c r="N20" s="2369" t="s">
        <v>1702</v>
      </c>
      <c r="AW20" s="2331" t="s">
        <v>1689</v>
      </c>
      <c r="AX20" s="2331" t="s">
        <v>1689</v>
      </c>
      <c r="AZ20" s="2331" t="s">
        <v>1703</v>
      </c>
      <c r="BB20" s="2331" t="s">
        <v>1704</v>
      </c>
      <c r="BC20" s="2331" t="s">
        <v>1633</v>
      </c>
      <c r="BE20" s="66996">
        <v>2016</v>
      </c>
      <c r="BH20" s="2279" t="s">
        <v>1629</v>
      </c>
      <c r="BJ20" s="2279" t="s">
        <v>1563</v>
      </c>
      <c r="BL20" s="2279" t="s">
        <v>1563</v>
      </c>
      <c r="BQ20" s="2492">
        <v>4190065</v>
      </c>
      <c r="BR20" s="2279" t="s">
        <v>1705</v>
      </c>
      <c r="BS20" s="2640"/>
      <c r="BT20" s="2492">
        <v>4189672</v>
      </c>
      <c r="BU20" s="2279" t="s">
        <v>1706</v>
      </c>
      <c r="BV20" s="2281"/>
      <c r="BW20" s="2906">
        <v>4189705</v>
      </c>
      <c r="BX20" s="2904" t="s">
        <v>1707</v>
      </c>
      <c r="BZ20" s="2492">
        <v>4189713</v>
      </c>
      <c r="CA20" s="2279" t="s">
        <v>1707</v>
      </c>
      <c r="CC20" s="2492">
        <v>4189709</v>
      </c>
      <c r="CD20" s="2279" t="s">
        <v>1708</v>
      </c>
    </row>
    <row customHeight="1" ht="21">
      <c r="A21" s="2285" t="s">
        <v>1709</v>
      </c>
      <c r="B21" s="2286">
        <v>2019</v>
      </c>
      <c r="I21" s="2287" t="s">
        <v>1710</v>
      </c>
      <c r="N21" s="2369" t="s">
        <v>1711</v>
      </c>
      <c r="AW21" s="2331" t="s">
        <v>1701</v>
      </c>
      <c r="AX21" s="2331" t="s">
        <v>1701</v>
      </c>
      <c r="AZ21" s="2331" t="s">
        <v>1712</v>
      </c>
      <c r="BB21" s="2331" t="s">
        <v>1713</v>
      </c>
      <c r="BC21" s="2331" t="s">
        <v>590</v>
      </c>
      <c r="BE21" s="66996">
        <v>2017</v>
      </c>
      <c r="BH21" s="2279" t="s">
        <v>1636</v>
      </c>
      <c r="BJ21" s="2279" t="s">
        <v>1578</v>
      </c>
      <c r="BL21" s="2279" t="s">
        <v>1578</v>
      </c>
      <c r="BQ21" s="2492">
        <v>4190066</v>
      </c>
      <c r="BR21" s="2279" t="s">
        <v>1714</v>
      </c>
      <c r="BS21" s="2640"/>
      <c r="BT21" s="2492">
        <v>4189673</v>
      </c>
      <c r="BU21" s="2279" t="s">
        <v>1715</v>
      </c>
      <c r="BV21" s="2281"/>
      <c r="BW21" s="2906">
        <v>4189707</v>
      </c>
      <c r="BX21" s="2904" t="s">
        <v>1716</v>
      </c>
      <c r="BZ21" s="2492">
        <v>4189712</v>
      </c>
      <c r="CA21" s="2279" t="s">
        <v>1717</v>
      </c>
      <c r="CC21" s="2492">
        <v>4189710</v>
      </c>
      <c r="CD21" s="2279" t="s">
        <v>1718</v>
      </c>
    </row>
    <row customHeight="1" ht="21">
      <c r="A22" s="2285" t="s">
        <v>1719</v>
      </c>
      <c r="B22" s="2286">
        <v>2020</v>
      </c>
      <c r="N22" s="2369" t="s">
        <v>1720</v>
      </c>
      <c r="AW22" s="2331" t="s">
        <v>1710</v>
      </c>
      <c r="AX22" s="2331" t="s">
        <v>1710</v>
      </c>
      <c r="AZ22" s="2331" t="s">
        <v>1721</v>
      </c>
      <c r="BB22" s="2331" t="s">
        <v>1722</v>
      </c>
      <c r="BC22" s="2331" t="s">
        <v>590</v>
      </c>
      <c r="BE22" s="66996">
        <v>2018</v>
      </c>
      <c r="BH22" s="2279" t="s">
        <v>1644</v>
      </c>
      <c r="BJ22" s="2279" t="s">
        <v>1592</v>
      </c>
      <c r="BL22" s="2279" t="s">
        <v>1592</v>
      </c>
      <c r="BQ22" s="2492">
        <v>4190067</v>
      </c>
      <c r="BR22" s="2279" t="s">
        <v>1723</v>
      </c>
      <c r="BS22" s="2640"/>
      <c r="BT22" s="2492">
        <v>4189674</v>
      </c>
      <c r="BU22" s="2279" t="s">
        <v>1724</v>
      </c>
      <c r="BV22" s="2281"/>
      <c r="BW22" s="2281"/>
      <c r="CC22" s="2492">
        <v>4189711</v>
      </c>
      <c r="CD22" s="2279" t="s">
        <v>311</v>
      </c>
    </row>
    <row customHeight="1" ht="21">
      <c r="A23" s="2285" t="s">
        <v>1725</v>
      </c>
      <c r="B23" s="2286">
        <v>2021</v>
      </c>
      <c r="AW23" s="2331" t="s">
        <v>1726</v>
      </c>
      <c r="AX23" s="2331" t="s">
        <v>1726</v>
      </c>
      <c r="AZ23" s="2331" t="s">
        <v>1727</v>
      </c>
      <c r="BB23" s="2331" t="s">
        <v>1728</v>
      </c>
      <c r="BC23" s="2331" t="s">
        <v>588</v>
      </c>
      <c r="BE23" s="66996">
        <v>2019</v>
      </c>
      <c r="BH23" s="2279" t="s">
        <v>1652</v>
      </c>
      <c r="BJ23" s="2279" t="s">
        <v>1607</v>
      </c>
      <c r="BL23" s="2279" t="s">
        <v>1607</v>
      </c>
      <c r="BQ23" s="2492">
        <v>4190068</v>
      </c>
      <c r="BR23" s="2279" t="s">
        <v>1729</v>
      </c>
      <c r="BS23" s="2640"/>
      <c r="BT23" s="2492">
        <v>4189675</v>
      </c>
      <c r="BU23" s="2279" t="s">
        <v>1730</v>
      </c>
      <c r="BV23" s="2281"/>
      <c r="BW23" s="2281"/>
      <c r="CC23" s="2492">
        <v>5110778</v>
      </c>
      <c r="CD23" s="2279" t="s">
        <v>1731</v>
      </c>
    </row>
    <row customHeight="1" ht="21">
      <c r="A24" s="2285" t="s">
        <v>1732</v>
      </c>
      <c r="B24" s="2286">
        <v>2022</v>
      </c>
      <c r="AW24" s="2331" t="s">
        <v>1733</v>
      </c>
      <c r="AX24" s="2331" t="s">
        <v>1733</v>
      </c>
      <c r="AZ24" s="2331" t="s">
        <v>1734</v>
      </c>
      <c r="BB24" s="2331" t="s">
        <v>1735</v>
      </c>
      <c r="BC24" s="2331" t="s">
        <v>1736</v>
      </c>
      <c r="BE24" s="66996">
        <v>2020</v>
      </c>
      <c r="BH24" s="2279" t="s">
        <v>1661</v>
      </c>
      <c r="BJ24" s="2279" t="s">
        <v>1619</v>
      </c>
      <c r="BL24" s="2279" t="s">
        <v>1619</v>
      </c>
      <c r="BQ24" s="2492">
        <v>4190069</v>
      </c>
      <c r="BR24" s="2279" t="s">
        <v>1737</v>
      </c>
      <c r="BS24" s="2640"/>
      <c r="BT24" s="2492">
        <v>4189676</v>
      </c>
      <c r="BU24" s="2279" t="s">
        <v>1738</v>
      </c>
      <c r="BV24" s="2281"/>
      <c r="BW24" s="2281"/>
      <c r="CC24" s="2492">
        <v>25575374</v>
      </c>
      <c r="CD24" s="2279" t="s">
        <v>1739</v>
      </c>
    </row>
    <row customHeight="1" ht="11.25">
      <c r="A25" s="2285" t="s">
        <v>1740</v>
      </c>
      <c r="B25" s="2286">
        <v>2023</v>
      </c>
      <c r="AW25" s="2331" t="s">
        <v>1741</v>
      </c>
      <c r="AX25" s="2331" t="s">
        <v>1741</v>
      </c>
      <c r="AZ25" s="2331" t="s">
        <v>1318</v>
      </c>
      <c r="BB25" s="2331" t="s">
        <v>1742</v>
      </c>
      <c r="BC25" s="2331" t="s">
        <v>1736</v>
      </c>
      <c r="BE25" s="66996">
        <v>2021</v>
      </c>
      <c r="BH25" s="2279" t="s">
        <v>1668</v>
      </c>
      <c r="BJ25" s="2279" t="s">
        <v>1693</v>
      </c>
      <c r="BL25" s="2279" t="s">
        <v>1693</v>
      </c>
      <c r="BQ25" s="2492">
        <v>4190070</v>
      </c>
      <c r="BR25" s="2279" t="s">
        <v>1743</v>
      </c>
      <c r="BS25" s="2640"/>
      <c r="BT25" s="2492">
        <v>4189677</v>
      </c>
      <c r="BU25" s="2279" t="s">
        <v>1744</v>
      </c>
      <c r="BV25" s="2281"/>
      <c r="BW25" s="2281"/>
    </row>
    <row customHeight="1" ht="11.25">
      <c r="A26" s="2285" t="s">
        <v>1745</v>
      </c>
      <c r="B26" s="2286">
        <v>2024</v>
      </c>
      <c r="J26" s="2942" t="s">
        <v>1746</v>
      </c>
      <c r="AX26" s="2331" t="s">
        <v>1747</v>
      </c>
      <c r="AZ26" s="2331" t="s">
        <v>1613</v>
      </c>
      <c r="BB26" s="2331" t="s">
        <v>1748</v>
      </c>
      <c r="BC26" s="2331" t="s">
        <v>1736</v>
      </c>
      <c r="BE26" s="66996">
        <v>2022</v>
      </c>
      <c r="BH26" s="2279" t="s">
        <v>1679</v>
      </c>
      <c r="BJ26" s="2279" t="s">
        <v>1629</v>
      </c>
      <c r="BL26" s="2279" t="s">
        <v>1629</v>
      </c>
      <c r="BQ26" s="2492">
        <v>4190071</v>
      </c>
      <c r="BR26" s="2279" t="s">
        <v>1749</v>
      </c>
      <c r="BS26" s="2640"/>
      <c r="BV26" s="2281"/>
      <c r="BW26" s="2281"/>
    </row>
    <row customHeight="1" ht="11.25">
      <c r="A27" s="2285" t="s">
        <v>1750</v>
      </c>
      <c r="B27" s="2286">
        <v>2025</v>
      </c>
      <c r="J27" s="1387" t="s">
        <v>103</v>
      </c>
      <c r="AX27" s="2331" t="s">
        <v>1751</v>
      </c>
      <c r="BB27" s="2331" t="s">
        <v>1752</v>
      </c>
      <c r="BC27" s="2331" t="s">
        <v>1736</v>
      </c>
      <c r="BE27" s="66996">
        <v>2023</v>
      </c>
      <c r="BH27" s="2281" t="s">
        <v>22</v>
      </c>
      <c r="BJ27" s="2279" t="s">
        <v>1636</v>
      </c>
      <c r="BL27" s="2279" t="s">
        <v>1636</v>
      </c>
      <c r="BN27" s="2281" t="s">
        <v>22</v>
      </c>
      <c r="BQ27" s="2492">
        <v>4190072</v>
      </c>
      <c r="BR27" s="2279" t="s">
        <v>1753</v>
      </c>
      <c r="BS27" s="2640"/>
      <c r="BV27" s="2281"/>
      <c r="BW27" s="2281"/>
    </row>
    <row customHeight="1" ht="11.25">
      <c r="A28" s="2285" t="s">
        <v>1754</v>
      </c>
      <c r="D28" s="2312"/>
      <c r="E28" s="2313"/>
      <c r="F28" s="2313"/>
      <c r="H28" s="2314" t="s">
        <v>1755</v>
      </c>
      <c r="AX28" s="2331" t="s">
        <v>1756</v>
      </c>
      <c r="AZ28" s="2278" t="s">
        <v>1757</v>
      </c>
      <c r="BB28" s="2331" t="s">
        <v>1758</v>
      </c>
      <c r="BC28" s="2331" t="s">
        <v>1759</v>
      </c>
      <c r="BE28" s="66996">
        <v>2024</v>
      </c>
      <c r="BH28" s="2281" t="s">
        <v>22</v>
      </c>
      <c r="BJ28" s="2279" t="s">
        <v>1644</v>
      </c>
      <c r="BL28" s="2279" t="s">
        <v>1644</v>
      </c>
      <c r="BN28" s="2281" t="s">
        <v>22</v>
      </c>
      <c r="BQ28" s="2492">
        <v>4190073</v>
      </c>
      <c r="BR28" s="2279" t="s">
        <v>1760</v>
      </c>
      <c r="BS28" s="2640"/>
      <c r="BV28" s="2281"/>
      <c r="BW28" s="2281"/>
    </row>
    <row customHeight="1" ht="11.25">
      <c r="A29" s="2285" t="s">
        <v>1761</v>
      </c>
      <c r="D29" s="2315" t="s">
        <v>1762</v>
      </c>
      <c r="E29" s="2316" t="str">
        <f>IF(TEMPLATE_GROUP="","",INDEX(StartDateList,MATCH(TEMPLATE_GROUP,CodeTemplateList,0),1))</f>
        <v>01.01.2023</v>
      </c>
      <c r="F29" s="2316" t="str">
        <f>IF(TEMPLATE_GROUP="","",INDEX(EndDateList,MATCH(TEMPLATE_GROUP,CodeTemplateList,0),1))</f>
        <v>31.12.2023</v>
      </c>
      <c r="H29" s="2317" t="s">
        <v>1763</v>
      </c>
      <c r="AX29" s="2331" t="s">
        <v>1764</v>
      </c>
      <c r="AZ29" s="2331" t="s">
        <v>1425</v>
      </c>
      <c r="BB29" s="2331" t="s">
        <v>1613</v>
      </c>
      <c r="BC29" s="2302"/>
      <c r="BE29" s="66996">
        <v>2025</v>
      </c>
      <c r="BJ29" s="2279" t="s">
        <v>1652</v>
      </c>
      <c r="BL29" s="2279" t="s">
        <v>1652</v>
      </c>
    </row>
    <row customHeight="1" ht="11.25">
      <c r="A30" s="2285" t="s">
        <v>1765</v>
      </c>
      <c r="D30" s="2318"/>
      <c r="E30" s="2319"/>
      <c r="F30" s="2319"/>
      <c r="AX30" s="2331" t="s">
        <v>1766</v>
      </c>
      <c r="AZ30" s="2331" t="s">
        <v>1450</v>
      </c>
      <c r="BE30" s="66996">
        <v>2026</v>
      </c>
      <c r="BJ30" s="2279" t="s">
        <v>1767</v>
      </c>
      <c r="BL30" s="2279" t="s">
        <v>1767</v>
      </c>
    </row>
    <row customHeight="1" ht="12.75">
      <c r="A31" s="2285" t="s">
        <v>1768</v>
      </c>
      <c r="D31" s="2312"/>
      <c r="E31" s="2313"/>
      <c r="F31" s="2313"/>
      <c r="H31" s="2320"/>
      <c r="AX31" s="2331" t="s">
        <v>1769</v>
      </c>
      <c r="AZ31" s="2331" t="s">
        <v>1770</v>
      </c>
      <c r="BE31" s="66996">
        <v>2027</v>
      </c>
      <c r="BJ31" s="2279" t="s">
        <v>1771</v>
      </c>
      <c r="BL31" s="2279" t="s">
        <v>1771</v>
      </c>
    </row>
    <row customHeight="1" ht="11.25">
      <c r="A32" s="2285" t="s">
        <v>1772</v>
      </c>
      <c r="D32" s="2315" t="s">
        <v>1773</v>
      </c>
      <c r="E32" s="2316" t="str">
        <f>IF(TEMPLATE_GROUP="","",INDEX(StartDateList,MATCH(TEMPLATE_GROUP,CodeTemplateList,0),1))</f>
        <v>01.01.2023</v>
      </c>
      <c r="F32" s="2316" t="str">
        <f>IF(TEMPLATE_GROUP="","",INDEX(EndDateList,MATCH(TEMPLATE_GROUP,CodeTemplateList,0),1))</f>
        <v>31.12.2023</v>
      </c>
      <c r="H32" s="2321" t="s">
        <v>1774</v>
      </c>
      <c r="O32" s="2285" t="s">
        <v>1423</v>
      </c>
      <c r="AX32" s="2331" t="s">
        <v>1775</v>
      </c>
      <c r="AZ32" s="2331" t="s">
        <v>602</v>
      </c>
      <c r="BE32" s="66996">
        <v>2028</v>
      </c>
      <c r="BJ32" s="2279" t="s">
        <v>1661</v>
      </c>
      <c r="BL32" s="2279" t="s">
        <v>1661</v>
      </c>
    </row>
    <row customHeight="1" ht="11.25">
      <c r="A33" s="2285" t="s">
        <v>1776</v>
      </c>
      <c r="O33" s="2285" t="s">
        <v>1447</v>
      </c>
      <c r="AX33" s="2331" t="s">
        <v>1777</v>
      </c>
      <c r="AZ33" s="2331" t="s">
        <v>1424</v>
      </c>
      <c r="BE33" s="66996">
        <v>2029</v>
      </c>
      <c r="BJ33" s="2279" t="s">
        <v>1668</v>
      </c>
      <c r="BL33" s="2279" t="s">
        <v>1668</v>
      </c>
    </row>
    <row customHeight="1" ht="11.25">
      <c r="A34" s="2285" t="s">
        <v>1778</v>
      </c>
      <c r="O34" s="2285" t="s">
        <v>1482</v>
      </c>
      <c r="AX34" s="2331" t="s">
        <v>1779</v>
      </c>
      <c r="BE34" s="66996">
        <v>2030</v>
      </c>
      <c r="BJ34" s="2279" t="s">
        <v>1679</v>
      </c>
      <c r="BL34" s="2279" t="s">
        <v>1679</v>
      </c>
    </row>
    <row customHeight="1" ht="11.25">
      <c r="A35" s="2285" t="s">
        <v>1780</v>
      </c>
      <c r="O35" s="2285" t="s">
        <v>1514</v>
      </c>
      <c r="AX35" s="2331" t="s">
        <v>1781</v>
      </c>
      <c r="AZ35" s="2278" t="s">
        <v>1782</v>
      </c>
      <c r="BE35" s="66996">
        <v>2031</v>
      </c>
      <c r="BL35" s="2279" t="s">
        <v>1783</v>
      </c>
    </row>
    <row customHeight="1" ht="11.25">
      <c r="A36" s="3081" t="s">
        <v>1784</v>
      </c>
      <c r="D36" s="2322" t="s">
        <v>1785</v>
      </c>
      <c r="E36" s="2323" t="s">
        <v>978</v>
      </c>
      <c r="F36" s="2324" t="str">
        <f>INDEX(E37:E41,MATCH(TEMPLATE_SPHERE,F37:F41,0))</f>
        <v>теплоснабжения</v>
      </c>
      <c r="G36" s="2324" t="str">
        <f>INDEX(G37:G41,MATCH(TEMPLATE_SPHERE,F37:F41,0))</f>
        <v>теплоснабжение</v>
      </c>
      <c r="O36" s="2285" t="s">
        <v>1536</v>
      </c>
      <c r="AX36" s="2331" t="s">
        <v>1786</v>
      </c>
      <c r="AZ36" s="2331" t="s">
        <v>1424</v>
      </c>
      <c r="BE36" s="66996">
        <v>2032</v>
      </c>
      <c r="BL36" s="2279" t="s">
        <v>1787</v>
      </c>
    </row>
    <row customHeight="1" ht="11.25">
      <c r="A37" s="2285" t="s">
        <v>1788</v>
      </c>
      <c r="E37" s="1618" t="s">
        <v>1789</v>
      </c>
      <c r="F37" s="2325" t="s">
        <v>978</v>
      </c>
      <c r="G37" s="1618" t="s">
        <v>1790</v>
      </c>
      <c r="O37" s="2285" t="s">
        <v>1554</v>
      </c>
      <c r="AX37" s="2331" t="s">
        <v>1791</v>
      </c>
      <c r="AZ37" s="2331" t="s">
        <v>1449</v>
      </c>
      <c r="BE37" s="66996">
        <v>2033</v>
      </c>
    </row>
    <row customHeight="1" ht="11.25">
      <c r="A38" s="2285" t="s">
        <v>1792</v>
      </c>
      <c r="E38" s="1618" t="s">
        <v>1793</v>
      </c>
      <c r="F38" s="2326" t="s">
        <v>1025</v>
      </c>
      <c r="G38" s="1618" t="s">
        <v>1794</v>
      </c>
      <c r="O38" s="2285" t="s">
        <v>1570</v>
      </c>
      <c r="AX38" s="2331" t="s">
        <v>1795</v>
      </c>
      <c r="AZ38" s="2331" t="s">
        <v>1483</v>
      </c>
      <c r="BE38" s="66996">
        <v>2034</v>
      </c>
      <c r="BH38" s="2278" t="s">
        <v>1796</v>
      </c>
      <c r="BJ38" s="2278" t="s">
        <v>1797</v>
      </c>
      <c r="BL38" s="2278" t="s">
        <v>1798</v>
      </c>
      <c r="BN38" s="2278" t="s">
        <v>1799</v>
      </c>
    </row>
    <row customHeight="1" ht="11.25">
      <c r="A39" s="2285" t="s">
        <v>1800</v>
      </c>
      <c r="E39" s="1618" t="s">
        <v>1801</v>
      </c>
      <c r="F39" s="2326" t="s">
        <v>1078</v>
      </c>
      <c r="G39" s="1618" t="s">
        <v>1802</v>
      </c>
      <c r="O39" s="2285" t="s">
        <v>1585</v>
      </c>
      <c r="AX39" s="2331" t="s">
        <v>1803</v>
      </c>
      <c r="AZ39" s="2331" t="s">
        <v>1515</v>
      </c>
      <c r="BE39" s="66996">
        <v>2035</v>
      </c>
      <c r="BH39" s="2279" t="s">
        <v>1804</v>
      </c>
      <c r="BJ39" s="2428" t="s">
        <v>1804</v>
      </c>
      <c r="BL39" s="2428" t="s">
        <v>1804</v>
      </c>
      <c r="BN39" s="2279" t="s">
        <v>1805</v>
      </c>
    </row>
    <row customHeight="1" ht="11.25">
      <c r="A40" s="2285" t="s">
        <v>1806</v>
      </c>
      <c r="E40" s="1618" t="s">
        <v>1807</v>
      </c>
      <c r="F40" s="2326" t="s">
        <v>1065</v>
      </c>
      <c r="G40" s="1618" t="s">
        <v>1808</v>
      </c>
      <c r="O40" s="2285" t="s">
        <v>1599</v>
      </c>
      <c r="AX40" s="2331" t="s">
        <v>1809</v>
      </c>
      <c r="BE40" s="66996">
        <v>2036</v>
      </c>
      <c r="BH40" s="2279" t="s">
        <v>1810</v>
      </c>
      <c r="BJ40" s="2428" t="s">
        <v>1231</v>
      </c>
      <c r="BL40" s="2428" t="s">
        <v>1231</v>
      </c>
      <c r="BN40" s="2279" t="s">
        <v>1264</v>
      </c>
    </row>
    <row customHeight="1" ht="11.25">
      <c r="A41" s="2285" t="s">
        <v>1811</v>
      </c>
      <c r="E41" s="1618" t="s">
        <v>1812</v>
      </c>
      <c r="F41" s="2326" t="s">
        <v>1813</v>
      </c>
      <c r="G41" s="1618" t="s">
        <v>1812</v>
      </c>
      <c r="O41" s="2285" t="s">
        <v>1613</v>
      </c>
      <c r="AX41" s="2331" t="s">
        <v>1814</v>
      </c>
      <c r="AZ41" s="2278" t="s">
        <v>1815</v>
      </c>
      <c r="BE41" s="66996">
        <v>2037</v>
      </c>
      <c r="BH41" s="2279" t="s">
        <v>1816</v>
      </c>
      <c r="BJ41" s="2428" t="s">
        <v>1229</v>
      </c>
      <c r="BL41" s="2428" t="s">
        <v>1229</v>
      </c>
      <c r="BN41" s="2279" t="s">
        <v>1251</v>
      </c>
    </row>
    <row customHeight="1" ht="11.25">
      <c r="A42" s="2285" t="s">
        <v>1817</v>
      </c>
      <c r="AX42" s="2331" t="s">
        <v>1818</v>
      </c>
      <c r="AZ42" s="2331" t="s">
        <v>1423</v>
      </c>
      <c r="BE42" s="66996">
        <v>2038</v>
      </c>
      <c r="BH42" s="2279" t="s">
        <v>1248</v>
      </c>
      <c r="BJ42" s="2428" t="s">
        <v>1230</v>
      </c>
      <c r="BL42" s="2428" t="s">
        <v>1230</v>
      </c>
      <c r="BN42" s="2279" t="s">
        <v>1819</v>
      </c>
    </row>
    <row customHeight="1" ht="11.25">
      <c r="A43" s="2285" t="s">
        <v>1820</v>
      </c>
      <c r="AX43" s="2331" t="s">
        <v>1821</v>
      </c>
      <c r="AZ43" s="2331" t="s">
        <v>1447</v>
      </c>
      <c r="BE43" s="66996">
        <v>2039</v>
      </c>
      <c r="BH43" s="2279" t="s">
        <v>1822</v>
      </c>
      <c r="BJ43" s="2428" t="s">
        <v>1816</v>
      </c>
      <c r="BL43" s="2428" t="s">
        <v>1816</v>
      </c>
      <c r="BN43" s="2279" t="s">
        <v>1823</v>
      </c>
    </row>
    <row customHeight="1" ht="11.25">
      <c r="A44" s="2285" t="s">
        <v>1824</v>
      </c>
      <c r="G44" s="2305">
        <f>YEAR(TODAY())</f>
        <v>2024</v>
      </c>
      <c r="I44" s="2010" t="s">
        <v>1825</v>
      </c>
      <c r="J44" s="2300" t="s">
        <v>1826</v>
      </c>
      <c r="K44" s="2300" t="s">
        <v>1827</v>
      </c>
      <c r="AX44" s="2331" t="s">
        <v>1828</v>
      </c>
      <c r="AZ44" s="2331" t="s">
        <v>1482</v>
      </c>
      <c r="BE44" s="66996">
        <v>2040</v>
      </c>
      <c r="BH44" s="2279" t="s">
        <v>1829</v>
      </c>
      <c r="BJ44" s="2428" t="s">
        <v>1248</v>
      </c>
      <c r="BL44" s="2428" t="s">
        <v>1248</v>
      </c>
      <c r="BN44" s="2279" t="s">
        <v>1830</v>
      </c>
    </row>
    <row customHeight="1" ht="11.25">
      <c r="A45" s="2285" t="s">
        <v>1831</v>
      </c>
      <c r="D45" s="2322" t="s">
        <v>1832</v>
      </c>
      <c r="E45" s="2323" t="s">
        <v>1833</v>
      </c>
      <c r="F45" s="2008" t="s">
        <v>1834</v>
      </c>
      <c r="G45" s="2007" t="s">
        <v>1835</v>
      </c>
      <c r="H45" s="2010" t="s">
        <v>1836</v>
      </c>
      <c r="I45" s="2952">
        <f>INDEX(PeriodIsEmptyList,MATCH(TEMPLATE_GROUP,CodeTemplateList,0),1)</f>
        <v>0</v>
      </c>
      <c r="J45" s="2955"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295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2331" t="s">
        <v>1837</v>
      </c>
      <c r="AZ45" s="2331" t="s">
        <v>1514</v>
      </c>
      <c r="BE45" s="66996">
        <v>2041</v>
      </c>
      <c r="BH45" s="2279" t="s">
        <v>1838</v>
      </c>
      <c r="BJ45" s="2428" t="s">
        <v>1242</v>
      </c>
      <c r="BL45" s="2428" t="s">
        <v>1242</v>
      </c>
      <c r="BN45" s="2279" t="s">
        <v>1839</v>
      </c>
    </row>
    <row customHeight="1" ht="11.25">
      <c r="A46" s="2285" t="s">
        <v>1840</v>
      </c>
      <c r="E46" s="1618" t="s">
        <v>27</v>
      </c>
      <c r="F46" s="2325" t="s">
        <v>1841</v>
      </c>
      <c r="G46" s="2327" t="str">
        <f>_xlfn.IFERROR(IF(TITLE_DATE_FIL="","01.01."&amp;CURRENT_YEAR,"01.01."&amp;YEAR(TITLE_DATE_FIL)),"01.01."&amp;CURRENT_YEAR)</f>
        <v>01.01.2024</v>
      </c>
      <c r="H46" s="2327" t="str">
        <f>_xlfn.IFERROR(IF(TITLE_DATE_FIL="","31.12."&amp;CURRENT_YEAR,"31.12."&amp;YEAR(TITLE_DATE_FIL)),"31.12."&amp;CURRENT_YEAR)</f>
        <v>31.12.2024</v>
      </c>
      <c r="I46" s="2953">
        <f>IF(TITLE_DATE_FIL="",TRUE,FALSE)</f>
        <v>1</v>
      </c>
      <c r="J46" s="2956" t="str">
        <f>"Общая информация о регулируемой организации ("&amp;TEMPLATE_SPHERE_RUS&amp;")"</f>
        <v>Общая информация о регулируемой организации (теплоснабжения)</v>
      </c>
      <c r="K46" s="2957"/>
      <c r="AX46" s="2331" t="s">
        <v>1842</v>
      </c>
      <c r="AZ46" s="2331" t="s">
        <v>1536</v>
      </c>
      <c r="BE46" s="66996">
        <v>2042</v>
      </c>
      <c r="BH46" s="2279" t="s">
        <v>1251</v>
      </c>
      <c r="BJ46" s="2428" t="s">
        <v>1232</v>
      </c>
      <c r="BL46" s="2428" t="s">
        <v>1232</v>
      </c>
      <c r="BN46" s="2279" t="s">
        <v>1843</v>
      </c>
    </row>
    <row customHeight="1" ht="11.25">
      <c r="A47" s="2285" t="s">
        <v>1844</v>
      </c>
      <c r="E47" s="1618" t="s">
        <v>33</v>
      </c>
      <c r="F47" s="2326" t="s">
        <v>1845</v>
      </c>
      <c r="G47" s="2327" t="str">
        <f>_xlfn.IFERROR(IF(f_year="","01.01."&amp;CURRENT_YEAR,IF(LEN(f_quart)=0,"01.01."&amp;f_year,IF(f_quart="I квартал","01.01."&amp;f_year,IF(f_quart="II квартал","01.04."&amp;f_year,(IF(f_quart="III квартал","01.07."&amp;f_year,"01.10."&amp;f_year)))))),"01.01."&amp;CURRENT_YEAR)</f>
        <v>01.01.2023</v>
      </c>
      <c r="H47" s="2327" t="str">
        <f>_xlfn.IFERROR(IF(f_year="","31.12."&amp;CURRENT_YEAR,IF(LEN(f_quart)=0,"31.12."&amp;f_year,IF(f_quart="I квартал","31.03."&amp;f_year,IF(f_quart="II квартал","30.06."&amp;f_year,(IF(f_quart="III квартал","30.09."&amp;f_year,"31.12."&amp;f_year)))))),"31.12."&amp;CURRENT_YEAR)</f>
        <v>31.12.2023</v>
      </c>
      <c r="I47" s="2954">
        <f>IF(OR(f_year="",f_quart=""),TRUE,FALSE)</f>
        <v>1</v>
      </c>
      <c r="J47" s="295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2957"/>
      <c r="AX47" s="2331" t="s">
        <v>1846</v>
      </c>
      <c r="AZ47" s="2331" t="s">
        <v>1554</v>
      </c>
      <c r="BE47" s="66996">
        <v>2043</v>
      </c>
      <c r="BH47" s="2279" t="s">
        <v>1819</v>
      </c>
      <c r="BJ47" s="2428" t="s">
        <v>1234</v>
      </c>
      <c r="BL47" s="2428" t="s">
        <v>1234</v>
      </c>
      <c r="BN47" s="2279" t="s">
        <v>1847</v>
      </c>
    </row>
    <row customHeight="1" ht="11.25">
      <c r="A48" s="2285" t="s">
        <v>1848</v>
      </c>
      <c r="E48" s="1618" t="s">
        <v>1849</v>
      </c>
      <c r="F48" s="2326" t="s">
        <v>1833</v>
      </c>
      <c r="G48" s="2327" t="str">
        <f>_xlfn.IFERROR(IF(f_year="","01.01."&amp;CURRENT_YEAR,"01.01."&amp;f_year),"01.01."&amp;CURRENT_YEAR)</f>
        <v>01.01.2023</v>
      </c>
      <c r="H48" s="2327" t="str">
        <f>_xlfn.IFERROR(IF(f_year="","31.12."&amp;CURRENT_YEAR,"31.12."&amp;f_year),"31.12."&amp;CURRENT_YEAR)</f>
        <v>31.12.2023</v>
      </c>
      <c r="I48" s="2953">
        <f>IF(f_year="",TRUE,FALSE)</f>
        <v>0</v>
      </c>
      <c r="J48" s="2956" t="s">
        <v>1850</v>
      </c>
      <c r="K48" s="2957"/>
      <c r="AX48" s="2331" t="s">
        <v>1851</v>
      </c>
      <c r="AZ48" s="2331" t="s">
        <v>1570</v>
      </c>
      <c r="BE48" s="66996">
        <v>2044</v>
      </c>
      <c r="BH48" s="2279" t="s">
        <v>1823</v>
      </c>
      <c r="BJ48" s="2428" t="s">
        <v>1236</v>
      </c>
      <c r="BL48" s="2428" t="s">
        <v>1236</v>
      </c>
      <c r="BN48" s="2279" t="s">
        <v>1852</v>
      </c>
    </row>
    <row customHeight="1" ht="11.25">
      <c r="A49" s="2285" t="s">
        <v>1853</v>
      </c>
      <c r="E49" s="1618" t="s">
        <v>1854</v>
      </c>
      <c r="F49" s="2326" t="s">
        <v>1855</v>
      </c>
      <c r="G49" s="2327" t="str">
        <f>_xlfn.IFERROR(IF(f_year="","01.01."&amp;CURRENT_YEAR,"01.01."&amp;f_year),"01.01."&amp;CURRENT_YEAR)</f>
        <v>01.01.2023</v>
      </c>
      <c r="H49" s="2327" t="str">
        <f>_xlfn.IFERROR(IF(f_year="","31.12."&amp;CURRENT_YEAR,"31.12."&amp;f_year),"31.12."&amp;CURRENT_YEAR)</f>
        <v>31.12.2023</v>
      </c>
      <c r="I49" s="2953">
        <f>IF(f_year="",TRUE,FALSE)</f>
        <v>0</v>
      </c>
      <c r="J49" s="295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2957"/>
      <c r="AX49" s="2331" t="s">
        <v>1856</v>
      </c>
      <c r="AZ49" s="2331" t="s">
        <v>1585</v>
      </c>
      <c r="BE49" s="66996">
        <v>2045</v>
      </c>
      <c r="BH49" s="2279" t="s">
        <v>1252</v>
      </c>
      <c r="BJ49" s="2428" t="s">
        <v>1238</v>
      </c>
      <c r="BL49" s="2428" t="s">
        <v>1238</v>
      </c>
    </row>
    <row customHeight="1" ht="11.25">
      <c r="A50" s="2285" t="s">
        <v>1857</v>
      </c>
      <c r="E50" s="1618" t="s">
        <v>1858</v>
      </c>
      <c r="F50" s="2326" t="s">
        <v>1226</v>
      </c>
      <c r="G50" s="2327" t="str">
        <f>_xlfn.IFERROR(IF(f_year="","01.01."&amp;CURRENT_YEAR,"01.01."&amp;f_year),"01.01."&amp;CURRENT_YEAR)</f>
        <v>01.01.2023</v>
      </c>
      <c r="H50" s="2327" t="str">
        <f>_xlfn.IFERROR(IF(f_year="","31.12."&amp;CURRENT_YEAR,"31.12."&amp;f_year),"31.12."&amp;CURRENT_YEAR)</f>
        <v>31.12.2023</v>
      </c>
      <c r="I50" s="2953">
        <f>IF(f_year="",TRUE,FALSE)</f>
        <v>0</v>
      </c>
      <c r="J50" s="295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2957"/>
      <c r="AX50" s="2331" t="s">
        <v>1859</v>
      </c>
      <c r="AZ50" s="2331" t="s">
        <v>1599</v>
      </c>
      <c r="BE50" s="66996">
        <v>2046</v>
      </c>
      <c r="BH50" s="2279" t="s">
        <v>1830</v>
      </c>
      <c r="BJ50" s="2428" t="s">
        <v>1240</v>
      </c>
      <c r="BL50" s="2428" t="s">
        <v>1240</v>
      </c>
    </row>
    <row customHeight="1" ht="11.25">
      <c r="A51" s="2285" t="s">
        <v>1860</v>
      </c>
      <c r="E51" s="1618" t="s">
        <v>1861</v>
      </c>
      <c r="F51" s="2326" t="s">
        <v>1862</v>
      </c>
      <c r="G51" s="2327" t="str">
        <f>_xlfn.IFERROR(IF(TITLE_PERIOD_START="","01.01."&amp;CURRENT_YEAR,"01.01."&amp;YEAR(TITLE_PERIOD_START)),"01.01."&amp;CURRENT_YEAR)</f>
        <v>01.01.2024</v>
      </c>
      <c r="H51" s="2327" t="str">
        <f>_xlfn.IFERROR(IF(TITLE_PERIOD_END="","31.12."&amp;CURRENT_YEAR,"31.12."&amp;YEAR(TITLE_PERIOD_END)),"31.12."&amp;CURRENT_YEAR)</f>
        <v>31.12.2024</v>
      </c>
      <c r="I51" s="2954">
        <f>IF(OR(TITLE_PERIOD_START="",TITLE_PERIOD_END=""),TRUE,FALSE)</f>
        <v>1</v>
      </c>
      <c r="J51" s="295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957"/>
      <c r="AX51" s="2331" t="s">
        <v>1863</v>
      </c>
      <c r="AZ51" s="2331" t="s">
        <v>1613</v>
      </c>
      <c r="BE51" s="66996">
        <v>2047</v>
      </c>
      <c r="BH51" s="2279" t="s">
        <v>1839</v>
      </c>
      <c r="BJ51" s="2428" t="s">
        <v>1864</v>
      </c>
      <c r="BL51" s="2428" t="s">
        <v>1864</v>
      </c>
    </row>
    <row customHeight="1" ht="11.25">
      <c r="A52" s="2285" t="s">
        <v>1865</v>
      </c>
      <c r="E52" s="1618" t="s">
        <v>1866</v>
      </c>
      <c r="F52" s="2326" t="s">
        <v>1867</v>
      </c>
      <c r="G52" s="2327" t="str">
        <f>_xlfn.IFERROR(IF(TITLE_PERIOD_START="","01.01."&amp;CURRENT_YEAR,"01.01."&amp;YEAR(TITLE_PERIOD_START)),"01.01."&amp;CURRENT_YEAR)</f>
        <v>01.01.2024</v>
      </c>
      <c r="H52" s="2327" t="str">
        <f>_xlfn.IFERROR(IF(TITLE_PERIOD_END="","31.12."&amp;CURRENT_YEAR,"31.12."&amp;YEAR(TITLE_PERIOD_END)),"31.12."&amp;CURRENT_YEAR)</f>
        <v>31.12.2024</v>
      </c>
      <c r="I52" s="2954">
        <f>IF(OR(TITLE_PERIOD_START="",TITLE_PERIOD_END=""),TRUE,FALSE)</f>
        <v>1</v>
      </c>
      <c r="J52" s="2956" t="str">
        <f>"Показатели, подлежащие раскрытию в сфере "&amp;TEMPLATE_SPHERE_RUS&amp;" (цены и тарифы)"</f>
        <v>Показатели, подлежащие раскрытию в сфере теплоснабжения (цены и тарифы)</v>
      </c>
      <c r="K52" s="2957"/>
      <c r="AX52" s="2331" t="s">
        <v>1868</v>
      </c>
      <c r="AZ52" s="2331" t="s">
        <v>1424</v>
      </c>
      <c r="BE52" s="66996">
        <v>2048</v>
      </c>
      <c r="BH52" s="2279" t="s">
        <v>1843</v>
      </c>
      <c r="BJ52" s="2428" t="s">
        <v>1251</v>
      </c>
      <c r="BL52" s="2428" t="s">
        <v>1251</v>
      </c>
    </row>
    <row customHeight="1" ht="11.25">
      <c r="A53" s="2285" t="s">
        <v>1869</v>
      </c>
      <c r="E53" s="1618" t="s">
        <v>1870</v>
      </c>
      <c r="F53" s="2326" t="s">
        <v>1870</v>
      </c>
      <c r="G53" s="2327" t="str">
        <f>_xlfn.IFERROR(IF(f_year="","01.01."&amp;CURRENT_YEAR,"01.01."&amp;f_year),"01.01."&amp;CURRENT_YEAR)</f>
        <v>01.01.2023</v>
      </c>
      <c r="H53" s="2327" t="str">
        <f>_xlfn.IFERROR(IF(f_year="","31.12."&amp;CURRENT_YEAR,"31.12."&amp;f_year),"31.12."&amp;CURRENT_YEAR)</f>
        <v>31.12.2023</v>
      </c>
      <c r="I53" s="2953">
        <f>IF(AND(f_year="",TITLE_DATE_FIL=""),TRUE,FALSE)</f>
        <v>0</v>
      </c>
      <c r="J53" s="2956" t="s">
        <v>1871</v>
      </c>
      <c r="K53" s="2957"/>
      <c r="AX53" s="2331" t="s">
        <v>1872</v>
      </c>
      <c r="BE53" s="66996">
        <v>2049</v>
      </c>
      <c r="BH53" s="2279" t="s">
        <v>1847</v>
      </c>
      <c r="BJ53" s="2428" t="s">
        <v>1819</v>
      </c>
      <c r="BL53" s="2428" t="s">
        <v>1819</v>
      </c>
    </row>
    <row customHeight="1" ht="11.25">
      <c r="A54" s="2285" t="s">
        <v>1873</v>
      </c>
      <c r="AX54" s="2331" t="s">
        <v>1874</v>
      </c>
      <c r="AZ54" s="2278" t="s">
        <v>1875</v>
      </c>
      <c r="BE54" s="66996">
        <v>2050</v>
      </c>
      <c r="BH54" s="2279" t="s">
        <v>1852</v>
      </c>
      <c r="BJ54" s="2428" t="s">
        <v>1823</v>
      </c>
      <c r="BL54" s="2428" t="s">
        <v>1823</v>
      </c>
    </row>
    <row customHeight="1" ht="11.25">
      <c r="A55" s="2285" t="s">
        <v>1876</v>
      </c>
      <c r="AX55" s="2331" t="s">
        <v>1877</v>
      </c>
      <c r="AZ55" s="2331" t="s">
        <v>1426</v>
      </c>
      <c r="BE55" s="66996">
        <v>2051</v>
      </c>
      <c r="BH55" s="2281" t="s">
        <v>22</v>
      </c>
      <c r="BJ55" s="2428" t="s">
        <v>1252</v>
      </c>
      <c r="BL55" s="2428" t="s">
        <v>1252</v>
      </c>
    </row>
    <row customHeight="1" ht="11.25">
      <c r="A56" s="2285" t="s">
        <v>1878</v>
      </c>
      <c r="D56" s="2329" t="s">
        <v>1879</v>
      </c>
      <c r="E56" s="2306" t="s">
        <v>1872</v>
      </c>
      <c r="F56" s="2285" t="s">
        <v>1880</v>
      </c>
      <c r="AX56" s="2331" t="s">
        <v>1881</v>
      </c>
      <c r="AZ56" s="2331" t="s">
        <v>1451</v>
      </c>
      <c r="BE56" s="66996">
        <v>2052</v>
      </c>
      <c r="BH56" s="2281" t="s">
        <v>22</v>
      </c>
      <c r="BJ56" s="2428" t="s">
        <v>1830</v>
      </c>
      <c r="BL56" s="2428" t="s">
        <v>1830</v>
      </c>
    </row>
    <row customHeight="1" ht="11.25">
      <c r="A57" s="2285" t="s">
        <v>1882</v>
      </c>
      <c r="D57" s="2329" t="s">
        <v>1883</v>
      </c>
      <c r="E57" s="2306" t="s">
        <v>1884</v>
      </c>
      <c r="F57" s="2285" t="s">
        <v>1880</v>
      </c>
      <c r="AX57" s="2331" t="s">
        <v>1885</v>
      </c>
      <c r="AZ57" s="2331" t="s">
        <v>1485</v>
      </c>
      <c r="BE57" s="66996">
        <v>2053</v>
      </c>
      <c r="BJ57" s="2428" t="s">
        <v>1839</v>
      </c>
      <c r="BL57" s="2428" t="s">
        <v>1839</v>
      </c>
    </row>
    <row customHeight="1" ht="11.25">
      <c r="A58" s="2285" t="s">
        <v>1886</v>
      </c>
      <c r="D58" s="2329" t="s">
        <v>1887</v>
      </c>
      <c r="E58" s="2306" t="s">
        <v>1884</v>
      </c>
      <c r="F58" s="2285" t="s">
        <v>1880</v>
      </c>
      <c r="AX58" s="2331" t="s">
        <v>1888</v>
      </c>
      <c r="BE58" s="66996">
        <v>2054</v>
      </c>
      <c r="BJ58" s="2428" t="s">
        <v>1843</v>
      </c>
      <c r="BL58" s="2428" t="s">
        <v>1843</v>
      </c>
    </row>
    <row customHeight="1" ht="11.25">
      <c r="A59" s="2285" t="s">
        <v>1889</v>
      </c>
      <c r="D59" s="2329" t="s">
        <v>151</v>
      </c>
      <c r="E59" s="2306" t="s">
        <v>1775</v>
      </c>
      <c r="F59" s="2285" t="s">
        <v>1890</v>
      </c>
      <c r="AX59" s="2331" t="s">
        <v>1891</v>
      </c>
      <c r="AZ59" s="2278" t="s">
        <v>1892</v>
      </c>
      <c r="BE59" s="66996">
        <v>2055</v>
      </c>
      <c r="BJ59" s="2428" t="s">
        <v>1847</v>
      </c>
      <c r="BL59" s="2428" t="s">
        <v>1847</v>
      </c>
    </row>
    <row customHeight="1" ht="11.25">
      <c r="A60" s="2285" t="s">
        <v>1893</v>
      </c>
      <c r="D60" s="2329" t="s">
        <v>1894</v>
      </c>
      <c r="E60" s="2306" t="s">
        <v>1775</v>
      </c>
      <c r="F60" s="2285" t="s">
        <v>1890</v>
      </c>
      <c r="AX60" s="2331" t="s">
        <v>1895</v>
      </c>
      <c r="AZ60" s="2331" t="s">
        <v>1427</v>
      </c>
      <c r="BE60" s="66996">
        <v>2056</v>
      </c>
      <c r="BJ60" s="2428" t="s">
        <v>1852</v>
      </c>
      <c r="BL60" s="2428" t="s">
        <v>1852</v>
      </c>
    </row>
    <row customHeight="1" ht="11.25">
      <c r="A61" s="2285" t="s">
        <v>1896</v>
      </c>
      <c r="D61" s="2329" t="s">
        <v>1897</v>
      </c>
      <c r="E61" s="2306" t="s">
        <v>1775</v>
      </c>
      <c r="F61" s="2285" t="s">
        <v>1890</v>
      </c>
      <c r="AX61" s="2331" t="s">
        <v>1898</v>
      </c>
      <c r="AZ61" s="2331" t="s">
        <v>1452</v>
      </c>
      <c r="BE61" s="66996">
        <v>2057</v>
      </c>
      <c r="BL61" s="2428" t="s">
        <v>1244</v>
      </c>
    </row>
    <row customHeight="1" ht="11.25">
      <c r="A62" s="2285" t="s">
        <v>1899</v>
      </c>
      <c r="D62" s="2329" t="s">
        <v>150</v>
      </c>
      <c r="E62" s="2306">
        <v>30</v>
      </c>
      <c r="F62" s="2285" t="s">
        <v>1890</v>
      </c>
      <c r="AZ62" s="2331" t="s">
        <v>1486</v>
      </c>
      <c r="BE62" s="66996">
        <v>2058</v>
      </c>
      <c r="BL62" s="2428" t="s">
        <v>1246</v>
      </c>
    </row>
    <row customHeight="1" ht="11.25">
      <c r="A63" s="2285" t="s">
        <v>1900</v>
      </c>
      <c r="D63" s="2329" t="s">
        <v>1901</v>
      </c>
      <c r="E63" s="2306">
        <v>30</v>
      </c>
      <c r="F63" s="2285" t="s">
        <v>1890</v>
      </c>
      <c r="AZ63" s="2331" t="s">
        <v>1516</v>
      </c>
      <c r="BE63" s="66996">
        <v>2059</v>
      </c>
    </row>
    <row customHeight="1" ht="11.25">
      <c r="A64" s="2285" t="s">
        <v>1902</v>
      </c>
      <c r="D64" s="2329" t="s">
        <v>1903</v>
      </c>
      <c r="E64" s="2306">
        <v>30</v>
      </c>
      <c r="F64" s="2285" t="s">
        <v>1890</v>
      </c>
      <c r="AZ64" s="2331" t="s">
        <v>1537</v>
      </c>
      <c r="BE64" s="66996">
        <v>2060</v>
      </c>
    </row>
    <row customHeight="1" ht="11.25">
      <c r="A65" s="2285" t="s">
        <v>1904</v>
      </c>
      <c r="D65" s="2285"/>
      <c r="BE65" s="66996">
        <v>2061</v>
      </c>
    </row>
    <row customHeight="1" ht="11.25">
      <c r="A66" s="2285" t="s">
        <v>1905</v>
      </c>
      <c r="AZ66" s="2278" t="s">
        <v>1906</v>
      </c>
      <c r="BE66" s="66996">
        <v>2062</v>
      </c>
    </row>
    <row customHeight="1" ht="11.25">
      <c r="A67" s="2285" t="s">
        <v>1907</v>
      </c>
      <c r="AZ67" s="2331" t="s">
        <v>1428</v>
      </c>
      <c r="BE67" s="66996">
        <v>2063</v>
      </c>
    </row>
    <row customHeight="1" ht="11.25">
      <c r="A68" s="2285" t="s">
        <v>1908</v>
      </c>
      <c r="AZ68" s="2331" t="s">
        <v>1453</v>
      </c>
      <c r="BE68" s="66996">
        <v>2064</v>
      </c>
      <c r="BH68" s="2278" t="s">
        <v>1909</v>
      </c>
      <c r="BJ68" s="2278" t="s">
        <v>1910</v>
      </c>
      <c r="BL68" s="2278" t="s">
        <v>1911</v>
      </c>
      <c r="BN68" s="2278" t="s">
        <v>1912</v>
      </c>
    </row>
    <row customHeight="1" ht="11.25">
      <c r="A69" s="2285" t="s">
        <v>1913</v>
      </c>
      <c r="AZ69" s="2331" t="s">
        <v>1487</v>
      </c>
      <c r="BE69" s="66996">
        <v>2065</v>
      </c>
      <c r="BH69" s="2279" t="s">
        <v>1201</v>
      </c>
      <c r="BI69" s="2328" t="s">
        <v>99</v>
      </c>
      <c r="BJ69" s="2279" t="s">
        <v>1914</v>
      </c>
      <c r="BK69" s="2328" t="s">
        <v>99</v>
      </c>
      <c r="BL69" s="2279" t="s">
        <v>1915</v>
      </c>
      <c r="BM69" s="2281" t="s">
        <v>99</v>
      </c>
      <c r="BN69" s="2279" t="s">
        <v>1916</v>
      </c>
    </row>
    <row customHeight="1" ht="11.25">
      <c r="A70" s="2285" t="s">
        <v>1917</v>
      </c>
      <c r="AZ70" s="2331" t="s">
        <v>1517</v>
      </c>
      <c r="BE70" s="66996">
        <v>2066</v>
      </c>
      <c r="BH70" s="2279" t="s">
        <v>1210</v>
      </c>
      <c r="BJ70" s="2279" t="s">
        <v>1918</v>
      </c>
      <c r="BL70" s="2279" t="s">
        <v>1919</v>
      </c>
      <c r="BN70" s="2279" t="s">
        <v>1920</v>
      </c>
    </row>
    <row customHeight="1" ht="11.25">
      <c r="A71" s="2285" t="s">
        <v>1921</v>
      </c>
      <c r="AZ71" s="2331" t="s">
        <v>1519</v>
      </c>
      <c r="BE71" s="66996">
        <v>2067</v>
      </c>
      <c r="BH71" s="2279" t="s">
        <v>1212</v>
      </c>
      <c r="BI71" s="2328" t="s">
        <v>90</v>
      </c>
      <c r="BJ71" s="2279" t="s">
        <v>1922</v>
      </c>
      <c r="BK71" s="2328" t="s">
        <v>90</v>
      </c>
      <c r="BL71" s="2279" t="s">
        <v>1923</v>
      </c>
      <c r="BM71" s="2281" t="s">
        <v>90</v>
      </c>
      <c r="BN71" s="2279" t="s">
        <v>1924</v>
      </c>
    </row>
    <row customHeight="1" ht="11.25">
      <c r="A72" s="2285" t="s">
        <v>1925</v>
      </c>
      <c r="AZ72" s="2331" t="s">
        <v>19</v>
      </c>
      <c r="BE72" s="66996">
        <v>2068</v>
      </c>
      <c r="BH72" s="2279" t="s">
        <v>1926</v>
      </c>
      <c r="BJ72" s="2279" t="s">
        <v>1926</v>
      </c>
      <c r="BL72" s="2279" t="s">
        <v>1926</v>
      </c>
      <c r="BN72" s="2279" t="s">
        <v>1927</v>
      </c>
    </row>
    <row customHeight="1" ht="11.25">
      <c r="A73" s="2285" t="s">
        <v>1928</v>
      </c>
      <c r="BE73" s="66996">
        <v>2069</v>
      </c>
      <c r="BH73" s="2279" t="s">
        <v>1929</v>
      </c>
      <c r="BI73" s="2328" t="s">
        <v>122</v>
      </c>
      <c r="BJ73" s="2279" t="s">
        <v>1930</v>
      </c>
      <c r="BK73" s="2328" t="s">
        <v>122</v>
      </c>
      <c r="BL73" s="2279" t="s">
        <v>1931</v>
      </c>
      <c r="BM73" s="2281" t="s">
        <v>122</v>
      </c>
      <c r="BN73" s="2279" t="s">
        <v>1932</v>
      </c>
    </row>
    <row customHeight="1" ht="11.25">
      <c r="A74" s="2285" t="s">
        <v>1933</v>
      </c>
      <c r="BE74" s="66996">
        <v>2070</v>
      </c>
      <c r="BH74" s="2279" t="s">
        <v>1217</v>
      </c>
      <c r="BJ74" s="2279" t="s">
        <v>1934</v>
      </c>
      <c r="BL74" s="2279" t="s">
        <v>1935</v>
      </c>
      <c r="BN74" s="2279" t="s">
        <v>1936</v>
      </c>
    </row>
    <row customHeight="1" ht="11.25">
      <c r="A75" s="2285" t="s">
        <v>1937</v>
      </c>
      <c r="AZ75" s="2278" t="s">
        <v>1938</v>
      </c>
      <c r="BH75" s="2279" t="s">
        <v>1939</v>
      </c>
      <c r="BJ75" s="2279" t="s">
        <v>1939</v>
      </c>
      <c r="BL75" s="2279" t="s">
        <v>1939</v>
      </c>
    </row>
    <row customHeight="1" ht="11.25">
      <c r="A76" s="2285" t="s">
        <v>1940</v>
      </c>
      <c r="AZ76" s="2331" t="s">
        <v>1437</v>
      </c>
      <c r="BH76" s="2279" t="s">
        <v>1216</v>
      </c>
      <c r="BJ76" s="2279" t="s">
        <v>1941</v>
      </c>
      <c r="BL76" s="2279" t="s">
        <v>1942</v>
      </c>
    </row>
    <row customHeight="1" ht="11.25">
      <c r="A77" s="2285" t="s">
        <v>1943</v>
      </c>
      <c r="AZ77" s="2331" t="s">
        <v>1463</v>
      </c>
    </row>
    <row customHeight="1" ht="11.25">
      <c r="A78" s="2285" t="s">
        <v>1944</v>
      </c>
      <c r="AZ78" s="2331" t="s">
        <v>1494</v>
      </c>
    </row>
    <row customHeight="1" ht="11.25">
      <c r="A79" s="2285" t="s">
        <v>1945</v>
      </c>
      <c r="AZ79" s="2331" t="s">
        <v>1523</v>
      </c>
      <c r="BH79" s="2278" t="s">
        <v>1200</v>
      </c>
      <c r="BJ79" s="2278" t="s">
        <v>1946</v>
      </c>
      <c r="BL79" s="2278" t="s">
        <v>1947</v>
      </c>
    </row>
    <row customHeight="1" ht="11.25">
      <c r="A80" s="2285" t="s">
        <v>1948</v>
      </c>
      <c r="AZ80" s="2331" t="s">
        <v>1542</v>
      </c>
      <c r="BH80" s="2279" t="s">
        <v>1202</v>
      </c>
      <c r="BJ80" s="2279" t="s">
        <v>1949</v>
      </c>
      <c r="BL80" s="2279" t="s">
        <v>1950</v>
      </c>
    </row>
    <row customHeight="1" ht="11.25">
      <c r="A81" s="2285" t="s">
        <v>1951</v>
      </c>
      <c r="AZ81" s="2331" t="s">
        <v>1558</v>
      </c>
      <c r="BH81" s="2279" t="s">
        <v>1952</v>
      </c>
      <c r="BJ81" s="2279" t="s">
        <v>1953</v>
      </c>
      <c r="BL81" s="2279" t="s">
        <v>1954</v>
      </c>
    </row>
    <row customHeight="1" ht="11.25">
      <c r="A82" s="2285" t="s">
        <v>1955</v>
      </c>
      <c r="AZ82" s="2331" t="s">
        <v>1572</v>
      </c>
      <c r="BH82" s="2279" t="s">
        <v>1208</v>
      </c>
      <c r="BJ82" s="2279" t="s">
        <v>1956</v>
      </c>
      <c r="BL82" s="2279" t="s">
        <v>1957</v>
      </c>
    </row>
    <row customHeight="1" ht="11.25">
      <c r="A83" s="2285" t="s">
        <v>1958</v>
      </c>
      <c r="BH83" s="2279" t="s">
        <v>1959</v>
      </c>
      <c r="BJ83" s="2279" t="s">
        <v>1960</v>
      </c>
      <c r="BL83" s="2279" t="s">
        <v>1961</v>
      </c>
    </row>
    <row customHeight="1" ht="11.25">
      <c r="A84" s="2285" t="s">
        <v>1962</v>
      </c>
      <c r="AZ84" s="2278" t="s">
        <v>1963</v>
      </c>
    </row>
    <row customHeight="1" ht="11.25">
      <c r="A85" s="3081" t="s">
        <v>1964</v>
      </c>
      <c r="AZ85" s="2331" t="s">
        <v>1965</v>
      </c>
    </row>
    <row customHeight="1" ht="11.25">
      <c r="A86" s="2285" t="s">
        <v>1966</v>
      </c>
      <c r="AZ86" s="2331" t="s">
        <v>1967</v>
      </c>
      <c r="BH86" s="2278" t="s">
        <v>1211</v>
      </c>
      <c r="BJ86" s="2278" t="s">
        <v>1968</v>
      </c>
      <c r="BL86" s="2278" t="s">
        <v>1969</v>
      </c>
    </row>
    <row customHeight="1" ht="11.25">
      <c r="A87" s="2285" t="s">
        <v>1970</v>
      </c>
      <c r="AZ87" s="2331" t="s">
        <v>1971</v>
      </c>
      <c r="BH87" s="2279" t="s">
        <v>1213</v>
      </c>
      <c r="BJ87" s="2279" t="s">
        <v>1972</v>
      </c>
      <c r="BL87" s="2279" t="s">
        <v>1973</v>
      </c>
    </row>
    <row customHeight="1" ht="11.25">
      <c r="A88" s="2285" t="s">
        <v>1974</v>
      </c>
      <c r="AZ88" s="2817"/>
      <c r="BH88" s="2279" t="s">
        <v>1215</v>
      </c>
      <c r="BJ88" s="2279" t="s">
        <v>1975</v>
      </c>
      <c r="BL88" s="2279" t="s">
        <v>1976</v>
      </c>
    </row>
    <row customHeight="1" ht="11.25">
      <c r="A89" s="2285" t="s">
        <v>1977</v>
      </c>
      <c r="AZ89" s="2278" t="s">
        <v>1978</v>
      </c>
    </row>
    <row customHeight="1" ht="11.25">
      <c r="A90" s="2285" t="s">
        <v>1979</v>
      </c>
      <c r="AZ90" s="2331" t="s">
        <v>1226</v>
      </c>
    </row>
    <row customHeight="1" ht="11.25">
      <c r="A91" s="2285" t="s">
        <v>1980</v>
      </c>
      <c r="AZ91" s="2331" t="s">
        <v>1258</v>
      </c>
      <c r="BH91" s="2278" t="s">
        <v>1981</v>
      </c>
      <c r="BJ91" s="2278" t="s">
        <v>1982</v>
      </c>
      <c r="BL91" s="2278" t="s">
        <v>1983</v>
      </c>
    </row>
    <row customHeight="1" ht="11.25">
      <c r="AZ92" s="2331" t="s">
        <v>1984</v>
      </c>
      <c r="BH92" s="2279" t="s">
        <v>1985</v>
      </c>
      <c r="BJ92" s="2279" t="s">
        <v>1986</v>
      </c>
      <c r="BL92" s="2279" t="s">
        <v>1987</v>
      </c>
    </row>
    <row customHeight="1" ht="11.25">
      <c r="AZ93" s="2331" t="s">
        <v>1988</v>
      </c>
      <c r="BH93" s="2279" t="s">
        <v>1989</v>
      </c>
      <c r="BJ93" s="2279" t="s">
        <v>1990</v>
      </c>
      <c r="BL93" s="2279" t="s">
        <v>1991</v>
      </c>
    </row>
    <row customHeight="1" ht="11.25">
      <c r="AZ94" s="2331" t="s">
        <v>1992</v>
      </c>
    </row>
    <row r="96" customHeight="1" ht="11.25">
      <c r="AZ96" s="2278" t="s">
        <v>1993</v>
      </c>
      <c r="BH96" s="2278" t="s">
        <v>1994</v>
      </c>
      <c r="BJ96" s="2278" t="s">
        <v>1995</v>
      </c>
      <c r="BL96" s="2278" t="s">
        <v>1996</v>
      </c>
      <c r="BN96" s="2278" t="s">
        <v>1997</v>
      </c>
    </row>
    <row customHeight="1" ht="11.25">
      <c r="AZ97" s="3112" t="s">
        <v>1998</v>
      </c>
      <c r="BA97" s="3113" t="s">
        <v>1999</v>
      </c>
      <c r="BH97" s="2279" t="s">
        <v>2000</v>
      </c>
      <c r="BJ97" s="2279" t="s">
        <v>2001</v>
      </c>
      <c r="BL97" s="2279" t="s">
        <v>2002</v>
      </c>
      <c r="BN97" s="2279" t="s">
        <v>2003</v>
      </c>
    </row>
    <row customHeight="1" ht="11.25">
      <c r="AZ98" s="3112" t="s">
        <v>2004</v>
      </c>
      <c r="BA98" s="3113" t="s">
        <v>2005</v>
      </c>
      <c r="BH98" s="2279" t="s">
        <v>2006</v>
      </c>
      <c r="BJ98" s="2279" t="s">
        <v>2007</v>
      </c>
      <c r="BL98" s="2279" t="s">
        <v>2008</v>
      </c>
      <c r="BN98" s="2279" t="s">
        <v>2009</v>
      </c>
    </row>
    <row customHeight="1" ht="22.5">
      <c r="AZ99" s="3112" t="s">
        <v>2010</v>
      </c>
      <c r="BA99" s="3113" t="str">
        <f>"не позднее чем за "&amp;IF(TEMPLATE_SPHERE="TKO","3","10")&amp;" дней до дня проведения заседания правления"</f>
        <v>не позднее чем за 10 дней до дня проведения заседания правления</v>
      </c>
      <c r="BH99" s="2279" t="s">
        <v>2011</v>
      </c>
      <c r="BJ99" s="2279" t="s">
        <v>2012</v>
      </c>
      <c r="BL99" s="2279" t="s">
        <v>2013</v>
      </c>
      <c r="BN99" s="2279" t="s">
        <v>2014</v>
      </c>
    </row>
    <row customHeight="1" ht="22.5">
      <c r="AZ100" s="3112" t="s">
        <v>2015</v>
      </c>
      <c r="BA100" s="31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2279" t="s">
        <v>1613</v>
      </c>
      <c r="BL100" s="2279" t="s">
        <v>1613</v>
      </c>
      <c r="BN100" s="2279" t="s">
        <v>2016</v>
      </c>
    </row>
    <row customHeight="1" ht="22.5">
      <c r="AZ101" s="3112" t="s">
        <v>2017</v>
      </c>
      <c r="BA101" s="3113" t="s">
        <v>2018</v>
      </c>
      <c r="BN101" s="2279" t="s">
        <v>2019</v>
      </c>
    </row>
    <row customHeight="1" ht="22.5">
      <c r="AZ102" s="3112" t="s">
        <v>2020</v>
      </c>
      <c r="BA102" s="31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2279" t="s">
        <v>2021</v>
      </c>
    </row>
    <row customHeight="1" ht="11.25">
      <c r="AZ103" s="3112" t="s">
        <v>2022</v>
      </c>
      <c r="BA103" s="3113" t="s">
        <v>2023</v>
      </c>
      <c r="BN103" s="2279" t="s">
        <v>2024</v>
      </c>
    </row>
    <row customHeight="1" ht="11.25">
      <c r="BN104" s="2279" t="s">
        <v>2025</v>
      </c>
    </row>
    <row customHeight="1" ht="11.25">
      <c r="AZ105" s="2903" t="s">
        <v>2026</v>
      </c>
    </row>
    <row customHeight="1" ht="11.25">
      <c r="AZ106" s="2331" t="s">
        <v>2027</v>
      </c>
    </row>
    <row customHeight="1" ht="11.25">
      <c r="AZ107" s="2331" t="s">
        <v>656</v>
      </c>
      <c r="BH107" s="2278" t="s">
        <v>2028</v>
      </c>
      <c r="BJ107" s="2278" t="s">
        <v>2029</v>
      </c>
      <c r="BL107" s="2278" t="s">
        <v>2030</v>
      </c>
      <c r="BN107" s="2278" t="s">
        <v>2031</v>
      </c>
    </row>
    <row customHeight="1" ht="11.25">
      <c r="AZ108" s="2331" t="s">
        <v>595</v>
      </c>
      <c r="BH108" s="2279" t="s">
        <v>2032</v>
      </c>
      <c r="BJ108" s="2279" t="s">
        <v>2033</v>
      </c>
      <c r="BL108" s="2279" t="s">
        <v>1698</v>
      </c>
      <c r="BN108" s="2279" t="s">
        <v>2034</v>
      </c>
    </row>
    <row customHeight="1" ht="11.25">
      <c r="BH109" s="2279" t="s">
        <v>2035</v>
      </c>
    </row>
    <row customHeight="1" ht="11.25">
      <c r="AZ110" s="2903" t="s">
        <v>2036</v>
      </c>
      <c r="BH110" s="2279" t="s">
        <v>2035</v>
      </c>
    </row>
    <row customHeight="1" ht="11.25">
      <c r="AZ111" s="3112" t="s">
        <v>1998</v>
      </c>
      <c r="BA111" s="3113" t="s">
        <v>1999</v>
      </c>
    </row>
    <row customHeight="1" ht="11.25">
      <c r="AZ112" s="3112" t="s">
        <v>2004</v>
      </c>
      <c r="BA112" s="3113" t="s">
        <v>2005</v>
      </c>
    </row>
    <row customHeight="1" ht="22.5">
      <c r="AZ113" s="3112" t="s">
        <v>2010</v>
      </c>
      <c r="BA113" s="311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3112" t="s">
        <v>2015</v>
      </c>
      <c r="BA114" s="31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2278" t="s">
        <v>2037</v>
      </c>
    </row>
    <row customHeight="1" ht="22.5">
      <c r="AZ115" s="3112" t="s">
        <v>2020</v>
      </c>
      <c r="BA115" s="311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2279" t="s">
        <v>1424</v>
      </c>
    </row>
    <row customHeight="1" ht="11.25">
      <c r="AZ116" s="3112" t="s">
        <v>2022</v>
      </c>
      <c r="BA116" s="3113" t="s">
        <v>2023</v>
      </c>
      <c r="BH116" s="2279" t="s">
        <v>1449</v>
      </c>
    </row>
    <row customHeight="1" ht="11.25">
      <c r="BH117" s="2279" t="s">
        <v>1483</v>
      </c>
    </row>
    <row customHeight="1" ht="11.25">
      <c r="BH118" s="2279" t="s">
        <v>1515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0E979-877B-FA9D-D6ED-8244019976B4}"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65041" width="15.00390625" hidden="1" customWidth="1"/>
    <col min="3" max="3" style="65085" width="3.00390625" customWidth="1"/>
    <col min="4" max="4" style="65086" width="6.00390625" customWidth="1"/>
    <col min="5" max="5" style="65085" width="52.00390625" customWidth="1"/>
    <col min="6" max="6" style="65085" width="48.00390625" customWidth="1"/>
    <col min="7" max="7" style="65085" width="93.00390625" customWidth="1"/>
    <col min="8" max="8" style="65085" width="8.00390625" customWidth="1"/>
    <col min="9" max="9" style="65085" width="64.00390625" customWidth="1"/>
    <col min="10" max="10" style="65085" width="9.140625" hidden="1"/>
  </cols>
  <sheetData>
    <row customHeight="1" ht="11.25" hidden="1">
      <c r="A1" s="1712" t="s">
        <v>317</v>
      </c>
      <c r="J1" s="1666" t="s">
        <v>14</v>
      </c>
    </row>
    <row customHeight="1" ht="22.5" hidden="1">
      <c r="A2" s="1713"/>
      <c r="B2" s="1713"/>
      <c r="C2" s="2941" t="s">
        <v>103</v>
      </c>
      <c r="D2" s="2731"/>
      <c r="E2" s="2737"/>
      <c r="F2" s="2760"/>
      <c r="H2" s="1686"/>
      <c r="J2" s="1666">
        <v>0</v>
      </c>
    </row>
    <row customHeight="1" ht="11.25" hidden="1">
      <c r="J3" s="1666">
        <v>0</v>
      </c>
    </row>
    <row customHeight="1" ht="11.549999999999999">
      <c r="A4" s="2761"/>
      <c r="B4" s="2761"/>
      <c r="J4" s="1666">
        <v>11</v>
      </c>
    </row>
    <row customHeight="1" ht="27.299999999999997">
      <c r="D5" s="34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3450"/>
      <c r="F5" s="3451"/>
      <c r="I5" s="1926"/>
      <c r="J5" s="1666">
        <v>26</v>
      </c>
    </row>
    <row customHeight="1" ht="18">
      <c r="D6" s="3387" t="str">
        <f>IF(region_name=0,"Не определено",region_name)</f>
        <v>Архангельская область</v>
      </c>
      <c r="E6" s="3387"/>
      <c r="F6" s="3387"/>
      <c r="I6" s="1926"/>
      <c r="J6" s="1666">
        <v>17</v>
      </c>
    </row>
    <row s="65003" customFormat="1" customHeight="1" ht="11.549999999999999">
      <c r="A7" s="1712"/>
      <c r="B7" s="1712"/>
      <c r="D7" s="1925"/>
      <c r="E7" s="1925"/>
      <c r="F7" s="1963"/>
      <c r="G7" s="1925"/>
      <c r="J7" s="1688">
        <v>11</v>
      </c>
    </row>
    <row customHeight="1" ht="11.25" hidden="1">
      <c r="A8" s="1713"/>
      <c r="B8" s="1713"/>
      <c r="C8" s="1668"/>
      <c r="D8" s="1674"/>
      <c r="E8" s="3418"/>
      <c r="F8" s="3418"/>
      <c r="J8" s="1666">
        <v>0</v>
      </c>
    </row>
    <row customHeight="1" ht="11.549999999999999">
      <c r="A9" s="1713"/>
      <c r="B9" s="1713"/>
      <c r="C9" s="1668"/>
      <c r="D9" s="3415" t="s">
        <v>318</v>
      </c>
      <c r="E9" s="3416"/>
      <c r="F9" s="3416"/>
      <c r="G9" s="3419" t="s">
        <v>319</v>
      </c>
      <c r="J9" s="1666">
        <v>11</v>
      </c>
    </row>
    <row customHeight="1" ht="11.549999999999999">
      <c r="A10" s="1713"/>
      <c r="B10" s="1713"/>
      <c r="C10" s="1668"/>
      <c r="D10" s="2685" t="s">
        <v>88</v>
      </c>
      <c r="E10" s="2687" t="s">
        <v>320</v>
      </c>
      <c r="F10" s="2687" t="s">
        <v>321</v>
      </c>
      <c r="G10" s="3420"/>
      <c r="J10" s="1666">
        <v>11</v>
      </c>
    </row>
    <row customHeight="1" ht="1.05">
      <c r="A11" s="1713"/>
      <c r="B11" s="1713"/>
      <c r="C11" s="1668"/>
      <c r="D11" s="1675"/>
      <c r="E11" s="1675"/>
      <c r="F11" s="1675"/>
      <c r="G11" s="1675"/>
      <c r="J11" s="1666">
        <v>1</v>
      </c>
    </row>
    <row customHeight="1" ht="24">
      <c r="A12" s="1713"/>
      <c r="B12" s="1713"/>
      <c r="C12" s="1668"/>
      <c r="D12" s="2731">
        <v>1</v>
      </c>
      <c r="E12" s="168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3119" t="str">
        <f>IF(org="","",org)</f>
        <v>ПАО "ТГК-2"</v>
      </c>
      <c r="G12" s="168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2744"/>
      <c r="J12" s="1666">
        <v>23</v>
      </c>
    </row>
    <row customHeight="1" ht="19.95">
      <c r="A13" s="1713"/>
      <c r="B13" s="1713"/>
      <c r="C13" s="1668"/>
      <c r="D13" s="2731">
        <v>2</v>
      </c>
      <c r="E13" s="2738" t="s">
        <v>2038</v>
      </c>
      <c r="F13" s="2732" t="s">
        <v>324</v>
      </c>
      <c r="G13" s="1685"/>
      <c r="H13" s="2744"/>
      <c r="J13" s="1666">
        <v>19</v>
      </c>
    </row>
    <row customHeight="1" ht="19.95">
      <c r="A14" s="1713"/>
      <c r="B14" s="1713"/>
      <c r="C14" s="1668"/>
      <c r="D14" s="2734" t="s">
        <v>860</v>
      </c>
      <c r="E14" s="2735" t="s">
        <v>2039</v>
      </c>
      <c r="F14" s="2737"/>
      <c r="G14" s="2736" t="s">
        <v>2040</v>
      </c>
      <c r="H14" s="2744"/>
      <c r="J14" s="1666">
        <v>19</v>
      </c>
    </row>
    <row customHeight="1" ht="19.95">
      <c r="A15" s="1713"/>
      <c r="B15" s="1713"/>
      <c r="C15" s="1668"/>
      <c r="D15" s="2734" t="s">
        <v>325</v>
      </c>
      <c r="E15" s="2735" t="s">
        <v>2041</v>
      </c>
      <c r="F15" s="2737"/>
      <c r="G15" s="2736" t="s">
        <v>2042</v>
      </c>
      <c r="H15" s="2744"/>
      <c r="J15" s="1666">
        <v>19</v>
      </c>
    </row>
    <row customHeight="1" ht="24">
      <c r="A16" s="1713"/>
      <c r="B16" s="1713"/>
      <c r="C16" s="1668"/>
      <c r="D16" s="2734" t="s">
        <v>328</v>
      </c>
      <c r="E16" s="2733" t="s">
        <v>2043</v>
      </c>
      <c r="F16" s="2742"/>
      <c r="G16" s="1685" t="s">
        <v>2044</v>
      </c>
      <c r="H16" s="2744"/>
      <c r="J16" s="1666">
        <v>23</v>
      </c>
    </row>
    <row customHeight="1" ht="48.29999999999999">
      <c r="A17" s="1713"/>
      <c r="B17" s="1713"/>
      <c r="C17" s="1668"/>
      <c r="D17" s="2731">
        <v>3</v>
      </c>
      <c r="E17" s="2738" t="s">
        <v>2045</v>
      </c>
      <c r="F17" s="2737"/>
      <c r="G17" s="1685" t="s">
        <v>2046</v>
      </c>
      <c r="H17" s="2744"/>
      <c r="J17" s="1666">
        <v>46</v>
      </c>
    </row>
    <row customHeight="1" ht="48.29999999999999">
      <c r="A18" s="2686">
        <v>1</v>
      </c>
      <c r="B18" s="1713"/>
      <c r="C18" s="2688"/>
      <c r="D18" s="2731" t="s">
        <v>91</v>
      </c>
      <c r="E18" s="2738" t="s">
        <v>2047</v>
      </c>
      <c r="F18" s="2737"/>
      <c r="G18" s="1685" t="s">
        <v>2046</v>
      </c>
      <c r="H18" s="2744"/>
      <c r="I18" s="2063"/>
      <c r="J18" s="1666">
        <v>46</v>
      </c>
    </row>
    <row customHeight="1" ht="23.25">
      <c r="A19" s="1713"/>
      <c r="B19" s="1713"/>
      <c r="C19" s="1668"/>
      <c r="D19" s="2731" t="s">
        <v>122</v>
      </c>
      <c r="E19" s="2738" t="s">
        <v>2048</v>
      </c>
      <c r="F19" s="2732" t="s">
        <v>324</v>
      </c>
      <c r="G19" s="3682" t="s">
        <v>2049</v>
      </c>
      <c r="H19" s="1686"/>
      <c r="J19" s="1666">
        <v>22</v>
      </c>
    </row>
    <row s="67074" customFormat="1" customHeight="1" ht="5.25" hidden="1">
      <c r="A20" s="1713"/>
      <c r="B20" s="1713"/>
      <c r="C20" s="2740"/>
      <c r="D20" s="2739" t="s">
        <v>1323</v>
      </c>
      <c r="E20" s="2225"/>
      <c r="F20" s="2224"/>
      <c r="G20" s="3683"/>
      <c r="J20" s="2741">
        <v>0</v>
      </c>
    </row>
    <row customHeight="1" ht="15.75">
      <c r="A21" s="1713"/>
      <c r="B21" s="1713"/>
      <c r="C21" s="1668"/>
      <c r="D21" s="1678"/>
      <c r="E21" s="1626" t="s">
        <v>357</v>
      </c>
      <c r="F21" s="1680"/>
      <c r="G21" s="3684"/>
      <c r="H21" s="2744"/>
      <c r="J21" s="1666">
        <v>15</v>
      </c>
    </row>
    <row s="65041" customFormat="1" customHeight="1" ht="26.25">
      <c r="A22" s="1713"/>
      <c r="B22" s="1713"/>
      <c r="C22" s="1713"/>
      <c r="D22" s="2731" t="s">
        <v>92</v>
      </c>
      <c r="E22" s="1685" t="s">
        <v>2050</v>
      </c>
      <c r="F22" s="2737"/>
      <c r="G22" s="1685" t="s">
        <v>2051</v>
      </c>
      <c r="H22" s="2743"/>
      <c r="J22" s="1712">
        <v>25</v>
      </c>
    </row>
    <row s="65041" customFormat="1" customHeight="1" ht="19.95">
      <c r="A23" s="1713"/>
      <c r="B23" s="1713"/>
      <c r="C23" s="1713"/>
      <c r="D23" s="2731" t="s">
        <v>93</v>
      </c>
      <c r="E23" s="2738" t="s">
        <v>2052</v>
      </c>
      <c r="F23" s="2742"/>
      <c r="G23" s="1685" t="s">
        <v>2053</v>
      </c>
      <c r="H23" s="2743"/>
      <c r="J23" s="1712">
        <v>19</v>
      </c>
    </row>
    <row s="65041" customFormat="1" customHeight="1" ht="144" hidden="1">
      <c r="A24" s="1713"/>
      <c r="B24" s="1713"/>
      <c r="C24" s="1713"/>
      <c r="D24" s="2731" t="s">
        <v>123</v>
      </c>
      <c r="E24" s="310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3109"/>
      <c r="G24" s="310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2743"/>
      <c r="J24" s="1712">
        <v>0</v>
      </c>
    </row>
    <row customHeight="1" ht="11.25" hidden="1">
      <c r="A25" s="1712" t="s">
        <v>82</v>
      </c>
      <c r="B25" s="1712">
        <v>0</v>
      </c>
      <c r="C25" s="1666">
        <v>3</v>
      </c>
      <c r="D25" s="1667">
        <v>6</v>
      </c>
      <c r="E25" s="1666">
        <v>52</v>
      </c>
      <c r="F25" s="1666">
        <v>48</v>
      </c>
      <c r="G25" s="1666">
        <v>93</v>
      </c>
      <c r="H25" s="1666">
        <v>8</v>
      </c>
      <c r="I25" s="1666">
        <v>64</v>
      </c>
      <c r="J25" s="166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2A8141-0719-1DA2-F737-C72983D8008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66903" width="9.140625" hidden="1"/>
    <col min="2" max="2" style="66852" width="9.140625" hidden="1"/>
    <col min="3" max="3" style="66903" width="3.7109375" hidden="1" customWidth="1"/>
    <col min="4" max="4" style="67282" width="3.00390625" customWidth="1"/>
    <col min="5" max="5" style="66903" width="6.00390625" customWidth="1"/>
    <col min="6" max="6" style="66903" width="46.00390625" customWidth="1"/>
    <col min="7" max="8" style="66903" width="16.00390625" customWidth="1"/>
    <col min="9" max="9" style="66903" width="35.00390625" customWidth="1"/>
    <col min="10" max="10" style="66903" width="89.00390625" customWidth="1"/>
    <col min="11" max="11" style="66855" width="3.00390625" customWidth="1"/>
    <col min="12" max="14" style="66855" width="8.00390625" customWidth="1"/>
    <col min="15" max="15" style="66855" width="25.00390625" customWidth="1"/>
    <col min="16" max="16" style="66855" width="14.00390625" customWidth="1"/>
    <col min="17" max="20" style="64692" width="8.00390625" customWidth="1"/>
    <col min="21" max="254" style="66903" width="8.00390625" customWidth="1"/>
    <col min="255" max="255" style="66903" width="9.140625" hidden="1"/>
  </cols>
  <sheetData>
    <row customHeight="1" ht="22.5" hidden="1">
      <c r="F1" s="2842" t="s">
        <v>2054</v>
      </c>
      <c r="G1" s="2842" t="s">
        <v>47</v>
      </c>
      <c r="H1" s="2842" t="s">
        <v>49</v>
      </c>
      <c r="IU1" s="2366" t="s">
        <v>14</v>
      </c>
    </row>
    <row s="67502" customFormat="1" customHeight="1" ht="22.5" hidden="1">
      <c r="A2" s="2042"/>
      <c r="B2" s="2371">
        <v>1</v>
      </c>
      <c r="C2" s="2371"/>
      <c r="D2" s="3139" t="s">
        <v>103</v>
      </c>
      <c r="E2" s="2695"/>
      <c r="F2" s="2702"/>
      <c r="G2" s="2702"/>
      <c r="H2" s="2702"/>
      <c r="I2" s="3195"/>
      <c r="J2" s="3196"/>
      <c r="K2" s="2746"/>
      <c r="L2" s="1722"/>
      <c r="M2" s="1722"/>
      <c r="N2" s="1711" t="str">
        <f t="array" ref="N2:N2">IF(ISERROR(MATCH(MID(O2,1,250),MID(note_ter,1,250),0)),"n","y")</f>
        <v>n</v>
      </c>
      <c r="O2" s="1722"/>
      <c r="P2" s="1711" t="str">
        <f>G2&amp;"("&amp;J2&amp;")"</f>
        <v>()</v>
      </c>
      <c r="Q2" s="2371"/>
      <c r="R2" s="2371"/>
      <c r="S2" s="1631"/>
      <c r="T2" s="2371"/>
      <c r="U2" s="2371"/>
      <c r="V2" s="2371"/>
      <c r="W2" s="1633"/>
      <c r="X2" s="1633"/>
      <c r="Y2" s="1630"/>
      <c r="Z2" s="1630"/>
      <c r="AA2" s="1630"/>
      <c r="AB2" s="1630"/>
      <c r="AC2" s="1630"/>
      <c r="AD2" s="1630"/>
      <c r="AE2" s="1630"/>
      <c r="AF2" s="1630"/>
      <c r="AG2" s="1630"/>
      <c r="AH2" s="1630"/>
      <c r="AI2" s="1630"/>
      <c r="AJ2" s="1630"/>
      <c r="AK2" s="1630"/>
      <c r="AL2" s="1630"/>
      <c r="AM2" s="1630"/>
      <c r="AN2" s="1630"/>
      <c r="AO2" s="1630"/>
      <c r="AP2" s="1630"/>
      <c r="AQ2" s="1630"/>
      <c r="AR2" s="1630"/>
      <c r="AS2" s="1630"/>
      <c r="AT2" s="1630"/>
      <c r="AU2" s="1630"/>
      <c r="AV2" s="1630"/>
      <c r="AW2" s="1630"/>
      <c r="AX2" s="1630"/>
      <c r="AY2" s="1630"/>
      <c r="AZ2" s="1630"/>
      <c r="BA2" s="1630"/>
      <c r="BB2" s="1630"/>
      <c r="BC2" s="1630"/>
      <c r="BD2" s="1630"/>
      <c r="BE2" s="1630"/>
      <c r="BF2" s="1630"/>
      <c r="BG2" s="1630"/>
      <c r="BH2" s="1630"/>
      <c r="BI2" s="1630"/>
      <c r="BJ2" s="1630"/>
      <c r="BK2" s="1630"/>
      <c r="BL2" s="1630"/>
      <c r="BM2" s="1630"/>
      <c r="BN2" s="1630"/>
      <c r="BO2" s="1630"/>
      <c r="BP2" s="1630"/>
      <c r="BQ2" s="1630"/>
      <c r="BR2" s="1630"/>
      <c r="BS2" s="1630"/>
      <c r="BT2" s="1633"/>
      <c r="BU2" s="1633"/>
      <c r="BV2" s="1633"/>
      <c r="BW2" s="1633"/>
      <c r="BX2" s="1633"/>
      <c r="BY2" s="1633"/>
      <c r="BZ2" s="1633"/>
      <c r="CA2" s="1633"/>
      <c r="CB2" s="1633"/>
      <c r="CC2" s="1633"/>
      <c r="IU2" s="1634">
        <v>0</v>
      </c>
    </row>
    <row s="65923" customFormat="1" customHeight="1" ht="4.2">
      <c r="A3" s="1707"/>
      <c r="D3" s="1705"/>
      <c r="F3" s="1458" t="s">
        <v>83</v>
      </c>
      <c r="G3" s="1705" t="s">
        <v>84</v>
      </c>
      <c r="H3" s="1705"/>
      <c r="I3" s="1705"/>
      <c r="J3" s="1438" t="s">
        <v>85</v>
      </c>
      <c r="K3" s="1458" t="s">
        <v>83</v>
      </c>
      <c r="L3" s="1458"/>
      <c r="M3" s="1458"/>
      <c r="N3" s="1458"/>
      <c r="O3" s="1459"/>
      <c r="P3" s="1458"/>
      <c r="Q3" s="1458"/>
      <c r="R3" s="1458"/>
      <c r="S3" s="1458"/>
      <c r="T3" s="1458"/>
      <c r="U3" s="1438"/>
      <c r="V3" s="1438"/>
      <c r="W3" s="1438"/>
      <c r="X3" s="1438"/>
      <c r="Y3" s="1438"/>
      <c r="Z3" s="1438"/>
      <c r="AA3" s="1438"/>
      <c r="AB3" s="1438"/>
      <c r="AC3" s="1438"/>
      <c r="AD3" s="1438"/>
      <c r="AE3" s="1438"/>
      <c r="AF3" s="1438"/>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X3" s="1438"/>
      <c r="FY3" s="1438"/>
      <c r="FZ3" s="1438"/>
      <c r="GA3" s="1438"/>
      <c r="GB3" s="1438"/>
      <c r="GC3" s="1438"/>
      <c r="GD3" s="1438"/>
      <c r="GE3" s="1438"/>
      <c r="GF3" s="1438"/>
      <c r="GG3" s="1438"/>
      <c r="GH3" s="1438"/>
      <c r="GI3" s="1438"/>
      <c r="GJ3" s="1438"/>
      <c r="GK3" s="1438"/>
      <c r="GL3" s="1438"/>
      <c r="GM3" s="1438"/>
      <c r="GN3" s="1438"/>
      <c r="GO3" s="1438"/>
      <c r="GP3" s="1438"/>
      <c r="GQ3" s="1438"/>
      <c r="GR3" s="1438"/>
      <c r="GS3" s="1438"/>
      <c r="GT3" s="1438"/>
      <c r="GU3" s="1438"/>
      <c r="GV3" s="1438"/>
      <c r="GW3" s="1438"/>
      <c r="GX3" s="1438"/>
      <c r="GY3" s="1438"/>
      <c r="GZ3" s="1438"/>
      <c r="HA3" s="1438"/>
      <c r="HB3" s="1438"/>
      <c r="HC3" s="1438"/>
      <c r="HD3" s="1438"/>
      <c r="HE3" s="1438"/>
      <c r="HF3" s="1438"/>
      <c r="HG3" s="1438"/>
      <c r="HH3" s="1438"/>
      <c r="HI3" s="1438"/>
      <c r="HJ3" s="1438"/>
      <c r="HK3" s="1438"/>
      <c r="HL3" s="1438"/>
      <c r="HM3" s="1438"/>
      <c r="HN3" s="1438"/>
      <c r="HO3" s="1438"/>
      <c r="HP3" s="1438"/>
      <c r="HQ3" s="1438"/>
      <c r="HR3" s="1438"/>
      <c r="HS3" s="1438"/>
      <c r="HT3" s="1438"/>
      <c r="HU3" s="1438"/>
      <c r="HV3" s="1438"/>
      <c r="HW3" s="1438"/>
      <c r="HX3" s="1438"/>
      <c r="HY3" s="1438"/>
      <c r="HZ3" s="1438"/>
      <c r="IA3" s="1438"/>
      <c r="IB3" s="1438"/>
      <c r="IC3" s="1438"/>
      <c r="ID3" s="1438"/>
      <c r="IE3" s="1438"/>
      <c r="IF3" s="1438"/>
      <c r="IG3" s="1438"/>
      <c r="IH3" s="1438"/>
      <c r="II3" s="1438"/>
      <c r="IJ3" s="1438"/>
      <c r="IK3" s="1438"/>
      <c r="IL3" s="1438"/>
      <c r="IM3" s="1438"/>
      <c r="IN3" s="1438"/>
      <c r="IO3" s="1438"/>
      <c r="IP3" s="1438"/>
      <c r="IQ3" s="1438"/>
      <c r="IR3" s="1438"/>
      <c r="IS3" s="1438"/>
      <c r="IT3" s="1438"/>
      <c r="IU3" s="1722">
        <v>4</v>
      </c>
    </row>
    <row s="65153" customFormat="1" customHeight="1" ht="14.699999999999998">
      <c r="A4" s="2366"/>
      <c r="B4" s="2371"/>
      <c r="C4" s="2366"/>
      <c r="D4" s="2706"/>
      <c r="E4" s="1720"/>
      <c r="F4" s="2853"/>
      <c r="G4" s="1720"/>
      <c r="H4" s="1720"/>
      <c r="I4" s="1720"/>
      <c r="J4" s="1377"/>
      <c r="K4" s="1458"/>
      <c r="L4" s="1711"/>
      <c r="M4" s="1711"/>
      <c r="N4" s="1711"/>
      <c r="O4" s="1437"/>
      <c r="P4" s="1711"/>
      <c r="Q4" s="1436"/>
      <c r="R4" s="1436"/>
      <c r="S4" s="1436"/>
      <c r="T4" s="1436"/>
      <c r="IU4" s="1718">
        <v>14</v>
      </c>
    </row>
    <row s="65153" customFormat="1" customHeight="1" ht="27.299999999999997">
      <c r="A5" s="2366"/>
      <c r="B5" s="2371"/>
      <c r="C5" s="2366"/>
      <c r="D5" s="2706"/>
      <c r="E5" s="331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3311"/>
      <c r="G5" s="3311"/>
      <c r="H5" s="3311"/>
      <c r="I5" s="3311"/>
      <c r="J5" s="3311"/>
      <c r="K5" s="1458"/>
      <c r="L5" s="1711"/>
      <c r="M5" s="1711"/>
      <c r="N5" s="1711"/>
      <c r="O5" s="1437"/>
      <c r="P5" s="1711"/>
      <c r="Q5" s="1436"/>
      <c r="R5" s="1436"/>
      <c r="S5" s="1436"/>
      <c r="T5" s="1436"/>
      <c r="IU5" s="1718">
        <v>26</v>
      </c>
    </row>
    <row s="65153" customFormat="1" customHeight="1" ht="14.699999999999998">
      <c r="A6" s="2366"/>
      <c r="B6" s="2371"/>
      <c r="C6" s="2366"/>
      <c r="D6" s="2706"/>
      <c r="E6" s="1720"/>
      <c r="F6" s="1378"/>
      <c r="G6" s="1378"/>
      <c r="H6" s="1378"/>
      <c r="I6" s="1378"/>
      <c r="J6" s="1379"/>
      <c r="K6" s="1711"/>
      <c r="L6" s="1711"/>
      <c r="M6" s="1711"/>
      <c r="N6" s="1711"/>
      <c r="O6" s="1437"/>
      <c r="P6" s="1711"/>
      <c r="Q6" s="1436"/>
      <c r="R6" s="1436"/>
      <c r="S6" s="1436"/>
      <c r="T6" s="1436"/>
      <c r="IU6" s="1718">
        <v>14</v>
      </c>
    </row>
    <row s="65153" customFormat="1" customHeight="1" ht="14.699999999999998">
      <c r="A7" s="2366"/>
      <c r="B7" s="2371"/>
      <c r="C7" s="2366"/>
      <c r="D7" s="2706"/>
      <c r="E7" s="3312" t="s">
        <v>318</v>
      </c>
      <c r="F7" s="3313"/>
      <c r="G7" s="3313"/>
      <c r="H7" s="3313"/>
      <c r="I7" s="3313"/>
      <c r="J7" s="3685" t="s">
        <v>319</v>
      </c>
      <c r="K7" s="1711"/>
      <c r="L7" s="1711"/>
      <c r="M7" s="1711"/>
      <c r="N7" s="1711"/>
      <c r="O7" s="1437"/>
      <c r="P7" s="1711"/>
      <c r="Q7" s="1436"/>
      <c r="R7" s="1436"/>
      <c r="S7" s="1436"/>
      <c r="T7" s="1436"/>
      <c r="IU7" s="1718">
        <v>14</v>
      </c>
    </row>
    <row s="65153" customFormat="1" customHeight="1" ht="21">
      <c r="A8" s="2366"/>
      <c r="B8" s="2371"/>
      <c r="C8" s="2366"/>
      <c r="D8" s="2706"/>
      <c r="E8" s="2759" t="s">
        <v>88</v>
      </c>
      <c r="F8" s="2751" t="s">
        <v>2054</v>
      </c>
      <c r="G8" s="2751" t="s">
        <v>47</v>
      </c>
      <c r="H8" s="2751" t="s">
        <v>49</v>
      </c>
      <c r="I8" s="2751" t="s">
        <v>2055</v>
      </c>
      <c r="J8" s="3686"/>
      <c r="K8" s="1711"/>
      <c r="L8" s="1711"/>
      <c r="M8" s="1711"/>
      <c r="N8" s="1711"/>
      <c r="O8" s="1437"/>
      <c r="P8" s="1711"/>
      <c r="Q8" s="1436"/>
      <c r="R8" s="1436"/>
      <c r="S8" s="1436"/>
      <c r="T8" s="1436"/>
      <c r="IU8" s="1718">
        <v>20</v>
      </c>
    </row>
    <row s="67502" customFormat="1" customHeight="1" ht="23.25">
      <c r="A9" s="2842"/>
      <c r="B9" s="2371">
        <v>1</v>
      </c>
      <c r="C9" s="2371"/>
      <c r="D9" s="2012"/>
      <c r="E9" s="2695">
        <v>1</v>
      </c>
      <c r="F9" s="2758"/>
      <c r="G9" s="2702"/>
      <c r="H9" s="2702"/>
      <c r="I9" s="2749"/>
      <c r="J9" s="338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2746"/>
      <c r="L9" s="1722"/>
      <c r="M9" s="1722"/>
      <c r="N9" s="1711" t="str">
        <f t="array" ref="N9:N9">IF(ISERROR(MATCH(MID(O9,1,250),MID(note_ter,1,250),0)),"n","y")</f>
        <v>n</v>
      </c>
      <c r="O9" s="1722"/>
      <c r="P9" s="171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2371"/>
      <c r="R9" s="2371"/>
      <c r="S9" s="1631"/>
      <c r="T9" s="2371"/>
      <c r="U9" s="2371"/>
      <c r="V9" s="2371"/>
      <c r="W9" s="1633"/>
      <c r="X9" s="1633"/>
      <c r="Y9" s="1630"/>
      <c r="Z9" s="1630"/>
      <c r="AA9" s="1630"/>
      <c r="AB9" s="1630"/>
      <c r="AC9" s="1630"/>
      <c r="AD9" s="1630"/>
      <c r="AE9" s="1630"/>
      <c r="AF9" s="1630"/>
      <c r="AG9" s="1630"/>
      <c r="AH9" s="1630"/>
      <c r="AI9" s="1630"/>
      <c r="AJ9" s="1630"/>
      <c r="AK9" s="1630"/>
      <c r="AL9" s="1630"/>
      <c r="AM9" s="1630"/>
      <c r="AN9" s="1630"/>
      <c r="AO9" s="1630"/>
      <c r="AP9" s="1630"/>
      <c r="AQ9" s="1630"/>
      <c r="AR9" s="1630"/>
      <c r="AS9" s="1630"/>
      <c r="AT9" s="1630"/>
      <c r="AU9" s="1630"/>
      <c r="AV9" s="1630"/>
      <c r="AW9" s="1630"/>
      <c r="AX9" s="1630"/>
      <c r="AY9" s="1630"/>
      <c r="AZ9" s="1630"/>
      <c r="BA9" s="1630"/>
      <c r="BB9" s="1630"/>
      <c r="BC9" s="1630"/>
      <c r="BD9" s="1630"/>
      <c r="BE9" s="1630"/>
      <c r="BF9" s="1630"/>
      <c r="BG9" s="1630"/>
      <c r="BH9" s="1630"/>
      <c r="BI9" s="1630"/>
      <c r="BJ9" s="1630"/>
      <c r="BK9" s="1630"/>
      <c r="BL9" s="1630"/>
      <c r="BM9" s="1630"/>
      <c r="BN9" s="1630"/>
      <c r="BO9" s="1630"/>
      <c r="BP9" s="1630"/>
      <c r="BQ9" s="1630"/>
      <c r="BR9" s="1630"/>
      <c r="BS9" s="1630"/>
      <c r="BT9" s="1633"/>
      <c r="BU9" s="1633"/>
      <c r="BV9" s="1633"/>
      <c r="BW9" s="1633"/>
      <c r="BX9" s="1633"/>
      <c r="BY9" s="1633"/>
      <c r="BZ9" s="1633"/>
      <c r="CA9" s="1633"/>
      <c r="CB9" s="1633"/>
      <c r="CC9" s="1633"/>
      <c r="IU9" s="1634">
        <v>22</v>
      </c>
    </row>
    <row s="67502" customFormat="1" customHeight="1" ht="15.75">
      <c r="A10" s="2842"/>
      <c r="B10" s="2371"/>
      <c r="C10" s="1623"/>
      <c r="D10" s="2012"/>
      <c r="E10" s="2752"/>
      <c r="F10" s="2711" t="s">
        <v>2056</v>
      </c>
      <c r="G10" s="2753"/>
      <c r="H10" s="2753"/>
      <c r="I10" s="3110"/>
      <c r="J10" s="3382"/>
      <c r="K10" s="2747"/>
      <c r="L10" s="1722"/>
      <c r="M10" s="1722"/>
      <c r="N10" s="1722"/>
      <c r="O10" s="1711"/>
      <c r="P10" s="1722"/>
      <c r="Q10" s="2371"/>
      <c r="R10" s="2371"/>
      <c r="S10" s="1631"/>
      <c r="T10" s="2371"/>
      <c r="U10" s="2371"/>
      <c r="V10" s="2371"/>
      <c r="W10" s="1633"/>
      <c r="X10" s="1633"/>
      <c r="Y10" s="1630"/>
      <c r="Z10" s="1630"/>
      <c r="AA10" s="1630"/>
      <c r="AB10" s="1630"/>
      <c r="AC10" s="1630"/>
      <c r="AD10" s="1630"/>
      <c r="AE10" s="1630"/>
      <c r="AF10" s="1630"/>
      <c r="AG10" s="1630"/>
      <c r="AH10" s="1630"/>
      <c r="AI10" s="1630"/>
      <c r="AJ10" s="1630"/>
      <c r="AK10" s="1630"/>
      <c r="AL10" s="1630"/>
      <c r="AM10" s="1630"/>
      <c r="AN10" s="1630"/>
      <c r="AO10" s="1630"/>
      <c r="AP10" s="1630"/>
      <c r="AQ10" s="1630"/>
      <c r="AR10" s="1630"/>
      <c r="AS10" s="1630"/>
      <c r="AT10" s="1630"/>
      <c r="AU10" s="1630"/>
      <c r="AV10" s="1630"/>
      <c r="AW10" s="1630"/>
      <c r="AX10" s="1630"/>
      <c r="AY10" s="1630"/>
      <c r="AZ10" s="1630"/>
      <c r="BA10" s="1630"/>
      <c r="BB10" s="1630"/>
      <c r="BC10" s="1630"/>
      <c r="BD10" s="1630"/>
      <c r="BE10" s="1630"/>
      <c r="BF10" s="1630"/>
      <c r="BG10" s="1630"/>
      <c r="BH10" s="1630"/>
      <c r="BI10" s="1630"/>
      <c r="BJ10" s="1630"/>
      <c r="BK10" s="1630"/>
      <c r="BL10" s="1630"/>
      <c r="BM10" s="1630"/>
      <c r="BN10" s="1630"/>
      <c r="BO10" s="1630"/>
      <c r="BP10" s="1630"/>
      <c r="BQ10" s="1630"/>
      <c r="BR10" s="1630"/>
      <c r="BS10" s="1630"/>
      <c r="BT10" s="1633"/>
      <c r="BU10" s="1633"/>
      <c r="BV10" s="1633"/>
      <c r="BW10" s="1633"/>
      <c r="BX10" s="1633"/>
      <c r="BY10" s="1633"/>
      <c r="BZ10" s="1633"/>
      <c r="CA10" s="1633"/>
      <c r="CB10" s="1633"/>
      <c r="CC10" s="1633"/>
      <c r="IU10" s="1634">
        <v>15</v>
      </c>
    </row>
    <row s="65153" customFormat="1" customHeight="1" ht="22.049999999999997">
      <c r="A11" s="2366"/>
      <c r="B11" s="2371"/>
      <c r="C11" s="2366"/>
      <c r="D11" s="1662"/>
      <c r="E11" s="1391"/>
      <c r="F11" s="1391"/>
      <c r="G11" s="1391"/>
      <c r="H11" s="1391"/>
      <c r="I11" s="1391"/>
      <c r="J11" s="1391"/>
      <c r="K11" s="1711"/>
      <c r="L11" s="1711"/>
      <c r="M11" s="1711"/>
      <c r="N11" s="1711"/>
      <c r="O11" s="1437"/>
      <c r="P11" s="1711"/>
      <c r="Q11" s="1436"/>
      <c r="R11" s="1436"/>
      <c r="S11" s="1436"/>
      <c r="T11" s="1436"/>
      <c r="IU11" s="1718">
        <v>21</v>
      </c>
    </row>
    <row s="65153" customFormat="1" customHeight="1" ht="14.699999999999998">
      <c r="A12" s="2366"/>
      <c r="B12" s="2371"/>
      <c r="C12" s="2366"/>
      <c r="D12" s="1662"/>
      <c r="E12" s="2366"/>
      <c r="F12" s="2366"/>
      <c r="G12" s="2366"/>
      <c r="H12" s="2366"/>
      <c r="I12" s="2366"/>
      <c r="J12" s="2366"/>
      <c r="K12" s="1711"/>
      <c r="L12" s="1711"/>
      <c r="M12" s="1711"/>
      <c r="N12" s="1711"/>
      <c r="O12" s="1437"/>
      <c r="P12" s="1711"/>
      <c r="Q12" s="1436"/>
      <c r="R12" s="1436"/>
      <c r="S12" s="1436"/>
      <c r="T12" s="1436"/>
      <c r="IU12" s="1718">
        <v>14</v>
      </c>
    </row>
    <row s="65153" customFormat="1" customHeight="1" ht="1.05">
      <c r="A13" s="2366"/>
      <c r="B13" s="2371"/>
      <c r="C13" s="2366"/>
      <c r="D13" s="1662"/>
      <c r="E13" s="2366"/>
      <c r="F13" s="2366"/>
      <c r="G13" s="2366"/>
      <c r="H13" s="2366"/>
      <c r="I13" s="2366"/>
      <c r="J13" s="2366"/>
      <c r="K13" s="1711"/>
      <c r="L13" s="1711"/>
      <c r="M13" s="1711"/>
      <c r="N13" s="1711"/>
      <c r="O13" s="1437"/>
      <c r="P13" s="1711"/>
      <c r="Q13" s="1436"/>
      <c r="R13" s="1436"/>
      <c r="S13" s="1436"/>
      <c r="T13" s="1436"/>
      <c r="IU13" s="1718">
        <v>1</v>
      </c>
    </row>
    <row s="66802" customFormat="1" customHeight="1" ht="10.5">
      <c r="B14" s="2045"/>
      <c r="D14" s="1393"/>
      <c r="K14" s="1711"/>
      <c r="L14" s="1711"/>
      <c r="M14" s="1711"/>
      <c r="N14" s="1711"/>
      <c r="O14" s="1437"/>
      <c r="P14" s="1711"/>
      <c r="Q14" s="1436"/>
      <c r="R14" s="1436"/>
      <c r="S14" s="1436"/>
      <c r="T14" s="1436"/>
      <c r="IU14" s="1392">
        <v>10</v>
      </c>
    </row>
    <row s="66802" customFormat="1" customHeight="1" ht="10.5">
      <c r="B15" s="2045"/>
      <c r="D15" s="1393"/>
      <c r="K15" s="1711"/>
      <c r="L15" s="1711"/>
      <c r="M15" s="1711"/>
      <c r="N15" s="1711"/>
      <c r="O15" s="1437"/>
      <c r="P15" s="1711"/>
      <c r="Q15" s="1436"/>
      <c r="R15" s="1436"/>
      <c r="S15" s="1436"/>
      <c r="T15" s="1436"/>
      <c r="IU15" s="1392">
        <v>10</v>
      </c>
    </row>
    <row customHeight="1" ht="14.699999999999998">
      <c r="IU16" s="2366">
        <v>14</v>
      </c>
    </row>
    <row customHeight="1" ht="14.699999999999998">
      <c r="IU17" s="2366">
        <v>14</v>
      </c>
    </row>
    <row customHeight="1" ht="14.699999999999998">
      <c r="IU18" s="2366">
        <v>14</v>
      </c>
    </row>
    <row customHeight="1" ht="14.699999999999998">
      <c r="G19" s="1584"/>
      <c r="H19" s="1584"/>
      <c r="I19" s="1584"/>
      <c r="IU19" s="2366">
        <v>14</v>
      </c>
    </row>
    <row customHeight="1" ht="14.699999999999998">
      <c r="IU20" s="2366">
        <v>14</v>
      </c>
    </row>
    <row customHeight="1" ht="14.699999999999998">
      <c r="IU21" s="2366">
        <v>14</v>
      </c>
    </row>
    <row customHeight="1" ht="14.699999999999998">
      <c r="IU22" s="2366">
        <v>14</v>
      </c>
    </row>
    <row customHeight="1" ht="14.699999999999998">
      <c r="K23" s="2366"/>
      <c r="L23" s="2366"/>
      <c r="M23" s="2366"/>
      <c r="IU23" s="2366">
        <v>14</v>
      </c>
    </row>
    <row customHeight="1" ht="22.5" hidden="1">
      <c r="A24" s="2366" t="s">
        <v>82</v>
      </c>
      <c r="B24" s="2371">
        <v>0</v>
      </c>
      <c r="C24" s="2366">
        <v>0</v>
      </c>
      <c r="D24" s="1662">
        <v>3</v>
      </c>
      <c r="E24" s="2366">
        <v>6</v>
      </c>
      <c r="F24" s="2366">
        <v>46</v>
      </c>
      <c r="G24" s="2366">
        <v>16</v>
      </c>
      <c r="H24" s="2366">
        <v>16</v>
      </c>
      <c r="I24" s="2366">
        <v>35</v>
      </c>
      <c r="J24" s="2366">
        <v>89</v>
      </c>
      <c r="K24" s="1711">
        <v>3</v>
      </c>
      <c r="L24" s="1711">
        <v>8</v>
      </c>
      <c r="M24" s="1711">
        <v>8</v>
      </c>
      <c r="N24" s="1711">
        <v>8</v>
      </c>
      <c r="O24" s="1437">
        <v>25</v>
      </c>
      <c r="P24" s="1711">
        <v>14</v>
      </c>
      <c r="Q24" s="1436">
        <v>8</v>
      </c>
      <c r="R24" s="1436">
        <v>8</v>
      </c>
      <c r="S24" s="1436">
        <v>8</v>
      </c>
      <c r="T24" s="1436">
        <v>8</v>
      </c>
      <c r="U24" s="2366">
        <v>8</v>
      </c>
      <c r="V24" s="2366">
        <v>8</v>
      </c>
      <c r="W24" s="2366">
        <v>8</v>
      </c>
      <c r="X24" s="2366">
        <v>8</v>
      </c>
      <c r="Y24" s="2366">
        <v>8</v>
      </c>
      <c r="Z24" s="2366">
        <v>8</v>
      </c>
      <c r="AA24" s="2366">
        <v>8</v>
      </c>
      <c r="AB24" s="2366">
        <v>8</v>
      </c>
      <c r="AC24" s="2366">
        <v>8</v>
      </c>
      <c r="AD24" s="2366">
        <v>8</v>
      </c>
      <c r="AE24" s="2366">
        <v>8</v>
      </c>
      <c r="AF24" s="2366">
        <v>8</v>
      </c>
      <c r="AG24" s="2366">
        <v>8</v>
      </c>
      <c r="AH24" s="2366">
        <v>8</v>
      </c>
      <c r="AI24" s="2366">
        <v>8</v>
      </c>
      <c r="AJ24" s="2366">
        <v>8</v>
      </c>
      <c r="AK24" s="2366">
        <v>8</v>
      </c>
      <c r="AL24" s="2366">
        <v>8</v>
      </c>
      <c r="AM24" s="2366">
        <v>8</v>
      </c>
      <c r="AN24" s="2366">
        <v>8</v>
      </c>
      <c r="AO24" s="2366">
        <v>8</v>
      </c>
      <c r="AP24" s="2366">
        <v>8</v>
      </c>
      <c r="AQ24" s="2366">
        <v>8</v>
      </c>
      <c r="AR24" s="2366">
        <v>8</v>
      </c>
      <c r="AS24" s="2366">
        <v>8</v>
      </c>
      <c r="AT24" s="2366">
        <v>8</v>
      </c>
      <c r="AU24" s="2366">
        <v>8</v>
      </c>
      <c r="AV24" s="2366">
        <v>8</v>
      </c>
      <c r="AW24" s="2366">
        <v>8</v>
      </c>
      <c r="AX24" s="2366">
        <v>8</v>
      </c>
      <c r="AY24" s="2366">
        <v>8</v>
      </c>
      <c r="AZ24" s="2366">
        <v>8</v>
      </c>
      <c r="BA24" s="2366">
        <v>8</v>
      </c>
      <c r="BB24" s="2366">
        <v>8</v>
      </c>
      <c r="BC24" s="2366">
        <v>8</v>
      </c>
      <c r="BD24" s="2366">
        <v>8</v>
      </c>
      <c r="BE24" s="2366">
        <v>8</v>
      </c>
      <c r="BF24" s="2366">
        <v>8</v>
      </c>
      <c r="BG24" s="2366">
        <v>8</v>
      </c>
      <c r="BH24" s="2366">
        <v>8</v>
      </c>
      <c r="BI24" s="2366">
        <v>8</v>
      </c>
      <c r="BJ24" s="2366">
        <v>8</v>
      </c>
      <c r="BK24" s="2366">
        <v>8</v>
      </c>
      <c r="BL24" s="2366">
        <v>8</v>
      </c>
      <c r="BM24" s="2366">
        <v>8</v>
      </c>
      <c r="BN24" s="2366">
        <v>8</v>
      </c>
      <c r="BO24" s="2366">
        <v>8</v>
      </c>
      <c r="BP24" s="2366">
        <v>8</v>
      </c>
      <c r="BQ24" s="2366">
        <v>8</v>
      </c>
      <c r="BR24" s="2366">
        <v>8</v>
      </c>
      <c r="BS24" s="2366">
        <v>8</v>
      </c>
      <c r="BT24" s="2366">
        <v>8</v>
      </c>
      <c r="BU24" s="2366">
        <v>8</v>
      </c>
      <c r="BV24" s="2366">
        <v>8</v>
      </c>
      <c r="BW24" s="2366">
        <v>8</v>
      </c>
      <c r="BX24" s="2366">
        <v>8</v>
      </c>
      <c r="BY24" s="2366">
        <v>8</v>
      </c>
      <c r="BZ24" s="2366">
        <v>8</v>
      </c>
      <c r="CA24" s="2366">
        <v>8</v>
      </c>
      <c r="CB24" s="2366">
        <v>8</v>
      </c>
      <c r="CC24" s="2366">
        <v>8</v>
      </c>
      <c r="CD24" s="2366">
        <v>8</v>
      </c>
      <c r="CE24" s="2366">
        <v>8</v>
      </c>
      <c r="CF24" s="2366">
        <v>8</v>
      </c>
      <c r="CG24" s="2366">
        <v>8</v>
      </c>
      <c r="CH24" s="2366">
        <v>8</v>
      </c>
      <c r="CI24" s="2366">
        <v>8</v>
      </c>
      <c r="CJ24" s="2366">
        <v>8</v>
      </c>
      <c r="CK24" s="2366">
        <v>8</v>
      </c>
      <c r="CL24" s="2366">
        <v>8</v>
      </c>
      <c r="CM24" s="2366">
        <v>8</v>
      </c>
      <c r="CN24" s="2366">
        <v>8</v>
      </c>
      <c r="CO24" s="2366">
        <v>8</v>
      </c>
      <c r="CP24" s="2366">
        <v>8</v>
      </c>
      <c r="CQ24" s="2366">
        <v>8</v>
      </c>
      <c r="CR24" s="2366">
        <v>8</v>
      </c>
      <c r="CS24" s="2366">
        <v>8</v>
      </c>
      <c r="CT24" s="2366">
        <v>8</v>
      </c>
      <c r="CU24" s="2366">
        <v>8</v>
      </c>
      <c r="CV24" s="2366">
        <v>8</v>
      </c>
      <c r="CW24" s="2366">
        <v>8</v>
      </c>
      <c r="CX24" s="2366">
        <v>8</v>
      </c>
      <c r="CY24" s="2366">
        <v>8</v>
      </c>
      <c r="CZ24" s="2366">
        <v>8</v>
      </c>
      <c r="DA24" s="2366">
        <v>8</v>
      </c>
      <c r="DB24" s="2366">
        <v>8</v>
      </c>
      <c r="DC24" s="2366">
        <v>8</v>
      </c>
      <c r="DD24" s="2366">
        <v>8</v>
      </c>
      <c r="DE24" s="2366">
        <v>8</v>
      </c>
      <c r="DF24" s="2366">
        <v>8</v>
      </c>
      <c r="DG24" s="2366">
        <v>8</v>
      </c>
      <c r="DH24" s="2366">
        <v>8</v>
      </c>
      <c r="DI24" s="2366">
        <v>8</v>
      </c>
      <c r="DJ24" s="2366">
        <v>8</v>
      </c>
      <c r="DK24" s="2366">
        <v>8</v>
      </c>
      <c r="DL24" s="2366">
        <v>8</v>
      </c>
      <c r="DM24" s="2366">
        <v>8</v>
      </c>
      <c r="DN24" s="2366">
        <v>8</v>
      </c>
      <c r="DO24" s="2366">
        <v>8</v>
      </c>
      <c r="DP24" s="2366">
        <v>8</v>
      </c>
      <c r="DQ24" s="2366">
        <v>8</v>
      </c>
      <c r="DR24" s="2366">
        <v>8</v>
      </c>
      <c r="DS24" s="2366">
        <v>8</v>
      </c>
      <c r="DT24" s="2366">
        <v>8</v>
      </c>
      <c r="DU24" s="2366">
        <v>8</v>
      </c>
      <c r="DV24" s="2366">
        <v>8</v>
      </c>
      <c r="DW24" s="2366">
        <v>8</v>
      </c>
      <c r="DX24" s="2366">
        <v>8</v>
      </c>
      <c r="DY24" s="2366">
        <v>8</v>
      </c>
      <c r="DZ24" s="2366">
        <v>8</v>
      </c>
      <c r="EA24" s="2366">
        <v>8</v>
      </c>
      <c r="EB24" s="2366">
        <v>8</v>
      </c>
      <c r="EC24" s="2366">
        <v>8</v>
      </c>
      <c r="ED24" s="2366">
        <v>8</v>
      </c>
      <c r="EE24" s="2366">
        <v>8</v>
      </c>
      <c r="EF24" s="2366">
        <v>8</v>
      </c>
      <c r="EG24" s="2366">
        <v>8</v>
      </c>
      <c r="EH24" s="2366">
        <v>8</v>
      </c>
      <c r="EI24" s="2366">
        <v>8</v>
      </c>
      <c r="EJ24" s="2366">
        <v>8</v>
      </c>
      <c r="EK24" s="2366">
        <v>8</v>
      </c>
      <c r="EL24" s="2366">
        <v>8</v>
      </c>
      <c r="EM24" s="2366">
        <v>8</v>
      </c>
      <c r="EN24" s="2366">
        <v>8</v>
      </c>
      <c r="EO24" s="2366">
        <v>8</v>
      </c>
      <c r="EP24" s="2366">
        <v>8</v>
      </c>
      <c r="EQ24" s="2366">
        <v>8</v>
      </c>
      <c r="ER24" s="2366">
        <v>8</v>
      </c>
      <c r="ES24" s="2366">
        <v>8</v>
      </c>
      <c r="ET24" s="2366">
        <v>8</v>
      </c>
      <c r="EU24" s="2366">
        <v>8</v>
      </c>
      <c r="EV24" s="2366">
        <v>8</v>
      </c>
      <c r="EW24" s="2366">
        <v>8</v>
      </c>
      <c r="EX24" s="2366">
        <v>8</v>
      </c>
      <c r="EY24" s="2366">
        <v>8</v>
      </c>
      <c r="EZ24" s="2366">
        <v>8</v>
      </c>
      <c r="FA24" s="2366">
        <v>8</v>
      </c>
      <c r="FB24" s="2366">
        <v>8</v>
      </c>
      <c r="FC24" s="2366">
        <v>8</v>
      </c>
      <c r="FD24" s="2366">
        <v>8</v>
      </c>
      <c r="FE24" s="2366">
        <v>8</v>
      </c>
      <c r="FF24" s="2366">
        <v>8</v>
      </c>
      <c r="FG24" s="2366">
        <v>8</v>
      </c>
      <c r="FH24" s="2366">
        <v>8</v>
      </c>
      <c r="FI24" s="2366">
        <v>8</v>
      </c>
      <c r="FJ24" s="2366">
        <v>8</v>
      </c>
      <c r="FK24" s="2366">
        <v>8</v>
      </c>
      <c r="FL24" s="2366">
        <v>8</v>
      </c>
      <c r="FM24" s="2366">
        <v>8</v>
      </c>
      <c r="FN24" s="2366">
        <v>8</v>
      </c>
      <c r="FO24" s="2366">
        <v>8</v>
      </c>
      <c r="FP24" s="2366">
        <v>8</v>
      </c>
      <c r="FQ24" s="2366">
        <v>8</v>
      </c>
      <c r="FR24" s="2366">
        <v>8</v>
      </c>
      <c r="FS24" s="2366">
        <v>8</v>
      </c>
      <c r="FT24" s="2366">
        <v>8</v>
      </c>
      <c r="FU24" s="2366">
        <v>8</v>
      </c>
      <c r="FV24" s="2366">
        <v>8</v>
      </c>
      <c r="FW24" s="2366">
        <v>8</v>
      </c>
      <c r="FX24" s="2366">
        <v>8</v>
      </c>
      <c r="FY24" s="2366">
        <v>8</v>
      </c>
      <c r="FZ24" s="2366">
        <v>8</v>
      </c>
      <c r="GA24" s="2366">
        <v>8</v>
      </c>
      <c r="GB24" s="2366">
        <v>8</v>
      </c>
      <c r="GC24" s="2366">
        <v>8</v>
      </c>
      <c r="GD24" s="2366">
        <v>8</v>
      </c>
      <c r="GE24" s="2366">
        <v>8</v>
      </c>
      <c r="GF24" s="2366">
        <v>8</v>
      </c>
      <c r="GG24" s="2366">
        <v>8</v>
      </c>
      <c r="GH24" s="2366">
        <v>8</v>
      </c>
      <c r="GI24" s="2366">
        <v>8</v>
      </c>
      <c r="GJ24" s="2366">
        <v>8</v>
      </c>
      <c r="GK24" s="2366">
        <v>8</v>
      </c>
      <c r="GL24" s="2366">
        <v>8</v>
      </c>
      <c r="GM24" s="2366">
        <v>8</v>
      </c>
      <c r="GN24" s="2366">
        <v>8</v>
      </c>
      <c r="GO24" s="2366">
        <v>8</v>
      </c>
      <c r="GP24" s="2366">
        <v>8</v>
      </c>
      <c r="GQ24" s="2366">
        <v>8</v>
      </c>
      <c r="GR24" s="2366">
        <v>8</v>
      </c>
      <c r="GS24" s="2366">
        <v>8</v>
      </c>
      <c r="GT24" s="2366">
        <v>8</v>
      </c>
      <c r="GU24" s="2366">
        <v>8</v>
      </c>
      <c r="GV24" s="2366">
        <v>8</v>
      </c>
      <c r="GW24" s="2366">
        <v>8</v>
      </c>
      <c r="GX24" s="2366">
        <v>8</v>
      </c>
      <c r="GY24" s="2366">
        <v>8</v>
      </c>
      <c r="GZ24" s="2366">
        <v>8</v>
      </c>
      <c r="HA24" s="2366">
        <v>8</v>
      </c>
      <c r="HB24" s="2366">
        <v>8</v>
      </c>
      <c r="HC24" s="2366">
        <v>8</v>
      </c>
      <c r="HD24" s="2366">
        <v>8</v>
      </c>
      <c r="HE24" s="2366">
        <v>8</v>
      </c>
      <c r="HF24" s="2366">
        <v>8</v>
      </c>
      <c r="HG24" s="2366">
        <v>8</v>
      </c>
      <c r="HH24" s="2366">
        <v>8</v>
      </c>
      <c r="HI24" s="2366">
        <v>8</v>
      </c>
      <c r="HJ24" s="2366">
        <v>8</v>
      </c>
      <c r="HK24" s="2366">
        <v>8</v>
      </c>
      <c r="HL24" s="2366">
        <v>8</v>
      </c>
      <c r="HM24" s="2366">
        <v>8</v>
      </c>
      <c r="HN24" s="2366">
        <v>8</v>
      </c>
      <c r="HO24" s="2366">
        <v>8</v>
      </c>
      <c r="HP24" s="2366">
        <v>8</v>
      </c>
      <c r="HQ24" s="2366">
        <v>8</v>
      </c>
      <c r="HR24" s="2366">
        <v>8</v>
      </c>
      <c r="HS24" s="2366">
        <v>8</v>
      </c>
      <c r="HT24" s="2366">
        <v>8</v>
      </c>
      <c r="HU24" s="2366">
        <v>8</v>
      </c>
      <c r="HV24" s="2366">
        <v>8</v>
      </c>
      <c r="HW24" s="2366">
        <v>8</v>
      </c>
      <c r="HX24" s="2366">
        <v>8</v>
      </c>
      <c r="HY24" s="2366">
        <v>8</v>
      </c>
      <c r="HZ24" s="2366">
        <v>8</v>
      </c>
      <c r="IA24" s="2366">
        <v>8</v>
      </c>
      <c r="IB24" s="2366">
        <v>8</v>
      </c>
      <c r="IC24" s="2366">
        <v>8</v>
      </c>
      <c r="ID24" s="2366">
        <v>8</v>
      </c>
      <c r="IE24" s="2366">
        <v>8</v>
      </c>
      <c r="IF24" s="2366">
        <v>8</v>
      </c>
      <c r="IG24" s="2366">
        <v>8</v>
      </c>
      <c r="IH24" s="2366">
        <v>8</v>
      </c>
      <c r="II24" s="2366">
        <v>8</v>
      </c>
      <c r="IJ24" s="2366">
        <v>8</v>
      </c>
      <c r="IK24" s="2366">
        <v>8</v>
      </c>
      <c r="IL24" s="2366">
        <v>8</v>
      </c>
      <c r="IM24" s="2366">
        <v>8</v>
      </c>
      <c r="IN24" s="2366">
        <v>8</v>
      </c>
      <c r="IO24" s="2366">
        <v>8</v>
      </c>
      <c r="IP24" s="2366">
        <v>8</v>
      </c>
      <c r="IQ24" s="2366">
        <v>8</v>
      </c>
      <c r="IR24" s="2366">
        <v>8</v>
      </c>
      <c r="IS24" s="2366">
        <v>8</v>
      </c>
      <c r="IT24" s="2366">
        <v>8</v>
      </c>
      <c r="IU24" s="236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D7202-93AD-236B-7BA4-8CA362A11B3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66903" width="9.140625" hidden="1"/>
    <col min="2" max="2" style="66852" width="9.140625" hidden="1"/>
    <col min="3" max="3" style="66903" width="3.7109375" hidden="1" customWidth="1"/>
    <col min="4" max="4" style="67282" width="3.00390625" customWidth="1"/>
    <col min="5" max="5" style="66903" width="6.00390625" customWidth="1"/>
    <col min="6" max="6" style="66903" width="27.00390625" customWidth="1"/>
    <col min="7" max="7" style="66903" width="16.00390625" customWidth="1"/>
    <col min="8" max="8" style="66903" width="12.00390625" customWidth="1"/>
    <col min="9" max="9" style="66903" width="32.00390625" customWidth="1"/>
    <col min="10" max="11" style="66903" width="41.00390625" customWidth="1"/>
    <col min="12" max="12" style="66903" width="89.00390625" customWidth="1"/>
    <col min="13" max="13" style="66855" width="3.00390625" customWidth="1"/>
    <col min="14" max="16" style="66855" width="8.00390625" customWidth="1"/>
    <col min="17" max="17" style="66855" width="25.00390625" customWidth="1"/>
    <col min="18" max="18" style="66855" width="14.00390625" customWidth="1"/>
    <col min="19" max="22" style="64692" width="8.00390625" customWidth="1"/>
    <col min="23" max="256" style="66903" width="8.00390625" customWidth="1"/>
    <col min="257" max="257" style="66903" width="9.140625" hidden="1"/>
  </cols>
  <sheetData>
    <row customHeight="1" ht="22.5" hidden="1">
      <c r="IW1" s="2366" t="s">
        <v>14</v>
      </c>
    </row>
    <row s="67502" customFormat="1" customHeight="1" ht="22.5" hidden="1">
      <c r="A2" s="2042"/>
      <c r="B2" s="2371">
        <v>1</v>
      </c>
      <c r="C2" s="2371"/>
      <c r="D2" s="3139" t="s">
        <v>103</v>
      </c>
      <c r="E2" s="3100"/>
      <c r="F2" s="3103" t="str">
        <f>IF(ROIV_INFO_NAME="","",ROIV_INFO_NAME)</f>
        <v>ПАО "ТГК-2"</v>
      </c>
      <c r="G2" s="3128" t="s">
        <v>22</v>
      </c>
      <c r="H2" s="3127"/>
      <c r="I2" s="2749"/>
      <c r="J2" s="2029"/>
      <c r="K2" s="2029"/>
      <c r="L2" s="1439"/>
      <c r="M2" s="2746">
        <f>MERGEVALUE(F2)</f>
      </c>
      <c r="N2" s="1722"/>
      <c r="O2" s="1722"/>
      <c r="P2" s="1711" t="str">
        <f t="array" ref="P2:P2">IF(ISERROR(MATCH(MID(Q2,1,250),MID(note_ter,1,250),0)),"n","y")</f>
        <v>n</v>
      </c>
      <c r="Q2" s="1722"/>
      <c r="R2" s="1711" t="str">
        <f>G2&amp;"("&amp;L2&amp;")"</f>
        <v>()</v>
      </c>
      <c r="S2" s="2371"/>
      <c r="T2" s="2371"/>
      <c r="U2" s="1631"/>
      <c r="V2" s="2371"/>
      <c r="W2" s="2371"/>
      <c r="X2" s="2371"/>
      <c r="Y2" s="1633"/>
      <c r="Z2" s="1633"/>
      <c r="AA2" s="1630"/>
      <c r="AB2" s="1630"/>
      <c r="AC2" s="1630"/>
      <c r="AD2" s="1630"/>
      <c r="AE2" s="1630"/>
      <c r="AF2" s="1630"/>
      <c r="AG2" s="1630"/>
      <c r="AH2" s="1630"/>
      <c r="AI2" s="1630"/>
      <c r="AJ2" s="1630"/>
      <c r="AK2" s="1630"/>
      <c r="AL2" s="1630"/>
      <c r="AM2" s="1630"/>
      <c r="AN2" s="1630"/>
      <c r="AO2" s="1630"/>
      <c r="AP2" s="1630"/>
      <c r="AQ2" s="1630"/>
      <c r="AR2" s="1630"/>
      <c r="AS2" s="1630"/>
      <c r="AT2" s="1630"/>
      <c r="AU2" s="1630"/>
      <c r="AV2" s="1630"/>
      <c r="AW2" s="1630"/>
      <c r="AX2" s="1630"/>
      <c r="AY2" s="1630"/>
      <c r="AZ2" s="1630"/>
      <c r="BA2" s="1630"/>
      <c r="BB2" s="1630"/>
      <c r="BC2" s="1630"/>
      <c r="BD2" s="1630"/>
      <c r="BE2" s="1630"/>
      <c r="BF2" s="1630"/>
      <c r="BG2" s="1630"/>
      <c r="BH2" s="1630"/>
      <c r="BI2" s="1630"/>
      <c r="BJ2" s="1630"/>
      <c r="BK2" s="1630"/>
      <c r="BL2" s="1630"/>
      <c r="BM2" s="1630"/>
      <c r="BN2" s="1630"/>
      <c r="BO2" s="1630"/>
      <c r="BP2" s="1630"/>
      <c r="BQ2" s="1630"/>
      <c r="BR2" s="1630"/>
      <c r="BS2" s="1630"/>
      <c r="BT2" s="1630"/>
      <c r="BU2" s="1630"/>
      <c r="BV2" s="1633"/>
      <c r="BW2" s="1633"/>
      <c r="BX2" s="1633"/>
      <c r="BY2" s="1633"/>
      <c r="BZ2" s="1633"/>
      <c r="CA2" s="1633"/>
      <c r="CB2" s="1633"/>
      <c r="CC2" s="1633"/>
      <c r="CD2" s="1633"/>
      <c r="CE2" s="1633"/>
      <c r="IW2" s="1634">
        <v>0</v>
      </c>
    </row>
    <row s="65923" customFormat="1" customHeight="1" ht="5.25" hidden="1">
      <c r="A3" s="1707"/>
      <c r="D3" s="1705"/>
      <c r="F3" s="1458" t="s">
        <v>83</v>
      </c>
      <c r="G3" s="2946" t="s">
        <v>84</v>
      </c>
      <c r="H3" s="1705"/>
      <c r="I3" s="1705"/>
      <c r="J3" s="1705"/>
      <c r="K3" s="1705"/>
      <c r="L3" s="1438" t="s">
        <v>85</v>
      </c>
      <c r="M3" s="1458" t="s">
        <v>83</v>
      </c>
      <c r="N3" s="1458"/>
      <c r="O3" s="1458"/>
      <c r="P3" s="1458"/>
      <c r="Q3" s="1459"/>
      <c r="R3" s="1458"/>
      <c r="S3" s="1458"/>
      <c r="T3" s="1458"/>
      <c r="U3" s="1458"/>
      <c r="V3" s="1458"/>
      <c r="W3" s="1438"/>
      <c r="X3" s="1438"/>
      <c r="Y3" s="1438"/>
      <c r="Z3" s="1438"/>
      <c r="AA3" s="1438"/>
      <c r="AB3" s="1438"/>
      <c r="AC3" s="1438"/>
      <c r="AD3" s="1438"/>
      <c r="AE3" s="1438"/>
      <c r="AF3" s="1438"/>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X3" s="1438"/>
      <c r="FY3" s="1438"/>
      <c r="FZ3" s="1438"/>
      <c r="GA3" s="1438"/>
      <c r="GB3" s="1438"/>
      <c r="GC3" s="1438"/>
      <c r="GD3" s="1438"/>
      <c r="GE3" s="1438"/>
      <c r="GF3" s="1438"/>
      <c r="GG3" s="1438"/>
      <c r="GH3" s="1438"/>
      <c r="GI3" s="1438"/>
      <c r="GJ3" s="1438"/>
      <c r="GK3" s="1438"/>
      <c r="GL3" s="1438"/>
      <c r="GM3" s="1438"/>
      <c r="GN3" s="1438"/>
      <c r="GO3" s="1438"/>
      <c r="GP3" s="1438"/>
      <c r="GQ3" s="1438"/>
      <c r="GR3" s="1438"/>
      <c r="GS3" s="1438"/>
      <c r="GT3" s="1438"/>
      <c r="GU3" s="1438"/>
      <c r="GV3" s="1438"/>
      <c r="GW3" s="1438"/>
      <c r="GX3" s="1438"/>
      <c r="GY3" s="1438"/>
      <c r="GZ3" s="1438"/>
      <c r="HA3" s="1438"/>
      <c r="HB3" s="1438"/>
      <c r="HC3" s="1438"/>
      <c r="HD3" s="1438"/>
      <c r="HE3" s="1438"/>
      <c r="HF3" s="1438"/>
      <c r="HG3" s="1438"/>
      <c r="HH3" s="1438"/>
      <c r="HI3" s="1438"/>
      <c r="HJ3" s="1438"/>
      <c r="HK3" s="1438"/>
      <c r="HL3" s="1438"/>
      <c r="HM3" s="1438"/>
      <c r="HN3" s="1438"/>
      <c r="HO3" s="1438"/>
      <c r="HP3" s="1438"/>
      <c r="HQ3" s="1438"/>
      <c r="HR3" s="1438"/>
      <c r="HS3" s="1438"/>
      <c r="HT3" s="1438"/>
      <c r="HU3" s="1438"/>
      <c r="HV3" s="1438"/>
      <c r="HW3" s="1438"/>
      <c r="HX3" s="1438"/>
      <c r="HY3" s="1438"/>
      <c r="HZ3" s="1438"/>
      <c r="IA3" s="1438"/>
      <c r="IB3" s="1438"/>
      <c r="IC3" s="1438"/>
      <c r="ID3" s="1438"/>
      <c r="IE3" s="1438"/>
      <c r="IF3" s="1438"/>
      <c r="IG3" s="1438"/>
      <c r="IH3" s="1438"/>
      <c r="II3" s="1438"/>
      <c r="IJ3" s="1438"/>
      <c r="IK3" s="1438"/>
      <c r="IL3" s="1438"/>
      <c r="IM3" s="1438"/>
      <c r="IN3" s="1438"/>
      <c r="IO3" s="1438"/>
      <c r="IP3" s="1438"/>
      <c r="IQ3" s="1438"/>
      <c r="IR3" s="1438"/>
      <c r="IS3" s="1438"/>
      <c r="IT3" s="1438"/>
      <c r="IU3" s="1438"/>
      <c r="IV3" s="1438"/>
      <c r="IW3" s="1722">
        <v>0</v>
      </c>
    </row>
    <row s="65153" customFormat="1" customHeight="1" ht="14.699999999999998">
      <c r="A4" s="2366"/>
      <c r="B4" s="2371"/>
      <c r="C4" s="2366"/>
      <c r="D4" s="2706"/>
      <c r="E4" s="1720"/>
      <c r="F4" s="1720"/>
      <c r="G4" s="1720"/>
      <c r="H4" s="1720"/>
      <c r="I4" s="1720"/>
      <c r="J4" s="1720"/>
      <c r="K4" s="1720"/>
      <c r="L4" s="1377"/>
      <c r="M4" s="1458"/>
      <c r="N4" s="1711"/>
      <c r="O4" s="1711"/>
      <c r="P4" s="1711"/>
      <c r="Q4" s="1437"/>
      <c r="R4" s="1711"/>
      <c r="S4" s="1436"/>
      <c r="T4" s="1436"/>
      <c r="U4" s="1436"/>
      <c r="V4" s="1436"/>
      <c r="IW4" s="1718">
        <v>14</v>
      </c>
    </row>
    <row s="65153" customFormat="1" customHeight="1" ht="27.299999999999997">
      <c r="A5" s="2366"/>
      <c r="B5" s="2371"/>
      <c r="C5" s="2366"/>
      <c r="D5" s="2706"/>
      <c r="E5" s="331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3311"/>
      <c r="G5" s="3311"/>
      <c r="H5" s="3311"/>
      <c r="I5" s="3311"/>
      <c r="J5" s="3311"/>
      <c r="K5" s="3311"/>
      <c r="L5" s="1799"/>
      <c r="M5" s="1458"/>
      <c r="N5" s="1711"/>
      <c r="O5" s="1711"/>
      <c r="P5" s="1711"/>
      <c r="Q5" s="1437"/>
      <c r="R5" s="1711"/>
      <c r="S5" s="1436"/>
      <c r="T5" s="1436"/>
      <c r="U5" s="1436"/>
      <c r="V5" s="1436"/>
      <c r="IW5" s="1718">
        <v>26</v>
      </c>
    </row>
    <row s="65153" customFormat="1" customHeight="1" ht="14.699999999999998">
      <c r="A6" s="2366"/>
      <c r="B6" s="2371"/>
      <c r="C6" s="2366"/>
      <c r="D6" s="2706"/>
      <c r="E6" s="1720"/>
      <c r="F6" s="1378"/>
      <c r="G6" s="1378"/>
      <c r="H6" s="1378"/>
      <c r="I6" s="1378"/>
      <c r="J6" s="1378"/>
      <c r="K6" s="1378"/>
      <c r="L6" s="1379"/>
      <c r="M6" s="1711"/>
      <c r="N6" s="1711"/>
      <c r="O6" s="1711"/>
      <c r="P6" s="1711"/>
      <c r="Q6" s="1437"/>
      <c r="R6" s="1711"/>
      <c r="S6" s="1436"/>
      <c r="T6" s="1436"/>
      <c r="U6" s="1436"/>
      <c r="V6" s="1436"/>
      <c r="IW6" s="1718">
        <v>14</v>
      </c>
    </row>
    <row s="65153" customFormat="1" customHeight="1" ht="14.699999999999998">
      <c r="A7" s="2366"/>
      <c r="B7" s="2371"/>
      <c r="C7" s="2366"/>
      <c r="D7" s="2706"/>
      <c r="E7" s="3312" t="s">
        <v>318</v>
      </c>
      <c r="F7" s="3313"/>
      <c r="G7" s="3313"/>
      <c r="H7" s="3313"/>
      <c r="I7" s="3313"/>
      <c r="J7" s="3313"/>
      <c r="K7" s="3313"/>
      <c r="L7" s="3685" t="s">
        <v>319</v>
      </c>
      <c r="M7" s="1711"/>
      <c r="N7" s="1711"/>
      <c r="O7" s="1711"/>
      <c r="P7" s="1711"/>
      <c r="Q7" s="1437"/>
      <c r="R7" s="1711"/>
      <c r="S7" s="1436"/>
      <c r="T7" s="1436"/>
      <c r="U7" s="1436"/>
      <c r="V7" s="1436"/>
      <c r="IW7" s="1718">
        <v>14</v>
      </c>
    </row>
    <row s="65153" customFormat="1" customHeight="1" ht="67.2">
      <c r="A8" s="2366"/>
      <c r="B8" s="2371"/>
      <c r="C8" s="2366"/>
      <c r="D8" s="2706"/>
      <c r="E8" s="3689" t="s">
        <v>88</v>
      </c>
      <c r="F8" s="368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369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3692"/>
      <c r="I8" s="3693"/>
      <c r="J8" s="368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368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3687"/>
      <c r="M8" s="1711"/>
      <c r="N8" s="1711"/>
      <c r="O8" s="1711"/>
      <c r="P8" s="1711"/>
      <c r="Q8" s="1437"/>
      <c r="R8" s="1711"/>
      <c r="S8" s="1436"/>
      <c r="T8" s="1436"/>
      <c r="U8" s="1436"/>
      <c r="V8" s="1436"/>
      <c r="IW8" s="1718">
        <v>64</v>
      </c>
    </row>
    <row s="65153" customFormat="1" customHeight="1" ht="29.25">
      <c r="A9" s="2366"/>
      <c r="B9" s="2371"/>
      <c r="C9" s="2366"/>
      <c r="D9" s="2706"/>
      <c r="E9" s="3690"/>
      <c r="F9" s="3690"/>
      <c r="G9" s="2748" t="s">
        <v>2057</v>
      </c>
      <c r="H9" s="2748" t="s">
        <v>2058</v>
      </c>
      <c r="I9" s="2748" t="s">
        <v>2059</v>
      </c>
      <c r="J9" s="3690"/>
      <c r="K9" s="3690"/>
      <c r="L9" s="3686"/>
      <c r="M9" s="1711"/>
      <c r="N9" s="1711"/>
      <c r="O9" s="1711"/>
      <c r="P9" s="1711"/>
      <c r="Q9" s="1437"/>
      <c r="R9" s="1711"/>
      <c r="S9" s="1436"/>
      <c r="T9" s="1436"/>
      <c r="U9" s="1436"/>
      <c r="V9" s="1436"/>
      <c r="IW9" s="1718">
        <v>28</v>
      </c>
    </row>
    <row s="67502" customFormat="1" customHeight="1" ht="23.25">
      <c r="A10" s="3310"/>
      <c r="B10" s="2371">
        <v>1</v>
      </c>
      <c r="C10" s="2371"/>
      <c r="D10" s="2011"/>
      <c r="E10" s="2009">
        <v>1</v>
      </c>
      <c r="F10" s="2750" t="str">
        <f>IF(ROIV_INFO_NAME="","",ROIV_INFO_NAME)</f>
        <v>ПАО "ТГК-2"</v>
      </c>
      <c r="G10" s="2943" t="s">
        <v>22</v>
      </c>
      <c r="H10" s="3127"/>
      <c r="I10" s="2745"/>
      <c r="J10" s="2029"/>
      <c r="K10" s="2029"/>
      <c r="L10" s="364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2746">
        <f>MERGEVALUE(F10)</f>
      </c>
      <c r="N10" s="1722"/>
      <c r="O10" s="1722"/>
      <c r="P10" s="1711" t="str">
        <f t="array" ref="P10:P10">IF(ISERROR(MATCH(MID(Q10,1,250),MID(note_ter,1,250),0)),"n","y")</f>
        <v>n</v>
      </c>
      <c r="Q10" s="1722"/>
      <c r="R10" s="171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2371"/>
      <c r="T10" s="2371"/>
      <c r="U10" s="1631"/>
      <c r="V10" s="2371"/>
      <c r="W10" s="2371"/>
      <c r="X10" s="2371"/>
      <c r="Y10" s="1633"/>
      <c r="Z10" s="1633"/>
      <c r="AA10" s="1630"/>
      <c r="AB10" s="1630"/>
      <c r="AC10" s="1630"/>
      <c r="AD10" s="1630"/>
      <c r="AE10" s="1630"/>
      <c r="AF10" s="1630"/>
      <c r="AG10" s="1630"/>
      <c r="AH10" s="1630"/>
      <c r="AI10" s="1630"/>
      <c r="AJ10" s="1630"/>
      <c r="AK10" s="1630"/>
      <c r="AL10" s="1630"/>
      <c r="AM10" s="1630"/>
      <c r="AN10" s="1630"/>
      <c r="AO10" s="1630"/>
      <c r="AP10" s="1630"/>
      <c r="AQ10" s="1630"/>
      <c r="AR10" s="1630"/>
      <c r="AS10" s="1630"/>
      <c r="AT10" s="1630"/>
      <c r="AU10" s="1630"/>
      <c r="AV10" s="1630"/>
      <c r="AW10" s="1630"/>
      <c r="AX10" s="1630"/>
      <c r="AY10" s="1630"/>
      <c r="AZ10" s="1630"/>
      <c r="BA10" s="1630"/>
      <c r="BB10" s="1630"/>
      <c r="BC10" s="1630"/>
      <c r="BD10" s="1630"/>
      <c r="BE10" s="1630"/>
      <c r="BF10" s="1630"/>
      <c r="BG10" s="1630"/>
      <c r="BH10" s="1630"/>
      <c r="BI10" s="1630"/>
      <c r="BJ10" s="1630"/>
      <c r="BK10" s="1630"/>
      <c r="BL10" s="1630"/>
      <c r="BM10" s="1630"/>
      <c r="BN10" s="1630"/>
      <c r="BO10" s="1630"/>
      <c r="BP10" s="1630"/>
      <c r="BQ10" s="1630"/>
      <c r="BR10" s="1630"/>
      <c r="BS10" s="1630"/>
      <c r="BT10" s="1630"/>
      <c r="BU10" s="1630"/>
      <c r="BV10" s="1633"/>
      <c r="BW10" s="1633"/>
      <c r="BX10" s="1633"/>
      <c r="BY10" s="1633"/>
      <c r="BZ10" s="1633"/>
      <c r="CA10" s="1633"/>
      <c r="CB10" s="1633"/>
      <c r="CC10" s="1633"/>
      <c r="CD10" s="1633"/>
      <c r="CE10" s="1633"/>
      <c r="IW10" s="1634">
        <v>22</v>
      </c>
    </row>
    <row s="67502" customFormat="1" customHeight="1" ht="15.75">
      <c r="A11" s="3310"/>
      <c r="B11" s="2371"/>
      <c r="C11" s="1623"/>
      <c r="D11" s="2012"/>
      <c r="E11" s="1632"/>
      <c r="F11" s="1627" t="s">
        <v>2060</v>
      </c>
      <c r="G11" s="1398"/>
      <c r="H11" s="1398"/>
      <c r="I11" s="1398"/>
      <c r="J11" s="1398"/>
      <c r="K11" s="1635"/>
      <c r="L11" s="3688"/>
      <c r="M11" s="2747"/>
      <c r="N11" s="1722"/>
      <c r="O11" s="1722"/>
      <c r="P11" s="1722"/>
      <c r="Q11" s="1711"/>
      <c r="R11" s="1722"/>
      <c r="S11" s="2371"/>
      <c r="T11" s="2371"/>
      <c r="U11" s="1631"/>
      <c r="V11" s="2371"/>
      <c r="W11" s="2371"/>
      <c r="X11" s="2371"/>
      <c r="Y11" s="1633"/>
      <c r="Z11" s="1633"/>
      <c r="AA11" s="1630"/>
      <c r="AB11" s="1630"/>
      <c r="AC11" s="1630"/>
      <c r="AD11" s="1630"/>
      <c r="AE11" s="1630"/>
      <c r="AF11" s="1630"/>
      <c r="AG11" s="1630"/>
      <c r="AH11" s="1630"/>
      <c r="AI11" s="1630"/>
      <c r="AJ11" s="1630"/>
      <c r="AK11" s="1630"/>
      <c r="AL11" s="1630"/>
      <c r="AM11" s="1630"/>
      <c r="AN11" s="1630"/>
      <c r="AO11" s="1630"/>
      <c r="AP11" s="1630"/>
      <c r="AQ11" s="1630"/>
      <c r="AR11" s="1630"/>
      <c r="AS11" s="1630"/>
      <c r="AT11" s="1630"/>
      <c r="AU11" s="1630"/>
      <c r="AV11" s="1630"/>
      <c r="AW11" s="1630"/>
      <c r="AX11" s="1630"/>
      <c r="AY11" s="1630"/>
      <c r="AZ11" s="1630"/>
      <c r="BA11" s="1630"/>
      <c r="BB11" s="1630"/>
      <c r="BC11" s="1630"/>
      <c r="BD11" s="1630"/>
      <c r="BE11" s="1630"/>
      <c r="BF11" s="1630"/>
      <c r="BG11" s="1630"/>
      <c r="BH11" s="1630"/>
      <c r="BI11" s="1630"/>
      <c r="BJ11" s="1630"/>
      <c r="BK11" s="1630"/>
      <c r="BL11" s="1630"/>
      <c r="BM11" s="1630"/>
      <c r="BN11" s="1630"/>
      <c r="BO11" s="1630"/>
      <c r="BP11" s="1630"/>
      <c r="BQ11" s="1630"/>
      <c r="BR11" s="1630"/>
      <c r="BS11" s="1630"/>
      <c r="BT11" s="1630"/>
      <c r="BU11" s="1630"/>
      <c r="BV11" s="1633"/>
      <c r="BW11" s="1633"/>
      <c r="BX11" s="1633"/>
      <c r="BY11" s="1633"/>
      <c r="BZ11" s="1633"/>
      <c r="CA11" s="1633"/>
      <c r="CB11" s="1633"/>
      <c r="CC11" s="1633"/>
      <c r="CD11" s="1633"/>
      <c r="CE11" s="1633"/>
      <c r="IW11" s="1634">
        <v>15</v>
      </c>
    </row>
    <row s="65153" customFormat="1" customHeight="1" ht="22.049999999999997">
      <c r="A12" s="2366"/>
      <c r="B12" s="2371"/>
      <c r="C12" s="2366"/>
      <c r="D12" s="1662"/>
      <c r="E12" s="1391"/>
      <c r="F12" s="1391"/>
      <c r="G12" s="1391"/>
      <c r="H12" s="1391"/>
      <c r="I12" s="1391"/>
      <c r="J12" s="1391"/>
      <c r="K12" s="1391"/>
      <c r="L12" s="1391"/>
      <c r="M12" s="1711"/>
      <c r="N12" s="1711"/>
      <c r="O12" s="1711"/>
      <c r="P12" s="1711"/>
      <c r="Q12" s="1437"/>
      <c r="R12" s="1711"/>
      <c r="S12" s="1436"/>
      <c r="T12" s="1436"/>
      <c r="U12" s="1436"/>
      <c r="V12" s="1436"/>
      <c r="IW12" s="1718">
        <v>21</v>
      </c>
    </row>
    <row s="65153" customFormat="1" customHeight="1" ht="14.699999999999998">
      <c r="A13" s="2366"/>
      <c r="B13" s="2371"/>
      <c r="C13" s="2366"/>
      <c r="D13" s="1662"/>
      <c r="E13" s="2366"/>
      <c r="F13" s="2366"/>
      <c r="G13" s="2366"/>
      <c r="H13" s="2366"/>
      <c r="I13" s="2366"/>
      <c r="J13" s="2366"/>
      <c r="K13" s="2366"/>
      <c r="L13" s="2366"/>
      <c r="M13" s="1711"/>
      <c r="N13" s="1711"/>
      <c r="O13" s="1711"/>
      <c r="P13" s="1711"/>
      <c r="Q13" s="1437"/>
      <c r="R13" s="1711"/>
      <c r="S13" s="1436"/>
      <c r="T13" s="1436"/>
      <c r="U13" s="1436"/>
      <c r="V13" s="1436"/>
      <c r="IW13" s="1718">
        <v>14</v>
      </c>
    </row>
    <row s="65153" customFormat="1" customHeight="1" ht="1.05">
      <c r="A14" s="2366"/>
      <c r="B14" s="2371"/>
      <c r="C14" s="2366"/>
      <c r="D14" s="1662"/>
      <c r="E14" s="2366"/>
      <c r="F14" s="2366"/>
      <c r="G14" s="2366"/>
      <c r="H14" s="2366"/>
      <c r="I14" s="2366"/>
      <c r="J14" s="2366"/>
      <c r="K14" s="2366"/>
      <c r="L14" s="2366"/>
      <c r="M14" s="1711"/>
      <c r="N14" s="1711"/>
      <c r="O14" s="1711"/>
      <c r="P14" s="1711"/>
      <c r="Q14" s="1437"/>
      <c r="R14" s="1711"/>
      <c r="S14" s="1436"/>
      <c r="T14" s="1436"/>
      <c r="U14" s="1436"/>
      <c r="V14" s="1436"/>
      <c r="IW14" s="1718">
        <v>1</v>
      </c>
    </row>
    <row customHeight="1" ht="22.5" hidden="1">
      <c r="A15" s="2366" t="s">
        <v>82</v>
      </c>
      <c r="B15" s="2371">
        <v>0</v>
      </c>
      <c r="C15" s="2366">
        <v>0</v>
      </c>
      <c r="D15" s="1662">
        <v>3</v>
      </c>
      <c r="E15" s="2366">
        <v>6</v>
      </c>
      <c r="F15" s="2366">
        <v>27</v>
      </c>
      <c r="G15" s="2366">
        <v>16</v>
      </c>
      <c r="H15" s="2366">
        <v>12</v>
      </c>
      <c r="I15" s="2366">
        <v>32</v>
      </c>
      <c r="J15" s="2366">
        <v>41</v>
      </c>
      <c r="K15" s="2366">
        <v>41</v>
      </c>
      <c r="L15" s="2366">
        <v>89</v>
      </c>
      <c r="M15" s="1711">
        <v>3</v>
      </c>
      <c r="N15" s="1711">
        <v>8</v>
      </c>
      <c r="O15" s="1711">
        <v>8</v>
      </c>
      <c r="P15" s="1711">
        <v>8</v>
      </c>
      <c r="Q15" s="1437">
        <v>25</v>
      </c>
      <c r="R15" s="1711">
        <v>14</v>
      </c>
      <c r="S15" s="1436">
        <v>8</v>
      </c>
      <c r="T15" s="1436">
        <v>8</v>
      </c>
      <c r="U15" s="1436">
        <v>8</v>
      </c>
      <c r="V15" s="1436">
        <v>8</v>
      </c>
      <c r="W15" s="2366">
        <v>8</v>
      </c>
      <c r="X15" s="2366">
        <v>8</v>
      </c>
      <c r="Y15" s="2366">
        <v>8</v>
      </c>
      <c r="Z15" s="2366">
        <v>8</v>
      </c>
      <c r="AA15" s="2366">
        <v>8</v>
      </c>
      <c r="AB15" s="2366">
        <v>8</v>
      </c>
      <c r="AC15" s="2366">
        <v>8</v>
      </c>
      <c r="AD15" s="2366">
        <v>8</v>
      </c>
      <c r="AE15" s="2366">
        <v>8</v>
      </c>
      <c r="AF15" s="2366">
        <v>8</v>
      </c>
      <c r="AG15" s="2366">
        <v>8</v>
      </c>
      <c r="AH15" s="2366">
        <v>8</v>
      </c>
      <c r="AI15" s="2366">
        <v>8</v>
      </c>
      <c r="AJ15" s="2366">
        <v>8</v>
      </c>
      <c r="AK15" s="2366">
        <v>8</v>
      </c>
      <c r="AL15" s="2366">
        <v>8</v>
      </c>
      <c r="AM15" s="2366">
        <v>8</v>
      </c>
      <c r="AN15" s="2366">
        <v>8</v>
      </c>
      <c r="AO15" s="2366">
        <v>8</v>
      </c>
      <c r="AP15" s="2366">
        <v>8</v>
      </c>
      <c r="AQ15" s="2366">
        <v>8</v>
      </c>
      <c r="AR15" s="2366">
        <v>8</v>
      </c>
      <c r="AS15" s="2366">
        <v>8</v>
      </c>
      <c r="AT15" s="2366">
        <v>8</v>
      </c>
      <c r="AU15" s="2366">
        <v>8</v>
      </c>
      <c r="AV15" s="2366">
        <v>8</v>
      </c>
      <c r="AW15" s="2366">
        <v>8</v>
      </c>
      <c r="AX15" s="2366">
        <v>8</v>
      </c>
      <c r="AY15" s="2366">
        <v>8</v>
      </c>
      <c r="AZ15" s="2366">
        <v>8</v>
      </c>
      <c r="BA15" s="2366">
        <v>8</v>
      </c>
      <c r="BB15" s="2366">
        <v>8</v>
      </c>
      <c r="BC15" s="2366">
        <v>8</v>
      </c>
      <c r="BD15" s="2366">
        <v>8</v>
      </c>
      <c r="BE15" s="2366">
        <v>8</v>
      </c>
      <c r="BF15" s="2366">
        <v>8</v>
      </c>
      <c r="BG15" s="2366">
        <v>8</v>
      </c>
      <c r="BH15" s="2366">
        <v>8</v>
      </c>
      <c r="BI15" s="2366">
        <v>8</v>
      </c>
      <c r="BJ15" s="2366">
        <v>8</v>
      </c>
      <c r="BK15" s="2366">
        <v>8</v>
      </c>
      <c r="BL15" s="2366">
        <v>8</v>
      </c>
      <c r="BM15" s="2366">
        <v>8</v>
      </c>
      <c r="BN15" s="2366">
        <v>8</v>
      </c>
      <c r="BO15" s="2366">
        <v>8</v>
      </c>
      <c r="BP15" s="2366">
        <v>8</v>
      </c>
      <c r="BQ15" s="2366">
        <v>8</v>
      </c>
      <c r="BR15" s="2366">
        <v>8</v>
      </c>
      <c r="BS15" s="2366">
        <v>8</v>
      </c>
      <c r="BT15" s="2366">
        <v>8</v>
      </c>
      <c r="BU15" s="2366">
        <v>8</v>
      </c>
      <c r="BV15" s="2366">
        <v>8</v>
      </c>
      <c r="BW15" s="2366">
        <v>8</v>
      </c>
      <c r="BX15" s="2366">
        <v>8</v>
      </c>
      <c r="BY15" s="2366">
        <v>8</v>
      </c>
      <c r="BZ15" s="2366">
        <v>8</v>
      </c>
      <c r="CA15" s="2366">
        <v>8</v>
      </c>
      <c r="CB15" s="2366">
        <v>8</v>
      </c>
      <c r="CC15" s="2366">
        <v>8</v>
      </c>
      <c r="CD15" s="2366">
        <v>8</v>
      </c>
      <c r="CE15" s="2366">
        <v>8</v>
      </c>
      <c r="CF15" s="2366">
        <v>8</v>
      </c>
      <c r="CG15" s="2366">
        <v>8</v>
      </c>
      <c r="CH15" s="2366">
        <v>8</v>
      </c>
      <c r="CI15" s="2366">
        <v>8</v>
      </c>
      <c r="CJ15" s="2366">
        <v>8</v>
      </c>
      <c r="CK15" s="2366">
        <v>8</v>
      </c>
      <c r="CL15" s="2366">
        <v>8</v>
      </c>
      <c r="CM15" s="2366">
        <v>8</v>
      </c>
      <c r="CN15" s="2366">
        <v>8</v>
      </c>
      <c r="CO15" s="2366">
        <v>8</v>
      </c>
      <c r="CP15" s="2366">
        <v>8</v>
      </c>
      <c r="CQ15" s="2366">
        <v>8</v>
      </c>
      <c r="CR15" s="2366">
        <v>8</v>
      </c>
      <c r="CS15" s="2366">
        <v>8</v>
      </c>
      <c r="CT15" s="2366">
        <v>8</v>
      </c>
      <c r="CU15" s="2366">
        <v>8</v>
      </c>
      <c r="CV15" s="2366">
        <v>8</v>
      </c>
      <c r="CW15" s="2366">
        <v>8</v>
      </c>
      <c r="CX15" s="2366">
        <v>8</v>
      </c>
      <c r="CY15" s="2366">
        <v>8</v>
      </c>
      <c r="CZ15" s="2366">
        <v>8</v>
      </c>
      <c r="DA15" s="2366">
        <v>8</v>
      </c>
      <c r="DB15" s="2366">
        <v>8</v>
      </c>
      <c r="DC15" s="2366">
        <v>8</v>
      </c>
      <c r="DD15" s="2366">
        <v>8</v>
      </c>
      <c r="DE15" s="2366">
        <v>8</v>
      </c>
      <c r="DF15" s="2366">
        <v>8</v>
      </c>
      <c r="DG15" s="2366">
        <v>8</v>
      </c>
      <c r="DH15" s="2366">
        <v>8</v>
      </c>
      <c r="DI15" s="2366">
        <v>8</v>
      </c>
      <c r="DJ15" s="2366">
        <v>8</v>
      </c>
      <c r="DK15" s="2366">
        <v>8</v>
      </c>
      <c r="DL15" s="2366">
        <v>8</v>
      </c>
      <c r="DM15" s="2366">
        <v>8</v>
      </c>
      <c r="DN15" s="2366">
        <v>8</v>
      </c>
      <c r="DO15" s="2366">
        <v>8</v>
      </c>
      <c r="DP15" s="2366">
        <v>8</v>
      </c>
      <c r="DQ15" s="2366">
        <v>8</v>
      </c>
      <c r="DR15" s="2366">
        <v>8</v>
      </c>
      <c r="DS15" s="2366">
        <v>8</v>
      </c>
      <c r="DT15" s="2366">
        <v>8</v>
      </c>
      <c r="DU15" s="2366">
        <v>8</v>
      </c>
      <c r="DV15" s="2366">
        <v>8</v>
      </c>
      <c r="DW15" s="2366">
        <v>8</v>
      </c>
      <c r="DX15" s="2366">
        <v>8</v>
      </c>
      <c r="DY15" s="2366">
        <v>8</v>
      </c>
      <c r="DZ15" s="2366">
        <v>8</v>
      </c>
      <c r="EA15" s="2366">
        <v>8</v>
      </c>
      <c r="EB15" s="2366">
        <v>8</v>
      </c>
      <c r="EC15" s="2366">
        <v>8</v>
      </c>
      <c r="ED15" s="2366">
        <v>8</v>
      </c>
      <c r="EE15" s="2366">
        <v>8</v>
      </c>
      <c r="EF15" s="2366">
        <v>8</v>
      </c>
      <c r="EG15" s="2366">
        <v>8</v>
      </c>
      <c r="EH15" s="2366">
        <v>8</v>
      </c>
      <c r="EI15" s="2366">
        <v>8</v>
      </c>
      <c r="EJ15" s="2366">
        <v>8</v>
      </c>
      <c r="EK15" s="2366">
        <v>8</v>
      </c>
      <c r="EL15" s="2366">
        <v>8</v>
      </c>
      <c r="EM15" s="2366">
        <v>8</v>
      </c>
      <c r="EN15" s="2366">
        <v>8</v>
      </c>
      <c r="EO15" s="2366">
        <v>8</v>
      </c>
      <c r="EP15" s="2366">
        <v>8</v>
      </c>
      <c r="EQ15" s="2366">
        <v>8</v>
      </c>
      <c r="ER15" s="2366">
        <v>8</v>
      </c>
      <c r="ES15" s="2366">
        <v>8</v>
      </c>
      <c r="ET15" s="2366">
        <v>8</v>
      </c>
      <c r="EU15" s="2366">
        <v>8</v>
      </c>
      <c r="EV15" s="2366">
        <v>8</v>
      </c>
      <c r="EW15" s="2366">
        <v>8</v>
      </c>
      <c r="EX15" s="2366">
        <v>8</v>
      </c>
      <c r="EY15" s="2366">
        <v>8</v>
      </c>
      <c r="EZ15" s="2366">
        <v>8</v>
      </c>
      <c r="FA15" s="2366">
        <v>8</v>
      </c>
      <c r="FB15" s="2366">
        <v>8</v>
      </c>
      <c r="FC15" s="2366">
        <v>8</v>
      </c>
      <c r="FD15" s="2366">
        <v>8</v>
      </c>
      <c r="FE15" s="2366">
        <v>8</v>
      </c>
      <c r="FF15" s="2366">
        <v>8</v>
      </c>
      <c r="FG15" s="2366">
        <v>8</v>
      </c>
      <c r="FH15" s="2366">
        <v>8</v>
      </c>
      <c r="FI15" s="2366">
        <v>8</v>
      </c>
      <c r="FJ15" s="2366">
        <v>8</v>
      </c>
      <c r="FK15" s="2366">
        <v>8</v>
      </c>
      <c r="FL15" s="2366">
        <v>8</v>
      </c>
      <c r="FM15" s="2366">
        <v>8</v>
      </c>
      <c r="FN15" s="2366">
        <v>8</v>
      </c>
      <c r="FO15" s="2366">
        <v>8</v>
      </c>
      <c r="FP15" s="2366">
        <v>8</v>
      </c>
      <c r="FQ15" s="2366">
        <v>8</v>
      </c>
      <c r="FR15" s="2366">
        <v>8</v>
      </c>
      <c r="FS15" s="2366">
        <v>8</v>
      </c>
      <c r="FT15" s="2366">
        <v>8</v>
      </c>
      <c r="FU15" s="2366">
        <v>8</v>
      </c>
      <c r="FV15" s="2366">
        <v>8</v>
      </c>
      <c r="FW15" s="2366">
        <v>8</v>
      </c>
      <c r="FX15" s="2366">
        <v>8</v>
      </c>
      <c r="FY15" s="2366">
        <v>8</v>
      </c>
      <c r="FZ15" s="2366">
        <v>8</v>
      </c>
      <c r="GA15" s="2366">
        <v>8</v>
      </c>
      <c r="GB15" s="2366">
        <v>8</v>
      </c>
      <c r="GC15" s="2366">
        <v>8</v>
      </c>
      <c r="GD15" s="2366">
        <v>8</v>
      </c>
      <c r="GE15" s="2366">
        <v>8</v>
      </c>
      <c r="GF15" s="2366">
        <v>8</v>
      </c>
      <c r="GG15" s="2366">
        <v>8</v>
      </c>
      <c r="GH15" s="2366">
        <v>8</v>
      </c>
      <c r="GI15" s="2366">
        <v>8</v>
      </c>
      <c r="GJ15" s="2366">
        <v>8</v>
      </c>
      <c r="GK15" s="2366">
        <v>8</v>
      </c>
      <c r="GL15" s="2366">
        <v>8</v>
      </c>
      <c r="GM15" s="2366">
        <v>8</v>
      </c>
      <c r="GN15" s="2366">
        <v>8</v>
      </c>
      <c r="GO15" s="2366">
        <v>8</v>
      </c>
      <c r="GP15" s="2366">
        <v>8</v>
      </c>
      <c r="GQ15" s="2366">
        <v>8</v>
      </c>
      <c r="GR15" s="2366">
        <v>8</v>
      </c>
      <c r="GS15" s="2366">
        <v>8</v>
      </c>
      <c r="GT15" s="2366">
        <v>8</v>
      </c>
      <c r="GU15" s="2366">
        <v>8</v>
      </c>
      <c r="GV15" s="2366">
        <v>8</v>
      </c>
      <c r="GW15" s="2366">
        <v>8</v>
      </c>
      <c r="GX15" s="2366">
        <v>8</v>
      </c>
      <c r="GY15" s="2366">
        <v>8</v>
      </c>
      <c r="GZ15" s="2366">
        <v>8</v>
      </c>
      <c r="HA15" s="2366">
        <v>8</v>
      </c>
      <c r="HB15" s="2366">
        <v>8</v>
      </c>
      <c r="HC15" s="2366">
        <v>8</v>
      </c>
      <c r="HD15" s="2366">
        <v>8</v>
      </c>
      <c r="HE15" s="2366">
        <v>8</v>
      </c>
      <c r="HF15" s="2366">
        <v>8</v>
      </c>
      <c r="HG15" s="2366">
        <v>8</v>
      </c>
      <c r="HH15" s="2366">
        <v>8</v>
      </c>
      <c r="HI15" s="2366">
        <v>8</v>
      </c>
      <c r="HJ15" s="2366">
        <v>8</v>
      </c>
      <c r="HK15" s="2366">
        <v>8</v>
      </c>
      <c r="HL15" s="2366">
        <v>8</v>
      </c>
      <c r="HM15" s="2366">
        <v>8</v>
      </c>
      <c r="HN15" s="2366">
        <v>8</v>
      </c>
      <c r="HO15" s="2366">
        <v>8</v>
      </c>
      <c r="HP15" s="2366">
        <v>8</v>
      </c>
      <c r="HQ15" s="2366">
        <v>8</v>
      </c>
      <c r="HR15" s="2366">
        <v>8</v>
      </c>
      <c r="HS15" s="2366">
        <v>8</v>
      </c>
      <c r="HT15" s="2366">
        <v>8</v>
      </c>
      <c r="HU15" s="2366">
        <v>8</v>
      </c>
      <c r="HV15" s="2366">
        <v>8</v>
      </c>
      <c r="HW15" s="2366">
        <v>8</v>
      </c>
      <c r="HX15" s="2366">
        <v>8</v>
      </c>
      <c r="HY15" s="2366">
        <v>8</v>
      </c>
      <c r="HZ15" s="2366">
        <v>8</v>
      </c>
      <c r="IA15" s="2366">
        <v>8</v>
      </c>
      <c r="IB15" s="2366">
        <v>8</v>
      </c>
      <c r="IC15" s="2366">
        <v>8</v>
      </c>
      <c r="ID15" s="2366">
        <v>8</v>
      </c>
      <c r="IE15" s="2366">
        <v>8</v>
      </c>
      <c r="IF15" s="2366">
        <v>8</v>
      </c>
      <c r="IG15" s="2366">
        <v>8</v>
      </c>
      <c r="IH15" s="2366">
        <v>8</v>
      </c>
      <c r="II15" s="2366">
        <v>8</v>
      </c>
      <c r="IJ15" s="2366">
        <v>8</v>
      </c>
      <c r="IK15" s="2366">
        <v>8</v>
      </c>
      <c r="IL15" s="2366">
        <v>8</v>
      </c>
      <c r="IM15" s="2366">
        <v>8</v>
      </c>
      <c r="IN15" s="2366">
        <v>8</v>
      </c>
      <c r="IO15" s="2366">
        <v>8</v>
      </c>
      <c r="IP15" s="2366">
        <v>8</v>
      </c>
      <c r="IQ15" s="2366">
        <v>8</v>
      </c>
      <c r="IR15" s="2366">
        <v>8</v>
      </c>
      <c r="IS15" s="2366">
        <v>8</v>
      </c>
      <c r="IT15" s="2366">
        <v>8</v>
      </c>
      <c r="IU15" s="2366">
        <v>8</v>
      </c>
      <c r="IV15" s="2366">
        <v>8</v>
      </c>
      <c r="IW15" s="236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01A58-239C-2777-D033-1AA4C14D020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66903" width="9.140625" hidden="1"/>
    <col min="2" max="2" style="66852" width="9.140625" hidden="1"/>
    <col min="3" max="3" style="66903" width="3.7109375" hidden="1" customWidth="1"/>
    <col min="4" max="4" style="67282" width="3.00390625" customWidth="1"/>
    <col min="5" max="5" style="66903" width="6.00390625" customWidth="1"/>
    <col min="6" max="6" style="66903" width="27.00390625" customWidth="1"/>
    <col min="7" max="7" style="66903" width="16.00390625" customWidth="1"/>
    <col min="8" max="8" style="66903" width="12.00390625" customWidth="1"/>
    <col min="9" max="9" style="66903" width="32.00390625" customWidth="1"/>
    <col min="10" max="11" style="66903" width="41.00390625" customWidth="1"/>
    <col min="12" max="12" style="66903" width="89.00390625" customWidth="1"/>
    <col min="13" max="13" style="66855" width="3.00390625" customWidth="1"/>
    <col min="14" max="16" style="66855" width="8.00390625" customWidth="1"/>
    <col min="17" max="17" style="66855" width="25.00390625" customWidth="1"/>
    <col min="18" max="18" style="66855" width="14.00390625" customWidth="1"/>
    <col min="19" max="22" style="64692" width="8.00390625" customWidth="1"/>
    <col min="23" max="256" style="66903" width="8.00390625" customWidth="1"/>
    <col min="257" max="257" style="66903" width="9.140625" hidden="1"/>
  </cols>
  <sheetData>
    <row customHeight="1" ht="22.5" hidden="1">
      <c r="IW1" s="2842" t="s">
        <v>14</v>
      </c>
    </row>
    <row s="67502" customFormat="1" customHeight="1" ht="22.5" hidden="1">
      <c r="A2" s="2042"/>
      <c r="B2" s="2577">
        <v>1</v>
      </c>
      <c r="C2" s="2577"/>
      <c r="D2" s="3139" t="s">
        <v>103</v>
      </c>
      <c r="E2" s="3115"/>
      <c r="F2" s="3117" t="str">
        <f>IF(ROIV_INFO_NAME="","",ROIV_INFO_NAME)</f>
        <v>ПАО "ТГК-2"</v>
      </c>
      <c r="G2" s="2943" t="s">
        <v>22</v>
      </c>
      <c r="H2" s="3127"/>
      <c r="I2" s="2749"/>
      <c r="J2" s="2029"/>
      <c r="K2" s="2029"/>
      <c r="L2" s="1439"/>
      <c r="M2" s="2746">
        <f>MERGEVALUE(F2)</f>
      </c>
      <c r="N2" s="2847"/>
      <c r="O2" s="2847"/>
      <c r="P2" s="2835" t="str">
        <f t="array" ref="P2:P2">IF(ISERROR(MATCH(MID(Q2,1,250),MID(note_ter,1,250),0)),"n","y")</f>
        <v>n</v>
      </c>
      <c r="Q2" s="2847"/>
      <c r="R2" s="2835" t="str">
        <f>G2&amp;"("&amp;L2&amp;")"</f>
        <v>()</v>
      </c>
      <c r="S2" s="2577"/>
      <c r="T2" s="2577"/>
      <c r="U2" s="1631"/>
      <c r="V2" s="2577"/>
      <c r="W2" s="2577"/>
      <c r="X2" s="2577"/>
      <c r="Y2" s="2044"/>
      <c r="Z2" s="2044"/>
      <c r="AA2" s="1838"/>
      <c r="AB2" s="1838"/>
      <c r="AC2" s="1838"/>
      <c r="AD2" s="1838"/>
      <c r="AE2" s="1838"/>
      <c r="AF2" s="1838"/>
      <c r="AG2" s="1838"/>
      <c r="AH2" s="1838"/>
      <c r="AI2" s="1838"/>
      <c r="AJ2" s="1838"/>
      <c r="AK2" s="1838"/>
      <c r="AL2" s="1838"/>
      <c r="AM2" s="1838"/>
      <c r="AN2" s="1838"/>
      <c r="AO2" s="1838"/>
      <c r="AP2" s="1838"/>
      <c r="AQ2" s="1838"/>
      <c r="AR2" s="1838"/>
      <c r="AS2" s="1838"/>
      <c r="AT2" s="1838"/>
      <c r="AU2" s="1838"/>
      <c r="AV2" s="1838"/>
      <c r="AW2" s="1838"/>
      <c r="AX2" s="1838"/>
      <c r="AY2" s="1838"/>
      <c r="AZ2" s="1838"/>
      <c r="BA2" s="1838"/>
      <c r="BB2" s="1838"/>
      <c r="BC2" s="1838"/>
      <c r="BD2" s="1838"/>
      <c r="BE2" s="1838"/>
      <c r="BF2" s="1838"/>
      <c r="BG2" s="1838"/>
      <c r="BH2" s="1838"/>
      <c r="BI2" s="1838"/>
      <c r="BJ2" s="1838"/>
      <c r="BK2" s="1838"/>
      <c r="BL2" s="1838"/>
      <c r="BM2" s="1838"/>
      <c r="BN2" s="1838"/>
      <c r="BO2" s="1838"/>
      <c r="BP2" s="1838"/>
      <c r="BQ2" s="1838"/>
      <c r="BR2" s="1838"/>
      <c r="BS2" s="1838"/>
      <c r="BT2" s="1838"/>
      <c r="BU2" s="1838"/>
      <c r="BV2" s="2044"/>
      <c r="BW2" s="2044"/>
      <c r="BX2" s="2044"/>
      <c r="BY2" s="2044"/>
      <c r="BZ2" s="2044"/>
      <c r="CA2" s="2044"/>
      <c r="CB2" s="2044"/>
      <c r="CC2" s="2044"/>
      <c r="CD2" s="2044"/>
      <c r="CE2" s="2044"/>
      <c r="IW2" s="1835">
        <v>0</v>
      </c>
    </row>
    <row s="65923" customFormat="1" customHeight="1" ht="5.25" hidden="1">
      <c r="A3" s="2852"/>
      <c r="D3" s="3104"/>
      <c r="F3" s="1459" t="s">
        <v>83</v>
      </c>
      <c r="G3" s="2946" t="s">
        <v>84</v>
      </c>
      <c r="H3" s="3104"/>
      <c r="I3" s="3104"/>
      <c r="J3" s="3104"/>
      <c r="K3" s="3104"/>
      <c r="L3" s="1438" t="s">
        <v>85</v>
      </c>
      <c r="M3" s="1459" t="s">
        <v>83</v>
      </c>
      <c r="N3" s="1459"/>
      <c r="O3" s="1459"/>
      <c r="P3" s="1459"/>
      <c r="Q3" s="1459"/>
      <c r="R3" s="1459"/>
      <c r="S3" s="1459"/>
      <c r="T3" s="1459"/>
      <c r="U3" s="1459"/>
      <c r="V3" s="1459"/>
      <c r="W3" s="1438"/>
      <c r="X3" s="1438"/>
      <c r="Y3" s="1438"/>
      <c r="Z3" s="1438"/>
      <c r="AA3" s="1438"/>
      <c r="AB3" s="1438"/>
      <c r="AC3" s="1438"/>
      <c r="AD3" s="1438"/>
      <c r="AE3" s="1438"/>
      <c r="AF3" s="1438"/>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X3" s="1438"/>
      <c r="FY3" s="1438"/>
      <c r="FZ3" s="1438"/>
      <c r="GA3" s="1438"/>
      <c r="GB3" s="1438"/>
      <c r="GC3" s="1438"/>
      <c r="GD3" s="1438"/>
      <c r="GE3" s="1438"/>
      <c r="GF3" s="1438"/>
      <c r="GG3" s="1438"/>
      <c r="GH3" s="1438"/>
      <c r="GI3" s="1438"/>
      <c r="GJ3" s="1438"/>
      <c r="GK3" s="1438"/>
      <c r="GL3" s="1438"/>
      <c r="GM3" s="1438"/>
      <c r="GN3" s="1438"/>
      <c r="GO3" s="1438"/>
      <c r="GP3" s="1438"/>
      <c r="GQ3" s="1438"/>
      <c r="GR3" s="1438"/>
      <c r="GS3" s="1438"/>
      <c r="GT3" s="1438"/>
      <c r="GU3" s="1438"/>
      <c r="GV3" s="1438"/>
      <c r="GW3" s="1438"/>
      <c r="GX3" s="1438"/>
      <c r="GY3" s="1438"/>
      <c r="GZ3" s="1438"/>
      <c r="HA3" s="1438"/>
      <c r="HB3" s="1438"/>
      <c r="HC3" s="1438"/>
      <c r="HD3" s="1438"/>
      <c r="HE3" s="1438"/>
      <c r="HF3" s="1438"/>
      <c r="HG3" s="1438"/>
      <c r="HH3" s="1438"/>
      <c r="HI3" s="1438"/>
      <c r="HJ3" s="1438"/>
      <c r="HK3" s="1438"/>
      <c r="HL3" s="1438"/>
      <c r="HM3" s="1438"/>
      <c r="HN3" s="1438"/>
      <c r="HO3" s="1438"/>
      <c r="HP3" s="1438"/>
      <c r="HQ3" s="1438"/>
      <c r="HR3" s="1438"/>
      <c r="HS3" s="1438"/>
      <c r="HT3" s="1438"/>
      <c r="HU3" s="1438"/>
      <c r="HV3" s="1438"/>
      <c r="HW3" s="1438"/>
      <c r="HX3" s="1438"/>
      <c r="HY3" s="1438"/>
      <c r="HZ3" s="1438"/>
      <c r="IA3" s="1438"/>
      <c r="IB3" s="1438"/>
      <c r="IC3" s="1438"/>
      <c r="ID3" s="1438"/>
      <c r="IE3" s="1438"/>
      <c r="IF3" s="1438"/>
      <c r="IG3" s="1438"/>
      <c r="IH3" s="1438"/>
      <c r="II3" s="1438"/>
      <c r="IJ3" s="1438"/>
      <c r="IK3" s="1438"/>
      <c r="IL3" s="1438"/>
      <c r="IM3" s="1438"/>
      <c r="IN3" s="1438"/>
      <c r="IO3" s="1438"/>
      <c r="IP3" s="1438"/>
      <c r="IQ3" s="1438"/>
      <c r="IR3" s="1438"/>
      <c r="IS3" s="1438"/>
      <c r="IT3" s="1438"/>
      <c r="IU3" s="1438"/>
      <c r="IV3" s="1438"/>
      <c r="IW3" s="2847">
        <v>0</v>
      </c>
    </row>
    <row s="65153" customFormat="1" customHeight="1" ht="14.699999999999998">
      <c r="A4" s="2842"/>
      <c r="B4" s="2577"/>
      <c r="C4" s="2842"/>
      <c r="D4" s="2726"/>
      <c r="E4" s="2846"/>
      <c r="F4" s="2846"/>
      <c r="G4" s="2846"/>
      <c r="H4" s="2846"/>
      <c r="I4" s="2846"/>
      <c r="J4" s="2846"/>
      <c r="K4" s="2846"/>
      <c r="L4" s="3106"/>
      <c r="M4" s="1459"/>
      <c r="N4" s="2835"/>
      <c r="O4" s="2835"/>
      <c r="P4" s="2835"/>
      <c r="Q4" s="2835"/>
      <c r="R4" s="2835"/>
      <c r="S4" s="1436"/>
      <c r="T4" s="1436"/>
      <c r="U4" s="1436"/>
      <c r="V4" s="1436"/>
      <c r="IW4" s="2820">
        <v>14</v>
      </c>
    </row>
    <row s="65153" customFormat="1" customHeight="1" ht="27.299999999999997">
      <c r="A5" s="2842"/>
      <c r="B5" s="2577"/>
      <c r="C5" s="2842"/>
      <c r="D5" s="2726"/>
      <c r="E5" s="331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3311"/>
      <c r="G5" s="3311"/>
      <c r="H5" s="3311"/>
      <c r="I5" s="3311"/>
      <c r="J5" s="3311"/>
      <c r="K5" s="3311"/>
      <c r="L5" s="2846"/>
      <c r="M5" s="1459"/>
      <c r="N5" s="2835"/>
      <c r="O5" s="2835"/>
      <c r="P5" s="2835"/>
      <c r="Q5" s="2835"/>
      <c r="R5" s="2835"/>
      <c r="S5" s="1436"/>
      <c r="T5" s="1436"/>
      <c r="U5" s="1436"/>
      <c r="V5" s="1436"/>
      <c r="IW5" s="2820">
        <v>26</v>
      </c>
    </row>
    <row s="65153" customFormat="1" customHeight="1" ht="14.699999999999998">
      <c r="A6" s="2842"/>
      <c r="B6" s="2577"/>
      <c r="C6" s="2842"/>
      <c r="D6" s="2726"/>
      <c r="E6" s="2846"/>
      <c r="F6" s="1827"/>
      <c r="G6" s="1827"/>
      <c r="H6" s="1827"/>
      <c r="I6" s="1827"/>
      <c r="J6" s="1827"/>
      <c r="K6" s="1827"/>
      <c r="L6" s="2463"/>
      <c r="M6" s="2835"/>
      <c r="N6" s="2835"/>
      <c r="O6" s="2835"/>
      <c r="P6" s="2835"/>
      <c r="Q6" s="2835"/>
      <c r="R6" s="2835"/>
      <c r="S6" s="1436"/>
      <c r="T6" s="1436"/>
      <c r="U6" s="1436"/>
      <c r="V6" s="1436"/>
      <c r="IW6" s="2820">
        <v>14</v>
      </c>
    </row>
    <row s="65153" customFormat="1" customHeight="1" ht="14.699999999999998">
      <c r="A7" s="2842"/>
      <c r="B7" s="2577"/>
      <c r="C7" s="2842"/>
      <c r="D7" s="2726"/>
      <c r="E7" s="3312" t="s">
        <v>318</v>
      </c>
      <c r="F7" s="3313"/>
      <c r="G7" s="3313"/>
      <c r="H7" s="3313"/>
      <c r="I7" s="3313"/>
      <c r="J7" s="3313"/>
      <c r="K7" s="3313"/>
      <c r="L7" s="3685" t="s">
        <v>319</v>
      </c>
      <c r="M7" s="2835"/>
      <c r="N7" s="2835"/>
      <c r="O7" s="2835"/>
      <c r="P7" s="2835"/>
      <c r="Q7" s="2835"/>
      <c r="R7" s="2835"/>
      <c r="S7" s="1436"/>
      <c r="T7" s="1436"/>
      <c r="U7" s="1436"/>
      <c r="V7" s="1436"/>
      <c r="IW7" s="2820">
        <v>14</v>
      </c>
    </row>
    <row s="65153" customFormat="1" customHeight="1" ht="67.2">
      <c r="A8" s="2842"/>
      <c r="B8" s="2577"/>
      <c r="C8" s="2842"/>
      <c r="D8" s="2726"/>
      <c r="E8" s="3689" t="s">
        <v>88</v>
      </c>
      <c r="F8" s="3689" t="s">
        <v>2061</v>
      </c>
      <c r="G8" s="3691" t="s">
        <v>2062</v>
      </c>
      <c r="H8" s="3692"/>
      <c r="I8" s="3693"/>
      <c r="J8" s="3689" t="s">
        <v>2063</v>
      </c>
      <c r="K8" s="368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3687"/>
      <c r="M8" s="2835"/>
      <c r="N8" s="2835"/>
      <c r="O8" s="2835"/>
      <c r="P8" s="2835"/>
      <c r="Q8" s="2835"/>
      <c r="R8" s="2835"/>
      <c r="S8" s="1436"/>
      <c r="T8" s="1436"/>
      <c r="U8" s="1436"/>
      <c r="V8" s="1436"/>
      <c r="IW8" s="2820">
        <v>64</v>
      </c>
    </row>
    <row s="65153" customFormat="1" customHeight="1" ht="29.25">
      <c r="A9" s="2842"/>
      <c r="B9" s="2577"/>
      <c r="C9" s="2842"/>
      <c r="D9" s="2726"/>
      <c r="E9" s="3690"/>
      <c r="F9" s="3690"/>
      <c r="G9" s="3105" t="s">
        <v>2057</v>
      </c>
      <c r="H9" s="3105" t="s">
        <v>2058</v>
      </c>
      <c r="I9" s="3105" t="s">
        <v>2059</v>
      </c>
      <c r="J9" s="3690"/>
      <c r="K9" s="3690"/>
      <c r="L9" s="3686"/>
      <c r="M9" s="2835"/>
      <c r="N9" s="2835"/>
      <c r="O9" s="2835"/>
      <c r="P9" s="2835"/>
      <c r="Q9" s="2835"/>
      <c r="R9" s="2835"/>
      <c r="S9" s="1436"/>
      <c r="T9" s="1436"/>
      <c r="U9" s="1436"/>
      <c r="V9" s="1436"/>
      <c r="IW9" s="2820">
        <v>28</v>
      </c>
    </row>
    <row s="67502" customFormat="1" customHeight="1" ht="1.05">
      <c r="A10" s="3310"/>
      <c r="B10" s="2577">
        <v>1</v>
      </c>
      <c r="C10" s="2577"/>
      <c r="D10" s="2011"/>
      <c r="E10" s="2006">
        <v>0</v>
      </c>
      <c r="F10" s="3102" t="str">
        <f>IF(ROIV_INFO_NAME="","",ROIV_INFO_NAME)</f>
        <v>ПАО "ТГК-2"</v>
      </c>
      <c r="G10" s="2944" t="s">
        <v>22</v>
      </c>
      <c r="H10" s="3114"/>
      <c r="I10" s="3114"/>
      <c r="J10" s="1730"/>
      <c r="K10" s="1730"/>
      <c r="L10" s="364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2746">
        <f>MERGEVALUE(F10)</f>
      </c>
      <c r="N10" s="2847"/>
      <c r="O10" s="2847"/>
      <c r="P10" s="2835" t="str">
        <f t="array" ref="P10:P10">IF(ISERROR(MATCH(MID(Q10,1,250),MID(note_ter,1,250),0)),"n","y")</f>
        <v>n</v>
      </c>
      <c r="Q10" s="2847"/>
      <c r="R10" s="28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2577"/>
      <c r="T10" s="2577"/>
      <c r="U10" s="1631"/>
      <c r="V10" s="2577"/>
      <c r="W10" s="2577"/>
      <c r="X10" s="2577"/>
      <c r="Y10" s="2044"/>
      <c r="Z10" s="2044"/>
      <c r="AA10" s="1838"/>
      <c r="AB10" s="1838"/>
      <c r="AC10" s="1838"/>
      <c r="AD10" s="1838"/>
      <c r="AE10" s="1838"/>
      <c r="AF10" s="1838"/>
      <c r="AG10" s="1838"/>
      <c r="AH10" s="1838"/>
      <c r="AI10" s="1838"/>
      <c r="AJ10" s="1838"/>
      <c r="AK10" s="1838"/>
      <c r="AL10" s="1838"/>
      <c r="AM10" s="1838"/>
      <c r="AN10" s="1838"/>
      <c r="AO10" s="1838"/>
      <c r="AP10" s="1838"/>
      <c r="AQ10" s="1838"/>
      <c r="AR10" s="1838"/>
      <c r="AS10" s="1838"/>
      <c r="AT10" s="1838"/>
      <c r="AU10" s="1838"/>
      <c r="AV10" s="1838"/>
      <c r="AW10" s="1838"/>
      <c r="AX10" s="1838"/>
      <c r="AY10" s="1838"/>
      <c r="AZ10" s="1838"/>
      <c r="BA10" s="1838"/>
      <c r="BB10" s="1838"/>
      <c r="BC10" s="1838"/>
      <c r="BD10" s="1838"/>
      <c r="BE10" s="1838"/>
      <c r="BF10" s="1838"/>
      <c r="BG10" s="1838"/>
      <c r="BH10" s="1838"/>
      <c r="BI10" s="1838"/>
      <c r="BJ10" s="1838"/>
      <c r="BK10" s="1838"/>
      <c r="BL10" s="1838"/>
      <c r="BM10" s="1838"/>
      <c r="BN10" s="1838"/>
      <c r="BO10" s="1838"/>
      <c r="BP10" s="1838"/>
      <c r="BQ10" s="1838"/>
      <c r="BR10" s="1838"/>
      <c r="BS10" s="1838"/>
      <c r="BT10" s="1838"/>
      <c r="BU10" s="1838"/>
      <c r="BV10" s="2044"/>
      <c r="BW10" s="2044"/>
      <c r="BX10" s="2044"/>
      <c r="BY10" s="2044"/>
      <c r="BZ10" s="2044"/>
      <c r="CA10" s="2044"/>
      <c r="CB10" s="2044"/>
      <c r="CC10" s="2044"/>
      <c r="CD10" s="2044"/>
      <c r="CE10" s="2044"/>
      <c r="IW10" s="1835">
        <v>1</v>
      </c>
    </row>
    <row s="67502" customFormat="1" customHeight="1" ht="15.75">
      <c r="A11" s="3310"/>
      <c r="B11" s="2577"/>
      <c r="C11" s="1623"/>
      <c r="D11" s="2012"/>
      <c r="E11" s="1632"/>
      <c r="F11" s="1862" t="s">
        <v>2060</v>
      </c>
      <c r="G11" s="1398"/>
      <c r="H11" s="1398"/>
      <c r="I11" s="1398"/>
      <c r="J11" s="1398"/>
      <c r="K11" s="1635"/>
      <c r="L11" s="3688"/>
      <c r="M11" s="2747"/>
      <c r="N11" s="2847"/>
      <c r="O11" s="2847"/>
      <c r="P11" s="2847"/>
      <c r="Q11" s="2835"/>
      <c r="R11" s="2847"/>
      <c r="S11" s="2577"/>
      <c r="T11" s="2577"/>
      <c r="U11" s="1631"/>
      <c r="V11" s="2577"/>
      <c r="W11" s="2577"/>
      <c r="X11" s="2577"/>
      <c r="Y11" s="2044"/>
      <c r="Z11" s="2044"/>
      <c r="AA11" s="1838"/>
      <c r="AB11" s="1838"/>
      <c r="AC11" s="1838"/>
      <c r="AD11" s="1838"/>
      <c r="AE11" s="1838"/>
      <c r="AF11" s="1838"/>
      <c r="AG11" s="1838"/>
      <c r="AH11" s="1838"/>
      <c r="AI11" s="1838"/>
      <c r="AJ11" s="1838"/>
      <c r="AK11" s="1838"/>
      <c r="AL11" s="1838"/>
      <c r="AM11" s="1838"/>
      <c r="AN11" s="1838"/>
      <c r="AO11" s="1838"/>
      <c r="AP11" s="1838"/>
      <c r="AQ11" s="1838"/>
      <c r="AR11" s="1838"/>
      <c r="AS11" s="1838"/>
      <c r="AT11" s="1838"/>
      <c r="AU11" s="1838"/>
      <c r="AV11" s="1838"/>
      <c r="AW11" s="1838"/>
      <c r="AX11" s="1838"/>
      <c r="AY11" s="1838"/>
      <c r="AZ11" s="1838"/>
      <c r="BA11" s="1838"/>
      <c r="BB11" s="1838"/>
      <c r="BC11" s="1838"/>
      <c r="BD11" s="1838"/>
      <c r="BE11" s="1838"/>
      <c r="BF11" s="1838"/>
      <c r="BG11" s="1838"/>
      <c r="BH11" s="1838"/>
      <c r="BI11" s="1838"/>
      <c r="BJ11" s="1838"/>
      <c r="BK11" s="1838"/>
      <c r="BL11" s="1838"/>
      <c r="BM11" s="1838"/>
      <c r="BN11" s="1838"/>
      <c r="BO11" s="1838"/>
      <c r="BP11" s="1838"/>
      <c r="BQ11" s="1838"/>
      <c r="BR11" s="1838"/>
      <c r="BS11" s="1838"/>
      <c r="BT11" s="1838"/>
      <c r="BU11" s="1838"/>
      <c r="BV11" s="2044"/>
      <c r="BW11" s="2044"/>
      <c r="BX11" s="2044"/>
      <c r="BY11" s="2044"/>
      <c r="BZ11" s="2044"/>
      <c r="CA11" s="2044"/>
      <c r="CB11" s="2044"/>
      <c r="CC11" s="2044"/>
      <c r="CD11" s="2044"/>
      <c r="CE11" s="2044"/>
      <c r="IW11" s="1835">
        <v>15</v>
      </c>
    </row>
    <row s="65153" customFormat="1" customHeight="1" ht="22.049999999999997">
      <c r="A12" s="2842"/>
      <c r="B12" s="2577"/>
      <c r="C12" s="2842"/>
      <c r="D12" s="2844"/>
      <c r="E12" s="1391"/>
      <c r="F12" s="1391"/>
      <c r="G12" s="1391"/>
      <c r="H12" s="1391"/>
      <c r="I12" s="1391"/>
      <c r="J12" s="1391"/>
      <c r="K12" s="1391"/>
      <c r="L12" s="1391"/>
      <c r="M12" s="2835"/>
      <c r="N12" s="2835"/>
      <c r="O12" s="2835"/>
      <c r="P12" s="2835"/>
      <c r="Q12" s="2835"/>
      <c r="R12" s="2835"/>
      <c r="S12" s="1436"/>
      <c r="T12" s="1436"/>
      <c r="U12" s="1436"/>
      <c r="V12" s="1436"/>
      <c r="IW12" s="2820">
        <v>21</v>
      </c>
    </row>
    <row s="65153" customFormat="1" customHeight="1" ht="14.699999999999998">
      <c r="A13" s="2842"/>
      <c r="B13" s="2577"/>
      <c r="C13" s="2842"/>
      <c r="D13" s="2844"/>
      <c r="E13" s="2842"/>
      <c r="F13" s="2842"/>
      <c r="G13" s="2842"/>
      <c r="H13" s="2842"/>
      <c r="I13" s="2842"/>
      <c r="J13" s="2842"/>
      <c r="K13" s="2842"/>
      <c r="L13" s="2842"/>
      <c r="M13" s="2835"/>
      <c r="N13" s="2835"/>
      <c r="O13" s="2835"/>
      <c r="P13" s="2835"/>
      <c r="Q13" s="2835"/>
      <c r="R13" s="2835"/>
      <c r="S13" s="1436"/>
      <c r="T13" s="1436"/>
      <c r="U13" s="1436"/>
      <c r="V13" s="1436"/>
      <c r="IW13" s="2820">
        <v>14</v>
      </c>
    </row>
    <row s="65153" customFormat="1" customHeight="1" ht="1.05">
      <c r="A14" s="2842"/>
      <c r="B14" s="2577"/>
      <c r="C14" s="2842"/>
      <c r="D14" s="2844"/>
      <c r="E14" s="2842"/>
      <c r="F14" s="2842"/>
      <c r="G14" s="2842"/>
      <c r="H14" s="2842"/>
      <c r="I14" s="2842"/>
      <c r="J14" s="2842"/>
      <c r="K14" s="2842"/>
      <c r="L14" s="2842"/>
      <c r="M14" s="2835"/>
      <c r="N14" s="2835"/>
      <c r="O14" s="2835"/>
      <c r="P14" s="2835"/>
      <c r="Q14" s="2835"/>
      <c r="R14" s="2835"/>
      <c r="S14" s="1436"/>
      <c r="T14" s="1436"/>
      <c r="U14" s="1436"/>
      <c r="V14" s="1436"/>
      <c r="IW14" s="2820">
        <v>1</v>
      </c>
    </row>
    <row customHeight="1" ht="22.5" hidden="1">
      <c r="A15" s="2842" t="s">
        <v>82</v>
      </c>
      <c r="B15" s="2577">
        <v>0</v>
      </c>
      <c r="C15" s="2842">
        <v>0</v>
      </c>
      <c r="D15" s="2844">
        <v>3</v>
      </c>
      <c r="E15" s="2842">
        <v>6</v>
      </c>
      <c r="F15" s="2842">
        <v>27</v>
      </c>
      <c r="G15" s="2842">
        <v>16</v>
      </c>
      <c r="H15" s="2842">
        <v>12</v>
      </c>
      <c r="I15" s="2842">
        <v>32</v>
      </c>
      <c r="J15" s="2842">
        <v>41</v>
      </c>
      <c r="K15" s="2842">
        <v>41</v>
      </c>
      <c r="L15" s="2842">
        <v>89</v>
      </c>
      <c r="M15" s="2835">
        <v>3</v>
      </c>
      <c r="N15" s="2835">
        <v>8</v>
      </c>
      <c r="O15" s="2835">
        <v>8</v>
      </c>
      <c r="P15" s="2835">
        <v>8</v>
      </c>
      <c r="Q15" s="2835">
        <v>25</v>
      </c>
      <c r="R15" s="2835">
        <v>14</v>
      </c>
      <c r="S15" s="1436">
        <v>8</v>
      </c>
      <c r="T15" s="1436">
        <v>8</v>
      </c>
      <c r="U15" s="1436">
        <v>8</v>
      </c>
      <c r="V15" s="1436">
        <v>8</v>
      </c>
      <c r="W15" s="2842">
        <v>8</v>
      </c>
      <c r="X15" s="2842">
        <v>8</v>
      </c>
      <c r="Y15" s="2842">
        <v>8</v>
      </c>
      <c r="Z15" s="2842">
        <v>8</v>
      </c>
      <c r="AA15" s="2842">
        <v>8</v>
      </c>
      <c r="AB15" s="2842">
        <v>8</v>
      </c>
      <c r="AC15" s="2842">
        <v>8</v>
      </c>
      <c r="AD15" s="2842">
        <v>8</v>
      </c>
      <c r="AE15" s="2842">
        <v>8</v>
      </c>
      <c r="AF15" s="2842">
        <v>8</v>
      </c>
      <c r="AG15" s="2842">
        <v>8</v>
      </c>
      <c r="AH15" s="2842">
        <v>8</v>
      </c>
      <c r="AI15" s="2842">
        <v>8</v>
      </c>
      <c r="AJ15" s="2842">
        <v>8</v>
      </c>
      <c r="AK15" s="2842">
        <v>8</v>
      </c>
      <c r="AL15" s="2842">
        <v>8</v>
      </c>
      <c r="AM15" s="2842">
        <v>8</v>
      </c>
      <c r="AN15" s="2842">
        <v>8</v>
      </c>
      <c r="AO15" s="2842">
        <v>8</v>
      </c>
      <c r="AP15" s="2842">
        <v>8</v>
      </c>
      <c r="AQ15" s="2842">
        <v>8</v>
      </c>
      <c r="AR15" s="2842">
        <v>8</v>
      </c>
      <c r="AS15" s="2842">
        <v>8</v>
      </c>
      <c r="AT15" s="2842">
        <v>8</v>
      </c>
      <c r="AU15" s="2842">
        <v>8</v>
      </c>
      <c r="AV15" s="2842">
        <v>8</v>
      </c>
      <c r="AW15" s="2842">
        <v>8</v>
      </c>
      <c r="AX15" s="2842">
        <v>8</v>
      </c>
      <c r="AY15" s="2842">
        <v>8</v>
      </c>
      <c r="AZ15" s="2842">
        <v>8</v>
      </c>
      <c r="BA15" s="2842">
        <v>8</v>
      </c>
      <c r="BB15" s="2842">
        <v>8</v>
      </c>
      <c r="BC15" s="2842">
        <v>8</v>
      </c>
      <c r="BD15" s="2842">
        <v>8</v>
      </c>
      <c r="BE15" s="2842">
        <v>8</v>
      </c>
      <c r="BF15" s="2842">
        <v>8</v>
      </c>
      <c r="BG15" s="2842">
        <v>8</v>
      </c>
      <c r="BH15" s="2842">
        <v>8</v>
      </c>
      <c r="BI15" s="2842">
        <v>8</v>
      </c>
      <c r="BJ15" s="2842">
        <v>8</v>
      </c>
      <c r="BK15" s="2842">
        <v>8</v>
      </c>
      <c r="BL15" s="2842">
        <v>8</v>
      </c>
      <c r="BM15" s="2842">
        <v>8</v>
      </c>
      <c r="BN15" s="2842">
        <v>8</v>
      </c>
      <c r="BO15" s="2842">
        <v>8</v>
      </c>
      <c r="BP15" s="2842">
        <v>8</v>
      </c>
      <c r="BQ15" s="2842">
        <v>8</v>
      </c>
      <c r="BR15" s="2842">
        <v>8</v>
      </c>
      <c r="BS15" s="2842">
        <v>8</v>
      </c>
      <c r="BT15" s="2842">
        <v>8</v>
      </c>
      <c r="BU15" s="2842">
        <v>8</v>
      </c>
      <c r="BV15" s="2842">
        <v>8</v>
      </c>
      <c r="BW15" s="2842">
        <v>8</v>
      </c>
      <c r="BX15" s="2842">
        <v>8</v>
      </c>
      <c r="BY15" s="2842">
        <v>8</v>
      </c>
      <c r="BZ15" s="2842">
        <v>8</v>
      </c>
      <c r="CA15" s="2842">
        <v>8</v>
      </c>
      <c r="CB15" s="2842">
        <v>8</v>
      </c>
      <c r="CC15" s="2842">
        <v>8</v>
      </c>
      <c r="CD15" s="2842">
        <v>8</v>
      </c>
      <c r="CE15" s="2842">
        <v>8</v>
      </c>
      <c r="CF15" s="2842">
        <v>8</v>
      </c>
      <c r="CG15" s="2842">
        <v>8</v>
      </c>
      <c r="CH15" s="2842">
        <v>8</v>
      </c>
      <c r="CI15" s="2842">
        <v>8</v>
      </c>
      <c r="CJ15" s="2842">
        <v>8</v>
      </c>
      <c r="CK15" s="2842">
        <v>8</v>
      </c>
      <c r="CL15" s="2842">
        <v>8</v>
      </c>
      <c r="CM15" s="2842">
        <v>8</v>
      </c>
      <c r="CN15" s="2842">
        <v>8</v>
      </c>
      <c r="CO15" s="2842">
        <v>8</v>
      </c>
      <c r="CP15" s="2842">
        <v>8</v>
      </c>
      <c r="CQ15" s="2842">
        <v>8</v>
      </c>
      <c r="CR15" s="2842">
        <v>8</v>
      </c>
      <c r="CS15" s="2842">
        <v>8</v>
      </c>
      <c r="CT15" s="2842">
        <v>8</v>
      </c>
      <c r="CU15" s="2842">
        <v>8</v>
      </c>
      <c r="CV15" s="2842">
        <v>8</v>
      </c>
      <c r="CW15" s="2842">
        <v>8</v>
      </c>
      <c r="CX15" s="2842">
        <v>8</v>
      </c>
      <c r="CY15" s="2842">
        <v>8</v>
      </c>
      <c r="CZ15" s="2842">
        <v>8</v>
      </c>
      <c r="DA15" s="2842">
        <v>8</v>
      </c>
      <c r="DB15" s="2842">
        <v>8</v>
      </c>
      <c r="DC15" s="2842">
        <v>8</v>
      </c>
      <c r="DD15" s="2842">
        <v>8</v>
      </c>
      <c r="DE15" s="2842">
        <v>8</v>
      </c>
      <c r="DF15" s="2842">
        <v>8</v>
      </c>
      <c r="DG15" s="2842">
        <v>8</v>
      </c>
      <c r="DH15" s="2842">
        <v>8</v>
      </c>
      <c r="DI15" s="2842">
        <v>8</v>
      </c>
      <c r="DJ15" s="2842">
        <v>8</v>
      </c>
      <c r="DK15" s="2842">
        <v>8</v>
      </c>
      <c r="DL15" s="2842">
        <v>8</v>
      </c>
      <c r="DM15" s="2842">
        <v>8</v>
      </c>
      <c r="DN15" s="2842">
        <v>8</v>
      </c>
      <c r="DO15" s="2842">
        <v>8</v>
      </c>
      <c r="DP15" s="2842">
        <v>8</v>
      </c>
      <c r="DQ15" s="2842">
        <v>8</v>
      </c>
      <c r="DR15" s="2842">
        <v>8</v>
      </c>
      <c r="DS15" s="2842">
        <v>8</v>
      </c>
      <c r="DT15" s="2842">
        <v>8</v>
      </c>
      <c r="DU15" s="2842">
        <v>8</v>
      </c>
      <c r="DV15" s="2842">
        <v>8</v>
      </c>
      <c r="DW15" s="2842">
        <v>8</v>
      </c>
      <c r="DX15" s="2842">
        <v>8</v>
      </c>
      <c r="DY15" s="2842">
        <v>8</v>
      </c>
      <c r="DZ15" s="2842">
        <v>8</v>
      </c>
      <c r="EA15" s="2842">
        <v>8</v>
      </c>
      <c r="EB15" s="2842">
        <v>8</v>
      </c>
      <c r="EC15" s="2842">
        <v>8</v>
      </c>
      <c r="ED15" s="2842">
        <v>8</v>
      </c>
      <c r="EE15" s="2842">
        <v>8</v>
      </c>
      <c r="EF15" s="2842">
        <v>8</v>
      </c>
      <c r="EG15" s="2842">
        <v>8</v>
      </c>
      <c r="EH15" s="2842">
        <v>8</v>
      </c>
      <c r="EI15" s="2842">
        <v>8</v>
      </c>
      <c r="EJ15" s="2842">
        <v>8</v>
      </c>
      <c r="EK15" s="2842">
        <v>8</v>
      </c>
      <c r="EL15" s="2842">
        <v>8</v>
      </c>
      <c r="EM15" s="2842">
        <v>8</v>
      </c>
      <c r="EN15" s="2842">
        <v>8</v>
      </c>
      <c r="EO15" s="2842">
        <v>8</v>
      </c>
      <c r="EP15" s="2842">
        <v>8</v>
      </c>
      <c r="EQ15" s="2842">
        <v>8</v>
      </c>
      <c r="ER15" s="2842">
        <v>8</v>
      </c>
      <c r="ES15" s="2842">
        <v>8</v>
      </c>
      <c r="ET15" s="2842">
        <v>8</v>
      </c>
      <c r="EU15" s="2842">
        <v>8</v>
      </c>
      <c r="EV15" s="2842">
        <v>8</v>
      </c>
      <c r="EW15" s="2842">
        <v>8</v>
      </c>
      <c r="EX15" s="2842">
        <v>8</v>
      </c>
      <c r="EY15" s="2842">
        <v>8</v>
      </c>
      <c r="EZ15" s="2842">
        <v>8</v>
      </c>
      <c r="FA15" s="2842">
        <v>8</v>
      </c>
      <c r="FB15" s="2842">
        <v>8</v>
      </c>
      <c r="FC15" s="2842">
        <v>8</v>
      </c>
      <c r="FD15" s="2842">
        <v>8</v>
      </c>
      <c r="FE15" s="2842">
        <v>8</v>
      </c>
      <c r="FF15" s="2842">
        <v>8</v>
      </c>
      <c r="FG15" s="2842">
        <v>8</v>
      </c>
      <c r="FH15" s="2842">
        <v>8</v>
      </c>
      <c r="FI15" s="2842">
        <v>8</v>
      </c>
      <c r="FJ15" s="2842">
        <v>8</v>
      </c>
      <c r="FK15" s="2842">
        <v>8</v>
      </c>
      <c r="FL15" s="2842">
        <v>8</v>
      </c>
      <c r="FM15" s="2842">
        <v>8</v>
      </c>
      <c r="FN15" s="2842">
        <v>8</v>
      </c>
      <c r="FO15" s="2842">
        <v>8</v>
      </c>
      <c r="FP15" s="2842">
        <v>8</v>
      </c>
      <c r="FQ15" s="2842">
        <v>8</v>
      </c>
      <c r="FR15" s="2842">
        <v>8</v>
      </c>
      <c r="FS15" s="2842">
        <v>8</v>
      </c>
      <c r="FT15" s="2842">
        <v>8</v>
      </c>
      <c r="FU15" s="2842">
        <v>8</v>
      </c>
      <c r="FV15" s="2842">
        <v>8</v>
      </c>
      <c r="FW15" s="2842">
        <v>8</v>
      </c>
      <c r="FX15" s="2842">
        <v>8</v>
      </c>
      <c r="FY15" s="2842">
        <v>8</v>
      </c>
      <c r="FZ15" s="2842">
        <v>8</v>
      </c>
      <c r="GA15" s="2842">
        <v>8</v>
      </c>
      <c r="GB15" s="2842">
        <v>8</v>
      </c>
      <c r="GC15" s="2842">
        <v>8</v>
      </c>
      <c r="GD15" s="2842">
        <v>8</v>
      </c>
      <c r="GE15" s="2842">
        <v>8</v>
      </c>
      <c r="GF15" s="2842">
        <v>8</v>
      </c>
      <c r="GG15" s="2842">
        <v>8</v>
      </c>
      <c r="GH15" s="2842">
        <v>8</v>
      </c>
      <c r="GI15" s="2842">
        <v>8</v>
      </c>
      <c r="GJ15" s="2842">
        <v>8</v>
      </c>
      <c r="GK15" s="2842">
        <v>8</v>
      </c>
      <c r="GL15" s="2842">
        <v>8</v>
      </c>
      <c r="GM15" s="2842">
        <v>8</v>
      </c>
      <c r="GN15" s="2842">
        <v>8</v>
      </c>
      <c r="GO15" s="2842">
        <v>8</v>
      </c>
      <c r="GP15" s="2842">
        <v>8</v>
      </c>
      <c r="GQ15" s="2842">
        <v>8</v>
      </c>
      <c r="GR15" s="2842">
        <v>8</v>
      </c>
      <c r="GS15" s="2842">
        <v>8</v>
      </c>
      <c r="GT15" s="2842">
        <v>8</v>
      </c>
      <c r="GU15" s="2842">
        <v>8</v>
      </c>
      <c r="GV15" s="2842">
        <v>8</v>
      </c>
      <c r="GW15" s="2842">
        <v>8</v>
      </c>
      <c r="GX15" s="2842">
        <v>8</v>
      </c>
      <c r="GY15" s="2842">
        <v>8</v>
      </c>
      <c r="GZ15" s="2842">
        <v>8</v>
      </c>
      <c r="HA15" s="2842">
        <v>8</v>
      </c>
      <c r="HB15" s="2842">
        <v>8</v>
      </c>
      <c r="HC15" s="2842">
        <v>8</v>
      </c>
      <c r="HD15" s="2842">
        <v>8</v>
      </c>
      <c r="HE15" s="2842">
        <v>8</v>
      </c>
      <c r="HF15" s="2842">
        <v>8</v>
      </c>
      <c r="HG15" s="2842">
        <v>8</v>
      </c>
      <c r="HH15" s="2842">
        <v>8</v>
      </c>
      <c r="HI15" s="2842">
        <v>8</v>
      </c>
      <c r="HJ15" s="2842">
        <v>8</v>
      </c>
      <c r="HK15" s="2842">
        <v>8</v>
      </c>
      <c r="HL15" s="2842">
        <v>8</v>
      </c>
      <c r="HM15" s="2842">
        <v>8</v>
      </c>
      <c r="HN15" s="2842">
        <v>8</v>
      </c>
      <c r="HO15" s="2842">
        <v>8</v>
      </c>
      <c r="HP15" s="2842">
        <v>8</v>
      </c>
      <c r="HQ15" s="2842">
        <v>8</v>
      </c>
      <c r="HR15" s="2842">
        <v>8</v>
      </c>
      <c r="HS15" s="2842">
        <v>8</v>
      </c>
      <c r="HT15" s="2842">
        <v>8</v>
      </c>
      <c r="HU15" s="2842">
        <v>8</v>
      </c>
      <c r="HV15" s="2842">
        <v>8</v>
      </c>
      <c r="HW15" s="2842">
        <v>8</v>
      </c>
      <c r="HX15" s="2842">
        <v>8</v>
      </c>
      <c r="HY15" s="2842">
        <v>8</v>
      </c>
      <c r="HZ15" s="2842">
        <v>8</v>
      </c>
      <c r="IA15" s="2842">
        <v>8</v>
      </c>
      <c r="IB15" s="2842">
        <v>8</v>
      </c>
      <c r="IC15" s="2842">
        <v>8</v>
      </c>
      <c r="ID15" s="2842">
        <v>8</v>
      </c>
      <c r="IE15" s="2842">
        <v>8</v>
      </c>
      <c r="IF15" s="2842">
        <v>8</v>
      </c>
      <c r="IG15" s="2842">
        <v>8</v>
      </c>
      <c r="IH15" s="2842">
        <v>8</v>
      </c>
      <c r="II15" s="2842">
        <v>8</v>
      </c>
      <c r="IJ15" s="2842">
        <v>8</v>
      </c>
      <c r="IK15" s="2842">
        <v>8</v>
      </c>
      <c r="IL15" s="2842">
        <v>8</v>
      </c>
      <c r="IM15" s="2842">
        <v>8</v>
      </c>
      <c r="IN15" s="2842">
        <v>8</v>
      </c>
      <c r="IO15" s="2842">
        <v>8</v>
      </c>
      <c r="IP15" s="2842">
        <v>8</v>
      </c>
      <c r="IQ15" s="2842">
        <v>8</v>
      </c>
      <c r="IR15" s="2842">
        <v>8</v>
      </c>
      <c r="IS15" s="2842">
        <v>8</v>
      </c>
      <c r="IT15" s="2842">
        <v>8</v>
      </c>
      <c r="IU15" s="2842">
        <v>8</v>
      </c>
      <c r="IV15" s="2842">
        <v>8</v>
      </c>
      <c r="IW15" s="284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896B4-3D51-295E-E6CC-4CCFB3F4B92D}"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66903" width="9.140625" hidden="1"/>
    <col min="2" max="2" style="66852" width="9.140625" hidden="1"/>
    <col min="3" max="3" style="66903" width="3.7109375" hidden="1" customWidth="1"/>
    <col min="4" max="4" style="67282" width="3.00390625" customWidth="1"/>
    <col min="5" max="5" style="66903" width="6.00390625" customWidth="1"/>
    <col min="6" max="6" style="66903" width="27.00390625" customWidth="1"/>
    <col min="7" max="7" style="66903" width="29.00390625" customWidth="1"/>
    <col min="8" max="8" style="66903" width="25.00390625" customWidth="1"/>
    <col min="9" max="9" style="66903" width="5.00390625" customWidth="1"/>
    <col min="10" max="10" style="66903" width="6.00390625" customWidth="1"/>
    <col min="11" max="11" style="66903" width="41.00390625" customWidth="1"/>
    <col min="12" max="12" style="66903" width="42.00390625" customWidth="1"/>
    <col min="13" max="13" style="66903" width="41.00390625" customWidth="1"/>
    <col min="14" max="14" style="66903" width="89.00390625" customWidth="1"/>
    <col min="15" max="15" style="66855" width="3.00390625" customWidth="1"/>
    <col min="16" max="16" style="66855" width="8.00390625" customWidth="1"/>
    <col min="17" max="17" style="66903" width="9.140625" hidden="1"/>
  </cols>
  <sheetData>
    <row customHeight="1" ht="22.5" hidden="1">
      <c r="Q1" s="2366" t="s">
        <v>14</v>
      </c>
    </row>
    <row s="67502" customFormat="1" customHeight="1" ht="22.5" hidden="1">
      <c r="A2" s="1707"/>
      <c r="B2" s="2371">
        <v>1</v>
      </c>
      <c r="C2" s="2371"/>
      <c r="D2" s="3139" t="s">
        <v>103</v>
      </c>
      <c r="E2" s="3338">
        <v>1</v>
      </c>
      <c r="F2" s="3514" t="str">
        <f>IF(region_name="","",region_name)</f>
        <v>Архангельская область</v>
      </c>
      <c r="G2" s="3694"/>
      <c r="H2" s="3695"/>
      <c r="I2" s="1685"/>
      <c r="J2" s="3121">
        <v>1</v>
      </c>
      <c r="K2" s="3123"/>
      <c r="L2" s="3123"/>
      <c r="M2" s="3123"/>
      <c r="N2" s="1703"/>
      <c r="O2" s="2746"/>
      <c r="P2" s="1722"/>
      <c r="Q2" s="1634">
        <v>0</v>
      </c>
    </row>
    <row s="67502" customFormat="1" customHeight="1" ht="22.5" hidden="1">
      <c r="A3" s="2042"/>
      <c r="B3" s="2371"/>
      <c r="C3" s="2371"/>
      <c r="D3" s="2012"/>
      <c r="E3" s="3338"/>
      <c r="F3" s="3514"/>
      <c r="G3" s="3694"/>
      <c r="H3" s="3696"/>
      <c r="I3" s="1632"/>
      <c r="J3" s="2711"/>
      <c r="K3" s="2711" t="s">
        <v>2064</v>
      </c>
      <c r="L3" s="2754"/>
      <c r="M3" s="3131"/>
      <c r="N3" s="3124"/>
      <c r="O3" s="2746"/>
      <c r="P3" s="1722"/>
      <c r="Q3" s="1634">
        <v>0</v>
      </c>
    </row>
    <row s="65923" customFormat="1" customHeight="1" ht="5.25" hidden="1">
      <c r="A4" s="1707"/>
      <c r="D4" s="1705"/>
      <c r="F4" s="1458" t="s">
        <v>83</v>
      </c>
      <c r="G4" s="1705" t="s">
        <v>84</v>
      </c>
      <c r="H4" s="1705"/>
      <c r="I4" s="3134"/>
      <c r="J4" s="2755"/>
      <c r="K4" s="3122"/>
      <c r="L4" s="3122"/>
      <c r="M4" s="3122"/>
      <c r="N4" s="3118"/>
      <c r="O4" s="1458" t="s">
        <v>83</v>
      </c>
      <c r="P4" s="1458"/>
      <c r="Q4" s="1722">
        <v>0</v>
      </c>
    </row>
    <row s="67502" customFormat="1" customHeight="1" ht="22.5" hidden="1">
      <c r="A5" s="2852"/>
      <c r="B5" s="2577">
        <v>1</v>
      </c>
      <c r="C5" s="2577"/>
      <c r="D5" s="2012"/>
      <c r="E5" s="3124"/>
      <c r="F5" s="3124"/>
      <c r="G5" s="3124"/>
      <c r="H5" s="3135"/>
      <c r="I5" s="3140" t="s">
        <v>103</v>
      </c>
      <c r="J5" s="3133">
        <v>1</v>
      </c>
      <c r="K5" s="3123"/>
      <c r="L5" s="3123"/>
      <c r="M5" s="3123"/>
      <c r="N5" s="1703"/>
      <c r="O5" s="2746"/>
      <c r="P5" s="2847"/>
      <c r="Q5" s="1835">
        <v>0</v>
      </c>
    </row>
    <row s="65153" customFormat="1" customHeight="1" ht="14.699999999999998">
      <c r="A6" s="2366"/>
      <c r="B6" s="2371"/>
      <c r="C6" s="2366"/>
      <c r="D6" s="2706"/>
      <c r="E6" s="1720"/>
      <c r="F6" s="1720"/>
      <c r="G6" s="1720"/>
      <c r="H6" s="1720"/>
      <c r="I6" s="1720"/>
      <c r="J6" s="1720"/>
      <c r="K6" s="1720"/>
      <c r="L6" s="1720"/>
      <c r="M6" s="1720"/>
      <c r="N6" s="2846"/>
      <c r="O6" s="1458"/>
      <c r="P6" s="1711"/>
      <c r="Q6" s="1718">
        <v>14</v>
      </c>
    </row>
    <row s="65153" customFormat="1" customHeight="1" ht="27.299999999999997">
      <c r="A7" s="2366"/>
      <c r="B7" s="2371"/>
      <c r="C7" s="2366"/>
      <c r="D7" s="2706"/>
      <c r="E7" s="370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3701"/>
      <c r="G7" s="3701"/>
      <c r="H7" s="3701"/>
      <c r="I7" s="3701"/>
      <c r="J7" s="3701"/>
      <c r="K7" s="3701"/>
      <c r="L7" s="3701"/>
      <c r="M7" s="3701"/>
      <c r="N7" s="2463"/>
      <c r="O7" s="1458"/>
      <c r="P7" s="1711"/>
      <c r="Q7" s="1718">
        <v>26</v>
      </c>
    </row>
    <row s="65153" customFormat="1" customHeight="1" ht="14.699999999999998">
      <c r="A8" s="2366"/>
      <c r="B8" s="2371"/>
      <c r="C8" s="2366"/>
      <c r="D8" s="2706"/>
      <c r="E8" s="1720"/>
      <c r="F8" s="1378"/>
      <c r="G8" s="1378"/>
      <c r="H8" s="1378"/>
      <c r="I8" s="1378"/>
      <c r="J8" s="1378"/>
      <c r="K8" s="1378"/>
      <c r="L8" s="1378"/>
      <c r="M8" s="1378"/>
      <c r="N8" s="1827"/>
      <c r="O8" s="1711"/>
      <c r="P8" s="1711"/>
      <c r="Q8" s="1718">
        <v>14</v>
      </c>
    </row>
    <row s="67142" customFormat="1" customHeight="1" ht="14.25" hidden="1">
      <c r="A9" s="2679"/>
      <c r="B9" s="2689"/>
      <c r="C9" s="2679"/>
      <c r="D9" s="2706"/>
      <c r="E9" s="3125"/>
      <c r="F9" s="3125"/>
      <c r="G9" s="3125"/>
      <c r="H9" s="3125"/>
      <c r="I9" s="3704"/>
      <c r="J9" s="3704"/>
      <c r="K9" s="3704"/>
      <c r="L9" s="3125"/>
      <c r="M9" s="3126"/>
      <c r="O9" s="2756"/>
      <c r="P9" s="2756"/>
      <c r="Q9" s="2757">
        <v>0</v>
      </c>
    </row>
    <row s="65153" customFormat="1" customHeight="1" ht="14.699999999999998">
      <c r="A10" s="2366"/>
      <c r="B10" s="2371"/>
      <c r="C10" s="2366"/>
      <c r="D10" s="2706"/>
      <c r="E10" s="3338" t="s">
        <v>318</v>
      </c>
      <c r="F10" s="3338"/>
      <c r="G10" s="3338"/>
      <c r="H10" s="3338"/>
      <c r="I10" s="3338"/>
      <c r="J10" s="3338"/>
      <c r="K10" s="3338"/>
      <c r="L10" s="3338"/>
      <c r="M10" s="3312"/>
      <c r="N10" s="3689" t="s">
        <v>319</v>
      </c>
      <c r="O10" s="1711"/>
      <c r="P10" s="1711"/>
      <c r="Q10" s="1718">
        <v>14</v>
      </c>
    </row>
    <row s="65153" customFormat="1" customHeight="1" ht="44.25">
      <c r="A11" s="2842"/>
      <c r="B11" s="2577"/>
      <c r="C11" s="2842"/>
      <c r="D11" s="2726"/>
      <c r="E11" s="3703" t="s">
        <v>88</v>
      </c>
      <c r="F11" s="3703" t="s">
        <v>322</v>
      </c>
      <c r="G11" s="3703" t="s">
        <v>2065</v>
      </c>
      <c r="H11" s="3703"/>
      <c r="I11" s="3703" t="s">
        <v>2066</v>
      </c>
      <c r="J11" s="3703"/>
      <c r="K11" s="3703"/>
      <c r="L11" s="3703" t="s">
        <v>2067</v>
      </c>
      <c r="M11" s="3691" t="s">
        <v>2068</v>
      </c>
      <c r="N11" s="3702"/>
      <c r="O11" s="2835"/>
      <c r="P11" s="2835"/>
      <c r="Q11" s="2820">
        <v>42</v>
      </c>
    </row>
    <row s="65153" customFormat="1" customHeight="1" ht="29.25">
      <c r="A12" s="2366"/>
      <c r="B12" s="2371"/>
      <c r="C12" s="2366"/>
      <c r="D12" s="2706"/>
      <c r="E12" s="3689"/>
      <c r="F12" s="3703"/>
      <c r="G12" s="3120" t="s">
        <v>2069</v>
      </c>
      <c r="H12" s="3120" t="s">
        <v>326</v>
      </c>
      <c r="I12" s="3703"/>
      <c r="J12" s="3703"/>
      <c r="K12" s="3703"/>
      <c r="L12" s="3703"/>
      <c r="M12" s="3691"/>
      <c r="N12" s="3690"/>
      <c r="O12" s="1711"/>
      <c r="P12" s="1711"/>
      <c r="Q12" s="1718">
        <v>28</v>
      </c>
    </row>
    <row s="67502" customFormat="1" customHeight="1" ht="23.25">
      <c r="A13" s="3310">
        <v>26379339</v>
      </c>
      <c r="B13" s="2371">
        <v>1</v>
      </c>
      <c r="C13" s="2371"/>
      <c r="D13" s="2012"/>
      <c r="E13" s="3338">
        <v>1</v>
      </c>
      <c r="F13" s="3697" t="str">
        <f>IF(region_name="","",region_name)</f>
        <v>Архангельская область</v>
      </c>
      <c r="G13" s="3698"/>
      <c r="H13" s="3705"/>
      <c r="I13" s="1685"/>
      <c r="J13" s="3116">
        <v>1</v>
      </c>
      <c r="K13" s="3129"/>
      <c r="L13" s="3130"/>
      <c r="M13" s="3130"/>
      <c r="N13" s="3699" t="s">
        <v>2070</v>
      </c>
      <c r="O13" s="2746"/>
      <c r="P13" s="1722"/>
      <c r="Q13" s="1634">
        <v>22</v>
      </c>
    </row>
    <row s="67502" customFormat="1" customHeight="1" ht="23.25">
      <c r="A14" s="3310"/>
      <c r="B14" s="2371"/>
      <c r="C14" s="2371"/>
      <c r="D14" s="2012"/>
      <c r="E14" s="3338"/>
      <c r="F14" s="3697"/>
      <c r="G14" s="3698"/>
      <c r="H14" s="3706"/>
      <c r="I14" s="1632"/>
      <c r="J14" s="2711"/>
      <c r="K14" s="2711" t="s">
        <v>2064</v>
      </c>
      <c r="L14" s="2754"/>
      <c r="M14" s="2754"/>
      <c r="N14" s="3700"/>
      <c r="O14" s="2746"/>
      <c r="P14" s="1722"/>
      <c r="Q14" s="1634">
        <v>22</v>
      </c>
    </row>
    <row s="67502" customFormat="1" customHeight="1" ht="23.25">
      <c r="A15" s="3310"/>
      <c r="B15" s="2371"/>
      <c r="C15" s="1623"/>
      <c r="D15" s="2012"/>
      <c r="E15" s="1632"/>
      <c r="F15" s="2711" t="s">
        <v>2056</v>
      </c>
      <c r="G15" s="2753"/>
      <c r="H15" s="2753"/>
      <c r="I15" s="1398"/>
      <c r="J15" s="1398"/>
      <c r="K15" s="1398"/>
      <c r="L15" s="1398"/>
      <c r="M15" s="1398"/>
      <c r="N15" s="3700"/>
      <c r="O15" s="2747"/>
      <c r="P15" s="1722"/>
      <c r="Q15" s="1634">
        <v>22</v>
      </c>
    </row>
    <row s="65153" customFormat="1" customHeight="1" ht="22.049999999999997">
      <c r="A16" s="2366"/>
      <c r="B16" s="2371"/>
      <c r="C16" s="2366"/>
      <c r="D16" s="1662"/>
      <c r="E16" s="1391"/>
      <c r="F16" s="1391"/>
      <c r="G16" s="1391"/>
      <c r="H16" s="1391"/>
      <c r="I16" s="1391"/>
      <c r="J16" s="1391"/>
      <c r="K16" s="1391"/>
      <c r="L16" s="1391"/>
      <c r="M16" s="1720"/>
      <c r="N16" s="2846"/>
      <c r="O16" s="1711"/>
      <c r="P16" s="1711"/>
      <c r="Q16" s="1718">
        <v>21</v>
      </c>
    </row>
    <row s="65153" customFormat="1" customHeight="1" ht="14.699999999999998">
      <c r="A17" s="2366"/>
      <c r="B17" s="2371"/>
      <c r="C17" s="2366"/>
      <c r="D17" s="1662"/>
      <c r="E17" s="2366"/>
      <c r="F17" s="2366"/>
      <c r="G17" s="2366"/>
      <c r="H17" s="2366"/>
      <c r="I17" s="2366"/>
      <c r="J17" s="2366"/>
      <c r="K17" s="2366"/>
      <c r="L17" s="2366"/>
      <c r="M17" s="2366"/>
      <c r="N17" s="2842"/>
      <c r="O17" s="1711"/>
      <c r="P17" s="1711"/>
      <c r="Q17" s="1718">
        <v>14</v>
      </c>
    </row>
    <row s="65153" customFormat="1" customHeight="1" ht="1.05">
      <c r="A18" s="2366"/>
      <c r="B18" s="2371"/>
      <c r="C18" s="2366"/>
      <c r="D18" s="1662"/>
      <c r="E18" s="2366"/>
      <c r="F18" s="2366"/>
      <c r="G18" s="2366"/>
      <c r="H18" s="2366"/>
      <c r="I18" s="2366"/>
      <c r="J18" s="2366"/>
      <c r="K18" s="2366"/>
      <c r="L18" s="2366"/>
      <c r="M18" s="2366"/>
      <c r="N18" s="2842"/>
      <c r="O18" s="1711"/>
      <c r="P18" s="1711"/>
      <c r="Q18" s="1718">
        <v>1</v>
      </c>
    </row>
    <row customHeight="1" ht="22.5" hidden="1">
      <c r="A19" s="2366" t="s">
        <v>82</v>
      </c>
      <c r="B19" s="2371">
        <v>0</v>
      </c>
      <c r="C19" s="2366">
        <v>0</v>
      </c>
      <c r="D19" s="1662">
        <v>3</v>
      </c>
      <c r="E19" s="2366">
        <v>6</v>
      </c>
      <c r="F19" s="2366">
        <v>27</v>
      </c>
      <c r="G19" s="2366">
        <v>29</v>
      </c>
      <c r="H19" s="2366">
        <v>25</v>
      </c>
      <c r="I19" s="2366">
        <v>5</v>
      </c>
      <c r="J19" s="2366">
        <v>6</v>
      </c>
      <c r="K19" s="2366">
        <v>41</v>
      </c>
      <c r="L19" s="2366">
        <v>42</v>
      </c>
      <c r="M19" s="2366">
        <v>41</v>
      </c>
      <c r="N19" s="2842">
        <v>89</v>
      </c>
      <c r="O19" s="1711">
        <v>3</v>
      </c>
      <c r="P19" s="1711">
        <v>8</v>
      </c>
      <c r="Q19" s="236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E4FF8-E3F3-F71B-66B9-A25AC1160E41}"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67452" width="9.140625" hidden="1"/>
    <col min="2" max="2" style="67275" width="9.140625" hidden="1"/>
    <col min="3" max="3" style="67176" width="3.00390625" customWidth="1"/>
    <col min="4" max="4" style="67275" width="6.00390625" customWidth="1"/>
    <col min="5" max="5" style="67275" width="22.00390625" customWidth="1"/>
    <col min="6" max="6" style="67275" width="15.00390625" customWidth="1"/>
    <col min="7" max="7" style="67275" width="14.00390625" customWidth="1"/>
    <col min="8" max="8" style="67275" width="47.00390625" customWidth="1"/>
    <col min="9" max="9" style="67275" width="115.00390625" customWidth="1"/>
    <col min="10" max="10" style="67275" width="3.00390625" customWidth="1"/>
    <col min="11" max="12" style="67275" width="8.00390625" customWidth="1"/>
    <col min="13" max="13" style="67275" width="9.140625" hidden="1"/>
  </cols>
  <sheetData>
    <row customHeight="1" ht="14.25" hidden="1">
      <c r="M1" s="1332" t="s">
        <v>14</v>
      </c>
    </row>
    <row customHeight="1" ht="14.25" hidden="1">
      <c r="M2" s="1332">
        <v>0</v>
      </c>
    </row>
    <row customHeight="1" ht="14.25" hidden="1">
      <c r="M3" s="1332">
        <v>0</v>
      </c>
    </row>
    <row customHeight="1" ht="3">
      <c r="M4" s="1332">
        <v>3</v>
      </c>
    </row>
    <row s="66903" customFormat="1" customHeight="1" ht="31.5">
      <c r="A5" s="1326"/>
      <c r="C5" s="1301"/>
      <c r="D5" s="3311" t="s">
        <v>2071</v>
      </c>
      <c r="E5" s="3311"/>
      <c r="F5" s="3311"/>
      <c r="G5" s="3311"/>
      <c r="H5" s="3311"/>
      <c r="I5" s="1476"/>
      <c r="M5" s="1294">
        <v>30</v>
      </c>
    </row>
    <row customHeight="1" ht="3" hidden="1">
      <c r="D6" s="1333"/>
      <c r="E6" s="1333"/>
      <c r="F6" s="1333"/>
      <c r="G6" s="1333"/>
      <c r="H6" s="1333"/>
      <c r="I6" s="1333"/>
      <c r="M6" s="1332">
        <v>0</v>
      </c>
    </row>
    <row s="67452" customFormat="1" customHeight="1" ht="14.699999999999998">
      <c r="B7" s="1330"/>
      <c r="C7" s="1331"/>
      <c r="D7" s="1334"/>
      <c r="E7" s="1334"/>
      <c r="F7" s="1334"/>
      <c r="G7" s="1334"/>
      <c r="H7" s="1963"/>
      <c r="I7" s="1334"/>
      <c r="J7" s="1335"/>
      <c r="M7" s="1329">
        <v>14</v>
      </c>
    </row>
    <row customHeight="1" ht="14.699999999999998">
      <c r="D8" s="3420" t="s">
        <v>318</v>
      </c>
      <c r="E8" s="3420"/>
      <c r="F8" s="3420"/>
      <c r="G8" s="3420"/>
      <c r="H8" s="3420"/>
      <c r="I8" s="3420" t="s">
        <v>319</v>
      </c>
      <c r="M8" s="1332">
        <v>14</v>
      </c>
    </row>
    <row customHeight="1" ht="29.25">
      <c r="D9" s="3420" t="s">
        <v>88</v>
      </c>
      <c r="E9" s="3420" t="s">
        <v>2072</v>
      </c>
      <c r="F9" s="3420"/>
      <c r="G9" s="3420"/>
      <c r="H9" s="3420"/>
      <c r="I9" s="3420"/>
      <c r="M9" s="1332">
        <v>28</v>
      </c>
    </row>
    <row customHeight="1" ht="24">
      <c r="D10" s="3420"/>
      <c r="E10" s="1338" t="s">
        <v>2073</v>
      </c>
      <c r="F10" s="1338" t="s">
        <v>2074</v>
      </c>
      <c r="G10" s="1338" t="s">
        <v>2075</v>
      </c>
      <c r="H10" s="1338" t="s">
        <v>408</v>
      </c>
      <c r="I10" s="3420"/>
      <c r="M10" s="1332">
        <v>23</v>
      </c>
    </row>
    <row customHeight="1" ht="12" hidden="1">
      <c r="D11" s="1298" t="s">
        <v>99</v>
      </c>
      <c r="E11" s="1298" t="s">
        <v>91</v>
      </c>
      <c r="F11" s="1298" t="s">
        <v>122</v>
      </c>
      <c r="G11" s="1298" t="s">
        <v>92</v>
      </c>
      <c r="H11" s="1298" t="s">
        <v>93</v>
      </c>
      <c r="I11" s="1298" t="s">
        <v>123</v>
      </c>
      <c r="M11" s="1332">
        <v>0</v>
      </c>
    </row>
    <row s="67275" customFormat="1" customHeight="1" ht="26.25">
      <c r="A12" s="1356" t="s">
        <v>90</v>
      </c>
      <c r="B12" s="1336" t="s">
        <v>22</v>
      </c>
      <c r="C12" s="1337"/>
      <c r="D12" s="1339" t="s">
        <v>99</v>
      </c>
      <c r="E12" s="1592"/>
      <c r="F12" s="1592"/>
      <c r="G12" s="2945" t="s">
        <v>22</v>
      </c>
      <c r="H12" s="1593"/>
      <c r="I12" s="3380" t="s">
        <v>2076</v>
      </c>
      <c r="K12" s="1483"/>
      <c r="L12" s="1484"/>
      <c r="M12" s="1328">
        <v>25</v>
      </c>
    </row>
    <row customHeight="1" ht="15.75">
      <c r="A13" s="1332"/>
      <c r="B13" s="1332"/>
      <c r="C13" s="1332"/>
      <c r="D13" s="1320"/>
      <c r="E13" s="1341" t="s">
        <v>486</v>
      </c>
      <c r="F13" s="1340"/>
      <c r="G13" s="1340"/>
      <c r="H13" s="1425"/>
      <c r="I13" s="3382"/>
      <c r="M13" s="1332">
        <v>15</v>
      </c>
    </row>
    <row customHeight="1" ht="3">
      <c r="A14" s="1332"/>
      <c r="B14" s="1332"/>
      <c r="C14" s="1332"/>
      <c r="M14" s="1332">
        <v>3</v>
      </c>
    </row>
    <row customHeight="1" ht="29.25">
      <c r="E15" s="3707" t="s">
        <v>2077</v>
      </c>
      <c r="F15" s="3707"/>
      <c r="G15" s="3707"/>
      <c r="H15" s="3707"/>
      <c r="M15" s="1332">
        <v>28</v>
      </c>
    </row>
    <row customHeight="1" ht="14.25" hidden="1">
      <c r="A16" s="1329" t="s">
        <v>82</v>
      </c>
      <c r="B16" s="1330">
        <v>0</v>
      </c>
      <c r="C16" s="1331">
        <v>3</v>
      </c>
      <c r="D16" s="1332">
        <v>6</v>
      </c>
      <c r="E16" s="1332">
        <v>22</v>
      </c>
      <c r="F16" s="1332">
        <v>15</v>
      </c>
      <c r="G16" s="1332">
        <v>14</v>
      </c>
      <c r="H16" s="1332">
        <v>47</v>
      </c>
      <c r="I16" s="1332">
        <v>115</v>
      </c>
      <c r="J16" s="1332">
        <v>3</v>
      </c>
      <c r="K16" s="1332">
        <v>8</v>
      </c>
      <c r="L16" s="1332">
        <v>8</v>
      </c>
      <c r="M16" s="133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B3FED1-5091-903E-548B-BB472D3F491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67199" width="9.140625" hidden="1"/>
    <col min="3" max="3" style="67196" width="3.00390625" customWidth="1"/>
    <col min="4" max="4" style="67199" width="6.00390625" customWidth="1"/>
    <col min="5" max="5" style="67199" width="94.00390625" customWidth="1"/>
    <col min="6" max="9" style="67199" width="8.00390625" customWidth="1"/>
    <col min="10" max="10" style="67199" width="9.140625" hidden="1"/>
  </cols>
  <sheetData>
    <row customHeight="1" ht="14.25" hidden="1">
      <c r="J1" s="1280" t="s">
        <v>14</v>
      </c>
    </row>
    <row customHeight="1" ht="14.25" hidden="1">
      <c r="J2" s="1280">
        <v>0</v>
      </c>
    </row>
    <row customHeight="1" ht="14.25" hidden="1">
      <c r="J3" s="1280">
        <v>0</v>
      </c>
    </row>
    <row customHeight="1" ht="14.25" hidden="1">
      <c r="J4" s="1280">
        <v>0</v>
      </c>
    </row>
    <row customHeight="1" ht="14.25" hidden="1">
      <c r="J5" s="1280">
        <v>0</v>
      </c>
    </row>
    <row customHeight="1" ht="3">
      <c r="C6" s="1303"/>
      <c r="D6" s="1281"/>
      <c r="E6" s="1281"/>
      <c r="J6" s="1280">
        <v>3</v>
      </c>
    </row>
    <row customHeight="1" ht="23.25">
      <c r="C7" s="1303"/>
      <c r="D7" s="3708" t="s">
        <v>2078</v>
      </c>
      <c r="E7" s="3709"/>
      <c r="F7" s="1478"/>
      <c r="J7" s="1280">
        <v>22</v>
      </c>
    </row>
    <row customHeight="1" ht="3">
      <c r="C8" s="1303"/>
      <c r="D8" s="1281"/>
      <c r="E8" s="1281"/>
      <c r="J8" s="1280">
        <v>3</v>
      </c>
    </row>
    <row customHeight="1" ht="16.8">
      <c r="C9" s="1303"/>
      <c r="D9" s="1316" t="s">
        <v>88</v>
      </c>
      <c r="E9" s="1471" t="s">
        <v>2079</v>
      </c>
      <c r="J9" s="1280">
        <v>16</v>
      </c>
    </row>
    <row customHeight="1" ht="1.05">
      <c r="C10" s="1303"/>
      <c r="D10" s="1298"/>
      <c r="E10" s="1298"/>
      <c r="J10" s="1280">
        <v>1</v>
      </c>
    </row>
    <row customHeight="1" ht="11.25" hidden="1">
      <c r="C11" s="1303"/>
      <c r="D11" s="1361">
        <v>0</v>
      </c>
      <c r="E11" s="1472"/>
      <c r="J11" s="1280">
        <v>0</v>
      </c>
    </row>
    <row customHeight="1" ht="15.75">
      <c r="C12" s="1347"/>
      <c r="D12" s="1324">
        <v>1</v>
      </c>
      <c r="E12" s="1588"/>
      <c r="J12" s="1280">
        <v>15</v>
      </c>
    </row>
    <row customHeight="1" ht="12.75">
      <c r="C13" s="1303"/>
      <c r="D13" s="1473"/>
      <c r="E13" s="1474" t="s">
        <v>2080</v>
      </c>
      <c r="J13" s="1280">
        <v>12</v>
      </c>
    </row>
    <row customHeight="1" ht="3">
      <c r="J14" s="1280">
        <v>3</v>
      </c>
    </row>
    <row customHeight="1" ht="23.25">
      <c r="C15" s="1348"/>
      <c r="D15" s="3710" t="s">
        <v>2081</v>
      </c>
      <c r="E15" s="3710"/>
      <c r="F15" s="1349"/>
      <c r="G15" s="1349"/>
      <c r="H15" s="1349"/>
      <c r="I15" s="1349"/>
      <c r="J15" s="1280">
        <v>22</v>
      </c>
    </row>
    <row customHeight="1" ht="14.25" hidden="1">
      <c r="A16" s="1280" t="s">
        <v>82</v>
      </c>
      <c r="B16" s="1280">
        <v>0</v>
      </c>
      <c r="C16" s="1302">
        <v>3</v>
      </c>
      <c r="D16" s="1280">
        <v>6</v>
      </c>
      <c r="E16" s="1280">
        <v>94</v>
      </c>
      <c r="F16" s="1280">
        <v>8</v>
      </c>
      <c r="G16" s="1280">
        <v>8</v>
      </c>
      <c r="H16" s="1280">
        <v>8</v>
      </c>
      <c r="I16" s="1280">
        <v>8</v>
      </c>
      <c r="J16" s="128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926DC-0D73-AE9A-C66D-CD7DDBE0AA47}" mc:Ignorable="x14ac xr xr2 xr3">
  <sheetPr>
    <tabColor rgb="FFCCCCFF"/>
    <pageSetUpPr fitToPage="1"/>
  </sheetPr>
  <dimension ref="A1:M14"/>
  <sheetViews>
    <sheetView topLeftCell="C6" showGridLines="0" zoomScale="90" workbookViewId="0">
      <selection activeCell="C12" sqref="C12"/>
    </sheetView>
  </sheetViews>
  <sheetFormatPr defaultColWidth="9.140625" customHeight="1" defaultRowHeight="14.25"/>
  <cols>
    <col min="1" max="2" style="67199" width="9.140625" hidden="1"/>
    <col min="3" max="3" style="67196" width="3.00390625" customWidth="1"/>
    <col min="4" max="4" style="67199" width="6.00390625" customWidth="1"/>
    <col min="5" max="5" style="67199" width="94.00390625" customWidth="1"/>
    <col min="6" max="12" style="67199" width="8.00390625" customWidth="1"/>
    <col min="13" max="13" style="67199" width="9.140625" hidden="1"/>
  </cols>
  <sheetData>
    <row customHeight="1" ht="14.25" hidden="1">
      <c r="L1" s="1475"/>
      <c r="M1" s="1280" t="s">
        <v>14</v>
      </c>
    </row>
    <row customHeight="1" ht="14.25" hidden="1">
      <c r="M2" s="1280">
        <v>0</v>
      </c>
    </row>
    <row customHeight="1" ht="14.25" hidden="1">
      <c r="M3" s="1280">
        <v>0</v>
      </c>
    </row>
    <row customHeight="1" ht="14.25" hidden="1">
      <c r="M4" s="1280">
        <v>0</v>
      </c>
    </row>
    <row customHeight="1" ht="14.25" hidden="1">
      <c r="M5" s="1280">
        <v>0</v>
      </c>
    </row>
    <row customHeight="1" ht="3">
      <c r="C6" s="1303"/>
      <c r="D6" s="1281"/>
      <c r="E6" s="1281"/>
      <c r="M6" s="1280">
        <v>3</v>
      </c>
    </row>
    <row customHeight="1" ht="23.25">
      <c r="C7" s="1303"/>
      <c r="D7" s="3311" t="s">
        <v>2082</v>
      </c>
      <c r="E7" s="3311"/>
      <c r="F7" s="1478"/>
      <c r="M7" s="1280">
        <v>22</v>
      </c>
    </row>
    <row customHeight="1" ht="3">
      <c r="C8" s="1303"/>
      <c r="D8" s="1281"/>
      <c r="E8" s="1281"/>
      <c r="M8" s="1280">
        <v>3</v>
      </c>
    </row>
    <row customHeight="1" ht="16.8">
      <c r="C9" s="1303"/>
      <c r="D9" s="1316" t="s">
        <v>88</v>
      </c>
      <c r="E9" s="1319" t="s">
        <v>305</v>
      </c>
      <c r="M9" s="1280">
        <v>16</v>
      </c>
    </row>
    <row customHeight="1" ht="12.75">
      <c r="C10" s="1303"/>
      <c r="D10" s="1298" t="s">
        <v>99</v>
      </c>
      <c r="E10" s="1298" t="s">
        <v>102</v>
      </c>
      <c r="M10" s="1280">
        <v>12</v>
      </c>
    </row>
    <row customHeight="1" ht="15" hidden="1">
      <c r="C11" s="1303"/>
      <c r="D11" s="1324">
        <v>0</v>
      </c>
      <c r="E11" s="1360"/>
      <c r="M11" s="1280">
        <v>0</v>
      </c>
    </row>
    <row customHeight="1" ht="42">
      <c r="A12" s="57943"/>
      <c r="B12" s="57943"/>
      <c r="C12" s="3028" t="s">
        <v>103</v>
      </c>
      <c r="D12" s="1324" t="s">
        <v>99</v>
      </c>
      <c r="E12" s="1325" t="s">
        <v>2083</v>
      </c>
      <c r="F12" s="57943"/>
      <c r="G12" s="57943"/>
      <c r="H12" s="57943"/>
      <c r="I12" s="57943"/>
      <c r="J12" s="57943"/>
      <c r="K12" s="57943"/>
      <c r="L12" s="57943"/>
      <c r="M12" s="57943"/>
    </row>
    <row customHeight="1" ht="14.699999999999998">
      <c r="C13" s="1303"/>
      <c r="D13" s="1320"/>
      <c r="E13" s="1318" t="s">
        <v>2080</v>
      </c>
      <c r="M13" s="1280">
        <v>14</v>
      </c>
    </row>
    <row customHeight="1" ht="14.25" hidden="1">
      <c r="A14" s="1280" t="s">
        <v>82</v>
      </c>
      <c r="B14" s="1280">
        <v>0</v>
      </c>
      <c r="C14" s="1302">
        <v>3</v>
      </c>
      <c r="D14" s="1280">
        <v>6</v>
      </c>
      <c r="E14" s="1280">
        <v>94</v>
      </c>
      <c r="F14" s="1280">
        <v>8</v>
      </c>
      <c r="G14" s="1280">
        <v>8</v>
      </c>
      <c r="H14" s="1280">
        <v>8</v>
      </c>
      <c r="I14" s="1280">
        <v>8</v>
      </c>
      <c r="J14" s="1280">
        <v>8</v>
      </c>
      <c r="K14" s="1280">
        <v>8</v>
      </c>
      <c r="L14" s="1280">
        <v>8</v>
      </c>
      <c r="M14" s="1280">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3B9E6-3C4B-0FB6-65A3-ABBF4FC7D5C4}"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67502" width="9.140625" hidden="1"/>
    <col min="3" max="4" style="67502" width="3.00390625" customWidth="1"/>
    <col min="5" max="6" style="67502" width="15.00390625" customWidth="1"/>
    <col min="7" max="7" style="67502" width="11.57421875" customWidth="1"/>
    <col min="8" max="9" style="67502" width="3.00390625" customWidth="1"/>
    <col min="10" max="10" style="67502" width="12.00390625" customWidth="1"/>
    <col min="11" max="11" style="67502" width="0.28125" customWidth="1"/>
    <col min="12" max="13" style="67502" width="10.00390625" customWidth="1"/>
    <col min="14" max="15" style="67502" width="3.00390625" customWidth="1"/>
    <col min="16" max="16" style="67502" width="19.00390625" customWidth="1"/>
    <col min="17" max="17" style="67502" width="0.28125" customWidth="1"/>
    <col min="18" max="19" style="67502" width="10.00390625" customWidth="1"/>
    <col min="20" max="21" style="67502" width="3.00390625" customWidth="1"/>
    <col min="22" max="22" style="67502" width="25.00390625" customWidth="1"/>
    <col min="23" max="23" style="67502" width="0.28125" customWidth="1"/>
    <col min="24" max="25" style="67502" width="10.00390625" customWidth="1"/>
    <col min="26" max="27" style="67502" width="3.00390625" customWidth="1"/>
    <col min="28" max="28" style="67502" width="16.00390625" customWidth="1"/>
    <col min="29" max="29" style="67502" width="0.28125" customWidth="1"/>
    <col min="30" max="31" style="67502" width="10.00390625" customWidth="1"/>
    <col min="32" max="33" style="67502" width="3.00390625" customWidth="1"/>
    <col min="34" max="34" style="67502" width="8.00390625" customWidth="1"/>
    <col min="35" max="35" style="67502" width="21.00390625" customWidth="1"/>
    <col min="36" max="36" style="67502" width="8.00390625" customWidth="1"/>
    <col min="37" max="37" style="67452" width="8.00390625" customWidth="1"/>
    <col min="38" max="64" style="67502" width="8.00390625" customWidth="1"/>
    <col min="65" max="65" style="67502" width="9.140625" hidden="1"/>
  </cols>
  <sheetData>
    <row s="67460" customFormat="1" customHeight="1" ht="11.25" hidden="1">
      <c r="AJ1" s="1633"/>
      <c r="AK1" s="1633"/>
      <c r="AL1" s="1633"/>
      <c r="AM1" s="1633"/>
      <c r="AN1" s="1633"/>
      <c r="AO1" s="1633"/>
      <c r="AP1" s="1633"/>
      <c r="AQ1" s="1633"/>
      <c r="AR1" s="1633"/>
      <c r="AS1" s="1633"/>
      <c r="AT1" s="1633"/>
      <c r="AU1" s="1633"/>
      <c r="AV1" s="1633"/>
      <c r="AW1" s="1633"/>
      <c r="AX1" s="1633"/>
      <c r="AY1" s="1633"/>
      <c r="AZ1" s="1633"/>
      <c r="BA1" s="1633"/>
      <c r="BB1" s="1633"/>
      <c r="BC1" s="1633"/>
      <c r="BD1" s="1633"/>
      <c r="BE1" s="1633"/>
      <c r="BF1" s="1633"/>
      <c r="BG1" s="1633"/>
      <c r="BH1" s="1633"/>
      <c r="BI1" s="1633"/>
      <c r="BJ1" s="1633"/>
      <c r="BK1" s="1633"/>
      <c r="BL1" s="1633"/>
      <c r="BM1" s="1630" t="s">
        <v>14</v>
      </c>
    </row>
    <row s="64923" customFormat="1" customHeight="1" ht="11.25" hidden="1">
      <c r="L2" s="2764" t="s">
        <v>297</v>
      </c>
      <c r="M2" s="2764" t="s">
        <v>298</v>
      </c>
      <c r="R2" s="2764" t="s">
        <v>299</v>
      </c>
      <c r="S2" s="2764" t="s">
        <v>298</v>
      </c>
      <c r="X2" s="2764" t="s">
        <v>297</v>
      </c>
      <c r="Y2" s="2764" t="s">
        <v>298</v>
      </c>
      <c r="AD2" s="2764" t="s">
        <v>297</v>
      </c>
      <c r="AE2" s="2764" t="s">
        <v>298</v>
      </c>
      <c r="AJ2" s="2786"/>
      <c r="AK2" s="2786"/>
      <c r="AL2" s="2786"/>
      <c r="AM2" s="2786"/>
      <c r="AN2" s="2786"/>
      <c r="AO2" s="2786"/>
      <c r="AP2" s="2786"/>
      <c r="AQ2" s="2786"/>
      <c r="AR2" s="2786"/>
      <c r="AS2" s="2786"/>
      <c r="AT2" s="2786"/>
      <c r="AU2" s="2786"/>
      <c r="AV2" s="2786"/>
      <c r="AW2" s="2786"/>
      <c r="AX2" s="2786"/>
      <c r="AY2" s="2786"/>
      <c r="AZ2" s="2786"/>
      <c r="BA2" s="2786"/>
      <c r="BB2" s="2786"/>
      <c r="BC2" s="2786"/>
      <c r="BD2" s="2786"/>
      <c r="BE2" s="2786"/>
      <c r="BF2" s="2786"/>
      <c r="BG2" s="2786"/>
      <c r="BH2" s="2786"/>
      <c r="BI2" s="2786"/>
      <c r="BJ2" s="2786"/>
      <c r="BK2" s="2786"/>
      <c r="BL2" s="2786"/>
      <c r="BM2" s="2764">
        <v>0</v>
      </c>
    </row>
    <row s="64928" customFormat="1" customHeight="1" ht="11.549999999999999">
      <c r="AJ3" s="2785"/>
      <c r="AK3" s="1517"/>
      <c r="AL3" s="2785"/>
      <c r="AM3" s="2785"/>
      <c r="AN3" s="2785"/>
      <c r="AO3" s="2785"/>
      <c r="AP3" s="2785"/>
      <c r="AQ3" s="2785"/>
      <c r="AR3" s="2785"/>
      <c r="AS3" s="2785"/>
      <c r="AT3" s="2785"/>
      <c r="AU3" s="2785"/>
      <c r="AV3" s="2785"/>
      <c r="AW3" s="2785"/>
      <c r="AX3" s="2785"/>
      <c r="AY3" s="2785"/>
      <c r="AZ3" s="2785"/>
      <c r="BA3" s="2785"/>
      <c r="BB3" s="2785"/>
      <c r="BC3" s="2785"/>
      <c r="BD3" s="2785"/>
      <c r="BE3" s="2785"/>
      <c r="BF3" s="2785"/>
      <c r="BG3" s="2785"/>
      <c r="BH3" s="2785"/>
      <c r="BI3" s="2785"/>
      <c r="BJ3" s="2785"/>
      <c r="BK3" s="2785"/>
      <c r="BL3" s="2785"/>
      <c r="BM3" s="2765">
        <v>11</v>
      </c>
    </row>
    <row s="65153" customFormat="1" customHeight="1" ht="34.5">
      <c r="A4" s="2367"/>
      <c r="B4" s="2366"/>
      <c r="C4" s="2726"/>
      <c r="D4" s="3402" t="s">
        <v>300</v>
      </c>
      <c r="E4" s="3402"/>
      <c r="F4" s="3402"/>
      <c r="G4" s="3402"/>
      <c r="H4" s="3402"/>
      <c r="I4" s="3402"/>
      <c r="J4" s="3402"/>
      <c r="K4" s="1910"/>
      <c r="T4" s="2766"/>
      <c r="AJ4" s="2787"/>
      <c r="AK4" s="2788"/>
      <c r="AL4" s="2787"/>
      <c r="AM4" s="2787"/>
      <c r="AN4" s="2787"/>
      <c r="AO4" s="2787"/>
      <c r="AP4" s="2787"/>
      <c r="AQ4" s="2787"/>
      <c r="AR4" s="2787"/>
      <c r="AS4" s="2787"/>
      <c r="AT4" s="2787"/>
      <c r="AU4" s="2787"/>
      <c r="AV4" s="2787"/>
      <c r="AW4" s="2787"/>
      <c r="AX4" s="2787"/>
      <c r="AY4" s="2787"/>
      <c r="AZ4" s="2787"/>
      <c r="BA4" s="2787"/>
      <c r="BB4" s="2787"/>
      <c r="BC4" s="2787"/>
      <c r="BD4" s="2787"/>
      <c r="BE4" s="2787"/>
      <c r="BF4" s="2787"/>
      <c r="BG4" s="2787"/>
      <c r="BH4" s="2787"/>
      <c r="BI4" s="2787"/>
      <c r="BJ4" s="2787"/>
      <c r="BK4" s="2787"/>
      <c r="BL4" s="2787"/>
      <c r="BM4" s="1718">
        <v>33</v>
      </c>
    </row>
    <row s="65153" customFormat="1" customHeight="1" ht="14.699999999999998">
      <c r="A5" s="2843"/>
      <c r="B5" s="2842"/>
      <c r="C5" s="2726"/>
      <c r="D5" s="3387" t="str">
        <f>IF(org=0,"Не определено",org)</f>
        <v>ПАО "ТГК-2"</v>
      </c>
      <c r="E5" s="3387"/>
      <c r="F5" s="3387"/>
      <c r="G5" s="3387"/>
      <c r="H5" s="3387"/>
      <c r="I5" s="3387"/>
      <c r="J5" s="3387"/>
      <c r="K5" s="1910"/>
      <c r="T5" s="2766"/>
      <c r="AJ5" s="2787"/>
      <c r="AK5" s="2788"/>
      <c r="AL5" s="2787"/>
      <c r="AM5" s="2787"/>
      <c r="AN5" s="2787"/>
      <c r="AO5" s="2787"/>
      <c r="AP5" s="2787"/>
      <c r="AQ5" s="2787"/>
      <c r="AR5" s="2787"/>
      <c r="AS5" s="2787"/>
      <c r="AT5" s="2787"/>
      <c r="AU5" s="2787"/>
      <c r="AV5" s="2787"/>
      <c r="AW5" s="2787"/>
      <c r="AX5" s="2787"/>
      <c r="AY5" s="2787"/>
      <c r="AZ5" s="2787"/>
      <c r="BA5" s="2787"/>
      <c r="BB5" s="2787"/>
      <c r="BC5" s="2787"/>
      <c r="BD5" s="2787"/>
      <c r="BE5" s="2787"/>
      <c r="BF5" s="2787"/>
      <c r="BG5" s="2787"/>
      <c r="BH5" s="2787"/>
      <c r="BI5" s="2787"/>
      <c r="BJ5" s="2787"/>
      <c r="BK5" s="2787"/>
      <c r="BL5" s="2787"/>
      <c r="BM5" s="2820">
        <v>14</v>
      </c>
    </row>
    <row s="65153" customFormat="1" customHeight="1" ht="14.699999999999998">
      <c r="A6" s="2367"/>
      <c r="B6" s="2366"/>
      <c r="C6" s="2726"/>
      <c r="D6" s="1910"/>
      <c r="E6" s="1910"/>
      <c r="F6" s="1910"/>
      <c r="G6" s="1910"/>
      <c r="H6" s="1910"/>
      <c r="I6" s="1910"/>
      <c r="J6" s="1910"/>
      <c r="K6" s="1910"/>
      <c r="T6" s="2766"/>
      <c r="AJ6" s="2787"/>
      <c r="AK6" s="2788"/>
      <c r="AL6" s="2787"/>
      <c r="AM6" s="2787"/>
      <c r="AN6" s="2787"/>
      <c r="AO6" s="2787"/>
      <c r="AP6" s="2787"/>
      <c r="AQ6" s="2787"/>
      <c r="AR6" s="2787"/>
      <c r="AS6" s="2787"/>
      <c r="AT6" s="2787"/>
      <c r="AU6" s="2787"/>
      <c r="AV6" s="2787"/>
      <c r="AW6" s="2787"/>
      <c r="AX6" s="2787"/>
      <c r="AY6" s="2787"/>
      <c r="AZ6" s="2787"/>
      <c r="BA6" s="2787"/>
      <c r="BB6" s="2787"/>
      <c r="BC6" s="2787"/>
      <c r="BD6" s="2787"/>
      <c r="BE6" s="2787"/>
      <c r="BF6" s="2787"/>
      <c r="BG6" s="2787"/>
      <c r="BH6" s="2787"/>
      <c r="BI6" s="2787"/>
      <c r="BJ6" s="2787"/>
      <c r="BK6" s="2787"/>
      <c r="BL6" s="2787"/>
      <c r="BM6" s="1718">
        <v>14</v>
      </c>
    </row>
    <row s="67460" customFormat="1" customHeight="1" ht="1.05">
      <c r="AJ7" s="1633"/>
      <c r="AK7" s="1633"/>
      <c r="AL7" s="1633"/>
      <c r="AM7" s="1633"/>
      <c r="AN7" s="1633"/>
      <c r="AO7" s="1633"/>
      <c r="AP7" s="1633"/>
      <c r="AQ7" s="1633"/>
      <c r="AR7" s="1633"/>
      <c r="AS7" s="1633"/>
      <c r="AT7" s="1633"/>
      <c r="AU7" s="1633"/>
      <c r="AV7" s="1633"/>
      <c r="AW7" s="1633"/>
      <c r="AX7" s="1633"/>
      <c r="AY7" s="1633"/>
      <c r="AZ7" s="1633"/>
      <c r="BA7" s="1633"/>
      <c r="BB7" s="1633"/>
      <c r="BC7" s="1633"/>
      <c r="BD7" s="1633"/>
      <c r="BE7" s="1633"/>
      <c r="BF7" s="1633"/>
      <c r="BG7" s="1633"/>
      <c r="BH7" s="1633"/>
      <c r="BI7" s="1633"/>
      <c r="BJ7" s="1633"/>
      <c r="BK7" s="1633"/>
      <c r="BL7" s="1633"/>
      <c r="BM7" s="1630">
        <v>1</v>
      </c>
    </row>
    <row customHeight="1" ht="33.75">
      <c r="D8" s="3338" t="s">
        <v>88</v>
      </c>
      <c r="E8" s="3338" t="s">
        <v>118</v>
      </c>
      <c r="F8" s="3403" t="s">
        <v>142</v>
      </c>
      <c r="G8" s="3404"/>
      <c r="H8" s="3403" t="s">
        <v>88</v>
      </c>
      <c r="I8" s="3404"/>
      <c r="J8" s="3338" t="s">
        <v>143</v>
      </c>
      <c r="K8" s="2767"/>
      <c r="L8" s="3407" t="s">
        <v>301</v>
      </c>
      <c r="M8" s="3407"/>
      <c r="N8" s="3407"/>
      <c r="O8" s="3407"/>
      <c r="P8" s="3407"/>
      <c r="Q8" s="2768"/>
      <c r="R8" s="3307" t="s">
        <v>302</v>
      </c>
      <c r="S8" s="3408"/>
      <c r="T8" s="3408"/>
      <c r="U8" s="3408"/>
      <c r="V8" s="3408"/>
      <c r="W8" s="2768"/>
      <c r="X8" s="3409" t="s">
        <v>303</v>
      </c>
      <c r="Y8" s="3409"/>
      <c r="Z8" s="3409"/>
      <c r="AA8" s="3409"/>
      <c r="AB8" s="3409"/>
      <c r="AC8" s="2769"/>
      <c r="AD8" s="3338" t="s">
        <v>304</v>
      </c>
      <c r="AE8" s="3338"/>
      <c r="AF8" s="3338"/>
      <c r="AG8" s="3338"/>
      <c r="AH8" s="3312"/>
      <c r="AI8" s="3338" t="s">
        <v>305</v>
      </c>
      <c r="AJ8" s="2785"/>
      <c r="BM8" s="1504">
        <v>32</v>
      </c>
    </row>
    <row customHeight="1" ht="23.25">
      <c r="D9" s="3338"/>
      <c r="E9" s="3338"/>
      <c r="F9" s="3386" t="s">
        <v>89</v>
      </c>
      <c r="G9" s="3386" t="s">
        <v>148</v>
      </c>
      <c r="H9" s="3405"/>
      <c r="I9" s="3406"/>
      <c r="J9" s="3312"/>
      <c r="K9" s="2770"/>
      <c r="L9" s="3338" t="s">
        <v>306</v>
      </c>
      <c r="M9" s="3312"/>
      <c r="N9" s="3403" t="s">
        <v>88</v>
      </c>
      <c r="O9" s="3404"/>
      <c r="P9" s="3338" t="s">
        <v>149</v>
      </c>
      <c r="Q9" s="2767"/>
      <c r="R9" s="3338" t="s">
        <v>306</v>
      </c>
      <c r="S9" s="3312"/>
      <c r="T9" s="3403" t="s">
        <v>88</v>
      </c>
      <c r="U9" s="3404"/>
      <c r="V9" s="3338" t="s">
        <v>149</v>
      </c>
      <c r="W9" s="2767"/>
      <c r="X9" s="3338" t="s">
        <v>306</v>
      </c>
      <c r="Y9" s="3312"/>
      <c r="Z9" s="3403" t="s">
        <v>88</v>
      </c>
      <c r="AA9" s="3404"/>
      <c r="AB9" s="3338" t="s">
        <v>307</v>
      </c>
      <c r="AC9" s="2767"/>
      <c r="AD9" s="3338" t="s">
        <v>306</v>
      </c>
      <c r="AE9" s="3312"/>
      <c r="AF9" s="3403" t="s">
        <v>88</v>
      </c>
      <c r="AG9" s="3404"/>
      <c r="AH9" s="3312" t="s">
        <v>307</v>
      </c>
      <c r="AI9" s="3338"/>
      <c r="AJ9" s="2785"/>
      <c r="BM9" s="1504">
        <v>22</v>
      </c>
    </row>
    <row customHeight="1" ht="24">
      <c r="D10" s="3386"/>
      <c r="E10" s="3386"/>
      <c r="F10" s="3410"/>
      <c r="G10" s="3410"/>
      <c r="H10" s="3411"/>
      <c r="I10" s="3412"/>
      <c r="J10" s="3403"/>
      <c r="K10" s="2770"/>
      <c r="L10" s="2789" t="s">
        <v>308</v>
      </c>
      <c r="M10" s="2784" t="s">
        <v>309</v>
      </c>
      <c r="N10" s="3405"/>
      <c r="O10" s="3406"/>
      <c r="P10" s="3386"/>
      <c r="Q10" s="2767"/>
      <c r="R10" s="2789" t="s">
        <v>308</v>
      </c>
      <c r="S10" s="2784" t="s">
        <v>309</v>
      </c>
      <c r="T10" s="3405"/>
      <c r="U10" s="3406"/>
      <c r="V10" s="3386"/>
      <c r="W10" s="2767"/>
      <c r="X10" s="2789" t="s">
        <v>308</v>
      </c>
      <c r="Y10" s="2784" t="s">
        <v>309</v>
      </c>
      <c r="Z10" s="3405"/>
      <c r="AA10" s="3406"/>
      <c r="AB10" s="3386"/>
      <c r="AC10" s="2767"/>
      <c r="AD10" s="2789" t="s">
        <v>308</v>
      </c>
      <c r="AE10" s="2784" t="s">
        <v>309</v>
      </c>
      <c r="AF10" s="3405"/>
      <c r="AG10" s="3406"/>
      <c r="AH10" s="3403"/>
      <c r="AI10" s="3386"/>
      <c r="AJ10" s="2785"/>
      <c r="AK10" s="1465" t="s">
        <v>310</v>
      </c>
      <c r="AL10" s="1465" t="s">
        <v>150</v>
      </c>
      <c r="BM10" s="1504">
        <v>23</v>
      </c>
    </row>
    <row customHeight="1" ht="15">
      <c r="D11" s="3394" t="s">
        <v>99</v>
      </c>
      <c r="E11" s="3390" t="s">
        <v>311</v>
      </c>
      <c r="F11" s="3390" t="s">
        <v>312</v>
      </c>
      <c r="G11" s="3396" t="s">
        <v>19</v>
      </c>
      <c r="H11" s="2810"/>
      <c r="I11" s="3392"/>
      <c r="J11" s="3363"/>
      <c r="K11" s="2725"/>
      <c r="L11" s="3348"/>
      <c r="M11" s="3348"/>
      <c r="N11" s="2795"/>
      <c r="O11" s="3348"/>
      <c r="P11" s="3363"/>
      <c r="Q11" s="2796"/>
      <c r="R11" s="3348"/>
      <c r="S11" s="3348"/>
      <c r="T11" s="2797"/>
      <c r="U11" s="3348"/>
      <c r="V11" s="3363"/>
      <c r="W11" s="2798"/>
      <c r="X11" s="3348"/>
      <c r="Y11" s="3348"/>
      <c r="Z11" s="2795"/>
      <c r="AA11" s="3348"/>
      <c r="AB11" s="3363"/>
      <c r="AC11" s="2799"/>
      <c r="AD11" s="3348"/>
      <c r="AE11" s="3348"/>
      <c r="AF11" s="2724"/>
      <c r="AG11" s="2724"/>
      <c r="AH11" s="2800"/>
      <c r="AI11" s="2507"/>
      <c r="AJ11" s="2785"/>
      <c r="BM11" s="1504">
        <v>14</v>
      </c>
    </row>
    <row customHeight="1" ht="14.699999999999998">
      <c r="D12" s="3394"/>
      <c r="E12" s="3390"/>
      <c r="F12" s="3390"/>
      <c r="G12" s="3397"/>
      <c r="H12" s="2811"/>
      <c r="I12" s="3393"/>
      <c r="J12" s="3364"/>
      <c r="K12" s="2821"/>
      <c r="L12" s="3349"/>
      <c r="M12" s="3349"/>
      <c r="N12" s="2801"/>
      <c r="O12" s="3349"/>
      <c r="P12" s="3364"/>
      <c r="Q12" s="2802"/>
      <c r="R12" s="3349"/>
      <c r="S12" s="3349"/>
      <c r="T12" s="2803"/>
      <c r="U12" s="3349"/>
      <c r="V12" s="3364"/>
      <c r="W12" s="2804"/>
      <c r="X12" s="3349"/>
      <c r="Y12" s="3349"/>
      <c r="Z12" s="2801"/>
      <c r="AA12" s="3349"/>
      <c r="AB12" s="3364"/>
      <c r="AC12" s="2805"/>
      <c r="AD12" s="3349"/>
      <c r="AE12" s="3349"/>
      <c r="AF12" s="2806"/>
      <c r="AG12" s="2806"/>
      <c r="AH12" s="3388"/>
      <c r="AI12" s="3389"/>
      <c r="AJ12" s="2785"/>
      <c r="BM12" s="1504">
        <v>14</v>
      </c>
    </row>
    <row customHeight="1" ht="14.699999999999998">
      <c r="D13" s="3394"/>
      <c r="E13" s="3390"/>
      <c r="F13" s="3390"/>
      <c r="G13" s="3397"/>
      <c r="H13" s="2811"/>
      <c r="I13" s="3393"/>
      <c r="J13" s="3364"/>
      <c r="K13" s="2821"/>
      <c r="L13" s="3349"/>
      <c r="M13" s="3349"/>
      <c r="N13" s="2801"/>
      <c r="O13" s="3349"/>
      <c r="P13" s="3364"/>
      <c r="Q13" s="2802"/>
      <c r="R13" s="3349"/>
      <c r="S13" s="3349"/>
      <c r="T13" s="2803"/>
      <c r="U13" s="3349"/>
      <c r="V13" s="3364"/>
      <c r="W13" s="2804"/>
      <c r="X13" s="3349"/>
      <c r="Y13" s="3349"/>
      <c r="Z13" s="2723"/>
      <c r="AA13" s="2806"/>
      <c r="AB13" s="3388"/>
      <c r="AC13" s="3388"/>
      <c r="AD13" s="3388"/>
      <c r="AE13" s="3388"/>
      <c r="AF13" s="3388"/>
      <c r="AG13" s="3388"/>
      <c r="AH13" s="3388"/>
      <c r="AI13" s="3389"/>
      <c r="AJ13" s="2785"/>
      <c r="BM13" s="1504">
        <v>14</v>
      </c>
    </row>
    <row customHeight="1" ht="14.699999999999998">
      <c r="D14" s="3394"/>
      <c r="E14" s="3390"/>
      <c r="F14" s="3390"/>
      <c r="G14" s="3397"/>
      <c r="H14" s="2811"/>
      <c r="I14" s="3393"/>
      <c r="J14" s="3364"/>
      <c r="K14" s="2821"/>
      <c r="L14" s="3349"/>
      <c r="M14" s="3349"/>
      <c r="N14" s="2801"/>
      <c r="O14" s="3349"/>
      <c r="P14" s="3364"/>
      <c r="Q14" s="2802"/>
      <c r="R14" s="3349"/>
      <c r="S14" s="3349"/>
      <c r="T14" s="2807"/>
      <c r="U14" s="2808"/>
      <c r="V14" s="3388"/>
      <c r="W14" s="3388"/>
      <c r="X14" s="3388"/>
      <c r="Y14" s="3388"/>
      <c r="Z14" s="3388"/>
      <c r="AA14" s="3388"/>
      <c r="AB14" s="3388"/>
      <c r="AC14" s="3388"/>
      <c r="AD14" s="3388"/>
      <c r="AE14" s="3388"/>
      <c r="AF14" s="3388"/>
      <c r="AG14" s="3388"/>
      <c r="AH14" s="3388"/>
      <c r="AI14" s="3389"/>
      <c r="AJ14" s="2785"/>
      <c r="BM14" s="1504">
        <v>14</v>
      </c>
    </row>
    <row customHeight="1" ht="11.549999999999999">
      <c r="D15" s="3394"/>
      <c r="E15" s="3390"/>
      <c r="F15" s="3390"/>
      <c r="G15" s="3397"/>
      <c r="H15" s="2812"/>
      <c r="I15" s="3393"/>
      <c r="J15" s="3364"/>
      <c r="K15" s="2821"/>
      <c r="L15" s="3349"/>
      <c r="M15" s="3349"/>
      <c r="N15" s="2806"/>
      <c r="O15" s="2806"/>
      <c r="P15" s="3388"/>
      <c r="Q15" s="3388"/>
      <c r="R15" s="3388"/>
      <c r="S15" s="3388"/>
      <c r="T15" s="3388"/>
      <c r="U15" s="3388"/>
      <c r="V15" s="3388"/>
      <c r="W15" s="3388"/>
      <c r="X15" s="3388"/>
      <c r="Y15" s="3388"/>
      <c r="Z15" s="3388"/>
      <c r="AA15" s="3388"/>
      <c r="AB15" s="3388"/>
      <c r="AC15" s="3388"/>
      <c r="AD15" s="3388"/>
      <c r="AE15" s="3388"/>
      <c r="AF15" s="3388"/>
      <c r="AG15" s="3388"/>
      <c r="AH15" s="3388"/>
      <c r="AI15" s="3389"/>
      <c r="AJ15" s="2785"/>
      <c r="BM15" s="1504">
        <v>11</v>
      </c>
    </row>
    <row s="64928" customFormat="1" customHeight="1" ht="11.549999999999999">
      <c r="D16" s="3400"/>
      <c r="E16" s="3401"/>
      <c r="F16" s="3391"/>
      <c r="G16" s="3323"/>
      <c r="H16" s="2809"/>
      <c r="I16" s="2813"/>
      <c r="J16" s="3398"/>
      <c r="K16" s="3398"/>
      <c r="L16" s="3398"/>
      <c r="M16" s="3398"/>
      <c r="N16" s="3398"/>
      <c r="O16" s="3398"/>
      <c r="P16" s="3398"/>
      <c r="Q16" s="3398"/>
      <c r="R16" s="3398"/>
      <c r="S16" s="3398"/>
      <c r="T16" s="3398"/>
      <c r="U16" s="3398"/>
      <c r="V16" s="3398"/>
      <c r="W16" s="3398"/>
      <c r="X16" s="3398"/>
      <c r="Y16" s="3398"/>
      <c r="Z16" s="3398"/>
      <c r="AA16" s="3398"/>
      <c r="AB16" s="3398"/>
      <c r="AC16" s="3398"/>
      <c r="AD16" s="3398"/>
      <c r="AE16" s="3398"/>
      <c r="AF16" s="3398"/>
      <c r="AG16" s="3398"/>
      <c r="AH16" s="3398"/>
      <c r="AI16" s="3399"/>
      <c r="AJ16" s="2785"/>
      <c r="AK16" s="1517"/>
      <c r="AL16" s="2785"/>
      <c r="AM16" s="2785"/>
      <c r="AN16" s="2785"/>
      <c r="AO16" s="2785"/>
      <c r="AP16" s="2785"/>
      <c r="AQ16" s="2785"/>
      <c r="AR16" s="2785"/>
      <c r="AS16" s="2785"/>
      <c r="AT16" s="2785"/>
      <c r="AU16" s="2785"/>
      <c r="AV16" s="2785"/>
      <c r="AW16" s="2785"/>
      <c r="AX16" s="2785"/>
      <c r="AY16" s="2785"/>
      <c r="AZ16" s="2785"/>
      <c r="BA16" s="2785"/>
      <c r="BB16" s="2785"/>
      <c r="BC16" s="2785"/>
      <c r="BD16" s="2785"/>
      <c r="BE16" s="2785"/>
      <c r="BF16" s="2785"/>
      <c r="BG16" s="2785"/>
      <c r="BH16" s="2785"/>
      <c r="BI16" s="2785"/>
      <c r="BJ16" s="2785"/>
      <c r="BK16" s="2785"/>
      <c r="BL16" s="2785"/>
      <c r="BM16" s="2765">
        <v>11</v>
      </c>
    </row>
    <row customHeight="1" ht="15">
      <c r="D17" s="3394" t="s">
        <v>102</v>
      </c>
      <c r="E17" s="3390" t="s">
        <v>311</v>
      </c>
      <c r="F17" s="3390" t="s">
        <v>313</v>
      </c>
      <c r="G17" s="3396" t="s">
        <v>19</v>
      </c>
      <c r="H17" s="2810"/>
      <c r="I17" s="3392"/>
      <c r="J17" s="3363"/>
      <c r="K17" s="2725"/>
      <c r="L17" s="3348"/>
      <c r="M17" s="3348"/>
      <c r="N17" s="2795"/>
      <c r="O17" s="3348"/>
      <c r="P17" s="3363"/>
      <c r="Q17" s="2796"/>
      <c r="R17" s="3348"/>
      <c r="S17" s="3348"/>
      <c r="T17" s="2797"/>
      <c r="U17" s="3348"/>
      <c r="V17" s="3363"/>
      <c r="W17" s="2798"/>
      <c r="X17" s="3348"/>
      <c r="Y17" s="3348"/>
      <c r="Z17" s="2795"/>
      <c r="AA17" s="3348"/>
      <c r="AB17" s="3363"/>
      <c r="AC17" s="2799"/>
      <c r="AD17" s="3348"/>
      <c r="AE17" s="3348"/>
      <c r="AF17" s="2724"/>
      <c r="AG17" s="2724"/>
      <c r="AH17" s="2800"/>
      <c r="AI17" s="2507"/>
      <c r="AJ17" s="2785"/>
      <c r="BM17" s="1504">
        <v>14</v>
      </c>
    </row>
    <row customHeight="1" ht="14.699999999999998">
      <c r="D18" s="3394"/>
      <c r="E18" s="3390"/>
      <c r="F18" s="3390"/>
      <c r="G18" s="3397"/>
      <c r="H18" s="2811"/>
      <c r="I18" s="3393"/>
      <c r="J18" s="3364"/>
      <c r="K18" s="2794"/>
      <c r="L18" s="3349"/>
      <c r="M18" s="3349"/>
      <c r="N18" s="2801"/>
      <c r="O18" s="3349"/>
      <c r="P18" s="3364"/>
      <c r="Q18" s="2802"/>
      <c r="R18" s="3349"/>
      <c r="S18" s="3349"/>
      <c r="T18" s="2803"/>
      <c r="U18" s="3349"/>
      <c r="V18" s="3364"/>
      <c r="W18" s="2804"/>
      <c r="X18" s="3349"/>
      <c r="Y18" s="3349"/>
      <c r="Z18" s="2801"/>
      <c r="AA18" s="3349"/>
      <c r="AB18" s="3364"/>
      <c r="AC18" s="2805"/>
      <c r="AD18" s="3349"/>
      <c r="AE18" s="3349"/>
      <c r="AF18" s="2806"/>
      <c r="AG18" s="2806"/>
      <c r="AH18" s="3388"/>
      <c r="AI18" s="3389"/>
      <c r="AJ18" s="2785"/>
      <c r="BM18" s="1504">
        <v>14</v>
      </c>
    </row>
    <row customHeight="1" ht="14.699999999999998">
      <c r="D19" s="3394"/>
      <c r="E19" s="3390"/>
      <c r="F19" s="3390"/>
      <c r="G19" s="3397"/>
      <c r="H19" s="2811"/>
      <c r="I19" s="3393"/>
      <c r="J19" s="3364"/>
      <c r="K19" s="2794"/>
      <c r="L19" s="3349"/>
      <c r="M19" s="3349"/>
      <c r="N19" s="2801"/>
      <c r="O19" s="3349"/>
      <c r="P19" s="3364"/>
      <c r="Q19" s="2802"/>
      <c r="R19" s="3349"/>
      <c r="S19" s="3349"/>
      <c r="T19" s="2803"/>
      <c r="U19" s="3349"/>
      <c r="V19" s="3364"/>
      <c r="W19" s="2804"/>
      <c r="X19" s="3349"/>
      <c r="Y19" s="3349"/>
      <c r="Z19" s="2723"/>
      <c r="AA19" s="2806"/>
      <c r="AB19" s="3388"/>
      <c r="AC19" s="3388"/>
      <c r="AD19" s="3388"/>
      <c r="AE19" s="3388"/>
      <c r="AF19" s="3388"/>
      <c r="AG19" s="3388"/>
      <c r="AH19" s="3388"/>
      <c r="AI19" s="3389"/>
      <c r="AJ19" s="2785"/>
      <c r="BM19" s="1504">
        <v>14</v>
      </c>
    </row>
    <row customHeight="1" ht="14.699999999999998">
      <c r="D20" s="3394"/>
      <c r="E20" s="3390"/>
      <c r="F20" s="3390"/>
      <c r="G20" s="3397"/>
      <c r="H20" s="2811"/>
      <c r="I20" s="3393"/>
      <c r="J20" s="3364"/>
      <c r="K20" s="2794"/>
      <c r="L20" s="3349"/>
      <c r="M20" s="3349"/>
      <c r="N20" s="2801"/>
      <c r="O20" s="3349"/>
      <c r="P20" s="3364"/>
      <c r="Q20" s="2802"/>
      <c r="R20" s="3349"/>
      <c r="S20" s="3349"/>
      <c r="T20" s="2807"/>
      <c r="U20" s="2808"/>
      <c r="V20" s="3388"/>
      <c r="W20" s="3388"/>
      <c r="X20" s="3388"/>
      <c r="Y20" s="3388"/>
      <c r="Z20" s="3388"/>
      <c r="AA20" s="3388"/>
      <c r="AB20" s="3388"/>
      <c r="AC20" s="3388"/>
      <c r="AD20" s="3388"/>
      <c r="AE20" s="3388"/>
      <c r="AF20" s="3388"/>
      <c r="AG20" s="3388"/>
      <c r="AH20" s="3388"/>
      <c r="AI20" s="3389"/>
      <c r="AJ20" s="2785"/>
      <c r="BM20" s="1504">
        <v>14</v>
      </c>
    </row>
    <row customHeight="1" ht="11.549999999999999">
      <c r="D21" s="3394"/>
      <c r="E21" s="3390"/>
      <c r="F21" s="3390"/>
      <c r="G21" s="3397"/>
      <c r="H21" s="2812"/>
      <c r="I21" s="3393"/>
      <c r="J21" s="3364"/>
      <c r="K21" s="2794"/>
      <c r="L21" s="3349"/>
      <c r="M21" s="3349"/>
      <c r="N21" s="2806"/>
      <c r="O21" s="2806"/>
      <c r="P21" s="3388"/>
      <c r="Q21" s="3388"/>
      <c r="R21" s="3388"/>
      <c r="S21" s="3388"/>
      <c r="T21" s="3388"/>
      <c r="U21" s="3388"/>
      <c r="V21" s="3388"/>
      <c r="W21" s="3388"/>
      <c r="X21" s="3388"/>
      <c r="Y21" s="3388"/>
      <c r="Z21" s="3388"/>
      <c r="AA21" s="3388"/>
      <c r="AB21" s="3388"/>
      <c r="AC21" s="3388"/>
      <c r="AD21" s="3388"/>
      <c r="AE21" s="3388"/>
      <c r="AF21" s="3388"/>
      <c r="AG21" s="3388"/>
      <c r="AH21" s="3388"/>
      <c r="AI21" s="3389"/>
      <c r="AJ21" s="2785"/>
      <c r="BM21" s="1504">
        <v>11</v>
      </c>
    </row>
    <row s="64928" customFormat="1" customHeight="1" ht="11.549999999999999">
      <c r="D22" s="3400"/>
      <c r="E22" s="3401"/>
      <c r="F22" s="3391"/>
      <c r="G22" s="3323"/>
      <c r="H22" s="2809"/>
      <c r="I22" s="2813"/>
      <c r="J22" s="3398"/>
      <c r="K22" s="3398"/>
      <c r="L22" s="3398"/>
      <c r="M22" s="3398"/>
      <c r="N22" s="3398"/>
      <c r="O22" s="3398"/>
      <c r="P22" s="3398"/>
      <c r="Q22" s="3398"/>
      <c r="R22" s="3398"/>
      <c r="S22" s="3398"/>
      <c r="T22" s="3398"/>
      <c r="U22" s="3398"/>
      <c r="V22" s="3398"/>
      <c r="W22" s="3398"/>
      <c r="X22" s="3398"/>
      <c r="Y22" s="3398"/>
      <c r="Z22" s="3398"/>
      <c r="AA22" s="3398"/>
      <c r="AB22" s="3398"/>
      <c r="AC22" s="3398"/>
      <c r="AD22" s="3398"/>
      <c r="AE22" s="3398"/>
      <c r="AF22" s="3398"/>
      <c r="AG22" s="3398"/>
      <c r="AH22" s="3398"/>
      <c r="AI22" s="3399"/>
      <c r="AJ22" s="2785"/>
      <c r="AK22" s="1517"/>
      <c r="AL22" s="2785"/>
      <c r="AM22" s="2785"/>
      <c r="AN22" s="2785"/>
      <c r="AO22" s="2785"/>
      <c r="AP22" s="2785"/>
      <c r="AQ22" s="2785"/>
      <c r="AR22" s="2785"/>
      <c r="AS22" s="2785"/>
      <c r="AT22" s="2785"/>
      <c r="AU22" s="2785"/>
      <c r="AV22" s="2785"/>
      <c r="AW22" s="2785"/>
      <c r="AX22" s="2785"/>
      <c r="AY22" s="2785"/>
      <c r="AZ22" s="2785"/>
      <c r="BA22" s="2785"/>
      <c r="BB22" s="2785"/>
      <c r="BC22" s="2785"/>
      <c r="BD22" s="2785"/>
      <c r="BE22" s="2785"/>
      <c r="BF22" s="2785"/>
      <c r="BG22" s="2785"/>
      <c r="BH22" s="2785"/>
      <c r="BI22" s="2785"/>
      <c r="BJ22" s="2785"/>
      <c r="BK22" s="2785"/>
      <c r="BL22" s="2785"/>
      <c r="BM22" s="2765">
        <v>11</v>
      </c>
    </row>
    <row customHeight="1" ht="15">
      <c r="D23" s="3394" t="s">
        <v>90</v>
      </c>
      <c r="E23" s="3390" t="s">
        <v>311</v>
      </c>
      <c r="F23" s="3390" t="s">
        <v>314</v>
      </c>
      <c r="G23" s="3396" t="s">
        <v>19</v>
      </c>
      <c r="H23" s="2810"/>
      <c r="I23" s="3392"/>
      <c r="J23" s="3363"/>
      <c r="K23" s="2725"/>
      <c r="L23" s="3348"/>
      <c r="M23" s="3348"/>
      <c r="N23" s="2795"/>
      <c r="O23" s="3348"/>
      <c r="P23" s="3363"/>
      <c r="Q23" s="2796"/>
      <c r="R23" s="3348"/>
      <c r="S23" s="3348"/>
      <c r="T23" s="2797"/>
      <c r="U23" s="3348"/>
      <c r="V23" s="3363"/>
      <c r="W23" s="2798"/>
      <c r="X23" s="3348"/>
      <c r="Y23" s="3348"/>
      <c r="Z23" s="2795"/>
      <c r="AA23" s="3348"/>
      <c r="AB23" s="3363"/>
      <c r="AC23" s="2799"/>
      <c r="AD23" s="3348"/>
      <c r="AE23" s="3348"/>
      <c r="AF23" s="2724"/>
      <c r="AG23" s="2724"/>
      <c r="AH23" s="2800"/>
      <c r="AI23" s="2507"/>
      <c r="AJ23" s="2785"/>
      <c r="AK23" s="1517" t="s">
        <v>98</v>
      </c>
      <c r="BM23" s="1504">
        <v>14</v>
      </c>
    </row>
    <row customHeight="1" ht="14.699999999999998">
      <c r="D24" s="3394"/>
      <c r="E24" s="3390"/>
      <c r="F24" s="3390"/>
      <c r="G24" s="3397"/>
      <c r="H24" s="2811"/>
      <c r="I24" s="3393"/>
      <c r="J24" s="3364"/>
      <c r="K24" s="2821"/>
      <c r="L24" s="3349"/>
      <c r="M24" s="3349"/>
      <c r="N24" s="2801"/>
      <c r="O24" s="3349"/>
      <c r="P24" s="3364"/>
      <c r="Q24" s="2802"/>
      <c r="R24" s="3349"/>
      <c r="S24" s="3349"/>
      <c r="T24" s="2803"/>
      <c r="U24" s="3349"/>
      <c r="V24" s="3364"/>
      <c r="W24" s="2804"/>
      <c r="X24" s="3349"/>
      <c r="Y24" s="3349"/>
      <c r="Z24" s="2801"/>
      <c r="AA24" s="3349"/>
      <c r="AB24" s="3364"/>
      <c r="AC24" s="2805"/>
      <c r="AD24" s="3349"/>
      <c r="AE24" s="3349"/>
      <c r="AF24" s="2806"/>
      <c r="AG24" s="2806"/>
      <c r="AH24" s="3388"/>
      <c r="AI24" s="3389"/>
      <c r="AJ24" s="2785"/>
      <c r="BM24" s="1504">
        <v>14</v>
      </c>
    </row>
    <row customHeight="1" ht="14.699999999999998">
      <c r="D25" s="3394"/>
      <c r="E25" s="3390"/>
      <c r="F25" s="3390"/>
      <c r="G25" s="3397"/>
      <c r="H25" s="2811"/>
      <c r="I25" s="3393"/>
      <c r="J25" s="3364"/>
      <c r="K25" s="2821"/>
      <c r="L25" s="3349"/>
      <c r="M25" s="3349"/>
      <c r="N25" s="2801"/>
      <c r="O25" s="3349"/>
      <c r="P25" s="3364"/>
      <c r="Q25" s="2802"/>
      <c r="R25" s="3349"/>
      <c r="S25" s="3349"/>
      <c r="T25" s="2803"/>
      <c r="U25" s="3349"/>
      <c r="V25" s="3364"/>
      <c r="W25" s="2804"/>
      <c r="X25" s="3349"/>
      <c r="Y25" s="3349"/>
      <c r="Z25" s="2723"/>
      <c r="AA25" s="2806"/>
      <c r="AB25" s="3388"/>
      <c r="AC25" s="3388"/>
      <c r="AD25" s="3388"/>
      <c r="AE25" s="3388"/>
      <c r="AF25" s="3388"/>
      <c r="AG25" s="3388"/>
      <c r="AH25" s="3388"/>
      <c r="AI25" s="3389"/>
      <c r="AJ25" s="2785"/>
      <c r="BM25" s="1504">
        <v>14</v>
      </c>
    </row>
    <row customHeight="1" ht="14.699999999999998">
      <c r="D26" s="3394"/>
      <c r="E26" s="3390"/>
      <c r="F26" s="3390"/>
      <c r="G26" s="3397"/>
      <c r="H26" s="2811"/>
      <c r="I26" s="3393"/>
      <c r="J26" s="3364"/>
      <c r="K26" s="2821"/>
      <c r="L26" s="3349"/>
      <c r="M26" s="3349"/>
      <c r="N26" s="2801"/>
      <c r="O26" s="3349"/>
      <c r="P26" s="3364"/>
      <c r="Q26" s="2802"/>
      <c r="R26" s="3349"/>
      <c r="S26" s="3349"/>
      <c r="T26" s="2807"/>
      <c r="U26" s="2808"/>
      <c r="V26" s="3388"/>
      <c r="W26" s="3388"/>
      <c r="X26" s="3388"/>
      <c r="Y26" s="3388"/>
      <c r="Z26" s="3388"/>
      <c r="AA26" s="3388"/>
      <c r="AB26" s="3388"/>
      <c r="AC26" s="3388"/>
      <c r="AD26" s="3388"/>
      <c r="AE26" s="3388"/>
      <c r="AF26" s="3388"/>
      <c r="AG26" s="3388"/>
      <c r="AH26" s="3388"/>
      <c r="AI26" s="3389"/>
      <c r="AJ26" s="2785"/>
      <c r="BM26" s="1504">
        <v>14</v>
      </c>
    </row>
    <row customHeight="1" ht="11.549999999999999">
      <c r="D27" s="3394"/>
      <c r="E27" s="3390"/>
      <c r="F27" s="3390"/>
      <c r="G27" s="3397"/>
      <c r="H27" s="2812"/>
      <c r="I27" s="3393"/>
      <c r="J27" s="3364"/>
      <c r="K27" s="2821"/>
      <c r="L27" s="3349"/>
      <c r="M27" s="3349"/>
      <c r="N27" s="2806"/>
      <c r="O27" s="2806"/>
      <c r="P27" s="3388"/>
      <c r="Q27" s="3388"/>
      <c r="R27" s="3388"/>
      <c r="S27" s="3388"/>
      <c r="T27" s="3388"/>
      <c r="U27" s="3388"/>
      <c r="V27" s="3388"/>
      <c r="W27" s="3388"/>
      <c r="X27" s="3388"/>
      <c r="Y27" s="3388"/>
      <c r="Z27" s="3388"/>
      <c r="AA27" s="3388"/>
      <c r="AB27" s="3388"/>
      <c r="AC27" s="3388"/>
      <c r="AD27" s="3388"/>
      <c r="AE27" s="3388"/>
      <c r="AF27" s="3388"/>
      <c r="AG27" s="3388"/>
      <c r="AH27" s="3388"/>
      <c r="AI27" s="3389"/>
      <c r="AJ27" s="2785"/>
      <c r="BM27" s="1504">
        <v>11</v>
      </c>
    </row>
    <row s="64928" customFormat="1" customHeight="1" ht="11.549999999999999">
      <c r="D28" s="3400"/>
      <c r="E28" s="3401"/>
      <c r="F28" s="3391"/>
      <c r="G28" s="3323"/>
      <c r="H28" s="2809"/>
      <c r="I28" s="2813"/>
      <c r="J28" s="3398"/>
      <c r="K28" s="3398"/>
      <c r="L28" s="3398"/>
      <c r="M28" s="3398"/>
      <c r="N28" s="3398"/>
      <c r="O28" s="3398"/>
      <c r="P28" s="3398"/>
      <c r="Q28" s="3398"/>
      <c r="R28" s="3398"/>
      <c r="S28" s="3398"/>
      <c r="T28" s="3398"/>
      <c r="U28" s="3398"/>
      <c r="V28" s="3398"/>
      <c r="W28" s="3398"/>
      <c r="X28" s="3398"/>
      <c r="Y28" s="3398"/>
      <c r="Z28" s="3398"/>
      <c r="AA28" s="3398"/>
      <c r="AB28" s="3398"/>
      <c r="AC28" s="3398"/>
      <c r="AD28" s="3398"/>
      <c r="AE28" s="3398"/>
      <c r="AF28" s="3398"/>
      <c r="AG28" s="3398"/>
      <c r="AH28" s="3398"/>
      <c r="AI28" s="3399"/>
      <c r="AJ28" s="2785"/>
      <c r="AK28" s="1517"/>
      <c r="AL28" s="2785"/>
      <c r="AM28" s="2785"/>
      <c r="AN28" s="2785"/>
      <c r="AO28" s="2785"/>
      <c r="AP28" s="2785"/>
      <c r="AQ28" s="2785"/>
      <c r="AR28" s="2785"/>
      <c r="AS28" s="2785"/>
      <c r="AT28" s="2785"/>
      <c r="AU28" s="2785"/>
      <c r="AV28" s="2785"/>
      <c r="AW28" s="2785"/>
      <c r="AX28" s="2785"/>
      <c r="AY28" s="2785"/>
      <c r="AZ28" s="2785"/>
      <c r="BA28" s="2785"/>
      <c r="BB28" s="2785"/>
      <c r="BC28" s="2785"/>
      <c r="BD28" s="2785"/>
      <c r="BE28" s="2785"/>
      <c r="BF28" s="2785"/>
      <c r="BG28" s="2785"/>
      <c r="BH28" s="2785"/>
      <c r="BI28" s="2785"/>
      <c r="BJ28" s="2785"/>
      <c r="BK28" s="2785"/>
      <c r="BL28" s="2785"/>
      <c r="BM28" s="2765">
        <v>11</v>
      </c>
    </row>
    <row customHeight="1" ht="15">
      <c r="D29" s="3394" t="s">
        <v>91</v>
      </c>
      <c r="E29" s="3390" t="s">
        <v>311</v>
      </c>
      <c r="F29" s="3390" t="s">
        <v>315</v>
      </c>
      <c r="G29" s="3396" t="s">
        <v>19</v>
      </c>
      <c r="H29" s="2810"/>
      <c r="I29" s="3392"/>
      <c r="J29" s="3363"/>
      <c r="K29" s="2725"/>
      <c r="L29" s="3348"/>
      <c r="M29" s="3348"/>
      <c r="N29" s="2795"/>
      <c r="O29" s="3348"/>
      <c r="P29" s="3363"/>
      <c r="Q29" s="2796"/>
      <c r="R29" s="3348"/>
      <c r="S29" s="3348"/>
      <c r="T29" s="2797"/>
      <c r="U29" s="3348"/>
      <c r="V29" s="3363"/>
      <c r="W29" s="2798"/>
      <c r="X29" s="3348"/>
      <c r="Y29" s="3348"/>
      <c r="Z29" s="2795"/>
      <c r="AA29" s="3348"/>
      <c r="AB29" s="3363"/>
      <c r="AC29" s="2799"/>
      <c r="AD29" s="3348"/>
      <c r="AE29" s="3348"/>
      <c r="AF29" s="2724"/>
      <c r="AG29" s="2724"/>
      <c r="AH29" s="2800"/>
      <c r="AI29" s="2507"/>
      <c r="AJ29" s="2785"/>
      <c r="BM29" s="1504">
        <v>14</v>
      </c>
    </row>
    <row customHeight="1" ht="14.699999999999998">
      <c r="D30" s="3394"/>
      <c r="E30" s="3390"/>
      <c r="F30" s="3390"/>
      <c r="G30" s="3397"/>
      <c r="H30" s="2811"/>
      <c r="I30" s="3393"/>
      <c r="J30" s="3364"/>
      <c r="K30" s="2794"/>
      <c r="L30" s="3349"/>
      <c r="M30" s="3349"/>
      <c r="N30" s="2801"/>
      <c r="O30" s="3349"/>
      <c r="P30" s="3364"/>
      <c r="Q30" s="2802"/>
      <c r="R30" s="3349"/>
      <c r="S30" s="3349"/>
      <c r="T30" s="2803"/>
      <c r="U30" s="3349"/>
      <c r="V30" s="3364"/>
      <c r="W30" s="2804"/>
      <c r="X30" s="3349"/>
      <c r="Y30" s="3349"/>
      <c r="Z30" s="2801"/>
      <c r="AA30" s="3349"/>
      <c r="AB30" s="3364"/>
      <c r="AC30" s="2805"/>
      <c r="AD30" s="3349"/>
      <c r="AE30" s="3349"/>
      <c r="AF30" s="2806"/>
      <c r="AG30" s="2806"/>
      <c r="AH30" s="3388"/>
      <c r="AI30" s="3389"/>
      <c r="AJ30" s="2785"/>
      <c r="BM30" s="1504">
        <v>14</v>
      </c>
    </row>
    <row customHeight="1" ht="14.699999999999998">
      <c r="D31" s="3394"/>
      <c r="E31" s="3390"/>
      <c r="F31" s="3390"/>
      <c r="G31" s="3397"/>
      <c r="H31" s="2811"/>
      <c r="I31" s="3393"/>
      <c r="J31" s="3364"/>
      <c r="K31" s="2794"/>
      <c r="L31" s="3349"/>
      <c r="M31" s="3349"/>
      <c r="N31" s="2801"/>
      <c r="O31" s="3349"/>
      <c r="P31" s="3364"/>
      <c r="Q31" s="2802"/>
      <c r="R31" s="3349"/>
      <c r="S31" s="3349"/>
      <c r="T31" s="2803"/>
      <c r="U31" s="3349"/>
      <c r="V31" s="3364"/>
      <c r="W31" s="2804"/>
      <c r="X31" s="3349"/>
      <c r="Y31" s="3349"/>
      <c r="Z31" s="2723"/>
      <c r="AA31" s="2806"/>
      <c r="AB31" s="3388"/>
      <c r="AC31" s="3388"/>
      <c r="AD31" s="3388"/>
      <c r="AE31" s="3388"/>
      <c r="AF31" s="3388"/>
      <c r="AG31" s="3388"/>
      <c r="AH31" s="3388"/>
      <c r="AI31" s="3389"/>
      <c r="AJ31" s="2785"/>
      <c r="BM31" s="1504">
        <v>14</v>
      </c>
    </row>
    <row customHeight="1" ht="14.699999999999998">
      <c r="D32" s="3394"/>
      <c r="E32" s="3390"/>
      <c r="F32" s="3390"/>
      <c r="G32" s="3397"/>
      <c r="H32" s="2811"/>
      <c r="I32" s="3393"/>
      <c r="J32" s="3364"/>
      <c r="K32" s="2794"/>
      <c r="L32" s="3349"/>
      <c r="M32" s="3349"/>
      <c r="N32" s="2801"/>
      <c r="O32" s="3349"/>
      <c r="P32" s="3364"/>
      <c r="Q32" s="2802"/>
      <c r="R32" s="3349"/>
      <c r="S32" s="3349"/>
      <c r="T32" s="2807"/>
      <c r="U32" s="2808"/>
      <c r="V32" s="3388"/>
      <c r="W32" s="3388"/>
      <c r="X32" s="3388"/>
      <c r="Y32" s="3388"/>
      <c r="Z32" s="3388"/>
      <c r="AA32" s="3388"/>
      <c r="AB32" s="3388"/>
      <c r="AC32" s="3388"/>
      <c r="AD32" s="3388"/>
      <c r="AE32" s="3388"/>
      <c r="AF32" s="3388"/>
      <c r="AG32" s="3388"/>
      <c r="AH32" s="3388"/>
      <c r="AI32" s="3389"/>
      <c r="AJ32" s="2785"/>
      <c r="BM32" s="1504">
        <v>14</v>
      </c>
    </row>
    <row customHeight="1" ht="11.549999999999999">
      <c r="D33" s="3394"/>
      <c r="E33" s="3390"/>
      <c r="F33" s="3390"/>
      <c r="G33" s="3397"/>
      <c r="H33" s="2812"/>
      <c r="I33" s="3393"/>
      <c r="J33" s="3364"/>
      <c r="K33" s="2794"/>
      <c r="L33" s="3349"/>
      <c r="M33" s="3349"/>
      <c r="N33" s="2806"/>
      <c r="O33" s="2806"/>
      <c r="P33" s="3388"/>
      <c r="Q33" s="3388"/>
      <c r="R33" s="3388"/>
      <c r="S33" s="3388"/>
      <c r="T33" s="3388"/>
      <c r="U33" s="3388"/>
      <c r="V33" s="3388"/>
      <c r="W33" s="3388"/>
      <c r="X33" s="3388"/>
      <c r="Y33" s="3388"/>
      <c r="Z33" s="3388"/>
      <c r="AA33" s="3388"/>
      <c r="AB33" s="3388"/>
      <c r="AC33" s="3388"/>
      <c r="AD33" s="3388"/>
      <c r="AE33" s="3388"/>
      <c r="AF33" s="3388"/>
      <c r="AG33" s="3388"/>
      <c r="AH33" s="3388"/>
      <c r="AI33" s="3389"/>
      <c r="AJ33" s="2785"/>
      <c r="BM33" s="1504">
        <v>11</v>
      </c>
    </row>
    <row s="64928" customFormat="1" customHeight="1" ht="11.549999999999999">
      <c r="D34" s="3400"/>
      <c r="E34" s="3401"/>
      <c r="F34" s="3391"/>
      <c r="G34" s="3323"/>
      <c r="H34" s="2809"/>
      <c r="I34" s="2813"/>
      <c r="J34" s="3398"/>
      <c r="K34" s="3398"/>
      <c r="L34" s="3398"/>
      <c r="M34" s="3398"/>
      <c r="N34" s="3398"/>
      <c r="O34" s="3398"/>
      <c r="P34" s="3398"/>
      <c r="Q34" s="3398"/>
      <c r="R34" s="3398"/>
      <c r="S34" s="3398"/>
      <c r="T34" s="3398"/>
      <c r="U34" s="3398"/>
      <c r="V34" s="3398"/>
      <c r="W34" s="3398"/>
      <c r="X34" s="3398"/>
      <c r="Y34" s="3398"/>
      <c r="Z34" s="3398"/>
      <c r="AA34" s="3398"/>
      <c r="AB34" s="3398"/>
      <c r="AC34" s="3398"/>
      <c r="AD34" s="3398"/>
      <c r="AE34" s="3398"/>
      <c r="AF34" s="3398"/>
      <c r="AG34" s="3398"/>
      <c r="AH34" s="3398"/>
      <c r="AI34" s="3399"/>
      <c r="AJ34" s="2785"/>
      <c r="AK34" s="1517"/>
      <c r="AL34" s="2785"/>
      <c r="AM34" s="2785"/>
      <c r="AN34" s="2785"/>
      <c r="AO34" s="2785"/>
      <c r="AP34" s="2785"/>
      <c r="AQ34" s="2785"/>
      <c r="AR34" s="2785"/>
      <c r="AS34" s="2785"/>
      <c r="AT34" s="2785"/>
      <c r="AU34" s="2785"/>
      <c r="AV34" s="2785"/>
      <c r="AW34" s="2785"/>
      <c r="AX34" s="2785"/>
      <c r="AY34" s="2785"/>
      <c r="AZ34" s="2785"/>
      <c r="BA34" s="2785"/>
      <c r="BB34" s="2785"/>
      <c r="BC34" s="2785"/>
      <c r="BD34" s="2785"/>
      <c r="BE34" s="2785"/>
      <c r="BF34" s="2785"/>
      <c r="BG34" s="2785"/>
      <c r="BH34" s="2785"/>
      <c r="BI34" s="2785"/>
      <c r="BJ34" s="2785"/>
      <c r="BK34" s="2785"/>
      <c r="BL34" s="2785"/>
      <c r="BM34" s="2765">
        <v>11</v>
      </c>
    </row>
    <row customHeight="1" ht="15">
      <c r="D35" s="3394" t="s">
        <v>122</v>
      </c>
      <c r="E35" s="3390" t="s">
        <v>311</v>
      </c>
      <c r="F35" s="3390" t="s">
        <v>316</v>
      </c>
      <c r="G35" s="3396" t="s">
        <v>19</v>
      </c>
      <c r="H35" s="2810"/>
      <c r="I35" s="3392"/>
      <c r="J35" s="3363"/>
      <c r="K35" s="2725"/>
      <c r="L35" s="3348"/>
      <c r="M35" s="3348"/>
      <c r="N35" s="2795"/>
      <c r="O35" s="3348"/>
      <c r="P35" s="3363"/>
      <c r="Q35" s="2796"/>
      <c r="R35" s="3348"/>
      <c r="S35" s="3348"/>
      <c r="T35" s="2797"/>
      <c r="U35" s="3348"/>
      <c r="V35" s="3363"/>
      <c r="W35" s="2798"/>
      <c r="X35" s="3348"/>
      <c r="Y35" s="3348"/>
      <c r="Z35" s="2795"/>
      <c r="AA35" s="3348"/>
      <c r="AB35" s="3363"/>
      <c r="AC35" s="2799"/>
      <c r="AD35" s="3348"/>
      <c r="AE35" s="3348"/>
      <c r="AF35" s="2724"/>
      <c r="AG35" s="2724"/>
      <c r="AH35" s="2800"/>
      <c r="AI35" s="2507"/>
      <c r="AJ35" s="2785"/>
      <c r="BM35" s="1504">
        <v>14</v>
      </c>
    </row>
    <row customHeight="1" ht="14.699999999999998">
      <c r="D36" s="3394"/>
      <c r="E36" s="3390"/>
      <c r="F36" s="3390"/>
      <c r="G36" s="3397"/>
      <c r="H36" s="2811"/>
      <c r="I36" s="3393"/>
      <c r="J36" s="3364"/>
      <c r="K36" s="2794"/>
      <c r="L36" s="3349"/>
      <c r="M36" s="3349"/>
      <c r="N36" s="2801"/>
      <c r="O36" s="3349"/>
      <c r="P36" s="3364"/>
      <c r="Q36" s="2802"/>
      <c r="R36" s="3349"/>
      <c r="S36" s="3349"/>
      <c r="T36" s="2803"/>
      <c r="U36" s="3349"/>
      <c r="V36" s="3364"/>
      <c r="W36" s="2804"/>
      <c r="X36" s="3349"/>
      <c r="Y36" s="3349"/>
      <c r="Z36" s="2801"/>
      <c r="AA36" s="3349"/>
      <c r="AB36" s="3364"/>
      <c r="AC36" s="2805"/>
      <c r="AD36" s="3349"/>
      <c r="AE36" s="3349"/>
      <c r="AF36" s="2806"/>
      <c r="AG36" s="2806"/>
      <c r="AH36" s="3388"/>
      <c r="AI36" s="3389"/>
      <c r="AJ36" s="2785"/>
      <c r="BM36" s="1504">
        <v>14</v>
      </c>
    </row>
    <row customHeight="1" ht="14.699999999999998">
      <c r="D37" s="3394"/>
      <c r="E37" s="3390"/>
      <c r="F37" s="3390"/>
      <c r="G37" s="3397"/>
      <c r="H37" s="2811"/>
      <c r="I37" s="3393"/>
      <c r="J37" s="3364"/>
      <c r="K37" s="2794"/>
      <c r="L37" s="3349"/>
      <c r="M37" s="3349"/>
      <c r="N37" s="2801"/>
      <c r="O37" s="3349"/>
      <c r="P37" s="3364"/>
      <c r="Q37" s="2802"/>
      <c r="R37" s="3349"/>
      <c r="S37" s="3349"/>
      <c r="T37" s="2803"/>
      <c r="U37" s="3349"/>
      <c r="V37" s="3364"/>
      <c r="W37" s="2804"/>
      <c r="X37" s="3349"/>
      <c r="Y37" s="3349"/>
      <c r="Z37" s="2723"/>
      <c r="AA37" s="2806"/>
      <c r="AB37" s="3388"/>
      <c r="AC37" s="3388"/>
      <c r="AD37" s="3388"/>
      <c r="AE37" s="3388"/>
      <c r="AF37" s="3388"/>
      <c r="AG37" s="3388"/>
      <c r="AH37" s="3388"/>
      <c r="AI37" s="3389"/>
      <c r="AJ37" s="2785"/>
      <c r="BM37" s="1504">
        <v>14</v>
      </c>
    </row>
    <row customHeight="1" ht="14.699999999999998">
      <c r="D38" s="3394"/>
      <c r="E38" s="3390"/>
      <c r="F38" s="3390"/>
      <c r="G38" s="3397"/>
      <c r="H38" s="2811"/>
      <c r="I38" s="3393"/>
      <c r="J38" s="3364"/>
      <c r="K38" s="2794"/>
      <c r="L38" s="3349"/>
      <c r="M38" s="3349"/>
      <c r="N38" s="2801"/>
      <c r="O38" s="3349"/>
      <c r="P38" s="3364"/>
      <c r="Q38" s="2802"/>
      <c r="R38" s="3349"/>
      <c r="S38" s="3349"/>
      <c r="T38" s="2807"/>
      <c r="U38" s="2808"/>
      <c r="V38" s="3388"/>
      <c r="W38" s="3388"/>
      <c r="X38" s="3388"/>
      <c r="Y38" s="3388"/>
      <c r="Z38" s="3388"/>
      <c r="AA38" s="3388"/>
      <c r="AB38" s="3388"/>
      <c r="AC38" s="3388"/>
      <c r="AD38" s="3388"/>
      <c r="AE38" s="3388"/>
      <c r="AF38" s="3388"/>
      <c r="AG38" s="3388"/>
      <c r="AH38" s="3388"/>
      <c r="AI38" s="3389"/>
      <c r="AJ38" s="2785"/>
      <c r="BM38" s="1504">
        <v>14</v>
      </c>
    </row>
    <row customHeight="1" ht="11.549999999999999">
      <c r="D39" s="3394"/>
      <c r="E39" s="3390"/>
      <c r="F39" s="3390"/>
      <c r="G39" s="3397"/>
      <c r="H39" s="2812"/>
      <c r="I39" s="3393"/>
      <c r="J39" s="3364"/>
      <c r="K39" s="2794"/>
      <c r="L39" s="3349"/>
      <c r="M39" s="3349"/>
      <c r="N39" s="2806"/>
      <c r="O39" s="2806"/>
      <c r="P39" s="3388"/>
      <c r="Q39" s="3388"/>
      <c r="R39" s="3388"/>
      <c r="S39" s="3388"/>
      <c r="T39" s="3388"/>
      <c r="U39" s="3388"/>
      <c r="V39" s="3388"/>
      <c r="W39" s="3388"/>
      <c r="X39" s="3388"/>
      <c r="Y39" s="3388"/>
      <c r="Z39" s="3388"/>
      <c r="AA39" s="3388"/>
      <c r="AB39" s="3388"/>
      <c r="AC39" s="3388"/>
      <c r="AD39" s="3388"/>
      <c r="AE39" s="3388"/>
      <c r="AF39" s="3388"/>
      <c r="AG39" s="3388"/>
      <c r="AH39" s="3388"/>
      <c r="AI39" s="3389"/>
      <c r="AJ39" s="2785"/>
      <c r="BM39" s="1504">
        <v>11</v>
      </c>
    </row>
    <row s="64928" customFormat="1" customHeight="1" ht="11.549999999999999">
      <c r="D40" s="3394"/>
      <c r="E40" s="3390"/>
      <c r="F40" s="3395"/>
      <c r="G40" s="3323"/>
      <c r="H40" s="2809"/>
      <c r="I40" s="2813"/>
      <c r="J40" s="3398"/>
      <c r="K40" s="3398"/>
      <c r="L40" s="3398"/>
      <c r="M40" s="3398"/>
      <c r="N40" s="3398"/>
      <c r="O40" s="3398"/>
      <c r="P40" s="3398"/>
      <c r="Q40" s="3398"/>
      <c r="R40" s="3398"/>
      <c r="S40" s="3398"/>
      <c r="T40" s="3398"/>
      <c r="U40" s="3398"/>
      <c r="V40" s="3398"/>
      <c r="W40" s="3398"/>
      <c r="X40" s="3398"/>
      <c r="Y40" s="3398"/>
      <c r="Z40" s="3398"/>
      <c r="AA40" s="3398"/>
      <c r="AB40" s="3398"/>
      <c r="AC40" s="3398"/>
      <c r="AD40" s="3398"/>
      <c r="AE40" s="3398"/>
      <c r="AF40" s="3398"/>
      <c r="AG40" s="3398"/>
      <c r="AH40" s="3398"/>
      <c r="AI40" s="3399"/>
      <c r="AJ40" s="2785"/>
      <c r="AK40" s="1517"/>
      <c r="AL40" s="2785"/>
      <c r="AM40" s="2785"/>
      <c r="AN40" s="2785"/>
      <c r="AO40" s="2785"/>
      <c r="AP40" s="2785"/>
      <c r="AQ40" s="2785"/>
      <c r="AR40" s="2785"/>
      <c r="AS40" s="2785"/>
      <c r="AT40" s="2785"/>
      <c r="AU40" s="2785"/>
      <c r="AV40" s="2785"/>
      <c r="AW40" s="2785"/>
      <c r="AX40" s="2785"/>
      <c r="AY40" s="2785"/>
      <c r="AZ40" s="2785"/>
      <c r="BA40" s="2785"/>
      <c r="BB40" s="2785"/>
      <c r="BC40" s="2785"/>
      <c r="BD40" s="2785"/>
      <c r="BE40" s="2785"/>
      <c r="BF40" s="2785"/>
      <c r="BG40" s="2785"/>
      <c r="BH40" s="2785"/>
      <c r="BI40" s="2785"/>
      <c r="BJ40" s="2785"/>
      <c r="BK40" s="2785"/>
      <c r="BL40" s="2785"/>
      <c r="BM40" s="2765">
        <v>11</v>
      </c>
    </row>
    <row customHeight="1" ht="11.549999999999999">
      <c r="AK41" s="1634"/>
      <c r="BM41" s="1504">
        <v>11</v>
      </c>
    </row>
    <row customHeight="1" ht="11.549999999999999">
      <c r="AK42" s="1634"/>
      <c r="BM42" s="1504">
        <v>11</v>
      </c>
    </row>
    <row customHeight="1" ht="11.549999999999999">
      <c r="AK43" s="1634"/>
      <c r="BM43" s="1504">
        <v>11</v>
      </c>
    </row>
    <row customHeight="1" ht="11.549999999999999">
      <c r="AK44" s="1634"/>
      <c r="BM44" s="1504">
        <v>11</v>
      </c>
    </row>
    <row customHeight="1" ht="11.549999999999999">
      <c r="AK45" s="1634"/>
      <c r="BM45" s="1504">
        <v>11</v>
      </c>
    </row>
    <row customHeight="1" ht="11.549999999999999">
      <c r="AK46" s="1634"/>
      <c r="BM46" s="1504">
        <v>11</v>
      </c>
    </row>
    <row customHeight="1" ht="11.549999999999999">
      <c r="AK47" s="1634"/>
      <c r="BM47" s="1504">
        <v>11</v>
      </c>
    </row>
    <row customHeight="1" ht="11.549999999999999">
      <c r="AK48" s="1634"/>
      <c r="BM48" s="1504">
        <v>11</v>
      </c>
    </row>
    <row customHeight="1" ht="11.549999999999999">
      <c r="AK49" s="1634"/>
      <c r="BM49" s="1504">
        <v>11</v>
      </c>
    </row>
    <row customHeight="1" ht="11.25" hidden="1">
      <c r="A50" s="1504" t="s">
        <v>82</v>
      </c>
      <c r="B50" s="1504">
        <v>0</v>
      </c>
      <c r="C50" s="1504">
        <v>3</v>
      </c>
      <c r="D50" s="1504">
        <v>3</v>
      </c>
      <c r="E50" s="1504">
        <v>15</v>
      </c>
      <c r="F50" s="1504">
        <v>15</v>
      </c>
      <c r="G50" s="1504">
        <v>11</v>
      </c>
      <c r="H50" s="1504">
        <v>3</v>
      </c>
      <c r="I50" s="1504">
        <v>3</v>
      </c>
      <c r="J50" s="1504">
        <v>12</v>
      </c>
      <c r="K50" s="1504">
        <v>0</v>
      </c>
      <c r="L50" s="1504">
        <v>10</v>
      </c>
      <c r="M50" s="1504">
        <v>10</v>
      </c>
      <c r="N50" s="1504">
        <v>3</v>
      </c>
      <c r="O50" s="1504">
        <v>3</v>
      </c>
      <c r="P50" s="1504">
        <v>19</v>
      </c>
      <c r="Q50" s="1504">
        <v>0</v>
      </c>
      <c r="R50" s="1504">
        <v>10</v>
      </c>
      <c r="S50" s="1504">
        <v>10</v>
      </c>
      <c r="T50" s="1504">
        <v>3</v>
      </c>
      <c r="U50" s="1504">
        <v>3</v>
      </c>
      <c r="V50" s="1504">
        <v>25</v>
      </c>
      <c r="W50" s="1504">
        <v>0</v>
      </c>
      <c r="X50" s="1504">
        <v>10</v>
      </c>
      <c r="Y50" s="1504">
        <v>10</v>
      </c>
      <c r="Z50" s="1504">
        <v>3</v>
      </c>
      <c r="AA50" s="1504">
        <v>3</v>
      </c>
      <c r="AB50" s="1504">
        <v>16</v>
      </c>
      <c r="AC50" s="1504">
        <v>0</v>
      </c>
      <c r="AD50" s="1504">
        <v>10</v>
      </c>
      <c r="AE50" s="1504">
        <v>10</v>
      </c>
      <c r="AF50" s="1504">
        <v>3</v>
      </c>
      <c r="AG50" s="1504">
        <v>3</v>
      </c>
      <c r="AH50" s="1504">
        <v>8</v>
      </c>
      <c r="AI50" s="1504">
        <v>21</v>
      </c>
      <c r="AJ50" s="1634">
        <v>8</v>
      </c>
      <c r="AK50" s="1517">
        <v>8</v>
      </c>
      <c r="AL50" s="1634">
        <v>8</v>
      </c>
      <c r="AM50" s="1634">
        <v>8</v>
      </c>
      <c r="AN50" s="1634">
        <v>8</v>
      </c>
      <c r="AO50" s="1634">
        <v>8</v>
      </c>
      <c r="AP50" s="1634">
        <v>8</v>
      </c>
      <c r="AQ50" s="1634">
        <v>8</v>
      </c>
      <c r="AR50" s="1634">
        <v>8</v>
      </c>
      <c r="AS50" s="1634">
        <v>8</v>
      </c>
      <c r="AT50" s="1634">
        <v>8</v>
      </c>
      <c r="AU50" s="1634">
        <v>8</v>
      </c>
      <c r="AV50" s="1634">
        <v>8</v>
      </c>
      <c r="AW50" s="1634">
        <v>8</v>
      </c>
      <c r="AX50" s="1634">
        <v>8</v>
      </c>
      <c r="AY50" s="1634">
        <v>8</v>
      </c>
      <c r="AZ50" s="1634">
        <v>8</v>
      </c>
      <c r="BA50" s="1634">
        <v>8</v>
      </c>
      <c r="BB50" s="1634">
        <v>8</v>
      </c>
      <c r="BC50" s="1634">
        <v>8</v>
      </c>
      <c r="BD50" s="1634">
        <v>8</v>
      </c>
      <c r="BE50" s="1634">
        <v>8</v>
      </c>
      <c r="BF50" s="1634">
        <v>8</v>
      </c>
      <c r="BG50" s="1634">
        <v>8</v>
      </c>
      <c r="BH50" s="1634">
        <v>8</v>
      </c>
      <c r="BI50" s="1634">
        <v>8</v>
      </c>
      <c r="BJ50" s="1634">
        <v>8</v>
      </c>
      <c r="BK50" s="1634">
        <v>8</v>
      </c>
      <c r="BL50" s="1634">
        <v>8</v>
      </c>
      <c r="BM50" s="150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9AFD4-A323-A32A-DF2C-.93B3BAA99D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67502" width="1.7109375" customWidth="1"/>
    <col min="2" max="2" style="67502" width="34.57421875" customWidth="1"/>
    <col min="3" max="3" style="67502" width="85.00390625" customWidth="1"/>
    <col min="4" max="4" style="67502" width="17.00390625" customWidth="1"/>
    <col min="5" max="5" style="67502" width="8.00390625" customWidth="1"/>
    <col min="6" max="6" style="67502" width="9.140625" hidden="1"/>
  </cols>
  <sheetData>
    <row customHeight="1" ht="3">
      <c r="F1" s="1300" t="s">
        <v>14</v>
      </c>
    </row>
    <row customHeight="1" ht="22.5">
      <c r="B2" s="3824" t="s">
        <v>2084</v>
      </c>
      <c r="C2" s="3711"/>
      <c r="D2" s="3711"/>
      <c r="E2" s="1479"/>
      <c r="F2" s="1300">
        <v>22</v>
      </c>
    </row>
    <row customHeight="1" ht="3">
      <c r="F3" s="1300">
        <v>3</v>
      </c>
    </row>
    <row customHeight="1" ht="23.25">
      <c r="B4" s="3825" t="s">
        <v>2085</v>
      </c>
      <c r="C4" s="1594" t="s">
        <v>2086</v>
      </c>
      <c r="D4" s="1594" t="s">
        <v>2087</v>
      </c>
      <c r="F4" s="1300">
        <v>22</v>
      </c>
    </row>
    <row customHeight="1" ht="11.25" hidden="1">
      <c r="A5" s="1300" t="s">
        <v>82</v>
      </c>
      <c r="B5" s="1300">
        <v>34</v>
      </c>
      <c r="C5" s="1300">
        <v>85</v>
      </c>
      <c r="D5" s="1300">
        <v>17</v>
      </c>
      <c r="E5" s="1300">
        <v>8</v>
      </c>
      <c r="F5" s="130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5CAF8-C423-A213-EE79-E63DDF5EF79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67502" width="26.57421875" customWidth="1"/>
    <col min="2" max="2" style="67502" width="10.00390625" customWidth="1"/>
    <col min="3" max="3" style="67502" width="9.140625"/>
    <col min="4" max="4" style="67502" width="11.140625" customWidth="1"/>
    <col min="5" max="5" style="67502" width="16.57421875" customWidth="1"/>
    <col min="6" max="6" style="67502" width="16.28125" customWidth="1"/>
    <col min="7" max="7" style="67502" width="19.140625" customWidth="1"/>
    <col min="8" max="11" style="67502" width="10.00390625" customWidth="1"/>
    <col min="12" max="12" style="67502" width="12.7109375" customWidth="1"/>
    <col min="13" max="13" style="67502" width="61.28125" customWidth="1"/>
    <col min="14" max="14" style="67502" width="10.00390625" customWidth="1"/>
    <col min="15" max="17" style="67502" width="23.7109375" customWidth="1"/>
    <col min="18" max="18" style="67502" width="11.7109375" customWidth="1"/>
    <col min="19" max="19" style="67502" width="8.57421875" customWidth="1"/>
    <col min="20" max="20" style="67502" width="11.7109375" customWidth="1"/>
    <col min="21" max="21" style="67502" width="8.57421875" customWidth="1"/>
    <col min="22" max="22" style="67502" width="4.7109375" customWidth="1"/>
    <col min="23" max="23" style="67502" width="115.7109375" customWidth="1"/>
    <col min="24" max="24" style="67502" width="115.28125" customWidth="1"/>
    <col min="25" max="27" style="67502" width="9.140625"/>
    <col min="28" max="28" style="67502" width="115.7109375" customWidth="1"/>
    <col min="29" max="29" style="67502" width="9.140625"/>
    <col min="30" max="90" style="67502" width="115.7109375" customWidth="1"/>
    <col min="91" max="184" style="67502" width="9.140625"/>
  </cols>
  <sheetData>
    <row r="2" s="67209" customFormat="1" customHeight="1" ht="17.25">
      <c r="A2" s="3026" t="s">
        <v>2088</v>
      </c>
    </row>
    <row r="4" s="67199" customFormat="1" customHeight="1" ht="15">
      <c r="C4" s="3027"/>
      <c r="D4" s="1324"/>
      <c r="E4" s="1588"/>
    </row>
    <row r="6" s="67209" customFormat="1" customHeight="1" ht="17.25">
      <c r="A6" s="3026" t="s">
        <v>2089</v>
      </c>
    </row>
    <row r="8" s="67199" customFormat="1" customHeight="1" ht="17.25">
      <c r="C8" s="3028"/>
      <c r="D8" s="1324"/>
      <c r="E8" s="1325"/>
    </row>
    <row r="11" s="67209" customFormat="1" customHeight="1" ht="17.25">
      <c r="A11" s="3026" t="s">
        <v>2090</v>
      </c>
    </row>
    <row r="13" s="65153" customFormat="1" customHeight="1" ht="15">
      <c r="A13" s="3428">
        <v>1</v>
      </c>
      <c r="B13" s="2371"/>
      <c r="C13" s="2012" t="s">
        <v>103</v>
      </c>
      <c r="D13" s="3029"/>
      <c r="E13" s="3016">
        <f>A13</f>
        <v>1</v>
      </c>
      <c r="F13" s="2015"/>
      <c r="G13" s="1751" t="str">
        <f>"Территория "&amp;E13</f>
        <v>Территория 1</v>
      </c>
      <c r="H13" s="2003"/>
      <c r="I13" s="2003"/>
      <c r="J13" s="2000"/>
      <c r="K13" s="2835"/>
      <c r="L13" s="2835"/>
      <c r="M13" s="2835"/>
      <c r="N13" s="1437"/>
      <c r="O13" s="2835"/>
      <c r="P13" s="1436"/>
      <c r="Q13" s="1436"/>
      <c r="R13" s="1436"/>
      <c r="S13" s="1436"/>
    </row>
    <row s="67502" customFormat="1" customHeight="1" ht="15">
      <c r="A14" s="3428"/>
      <c r="B14" s="2371">
        <v>1</v>
      </c>
      <c r="C14" s="2371"/>
      <c r="D14" s="2011"/>
      <c r="E14" s="3024" t="str">
        <f>A13&amp;"."&amp;B14</f>
        <v>1.1</v>
      </c>
      <c r="F14" s="2014">
        <f>$F$20</f>
        <v>0</v>
      </c>
      <c r="G14" s="2004"/>
      <c r="H14" s="2004"/>
      <c r="I14" s="2002"/>
      <c r="J14" s="2835"/>
      <c r="K14" s="2847"/>
      <c r="L14" s="2847"/>
      <c r="M14" s="2835" t="str">
        <f t="array" ref="M14:M14">IF(ISERROR(MATCH(MID(N14,1,250),MID(note_ter,1,250),0)),"n","y")</f>
        <v>n</v>
      </c>
      <c r="N14" s="2847"/>
      <c r="O14" s="2835" t="str">
        <f>H14&amp;"("&amp;I14&amp;")"</f>
        <v>()</v>
      </c>
      <c r="P14" s="2371"/>
      <c r="Q14" s="2371"/>
      <c r="R14" s="1631"/>
      <c r="S14" s="2371"/>
      <c r="T14" s="2371"/>
      <c r="U14" s="2371"/>
      <c r="V14" s="1633"/>
      <c r="W14" s="1633"/>
      <c r="X14" s="1630"/>
      <c r="Y14" s="1630"/>
      <c r="Z14" s="1630"/>
      <c r="AA14" s="1630"/>
      <c r="AB14" s="1630"/>
      <c r="AC14" s="1630"/>
      <c r="AD14" s="1630"/>
      <c r="AE14" s="1630"/>
      <c r="AF14" s="1630"/>
      <c r="AG14" s="1630"/>
      <c r="AH14" s="1630"/>
      <c r="AI14" s="1630"/>
      <c r="AJ14" s="1630"/>
      <c r="AK14" s="1630"/>
      <c r="AL14" s="1630"/>
      <c r="AM14" s="1630"/>
      <c r="AN14" s="1630"/>
      <c r="AO14" s="1630"/>
      <c r="AP14" s="1630"/>
      <c r="AQ14" s="1630"/>
      <c r="AR14" s="1630"/>
      <c r="AS14" s="1630"/>
      <c r="AT14" s="1630"/>
      <c r="AU14" s="1630"/>
      <c r="AV14" s="1630"/>
      <c r="AW14" s="1630"/>
      <c r="AX14" s="1630"/>
      <c r="AY14" s="1630"/>
      <c r="AZ14" s="1630"/>
      <c r="BA14" s="1630"/>
      <c r="BB14" s="1630"/>
      <c r="BC14" s="1630"/>
      <c r="BD14" s="1630"/>
      <c r="BE14" s="1630"/>
      <c r="BF14" s="1630"/>
      <c r="BG14" s="1630"/>
      <c r="BH14" s="1630"/>
      <c r="BI14" s="1630"/>
      <c r="BJ14" s="1630"/>
      <c r="BK14" s="1630"/>
      <c r="BL14" s="1630"/>
      <c r="BM14" s="1630"/>
      <c r="BN14" s="1630"/>
      <c r="BO14" s="1630"/>
      <c r="BP14" s="1630"/>
      <c r="BQ14" s="1630"/>
      <c r="BR14" s="1630"/>
      <c r="BS14" s="1633"/>
      <c r="BT14" s="1633"/>
      <c r="BU14" s="1633"/>
      <c r="BV14" s="1633"/>
      <c r="BW14" s="1633"/>
      <c r="BX14" s="1633"/>
      <c r="BY14" s="1633"/>
      <c r="BZ14" s="1633"/>
      <c r="CA14" s="1633"/>
      <c r="CB14" s="1633"/>
    </row>
    <row s="67502" customFormat="1" customHeight="1" ht="15">
      <c r="A15" s="3428"/>
      <c r="B15" s="2371"/>
      <c r="C15" s="1623"/>
      <c r="D15" s="2012"/>
      <c r="E15" s="1632"/>
      <c r="F15" s="1388"/>
      <c r="G15" s="1626" t="s">
        <v>111</v>
      </c>
      <c r="H15" s="1398"/>
      <c r="I15" s="1635"/>
      <c r="J15" s="2847"/>
      <c r="K15" s="2847"/>
      <c r="L15" s="2847"/>
      <c r="M15" s="2847"/>
      <c r="N15" s="2835"/>
      <c r="O15" s="2847"/>
      <c r="P15" s="2371"/>
      <c r="Q15" s="2371"/>
      <c r="R15" s="1631"/>
      <c r="S15" s="2371"/>
      <c r="T15" s="2371"/>
      <c r="U15" s="2371"/>
      <c r="V15" s="1633"/>
      <c r="W15" s="1633"/>
      <c r="X15" s="1630"/>
      <c r="Y15" s="1630"/>
      <c r="Z15" s="1630"/>
      <c r="AA15" s="1630"/>
      <c r="AB15" s="1630"/>
      <c r="AC15" s="1630"/>
      <c r="AD15" s="1630"/>
      <c r="AE15" s="1630"/>
      <c r="AF15" s="1630"/>
      <c r="AG15" s="1630"/>
      <c r="AH15" s="1630"/>
      <c r="AI15" s="1630"/>
      <c r="AJ15" s="1630"/>
      <c r="AK15" s="1630"/>
      <c r="AL15" s="1630"/>
      <c r="AM15" s="1630"/>
      <c r="AN15" s="1630"/>
      <c r="AO15" s="1630"/>
      <c r="AP15" s="1630"/>
      <c r="AQ15" s="1630"/>
      <c r="AR15" s="1630"/>
      <c r="AS15" s="1630"/>
      <c r="AT15" s="1630"/>
      <c r="AU15" s="1630"/>
      <c r="AV15" s="1630"/>
      <c r="AW15" s="1630"/>
      <c r="AX15" s="1630"/>
      <c r="AY15" s="1630"/>
      <c r="AZ15" s="1630"/>
      <c r="BA15" s="1630"/>
      <c r="BB15" s="1630"/>
      <c r="BC15" s="1630"/>
      <c r="BD15" s="1630"/>
      <c r="BE15" s="1630"/>
      <c r="BF15" s="1630"/>
      <c r="BG15" s="1630"/>
      <c r="BH15" s="1630"/>
      <c r="BI15" s="1630"/>
      <c r="BJ15" s="1630"/>
      <c r="BK15" s="1630"/>
      <c r="BL15" s="1630"/>
      <c r="BM15" s="1630"/>
      <c r="BN15" s="1630"/>
      <c r="BO15" s="1630"/>
      <c r="BP15" s="1630"/>
      <c r="BQ15" s="1630"/>
      <c r="BR15" s="1630"/>
      <c r="BS15" s="1633"/>
      <c r="BT15" s="1633"/>
      <c r="BU15" s="1633"/>
      <c r="BV15" s="1633"/>
      <c r="BW15" s="1633"/>
      <c r="BX15" s="1633"/>
      <c r="BY15" s="1633"/>
      <c r="BZ15" s="1633"/>
      <c r="CA15" s="1633"/>
      <c r="CB15" s="1633"/>
    </row>
    <row r="17" s="67209" customFormat="1" customHeight="1" ht="17.25">
      <c r="A17" s="3026" t="s">
        <v>2091</v>
      </c>
    </row>
    <row r="19" s="67502" customFormat="1" customHeight="1" ht="15">
      <c r="A19" s="3093"/>
      <c r="B19" s="2577">
        <v>1</v>
      </c>
      <c r="C19" s="2577"/>
      <c r="D19" s="2011" t="s">
        <v>103</v>
      </c>
      <c r="E19" s="3089"/>
      <c r="F19" s="3094">
        <f>$F$20</f>
        <v>0</v>
      </c>
      <c r="G19" s="3098"/>
      <c r="H19" s="3098"/>
      <c r="I19" s="3096"/>
      <c r="J19" s="2835"/>
      <c r="K19" s="2847"/>
      <c r="L19" s="2847"/>
      <c r="M19" s="2835" t="str">
        <f t="array" ref="M19:M19">IF(ISERROR(MATCH(MID(N19,1,250),MID(note_ter,1,250),0)),"n","y")</f>
        <v>n</v>
      </c>
      <c r="N19" s="2847"/>
      <c r="O19" s="2835" t="str">
        <f>H19&amp;"("&amp;I19&amp;")"</f>
        <v>()</v>
      </c>
      <c r="P19" s="2577"/>
      <c r="Q19" s="2577"/>
      <c r="R19" s="1631"/>
      <c r="S19" s="2577"/>
      <c r="T19" s="2577"/>
      <c r="U19" s="2577"/>
      <c r="V19" s="2044"/>
      <c r="W19" s="2044"/>
      <c r="X19" s="1838"/>
      <c r="Y19" s="1838"/>
      <c r="Z19" s="1838"/>
      <c r="AA19" s="1838"/>
      <c r="AB19" s="1838"/>
      <c r="AC19" s="1838"/>
      <c r="AD19" s="1838"/>
      <c r="AE19" s="1838"/>
      <c r="AF19" s="1838"/>
      <c r="AG19" s="1838"/>
      <c r="AH19" s="1838"/>
      <c r="AI19" s="1838"/>
      <c r="AJ19" s="1838"/>
      <c r="AK19" s="1838"/>
      <c r="AL19" s="1838"/>
      <c r="AM19" s="1838"/>
      <c r="AN19" s="1838"/>
      <c r="AO19" s="1838"/>
      <c r="AP19" s="1838"/>
      <c r="AQ19" s="1838"/>
      <c r="AR19" s="1838"/>
      <c r="AS19" s="1838"/>
      <c r="AT19" s="1838"/>
      <c r="AU19" s="1838"/>
      <c r="AV19" s="1838"/>
      <c r="AW19" s="1838"/>
      <c r="AX19" s="1838"/>
      <c r="AY19" s="1838"/>
      <c r="AZ19" s="1838"/>
      <c r="BA19" s="1838"/>
      <c r="BB19" s="1838"/>
      <c r="BC19" s="1838"/>
      <c r="BD19" s="1838"/>
      <c r="BE19" s="1838"/>
      <c r="BF19" s="1838"/>
      <c r="BG19" s="1838"/>
      <c r="BH19" s="1838"/>
      <c r="BI19" s="1838"/>
      <c r="BJ19" s="1838"/>
      <c r="BK19" s="1838"/>
      <c r="BL19" s="1838"/>
      <c r="BM19" s="1838"/>
      <c r="BN19" s="1838"/>
      <c r="BO19" s="1838"/>
      <c r="BP19" s="1838"/>
      <c r="BQ19" s="1838"/>
      <c r="BR19" s="1838"/>
      <c r="BS19" s="2044"/>
      <c r="BT19" s="2044"/>
      <c r="BU19" s="2044"/>
      <c r="BV19" s="2044"/>
      <c r="BW19" s="2044"/>
      <c r="BX19" s="2044"/>
      <c r="BY19" s="2044"/>
      <c r="BZ19" s="2044"/>
      <c r="CA19" s="2044"/>
      <c r="CB19" s="2044"/>
    </row>
    <row r="21" s="67502" customFormat="1" customHeight="1" ht="15">
      <c r="A21" s="3026" t="s">
        <v>2092</v>
      </c>
      <c r="B21" s="3026"/>
      <c r="C21" s="3026"/>
      <c r="D21" s="3026"/>
      <c r="E21" s="3026"/>
      <c r="F21" s="3026"/>
      <c r="G21" s="3026"/>
      <c r="H21" s="3026"/>
      <c r="I21" s="3026"/>
      <c r="J21" s="3026"/>
      <c r="K21" s="3026"/>
      <c r="L21" s="3026"/>
      <c r="M21" s="3026"/>
      <c r="N21" s="3026"/>
      <c r="O21" s="3026"/>
      <c r="P21" s="3026"/>
      <c r="Q21" s="3026"/>
      <c r="R21" s="3026"/>
      <c r="S21" s="3026"/>
      <c r="T21" s="3026"/>
      <c r="U21" s="1395"/>
      <c r="V21" s="3026"/>
      <c r="W21" s="3026"/>
    </row>
    <row s="67502" customFormat="1" customHeight="1" ht="15">
      <c r="U22" s="1396"/>
    </row>
    <row s="67333" customFormat="1" customHeight="1" ht="15">
      <c r="A23" s="1634"/>
      <c r="B23" s="1634"/>
      <c r="C23" s="2939" t="s">
        <v>103</v>
      </c>
      <c r="D23" s="3319" t="s">
        <v>99</v>
      </c>
      <c r="E23" s="3320"/>
      <c r="F23" s="3318" t="s">
        <v>19</v>
      </c>
      <c r="G23" s="3768"/>
      <c r="H23" s="3338">
        <v>1</v>
      </c>
      <c r="I23" s="3770" t="str">
        <f>IF(U23="","",INDEX(TERRITORY_MR_LIST,MATCH(U23,TERRITORY_LIST_ID,0)))</f>
        <v/>
      </c>
      <c r="J23" s="3318" t="s">
        <v>19</v>
      </c>
      <c r="K23" s="2043"/>
      <c r="L23" s="2993" t="s">
        <v>99</v>
      </c>
      <c r="M23" s="1814"/>
      <c r="N23" s="1815"/>
      <c r="O23" s="1815"/>
      <c r="P23" s="1815"/>
      <c r="Q23" s="1815"/>
      <c r="R23" s="1815"/>
      <c r="S23" s="1815"/>
      <c r="T23" s="1815"/>
      <c r="U23" s="1816"/>
      <c r="V23" s="1815"/>
      <c r="W23" s="1815"/>
      <c r="X23" s="1806"/>
      <c r="Y23" s="1806" t="s">
        <v>130</v>
      </c>
      <c r="Z23" s="1806">
        <v>1705000</v>
      </c>
      <c r="AA23" s="1806"/>
      <c r="AB23" s="1806"/>
      <c r="AC23" s="1806"/>
      <c r="AD23" s="1806"/>
      <c r="AE23" s="1806"/>
      <c r="AF23" s="1806"/>
      <c r="AG23" s="1806"/>
      <c r="AH23" s="1806"/>
      <c r="AI23" s="1806"/>
      <c r="AJ23" s="1806"/>
      <c r="AK23" s="1806"/>
      <c r="AL23" s="1806"/>
    </row>
    <row s="67333" customFormat="1" customHeight="1" ht="15">
      <c r="A24" s="1634"/>
      <c r="B24" s="1634"/>
      <c r="C24" s="1387"/>
      <c r="D24" s="3319"/>
      <c r="E24" s="3321"/>
      <c r="F24" s="3318"/>
      <c r="G24" s="3769"/>
      <c r="H24" s="3338"/>
      <c r="I24" s="3771"/>
      <c r="J24" s="3318"/>
      <c r="K24" s="1632"/>
      <c r="L24" s="1388"/>
      <c r="M24" s="1818" t="s">
        <v>131</v>
      </c>
      <c r="N24" s="1815"/>
      <c r="O24" s="1815"/>
      <c r="P24" s="1815"/>
      <c r="Q24" s="1815"/>
      <c r="R24" s="1815"/>
      <c r="S24" s="1815"/>
      <c r="T24" s="1815"/>
      <c r="U24" s="1816"/>
      <c r="V24" s="1815"/>
      <c r="W24" s="1815"/>
      <c r="X24" s="1806"/>
      <c r="Y24" s="1806"/>
      <c r="Z24" s="1806"/>
      <c r="AA24" s="1806"/>
      <c r="AB24" s="1806"/>
      <c r="AC24" s="1806"/>
      <c r="AD24" s="1806"/>
      <c r="AE24" s="1806"/>
      <c r="AF24" s="1806"/>
      <c r="AG24" s="1806"/>
      <c r="AH24" s="1806"/>
      <c r="AI24" s="1806"/>
      <c r="AJ24" s="1806"/>
      <c r="AK24" s="1806"/>
      <c r="AL24" s="1806"/>
    </row>
    <row s="67333" customFormat="1" customHeight="1" ht="15">
      <c r="A25" s="1634"/>
      <c r="B25" s="1634"/>
      <c r="C25" s="1387"/>
      <c r="D25" s="3319"/>
      <c r="E25" s="3322"/>
      <c r="F25" s="3318"/>
      <c r="G25" s="1632"/>
      <c r="H25" s="1388"/>
      <c r="I25" s="1791" t="s">
        <v>133</v>
      </c>
      <c r="J25" s="1388"/>
      <c r="K25" s="1388"/>
      <c r="L25" s="1388"/>
      <c r="M25" s="1819"/>
      <c r="N25" s="1815"/>
      <c r="O25" s="1815"/>
      <c r="P25" s="1815"/>
      <c r="Q25" s="1815"/>
      <c r="R25" s="1815"/>
      <c r="S25" s="1815"/>
      <c r="T25" s="1815"/>
      <c r="U25" s="1816"/>
      <c r="V25" s="1815"/>
      <c r="W25" s="1815"/>
      <c r="X25" s="1806"/>
      <c r="Y25" s="1806"/>
      <c r="Z25" s="1806"/>
      <c r="AA25" s="1806"/>
      <c r="AB25" s="1806"/>
      <c r="AC25" s="1806"/>
      <c r="AD25" s="1806"/>
      <c r="AE25" s="1806"/>
      <c r="AF25" s="1806"/>
      <c r="AG25" s="1806"/>
      <c r="AH25" s="1806"/>
      <c r="AI25" s="1806"/>
      <c r="AJ25" s="1806"/>
      <c r="AK25" s="1806"/>
      <c r="AL25" s="1806"/>
    </row>
    <row s="67502" customFormat="1" customHeight="1" ht="15">
      <c r="U26" s="1396"/>
    </row>
    <row s="67502" customFormat="1" customHeight="1" ht="15">
      <c r="A27" s="3026" t="s">
        <v>2093</v>
      </c>
      <c r="B27" s="3026"/>
      <c r="C27" s="3026"/>
      <c r="D27" s="3026"/>
      <c r="E27" s="3026"/>
      <c r="F27" s="3026"/>
      <c r="G27" s="3026"/>
      <c r="H27" s="3026"/>
      <c r="I27" s="3026"/>
      <c r="J27" s="3026"/>
      <c r="K27" s="3026"/>
      <c r="L27" s="3026"/>
      <c r="M27" s="3026"/>
      <c r="N27" s="3026"/>
      <c r="O27" s="3026"/>
      <c r="P27" s="3026"/>
      <c r="Q27" s="3026"/>
      <c r="R27" s="3026"/>
      <c r="S27" s="3026"/>
      <c r="T27" s="3026"/>
      <c r="U27" s="1395"/>
      <c r="V27" s="3026"/>
      <c r="W27" s="3026"/>
    </row>
    <row s="67502" customFormat="1" customHeight="1" ht="15">
      <c r="U28" s="1396"/>
    </row>
    <row s="67333" customFormat="1" customHeight="1" ht="15">
      <c r="A29" s="1634"/>
      <c r="B29" s="1634"/>
      <c r="C29" s="1387"/>
      <c r="D29" s="3032"/>
      <c r="E29" s="3032"/>
      <c r="F29" s="3032"/>
      <c r="G29" s="3772" t="s">
        <v>103</v>
      </c>
      <c r="H29" s="3314">
        <v>1</v>
      </c>
      <c r="I29" s="3773" t="str">
        <f>IF(U29="","",INDEX(TERRITORY_MR_LIST,MATCH(U29,TERRITORY_LIST_ID,0)))</f>
        <v/>
      </c>
      <c r="J29" s="3318" t="s">
        <v>19</v>
      </c>
      <c r="K29" s="2043"/>
      <c r="L29" s="2993" t="s">
        <v>99</v>
      </c>
      <c r="M29" s="1814"/>
      <c r="N29" s="1815"/>
      <c r="O29" s="1815"/>
      <c r="P29" s="1815"/>
      <c r="Q29" s="1815"/>
      <c r="R29" s="1815"/>
      <c r="S29" s="1815"/>
      <c r="T29" s="1815"/>
      <c r="U29" s="1816"/>
      <c r="V29" s="1815"/>
      <c r="W29" s="1815"/>
      <c r="X29" s="1806"/>
      <c r="Y29" s="1806" t="s">
        <v>130</v>
      </c>
      <c r="Z29" s="1806">
        <v>1705000</v>
      </c>
      <c r="AA29" s="1806"/>
      <c r="AB29" s="1806"/>
      <c r="AC29" s="1806"/>
      <c r="AD29" s="1806"/>
      <c r="AE29" s="1806"/>
      <c r="AF29" s="1806"/>
      <c r="AG29" s="1806"/>
      <c r="AH29" s="1806"/>
      <c r="AI29" s="1806"/>
      <c r="AJ29" s="1806"/>
      <c r="AK29" s="1806"/>
      <c r="AL29" s="1806"/>
    </row>
    <row s="67333" customFormat="1" customHeight="1" ht="15">
      <c r="A30" s="1634"/>
      <c r="B30" s="1634"/>
      <c r="C30" s="1387"/>
      <c r="D30" s="3032"/>
      <c r="E30" s="3032"/>
      <c r="F30" s="3032"/>
      <c r="G30" s="3772"/>
      <c r="H30" s="3314"/>
      <c r="I30" s="3773"/>
      <c r="J30" s="3318"/>
      <c r="K30" s="1632"/>
      <c r="L30" s="1388"/>
      <c r="M30" s="1818" t="s">
        <v>131</v>
      </c>
      <c r="N30" s="1815"/>
      <c r="O30" s="1815"/>
      <c r="P30" s="1815"/>
      <c r="Q30" s="1815"/>
      <c r="R30" s="1815"/>
      <c r="S30" s="1815"/>
      <c r="T30" s="1815"/>
      <c r="U30" s="1816"/>
      <c r="V30" s="1815"/>
      <c r="W30" s="1815"/>
      <c r="X30" s="1806"/>
      <c r="Y30" s="1806"/>
      <c r="Z30" s="1806"/>
      <c r="AA30" s="1806"/>
      <c r="AB30" s="1806"/>
      <c r="AC30" s="1806"/>
      <c r="AD30" s="1806"/>
      <c r="AE30" s="1806"/>
      <c r="AF30" s="1806"/>
      <c r="AG30" s="1806"/>
      <c r="AH30" s="1806"/>
      <c r="AI30" s="1806"/>
      <c r="AJ30" s="1806"/>
      <c r="AK30" s="1806"/>
      <c r="AL30" s="1806"/>
    </row>
    <row s="67502" customFormat="1" customHeight="1" ht="15">
      <c r="U31" s="1396"/>
    </row>
    <row s="67502" customFormat="1" customHeight="1" ht="15">
      <c r="A32" s="3026" t="s">
        <v>2094</v>
      </c>
      <c r="B32" s="3026"/>
      <c r="C32" s="3026"/>
      <c r="D32" s="3026"/>
      <c r="E32" s="3026"/>
      <c r="F32" s="3026"/>
      <c r="G32" s="3026"/>
      <c r="H32" s="3026"/>
      <c r="I32" s="3026"/>
      <c r="J32" s="3026"/>
      <c r="K32" s="3026"/>
      <c r="L32" s="3026"/>
      <c r="M32" s="3026"/>
      <c r="N32" s="3026"/>
      <c r="O32" s="3026"/>
      <c r="P32" s="3026"/>
      <c r="Q32" s="3026"/>
      <c r="R32" s="3026"/>
      <c r="S32" s="3026"/>
      <c r="T32" s="3026"/>
      <c r="U32" s="1395"/>
      <c r="V32" s="3026"/>
      <c r="W32" s="3026"/>
    </row>
    <row s="67502" customFormat="1" customHeight="1" ht="15">
      <c r="U33" s="1396"/>
    </row>
    <row s="67333" customFormat="1" customHeight="1" ht="15">
      <c r="A34" s="1634"/>
      <c r="B34" s="1634"/>
      <c r="C34" s="1387"/>
      <c r="D34" s="3032"/>
      <c r="E34" s="3032"/>
      <c r="F34" s="3032"/>
      <c r="G34" s="3032"/>
      <c r="H34" s="3032"/>
      <c r="I34" s="3032"/>
      <c r="J34" s="3032"/>
      <c r="K34" s="3010" t="s">
        <v>103</v>
      </c>
      <c r="L34" s="2940" t="s">
        <v>99</v>
      </c>
      <c r="M34" s="2022"/>
      <c r="N34" s="2023"/>
      <c r="O34" s="1815"/>
      <c r="P34" s="1815"/>
      <c r="Q34" s="1815"/>
      <c r="R34" s="1815"/>
      <c r="S34" s="1815"/>
      <c r="T34" s="1815"/>
      <c r="U34" s="1816"/>
      <c r="V34" s="1815"/>
      <c r="W34" s="1815"/>
      <c r="X34" s="1806"/>
      <c r="Y34" s="1806" t="s">
        <v>130</v>
      </c>
      <c r="Z34" s="1806">
        <v>1705000</v>
      </c>
      <c r="AA34" s="1806"/>
      <c r="AB34" s="1806"/>
      <c r="AC34" s="1806"/>
      <c r="AD34" s="1806"/>
      <c r="AE34" s="1806"/>
      <c r="AF34" s="1806"/>
      <c r="AG34" s="1806"/>
      <c r="AH34" s="1806"/>
      <c r="AI34" s="1806"/>
      <c r="AJ34" s="1806"/>
      <c r="AK34" s="1806"/>
      <c r="AL34" s="1806"/>
    </row>
    <row s="67502" customFormat="1" customHeight="1" ht="15">
      <c r="U35" s="1396"/>
    </row>
    <row s="67502" customFormat="1" customHeight="1" ht="15">
      <c r="U36" s="1396"/>
    </row>
    <row s="67209" customFormat="1" customHeight="1" ht="11.25">
      <c r="A37" s="3026" t="s">
        <v>2095</v>
      </c>
    </row>
    <row customHeight="1" ht="11.25"/>
    <row s="65085" customFormat="1" customHeight="1" ht="22.5">
      <c r="A39" s="3002"/>
      <c r="B39" s="1668"/>
      <c r="C39" s="2070"/>
      <c r="D39" s="1651"/>
      <c r="E39" s="2071"/>
      <c r="F39" s="3023"/>
      <c r="G39" s="3033"/>
      <c r="H39" s="1686"/>
    </row>
    <row customHeight="1" ht="11.25"/>
    <row s="67209" customFormat="1" customHeight="1" ht="11.25">
      <c r="A41" s="3026" t="s">
        <v>2096</v>
      </c>
    </row>
    <row customHeight="1" ht="11.25"/>
    <row s="65085" customFormat="1" customHeight="1" ht="22.5">
      <c r="A43" s="1668"/>
      <c r="B43" s="1668"/>
      <c r="C43" s="1668"/>
      <c r="D43" s="1651"/>
      <c r="E43" s="2071"/>
      <c r="F43" s="2072"/>
      <c r="G43" s="3033"/>
      <c r="H43" s="1686"/>
    </row>
    <row customHeight="1" ht="11.25"/>
    <row s="67209" customFormat="1" customHeight="1" ht="11.25">
      <c r="A45" s="3026" t="s">
        <v>2097</v>
      </c>
    </row>
    <row customHeight="1" ht="11.25"/>
    <row s="65085" customFormat="1" customHeight="1" ht="24">
      <c r="A47" s="3413" t="s">
        <v>331</v>
      </c>
      <c r="B47" s="1713"/>
      <c r="C47" s="3424"/>
      <c r="D47" s="1656" t="str">
        <f>A47</f>
        <v>5.1</v>
      </c>
      <c r="E47" s="1653" t="s">
        <v>332</v>
      </c>
      <c r="F47" s="3187" t="s">
        <v>324</v>
      </c>
      <c r="G47" s="1655" t="s">
        <v>333</v>
      </c>
      <c r="H47" s="1686"/>
      <c r="I47" s="2063"/>
    </row>
    <row s="65085" customFormat="1" customHeight="1" ht="22.5">
      <c r="A48" s="3413"/>
      <c r="B48" s="1713"/>
      <c r="C48" s="3424"/>
      <c r="D48" s="1651" t="str">
        <f>D47&amp;".1"</f>
        <v>5.1.1</v>
      </c>
      <c r="E48" s="1650" t="s">
        <v>334</v>
      </c>
      <c r="F48" s="3188" t="s">
        <v>22</v>
      </c>
      <c r="G48" s="1685"/>
      <c r="H48" s="1686"/>
      <c r="I48" s="2063"/>
    </row>
    <row s="65085" customFormat="1" customHeight="1" ht="22.5">
      <c r="A49" s="3413"/>
      <c r="B49" s="1713"/>
      <c r="C49" s="3424"/>
      <c r="D49" s="1651" t="str">
        <f>D47&amp;".2"</f>
        <v>5.1.2</v>
      </c>
      <c r="E49" s="1650" t="s">
        <v>335</v>
      </c>
      <c r="F49" s="2943" t="s">
        <v>22</v>
      </c>
      <c r="G49" s="1655" t="s">
        <v>336</v>
      </c>
      <c r="H49" s="1686"/>
      <c r="I49" s="2063"/>
    </row>
    <row s="65085" customFormat="1" customHeight="1" ht="22.5">
      <c r="A50" s="3413"/>
      <c r="B50" s="1713"/>
      <c r="C50" s="3424"/>
      <c r="D50" s="1651" t="str">
        <f>D47&amp;".3"</f>
        <v>5.1.3</v>
      </c>
      <c r="E50" s="1650" t="s">
        <v>337</v>
      </c>
      <c r="F50" s="3188" t="s">
        <v>22</v>
      </c>
      <c r="G50" s="1685"/>
      <c r="H50" s="1686"/>
      <c r="I50" s="2063"/>
    </row>
    <row s="65085" customFormat="1" customHeight="1" ht="22.5">
      <c r="A51" s="3413"/>
      <c r="B51" s="1713"/>
      <c r="C51" s="3424"/>
      <c r="D51" s="1651" t="str">
        <f>D47&amp;".4"</f>
        <v>5.1.4</v>
      </c>
      <c r="E51" s="1650" t="s">
        <v>338</v>
      </c>
      <c r="F51" s="3188" t="s">
        <v>22</v>
      </c>
      <c r="G51" s="1655" t="s">
        <v>339</v>
      </c>
      <c r="H51" s="1686"/>
      <c r="I51" s="2063"/>
    </row>
    <row r="54" s="67209" customFormat="1" customHeight="1" ht="17.25">
      <c r="A54" s="3026" t="s">
        <v>2098</v>
      </c>
    </row>
    <row r="56" s="65172" customFormat="1" customHeight="1" ht="18.75">
      <c r="A56" s="1300"/>
      <c r="B56" s="3034"/>
      <c r="C56" s="3034"/>
      <c r="D56" s="3035"/>
      <c r="E56" s="3020"/>
      <c r="F56" s="2079">
        <v>13</v>
      </c>
      <c r="G56" s="2078"/>
      <c r="H56" s="2004"/>
      <c r="I56" s="2002"/>
      <c r="J56" s="1731" t="s">
        <v>62</v>
      </c>
      <c r="K56" s="3036" t="s">
        <v>22</v>
      </c>
      <c r="L56" s="1300"/>
      <c r="M56" s="2847"/>
      <c r="N56" s="2847"/>
      <c r="O56" s="2847"/>
      <c r="P56" s="1727" t="s">
        <v>410</v>
      </c>
      <c r="Q56" s="1727" t="s">
        <v>411</v>
      </c>
      <c r="R56" s="1728" t="s">
        <v>412</v>
      </c>
      <c r="S56" s="2847" t="s">
        <v>413</v>
      </c>
      <c r="T56" s="2847"/>
      <c r="U56" s="2847"/>
      <c r="V56" s="2847"/>
    </row>
    <row r="58" s="67209" customFormat="1" customHeight="1" ht="11.25">
      <c r="A58" s="3026" t="s">
        <v>2099</v>
      </c>
    </row>
    <row r="60" s="66903" customFormat="1" customHeight="1" ht="14.25">
      <c r="C60" s="2899"/>
      <c r="D60" s="3080"/>
      <c r="E60" s="2988" t="s">
        <v>22</v>
      </c>
      <c r="F60" s="3079"/>
      <c r="G60" s="2067"/>
      <c r="H60" s="2989"/>
      <c r="I60" s="2989"/>
      <c r="J60" s="1644"/>
      <c r="K60" s="3074"/>
      <c r="L60" s="1643"/>
      <c r="M60" s="3074"/>
      <c r="N60" s="1644"/>
      <c r="O60" s="3074"/>
      <c r="P60" s="1644"/>
      <c r="Q60" s="3074"/>
      <c r="R60" s="1644"/>
      <c r="S60" s="2065"/>
      <c r="T60" s="2989"/>
      <c r="U60" s="1644"/>
      <c r="V60" s="1644"/>
      <c r="W60" s="3078"/>
      <c r="X60" s="2989"/>
      <c r="Y60" s="1644"/>
      <c r="Z60" s="1644"/>
      <c r="AA60" s="3078"/>
      <c r="AB60" s="2989"/>
      <c r="AC60" s="1644"/>
      <c r="AD60" s="3078"/>
      <c r="AE60" s="1300"/>
      <c r="AF60" s="1300"/>
      <c r="AG60" s="1300"/>
      <c r="AH60" s="1300"/>
      <c r="AJ60" s="2847"/>
      <c r="AK60" s="2847"/>
      <c r="AL60" s="2847"/>
      <c r="AM60" s="2847"/>
      <c r="AN60" s="2847"/>
      <c r="AO60" s="2847"/>
      <c r="AP60" s="2835" t="s">
        <v>399</v>
      </c>
      <c r="AQ60" s="2835" t="s">
        <v>399</v>
      </c>
      <c r="AR60" s="2847"/>
      <c r="AS60" s="2847"/>
    </row>
    <row r="62" s="67209" customFormat="1" customHeight="1" ht="11.25">
      <c r="A62" s="3026" t="s">
        <v>2100</v>
      </c>
    </row>
    <row r="64" s="67275" customFormat="1" customHeight="1" ht="15">
      <c r="A64" s="1356" t="s">
        <v>90</v>
      </c>
      <c r="B64" s="1336" t="s">
        <v>22</v>
      </c>
      <c r="C64" s="3037"/>
      <c r="D64" s="1339"/>
      <c r="E64" s="1592"/>
      <c r="F64" s="1592"/>
      <c r="G64" s="3014"/>
      <c r="H64" s="3036"/>
      <c r="I64" s="3015"/>
      <c r="K64" s="1483"/>
      <c r="L64" s="1484"/>
    </row>
    <row r="66" s="67209" customFormat="1" customHeight="1" ht="11.25">
      <c r="A66" s="3026" t="s">
        <v>2101</v>
      </c>
    </row>
    <row r="68" s="66903" customFormat="1" customHeight="1" ht="14.25">
      <c r="A68" s="1554"/>
      <c r="B68" s="2371"/>
      <c r="C68" s="1587"/>
      <c r="D68" s="3021"/>
      <c r="E68" s="2097"/>
      <c r="F68" s="3036"/>
      <c r="G68" s="1300"/>
      <c r="I68" s="2835"/>
      <c r="J68" s="2835"/>
    </row>
    <row r="70" s="67209" customFormat="1" customHeight="1" ht="11.25">
      <c r="A70" s="3026" t="s">
        <v>2102</v>
      </c>
    </row>
    <row r="72" s="66903" customFormat="1" customHeight="1" ht="27">
      <c r="A72" s="2377"/>
      <c r="B72" s="2377"/>
      <c r="C72" s="2377"/>
      <c r="D72" s="2371"/>
      <c r="E72" s="3038"/>
      <c r="F72" s="3792"/>
      <c r="G72" s="3793"/>
      <c r="H72" s="3794" t="s">
        <v>62</v>
      </c>
      <c r="I72" s="3796"/>
      <c r="J72" s="3759"/>
      <c r="K72" s="3798"/>
      <c r="L72" s="3761"/>
      <c r="M72" s="3761"/>
      <c r="N72" s="3762"/>
      <c r="O72" s="3762"/>
      <c r="P72" s="3763">
        <f>DATEDIF(DATEVALUE(N72),DATEVALUE(O72),"y")&amp;"г. "&amp;DATEDIF(DATEVALUE(N72),DATEVALUE(O72),"ym")&amp;"мес. "&amp;DATEVALUE(O72)-DATE(YEAR(DATEVALUE(O72)),MONTH(DATEVALUE(O72)),1)&amp;"дн. "</f>
      </c>
      <c r="Q72" s="3758"/>
      <c r="R72" s="3758"/>
      <c r="S72" s="3758"/>
      <c r="T72" s="3759"/>
      <c r="U72" s="3758"/>
      <c r="V72" s="3758"/>
      <c r="W72" s="3758"/>
      <c r="X72" s="3759"/>
      <c r="Y72" s="3756" t="s">
        <v>62</v>
      </c>
      <c r="Z72" s="3019"/>
      <c r="AA72" s="3003">
        <v>1</v>
      </c>
      <c r="AB72" s="2453"/>
      <c r="AD72" s="2847" t="s">
        <v>2103</v>
      </c>
    </row>
    <row s="66903" customFormat="1" customHeight="1" ht="10.5">
      <c r="A73" s="2377"/>
      <c r="B73" s="2377"/>
      <c r="C73" s="2377"/>
      <c r="D73" s="2371"/>
      <c r="E73" s="2158"/>
      <c r="F73" s="3792"/>
      <c r="G73" s="3793"/>
      <c r="H73" s="3795"/>
      <c r="I73" s="3797"/>
      <c r="J73" s="3760"/>
      <c r="K73" s="3798"/>
      <c r="L73" s="3761"/>
      <c r="M73" s="3761"/>
      <c r="N73" s="3762"/>
      <c r="O73" s="3762"/>
      <c r="P73" s="3763"/>
      <c r="Q73" s="3758"/>
      <c r="R73" s="3758"/>
      <c r="S73" s="3758"/>
      <c r="T73" s="3760"/>
      <c r="U73" s="3758"/>
      <c r="V73" s="3758"/>
      <c r="W73" s="3758"/>
      <c r="X73" s="3760"/>
      <c r="Y73" s="3757"/>
      <c r="Z73" s="1558"/>
      <c r="AA73" s="1783"/>
      <c r="AB73" s="1863" t="s">
        <v>1168</v>
      </c>
    </row>
    <row r="75" s="67209" customFormat="1" customHeight="1" ht="11.25">
      <c r="A75" s="3026" t="s">
        <v>2104</v>
      </c>
    </row>
    <row r="77" s="66903" customFormat="1" customHeight="1" ht="27">
      <c r="A77" s="2377"/>
      <c r="B77" s="2377"/>
      <c r="C77" s="2377"/>
      <c r="D77" s="2371"/>
      <c r="E77" s="3038"/>
      <c r="F77" s="3008"/>
      <c r="G77" s="2958"/>
      <c r="H77" s="2959"/>
      <c r="I77" s="2960"/>
      <c r="J77" s="2961"/>
      <c r="K77" s="2962"/>
      <c r="L77" s="2963"/>
      <c r="M77" s="2963"/>
      <c r="N77" s="2964"/>
      <c r="O77" s="2964"/>
      <c r="P77" s="2965"/>
      <c r="Q77" s="2966"/>
      <c r="R77" s="2966"/>
      <c r="S77" s="2966"/>
      <c r="T77" s="2961"/>
      <c r="U77" s="2966"/>
      <c r="V77" s="2966"/>
      <c r="W77" s="2966"/>
      <c r="X77" s="2961"/>
      <c r="Y77" s="2959"/>
      <c r="Z77" s="3019"/>
      <c r="AA77" s="3003">
        <v>1</v>
      </c>
      <c r="AB77" s="2453"/>
      <c r="AD77" s="2847" t="s">
        <v>2103</v>
      </c>
    </row>
    <row r="79" s="67209" customFormat="1" customHeight="1" ht="11.25">
      <c r="A79" s="3026" t="s">
        <v>2105</v>
      </c>
    </row>
    <row customHeight="1" ht="17.25"/>
    <row s="66903" customFormat="1" customHeight="1" ht="21">
      <c r="A81" s="2378"/>
      <c r="B81" s="2377"/>
      <c r="C81" s="2377"/>
      <c r="D81" s="2371"/>
      <c r="E81" s="2381"/>
      <c r="F81" s="2333">
        <f>INDEX(IP_MAIN_LIST_NAME_IP,MATCH(A81,IP_MAIN_LIST_IP_ID,0))&amp;" ("&amp;INDEX(IP_MAIN_START_DATE,MATCH(A81,IP_MAIN_LIST_IP_ID,0))&amp;"-"&amp;INDEX(IP_MAIN_END_DATE,MATCH(A81,IP_MAIN_LIST_IP_ID,0))&amp;")"</f>
      </c>
      <c r="G81" s="2334"/>
      <c r="H81" s="2334"/>
      <c r="I81" s="2396"/>
      <c r="J81" s="2396"/>
      <c r="K81" s="2397"/>
      <c r="L81" s="2397"/>
      <c r="M81" s="2397"/>
      <c r="N81" s="2398"/>
      <c r="O81" s="2398"/>
      <c r="P81" s="2398"/>
      <c r="Q81" s="2398"/>
      <c r="R81" s="2398"/>
      <c r="S81" s="2398"/>
      <c r="T81" s="2398"/>
      <c r="U81" s="2398"/>
      <c r="V81" s="2398"/>
      <c r="W81" s="2398"/>
      <c r="X81" s="2398"/>
      <c r="Y81" s="2398"/>
      <c r="Z81" s="2398"/>
      <c r="AA81" s="2398"/>
      <c r="AB81" s="2398"/>
      <c r="AC81" s="2398"/>
      <c r="AD81" s="2398"/>
      <c r="AE81" s="2399"/>
      <c r="AF81" s="2397"/>
      <c r="AG81" s="2397"/>
      <c r="AH81" s="2397"/>
      <c r="AI81" s="2397"/>
      <c r="AJ81" s="2397"/>
      <c r="AK81" s="2397"/>
      <c r="AL81" s="3199"/>
      <c r="AM81" s="3034"/>
      <c r="AN81" s="3034"/>
      <c r="AO81" s="3034"/>
      <c r="AP81" s="3034"/>
      <c r="AQ81" s="3034"/>
      <c r="AR81" s="3034"/>
      <c r="AS81" s="3034"/>
      <c r="AT81" s="3034"/>
      <c r="AU81" s="3034"/>
      <c r="AV81" s="3034"/>
      <c r="AW81" s="3034"/>
      <c r="AX81" s="3034"/>
      <c r="AY81" s="3034"/>
      <c r="AZ81" s="3034"/>
      <c r="BA81" s="3034"/>
      <c r="BB81" s="3034"/>
      <c r="BC81" s="3034"/>
      <c r="BD81" s="3034"/>
      <c r="BE81" s="3034"/>
      <c r="BF81" s="3034"/>
    </row>
    <row s="66903" customFormat="1" customHeight="1" ht="0.75">
      <c r="A82" s="2377"/>
      <c r="B82" s="2377"/>
      <c r="C82" s="2377"/>
      <c r="D82" s="2371"/>
      <c r="E82" s="2381"/>
      <c r="F82" s="3747"/>
      <c r="G82" s="3726"/>
      <c r="H82" s="3751" t="s">
        <v>394</v>
      </c>
      <c r="I82" s="3752"/>
      <c r="J82" s="3753"/>
      <c r="K82" s="3753"/>
      <c r="L82" s="3745"/>
      <c r="M82" s="3479"/>
      <c r="N82" s="3247"/>
      <c r="O82" s="3246"/>
      <c r="P82" s="3247"/>
      <c r="Q82" s="3247"/>
      <c r="R82" s="3247"/>
      <c r="S82" s="3247"/>
      <c r="T82" s="3247"/>
      <c r="U82" s="3247"/>
      <c r="V82" s="3247"/>
      <c r="W82" s="3247"/>
      <c r="X82" s="3247"/>
      <c r="Y82" s="3247"/>
      <c r="Z82" s="3247"/>
      <c r="AA82" s="3247"/>
      <c r="AB82" s="3247"/>
      <c r="AC82" s="3247"/>
      <c r="AD82" s="3247"/>
      <c r="AE82" s="3247"/>
      <c r="AF82" s="3749"/>
      <c r="AG82" s="3745"/>
      <c r="AH82" s="3745"/>
      <c r="AI82" s="3749"/>
      <c r="AJ82" s="3745"/>
      <c r="AK82" s="3745"/>
      <c r="AL82" s="3199"/>
      <c r="AM82" s="3034"/>
      <c r="AN82" s="3034"/>
      <c r="AO82" s="3034"/>
      <c r="AP82" s="3034"/>
      <c r="AQ82" s="3034"/>
      <c r="AR82" s="3034"/>
      <c r="AS82" s="3034"/>
      <c r="AT82" s="3034"/>
      <c r="AU82" s="3034"/>
      <c r="AV82" s="3034"/>
      <c r="AW82" s="3034"/>
      <c r="AX82" s="3034"/>
      <c r="AY82" s="3034"/>
      <c r="AZ82" s="3034"/>
      <c r="BA82" s="3034"/>
      <c r="BB82" s="3034"/>
      <c r="BC82" s="3034"/>
      <c r="BD82" s="3034"/>
      <c r="BE82" s="3034"/>
      <c r="BF82" s="3034"/>
    </row>
    <row s="66903" customFormat="1" customHeight="1" ht="0.75">
      <c r="A83" s="2377"/>
      <c r="B83" s="2377"/>
      <c r="C83" s="2377"/>
      <c r="D83" s="2371"/>
      <c r="E83" s="2381"/>
      <c r="F83" s="3747"/>
      <c r="G83" s="3726"/>
      <c r="H83" s="3751"/>
      <c r="I83" s="3752"/>
      <c r="J83" s="3753"/>
      <c r="K83" s="3753"/>
      <c r="L83" s="3745"/>
      <c r="M83" s="3479"/>
      <c r="N83" s="3754"/>
      <c r="O83" s="3755"/>
      <c r="P83" s="3799"/>
      <c r="Q83" s="3750"/>
      <c r="R83" s="3750"/>
      <c r="S83" s="3750"/>
      <c r="T83" s="3750"/>
      <c r="U83" s="3750"/>
      <c r="V83" s="3750"/>
      <c r="W83" s="3750"/>
      <c r="X83" s="3750"/>
      <c r="Y83" s="3750"/>
      <c r="Z83" s="3248"/>
      <c r="AA83" s="3249"/>
      <c r="AB83" s="3249"/>
      <c r="AC83" s="3250"/>
      <c r="AD83" s="3250"/>
      <c r="AE83" s="3251"/>
      <c r="AF83" s="3749"/>
      <c r="AG83" s="3745"/>
      <c r="AH83" s="3745"/>
      <c r="AI83" s="3749"/>
      <c r="AJ83" s="3745"/>
      <c r="AK83" s="3745"/>
      <c r="AL83" s="3199"/>
      <c r="AM83" s="3034"/>
      <c r="AN83" s="3034"/>
      <c r="AO83" s="3034"/>
      <c r="AP83" s="3034"/>
      <c r="AQ83" s="3034"/>
      <c r="AR83" s="3034"/>
      <c r="AS83" s="3034"/>
      <c r="AT83" s="3034"/>
      <c r="AU83" s="3034"/>
      <c r="AV83" s="3034"/>
      <c r="AW83" s="3034"/>
      <c r="AX83" s="3034"/>
      <c r="AY83" s="3034"/>
      <c r="AZ83" s="3034"/>
      <c r="BA83" s="3034"/>
      <c r="BB83" s="3034"/>
      <c r="BC83" s="3034"/>
      <c r="BD83" s="3034"/>
      <c r="BE83" s="3034"/>
      <c r="BF83" s="3034"/>
    </row>
    <row s="66903" customFormat="1" customHeight="1" ht="0.75">
      <c r="A84" s="2377"/>
      <c r="B84" s="2377"/>
      <c r="C84" s="2377"/>
      <c r="D84" s="2371"/>
      <c r="E84" s="2381"/>
      <c r="F84" s="3747"/>
      <c r="G84" s="3726"/>
      <c r="H84" s="3751"/>
      <c r="I84" s="3752"/>
      <c r="J84" s="3753"/>
      <c r="K84" s="3753"/>
      <c r="L84" s="3745"/>
      <c r="M84" s="3479"/>
      <c r="N84" s="3754"/>
      <c r="O84" s="3755"/>
      <c r="P84" s="3800"/>
      <c r="Q84" s="3750"/>
      <c r="R84" s="3750"/>
      <c r="S84" s="3750"/>
      <c r="T84" s="3750"/>
      <c r="U84" s="3750"/>
      <c r="V84" s="3750"/>
      <c r="W84" s="3750"/>
      <c r="X84" s="3750"/>
      <c r="Y84" s="3750"/>
      <c r="Z84" s="3252"/>
      <c r="AA84" s="3253"/>
      <c r="AB84" s="3254"/>
      <c r="AC84" s="3255"/>
      <c r="AD84" s="3254"/>
      <c r="AE84" s="3255"/>
      <c r="AF84" s="3749"/>
      <c r="AG84" s="3745"/>
      <c r="AH84" s="3745"/>
      <c r="AI84" s="3749"/>
      <c r="AJ84" s="3745"/>
      <c r="AK84" s="3745"/>
      <c r="AL84" s="3199"/>
      <c r="AM84" s="3034"/>
      <c r="AN84" s="3034"/>
      <c r="AO84" s="3034"/>
      <c r="AP84" s="3034"/>
      <c r="AQ84" s="3034"/>
      <c r="AR84" s="3034"/>
      <c r="AS84" s="3034"/>
      <c r="AT84" s="3034"/>
      <c r="AU84" s="3034"/>
      <c r="AV84" s="3034"/>
      <c r="AW84" s="3034"/>
      <c r="AX84" s="3034"/>
      <c r="AY84" s="3034"/>
      <c r="AZ84" s="3034"/>
      <c r="BA84" s="3034"/>
      <c r="BB84" s="3034"/>
      <c r="BC84" s="3034"/>
      <c r="BD84" s="3034"/>
      <c r="BE84" s="3034"/>
      <c r="BF84" s="3034"/>
    </row>
    <row s="66903" customFormat="1" customHeight="1" ht="0.75">
      <c r="A85" s="2377"/>
      <c r="B85" s="2377"/>
      <c r="C85" s="2377"/>
      <c r="D85" s="2371"/>
      <c r="E85" s="2381"/>
      <c r="F85" s="3747"/>
      <c r="G85" s="3726"/>
      <c r="H85" s="3751"/>
      <c r="I85" s="3752"/>
      <c r="J85" s="3753"/>
      <c r="K85" s="3753"/>
      <c r="L85" s="3745"/>
      <c r="M85" s="3479"/>
      <c r="N85" s="3754"/>
      <c r="O85" s="3755"/>
      <c r="P85" s="3801"/>
      <c r="Q85" s="3750"/>
      <c r="R85" s="3750"/>
      <c r="S85" s="3750"/>
      <c r="T85" s="3750"/>
      <c r="U85" s="3750"/>
      <c r="V85" s="3750"/>
      <c r="W85" s="3750"/>
      <c r="X85" s="3750"/>
      <c r="Y85" s="3750"/>
      <c r="Z85" s="3248"/>
      <c r="AA85" s="3249"/>
      <c r="AB85" s="3256"/>
      <c r="AC85" s="3250"/>
      <c r="AD85" s="3250"/>
      <c r="AE85" s="3257"/>
      <c r="AF85" s="3749"/>
      <c r="AG85" s="3745"/>
      <c r="AH85" s="3745"/>
      <c r="AI85" s="3749"/>
      <c r="AJ85" s="3745"/>
      <c r="AK85" s="3745"/>
      <c r="AL85" s="3199"/>
      <c r="AM85" s="3034"/>
      <c r="AN85" s="3034"/>
      <c r="AO85" s="3034"/>
      <c r="AP85" s="3034"/>
      <c r="AQ85" s="3034"/>
      <c r="AR85" s="3034"/>
      <c r="AS85" s="3034"/>
      <c r="AT85" s="3034"/>
      <c r="AU85" s="3034"/>
      <c r="AV85" s="3034"/>
      <c r="AW85" s="3034"/>
      <c r="AX85" s="3034"/>
      <c r="AY85" s="3034"/>
      <c r="AZ85" s="3034"/>
      <c r="BA85" s="3034"/>
      <c r="BB85" s="3034"/>
      <c r="BC85" s="3034"/>
      <c r="BD85" s="3034"/>
      <c r="BE85" s="3034"/>
      <c r="BF85" s="3034"/>
    </row>
    <row s="66903" customFormat="1" customHeight="1" ht="0.75">
      <c r="A86" s="2377"/>
      <c r="B86" s="2377"/>
      <c r="C86" s="2377"/>
      <c r="D86" s="2371"/>
      <c r="E86" s="2381"/>
      <c r="F86" s="3747"/>
      <c r="G86" s="3726"/>
      <c r="H86" s="3751"/>
      <c r="I86" s="3752"/>
      <c r="J86" s="3753"/>
      <c r="K86" s="3753"/>
      <c r="L86" s="3745"/>
      <c r="M86" s="3479"/>
      <c r="N86" s="3249"/>
      <c r="O86" s="3249"/>
      <c r="P86" s="3256"/>
      <c r="Q86" s="3249"/>
      <c r="R86" s="3249"/>
      <c r="S86" s="3249"/>
      <c r="T86" s="3249"/>
      <c r="U86" s="3249"/>
      <c r="V86" s="3249"/>
      <c r="W86" s="3249"/>
      <c r="X86" s="3249"/>
      <c r="Y86" s="3249"/>
      <c r="Z86" s="3249"/>
      <c r="AA86" s="3249"/>
      <c r="AB86" s="3249"/>
      <c r="AC86" s="3249"/>
      <c r="AD86" s="3249"/>
      <c r="AE86" s="3258"/>
      <c r="AF86" s="3749"/>
      <c r="AG86" s="3745"/>
      <c r="AH86" s="3745"/>
      <c r="AI86" s="3749"/>
      <c r="AJ86" s="3745"/>
      <c r="AK86" s="3745"/>
      <c r="AL86" s="3199"/>
      <c r="AM86" s="3034"/>
      <c r="AN86" s="3034"/>
      <c r="AO86" s="3034"/>
      <c r="AP86" s="3034"/>
      <c r="AQ86" s="3034"/>
      <c r="AR86" s="3034"/>
      <c r="AS86" s="3034"/>
      <c r="AT86" s="3034"/>
      <c r="AU86" s="3034"/>
      <c r="AV86" s="3034"/>
      <c r="AW86" s="3034"/>
      <c r="AX86" s="3034"/>
      <c r="AY86" s="3034"/>
      <c r="AZ86" s="3034"/>
      <c r="BA86" s="3034"/>
      <c r="BB86" s="3034"/>
      <c r="BC86" s="3034"/>
      <c r="BD86" s="3034"/>
      <c r="BE86" s="3034"/>
      <c r="BF86" s="3034"/>
    </row>
    <row s="66903" customFormat="1" customHeight="1" ht="12">
      <c r="A87" s="2377"/>
      <c r="B87" s="2377"/>
      <c r="C87" s="2377"/>
      <c r="D87" s="2371"/>
      <c r="E87" s="2381"/>
      <c r="F87" s="3748"/>
      <c r="G87" s="2401"/>
      <c r="H87" s="2401"/>
      <c r="I87" s="3746" t="s">
        <v>1199</v>
      </c>
      <c r="J87" s="3746"/>
      <c r="K87" s="3746"/>
      <c r="L87" s="2384"/>
      <c r="M87" s="2384"/>
      <c r="N87" s="2385"/>
      <c r="O87" s="2385"/>
      <c r="P87" s="2385"/>
      <c r="Q87" s="2385"/>
      <c r="R87" s="2385"/>
      <c r="S87" s="2385"/>
      <c r="T87" s="2385"/>
      <c r="U87" s="2385"/>
      <c r="V87" s="2385"/>
      <c r="W87" s="2385"/>
      <c r="X87" s="2385"/>
      <c r="Y87" s="2385"/>
      <c r="Z87" s="2385"/>
      <c r="AA87" s="2385"/>
      <c r="AB87" s="2385"/>
      <c r="AC87" s="2385"/>
      <c r="AD87" s="2385"/>
      <c r="AE87" s="2385"/>
      <c r="AF87" s="2385"/>
      <c r="AG87" s="2384"/>
      <c r="AH87" s="2384"/>
      <c r="AI87" s="2385"/>
      <c r="AJ87" s="2384"/>
      <c r="AK87" s="2385"/>
      <c r="AL87" s="3199"/>
      <c r="AM87" s="3034"/>
      <c r="AN87" s="3034"/>
      <c r="AO87" s="3034"/>
      <c r="AP87" s="3034"/>
      <c r="AQ87" s="3034"/>
      <c r="AR87" s="3034"/>
      <c r="AS87" s="3034"/>
      <c r="AT87" s="3034"/>
      <c r="AU87" s="3034"/>
      <c r="AV87" s="3034"/>
      <c r="AW87" s="3034"/>
      <c r="AX87" s="3034"/>
      <c r="AY87" s="3034"/>
      <c r="AZ87" s="3034"/>
      <c r="BA87" s="3034"/>
      <c r="BB87" s="3034"/>
      <c r="BC87" s="3034"/>
      <c r="BD87" s="3034"/>
      <c r="BE87" s="3034"/>
      <c r="BF87" s="3034"/>
    </row>
    <row r="89" s="67209" customFormat="1" customHeight="1" ht="11.25">
      <c r="A89" s="3026" t="s">
        <v>2106</v>
      </c>
    </row>
    <row r="91" s="66903" customFormat="1" customHeight="1" ht="11.25">
      <c r="A91" s="2377"/>
      <c r="B91" s="2377"/>
      <c r="C91" s="2377"/>
      <c r="D91" s="2371"/>
      <c r="E91" s="2381"/>
      <c r="F91" s="3040"/>
      <c r="G91" s="3041"/>
      <c r="H91" s="3041"/>
      <c r="I91" s="2975"/>
      <c r="J91" s="2975"/>
      <c r="K91" s="3042"/>
      <c r="L91" s="2975"/>
      <c r="M91" s="3041"/>
      <c r="N91" s="3719"/>
      <c r="O91" s="3802">
        <v>1</v>
      </c>
      <c r="P91" s="3721" t="s">
        <v>19</v>
      </c>
      <c r="Q91" s="3724" t="s">
        <v>22</v>
      </c>
      <c r="R91" s="3724" t="s">
        <v>22</v>
      </c>
      <c r="S91" s="3724" t="s">
        <v>22</v>
      </c>
      <c r="T91" s="3724" t="s">
        <v>22</v>
      </c>
      <c r="U91" s="3724" t="s">
        <v>22</v>
      </c>
      <c r="V91" s="3724" t="s">
        <v>22</v>
      </c>
      <c r="W91" s="3724" t="s">
        <v>22</v>
      </c>
      <c r="X91" s="3724" t="s">
        <v>22</v>
      </c>
      <c r="Y91" s="3724"/>
      <c r="Z91" s="2386"/>
      <c r="AA91" s="2387"/>
      <c r="AB91" s="2387"/>
      <c r="AC91" s="2391"/>
      <c r="AD91" s="2391"/>
      <c r="AE91" s="2391"/>
      <c r="AF91" s="3043"/>
      <c r="AG91" s="2970"/>
      <c r="AH91" s="2970"/>
      <c r="AI91" s="3043"/>
      <c r="AJ91" s="2970"/>
      <c r="AK91" s="3198"/>
      <c r="AL91" s="3199"/>
      <c r="AM91" s="3034"/>
      <c r="AN91" s="3034"/>
      <c r="AO91" s="3034"/>
      <c r="AP91" s="3034"/>
      <c r="AQ91" s="3034"/>
      <c r="AR91" s="3034"/>
      <c r="AS91" s="3034"/>
      <c r="AT91" s="3034"/>
      <c r="AU91" s="3034"/>
      <c r="AV91" s="3034"/>
      <c r="AW91" s="3034"/>
      <c r="AX91" s="3034"/>
      <c r="AY91" s="3034"/>
      <c r="AZ91" s="3034"/>
      <c r="BA91" s="3034"/>
      <c r="BB91" s="3034"/>
      <c r="BC91" s="3034"/>
      <c r="BD91" s="3034"/>
      <c r="BE91" s="3034"/>
      <c r="BF91" s="3034"/>
    </row>
    <row s="66903" customFormat="1" customHeight="1" ht="11.25">
      <c r="A92" s="2377"/>
      <c r="B92" s="2377"/>
      <c r="C92" s="2377"/>
      <c r="D92" s="2371"/>
      <c r="E92" s="2381"/>
      <c r="F92" s="3040"/>
      <c r="G92" s="3041"/>
      <c r="H92" s="3041"/>
      <c r="I92" s="2976"/>
      <c r="J92" s="2976"/>
      <c r="K92" s="3042"/>
      <c r="L92" s="2976"/>
      <c r="M92" s="3041"/>
      <c r="N92" s="3719"/>
      <c r="O92" s="3802"/>
      <c r="P92" s="3722"/>
      <c r="Q92" s="3724"/>
      <c r="R92" s="3724"/>
      <c r="S92" s="3725"/>
      <c r="T92" s="3724"/>
      <c r="U92" s="3724"/>
      <c r="V92" s="3724"/>
      <c r="W92" s="3724"/>
      <c r="X92" s="3724"/>
      <c r="Y92" s="3724"/>
      <c r="Z92" s="3039"/>
      <c r="AA92" s="3005">
        <v>1</v>
      </c>
      <c r="AB92" s="2390"/>
      <c r="AC92" s="2380"/>
      <c r="AD92" s="2390">
        <f>AB92</f>
        <v>0</v>
      </c>
      <c r="AE92" s="1935"/>
      <c r="AF92" s="3042"/>
      <c r="AG92" s="2970"/>
      <c r="AH92" s="2970"/>
      <c r="AI92" s="3042"/>
      <c r="AJ92" s="2970"/>
      <c r="AK92" s="3198"/>
      <c r="AL92" s="3199"/>
      <c r="AM92" s="3034"/>
      <c r="AN92" s="3034"/>
      <c r="AO92" s="3034"/>
      <c r="AP92" s="3034"/>
      <c r="AQ92" s="3034"/>
      <c r="AR92" s="3034"/>
      <c r="AS92" s="3034"/>
      <c r="AT92" s="3034"/>
      <c r="AU92" s="3034"/>
      <c r="AV92" s="3034"/>
      <c r="AW92" s="3034"/>
      <c r="AX92" s="3034"/>
      <c r="AY92" s="3034"/>
      <c r="AZ92" s="3034"/>
      <c r="BA92" s="3034"/>
      <c r="BB92" s="3034"/>
      <c r="BC92" s="3034"/>
      <c r="BD92" s="3034"/>
      <c r="BE92" s="3034"/>
      <c r="BF92" s="3034"/>
    </row>
    <row s="66903" customFormat="1" customHeight="1" ht="11.25">
      <c r="A93" s="2377"/>
      <c r="B93" s="2377"/>
      <c r="C93" s="2377"/>
      <c r="D93" s="2371"/>
      <c r="E93" s="2381"/>
      <c r="F93" s="3040"/>
      <c r="G93" s="3041"/>
      <c r="H93" s="3041"/>
      <c r="I93" s="2977"/>
      <c r="J93" s="2977"/>
      <c r="K93" s="3042"/>
      <c r="L93" s="2977"/>
      <c r="M93" s="3041"/>
      <c r="N93" s="3719"/>
      <c r="O93" s="3802"/>
      <c r="P93" s="3723"/>
      <c r="Q93" s="3724"/>
      <c r="R93" s="3724"/>
      <c r="S93" s="3725"/>
      <c r="T93" s="3724"/>
      <c r="U93" s="3724"/>
      <c r="V93" s="3724"/>
      <c r="W93" s="3724"/>
      <c r="X93" s="3724"/>
      <c r="Y93" s="3724"/>
      <c r="Z93" s="2386"/>
      <c r="AA93" s="2387"/>
      <c r="AB93" s="2452" t="s">
        <v>1206</v>
      </c>
      <c r="AC93" s="2391"/>
      <c r="AD93" s="2391"/>
      <c r="AE93" s="2391"/>
      <c r="AF93" s="3044"/>
      <c r="AG93" s="2970"/>
      <c r="AH93" s="2970"/>
      <c r="AI93" s="3044"/>
      <c r="AJ93" s="2970"/>
      <c r="AK93" s="3198"/>
      <c r="AL93" s="3199"/>
      <c r="AM93" s="3034"/>
      <c r="AN93" s="3034"/>
      <c r="AO93" s="3034"/>
      <c r="AP93" s="3034"/>
      <c r="AQ93" s="3034"/>
      <c r="AR93" s="3034"/>
      <c r="AS93" s="3034"/>
      <c r="AT93" s="3034"/>
      <c r="AU93" s="3034"/>
      <c r="AV93" s="3034"/>
      <c r="AW93" s="3034"/>
      <c r="AX93" s="3034"/>
      <c r="AY93" s="3034"/>
      <c r="AZ93" s="3034"/>
      <c r="BA93" s="3034"/>
      <c r="BB93" s="3034"/>
      <c r="BC93" s="3034"/>
      <c r="BD93" s="3034"/>
      <c r="BE93" s="3034"/>
      <c r="BF93" s="3034"/>
    </row>
    <row r="95" s="67209" customFormat="1" customHeight="1" ht="11.25">
      <c r="A95" s="3026" t="s">
        <v>2107</v>
      </c>
    </row>
    <row r="97" s="66903" customFormat="1" customHeight="1" ht="11.25">
      <c r="A97" s="2377"/>
      <c r="B97" s="2377"/>
      <c r="C97" s="2377"/>
      <c r="D97" s="2371"/>
      <c r="E97" s="2381"/>
      <c r="F97" s="3041"/>
      <c r="G97" s="3041"/>
      <c r="H97" s="3041"/>
      <c r="I97" s="3041"/>
      <c r="J97" s="3041"/>
      <c r="K97" s="3041"/>
      <c r="L97" s="3041"/>
      <c r="M97" s="3041"/>
      <c r="N97" s="3041"/>
      <c r="O97" s="3041"/>
      <c r="P97" s="3041"/>
      <c r="Q97" s="3041"/>
      <c r="R97" s="3041"/>
      <c r="S97" s="3041"/>
      <c r="T97" s="3041"/>
      <c r="U97" s="3041"/>
      <c r="V97" s="3041"/>
      <c r="W97" s="3041"/>
      <c r="X97" s="3041"/>
      <c r="Y97" s="3041"/>
      <c r="Z97" s="3045"/>
      <c r="AA97" s="3025">
        <v>1</v>
      </c>
      <c r="AB97" s="2390"/>
      <c r="AC97" s="2380"/>
      <c r="AD97" s="2390">
        <f>AB97</f>
        <v>0</v>
      </c>
      <c r="AE97" s="2380"/>
      <c r="AF97" s="3042"/>
      <c r="AG97" s="2970"/>
      <c r="AH97" s="2970"/>
      <c r="AI97" s="3042"/>
      <c r="AJ97" s="2970"/>
      <c r="AK97" s="3198"/>
      <c r="AL97" s="3199"/>
      <c r="AM97" s="3034"/>
      <c r="AN97" s="3034"/>
      <c r="AO97" s="3034"/>
      <c r="AP97" s="3034"/>
      <c r="AQ97" s="3034"/>
      <c r="AR97" s="3034"/>
      <c r="AS97" s="3034"/>
      <c r="AT97" s="3034"/>
      <c r="AU97" s="3034"/>
      <c r="AV97" s="3034"/>
      <c r="AW97" s="3034"/>
      <c r="AX97" s="3034"/>
      <c r="AY97" s="3034"/>
      <c r="AZ97" s="3034"/>
      <c r="BA97" s="3034"/>
      <c r="BB97" s="3034"/>
      <c r="BC97" s="3034"/>
      <c r="BD97" s="3034"/>
      <c r="BE97" s="3034"/>
      <c r="BF97" s="3034"/>
    </row>
    <row r="99" s="67209" customFormat="1" customHeight="1" ht="11.25">
      <c r="A99" s="3026" t="s">
        <v>2108</v>
      </c>
    </row>
    <row r="101" s="66903" customFormat="1" customHeight="1" ht="11.25">
      <c r="A101" s="2377"/>
      <c r="B101" s="2377"/>
      <c r="C101" s="2377"/>
      <c r="D101" s="2371"/>
      <c r="E101" s="2381"/>
      <c r="F101" s="3040"/>
      <c r="G101" s="3041"/>
      <c r="H101" s="3726" t="s">
        <v>99</v>
      </c>
      <c r="I101" s="3727"/>
      <c r="J101" s="3696"/>
      <c r="K101" s="3728"/>
      <c r="L101" s="3318" t="s">
        <v>19</v>
      </c>
      <c r="M101" s="3319"/>
      <c r="N101" s="3197"/>
      <c r="O101" s="2388" t="s">
        <v>394</v>
      </c>
      <c r="P101" s="2389"/>
      <c r="Q101" s="2389"/>
      <c r="R101" s="2389"/>
      <c r="S101" s="2389"/>
      <c r="T101" s="2389"/>
      <c r="U101" s="2389"/>
      <c r="V101" s="2389"/>
      <c r="W101" s="2389"/>
      <c r="X101" s="2389"/>
      <c r="Y101" s="2389"/>
      <c r="Z101" s="2389"/>
      <c r="AA101" s="2389"/>
      <c r="AB101" s="2389"/>
      <c r="AC101" s="2389"/>
      <c r="AD101" s="2389"/>
      <c r="AE101" s="2389"/>
      <c r="AF101" s="3717"/>
      <c r="AG101" s="3718"/>
      <c r="AH101" s="3718"/>
      <c r="AI101" s="3717"/>
      <c r="AJ101" s="3718"/>
      <c r="AK101" s="3718"/>
      <c r="AL101" s="3199"/>
      <c r="AM101" s="3034"/>
      <c r="AN101" s="3034"/>
      <c r="AO101" s="3034"/>
      <c r="AP101" s="3034"/>
      <c r="AQ101" s="3034"/>
      <c r="AR101" s="3034"/>
      <c r="AS101" s="3034"/>
      <c r="AT101" s="3034"/>
      <c r="AU101" s="3034"/>
      <c r="AV101" s="3034"/>
      <c r="AW101" s="3034"/>
      <c r="AX101" s="3034"/>
      <c r="AY101" s="3034"/>
      <c r="AZ101" s="3034"/>
      <c r="BA101" s="3034"/>
      <c r="BB101" s="3034"/>
      <c r="BC101" s="3034"/>
      <c r="BD101" s="3034"/>
      <c r="BE101" s="3034"/>
      <c r="BF101" s="3034"/>
    </row>
    <row s="66903" customFormat="1" customHeight="1" ht="11.25">
      <c r="A102" s="2377"/>
      <c r="B102" s="2377"/>
      <c r="C102" s="2377"/>
      <c r="D102" s="2371"/>
      <c r="E102" s="2381"/>
      <c r="F102" s="3040"/>
      <c r="G102" s="3041"/>
      <c r="H102" s="3726"/>
      <c r="I102" s="3727"/>
      <c r="J102" s="3696"/>
      <c r="K102" s="3728"/>
      <c r="L102" s="3318"/>
      <c r="M102" s="3319"/>
      <c r="N102" s="3719"/>
      <c r="O102" s="3720">
        <v>1</v>
      </c>
      <c r="P102" s="3721" t="s">
        <v>19</v>
      </c>
      <c r="Q102" s="3724" t="s">
        <v>22</v>
      </c>
      <c r="R102" s="3724" t="s">
        <v>22</v>
      </c>
      <c r="S102" s="3724" t="s">
        <v>22</v>
      </c>
      <c r="T102" s="3724" t="s">
        <v>22</v>
      </c>
      <c r="U102" s="3724" t="s">
        <v>22</v>
      </c>
      <c r="V102" s="3724" t="s">
        <v>22</v>
      </c>
      <c r="W102" s="3724" t="s">
        <v>22</v>
      </c>
      <c r="X102" s="3724" t="s">
        <v>22</v>
      </c>
      <c r="Y102" s="3724"/>
      <c r="Z102" s="2386"/>
      <c r="AA102" s="2387"/>
      <c r="AB102" s="2387"/>
      <c r="AC102" s="2391"/>
      <c r="AD102" s="2391"/>
      <c r="AE102" s="2392"/>
      <c r="AF102" s="3717"/>
      <c r="AG102" s="3718"/>
      <c r="AH102" s="3718"/>
      <c r="AI102" s="3717"/>
      <c r="AJ102" s="3718"/>
      <c r="AK102" s="3718"/>
      <c r="AL102" s="3199"/>
      <c r="AM102" s="3034"/>
      <c r="AN102" s="3034"/>
      <c r="AO102" s="3034"/>
      <c r="AP102" s="3034"/>
      <c r="AQ102" s="3034"/>
      <c r="AR102" s="3034"/>
      <c r="AS102" s="3034"/>
      <c r="AT102" s="3034"/>
      <c r="AU102" s="3034"/>
      <c r="AV102" s="3034"/>
      <c r="AW102" s="3034"/>
      <c r="AX102" s="3034"/>
      <c r="AY102" s="3034"/>
      <c r="AZ102" s="3034"/>
      <c r="BA102" s="3034"/>
      <c r="BB102" s="3034"/>
      <c r="BC102" s="3034"/>
      <c r="BD102" s="3034"/>
      <c r="BE102" s="3034"/>
      <c r="BF102" s="3034"/>
    </row>
    <row s="66903" customFormat="1" customHeight="1" ht="11.25">
      <c r="A103" s="2377"/>
      <c r="B103" s="2377"/>
      <c r="C103" s="2377"/>
      <c r="D103" s="2371"/>
      <c r="E103" s="2381"/>
      <c r="F103" s="3040"/>
      <c r="G103" s="3041"/>
      <c r="H103" s="3726"/>
      <c r="I103" s="3727"/>
      <c r="J103" s="3696"/>
      <c r="K103" s="3728"/>
      <c r="L103" s="3318"/>
      <c r="M103" s="3319"/>
      <c r="N103" s="3719"/>
      <c r="O103" s="3720"/>
      <c r="P103" s="3722"/>
      <c r="Q103" s="3724"/>
      <c r="R103" s="3724"/>
      <c r="S103" s="3725"/>
      <c r="T103" s="3724"/>
      <c r="U103" s="3724"/>
      <c r="V103" s="3724"/>
      <c r="W103" s="3724"/>
      <c r="X103" s="3724"/>
      <c r="Y103" s="3724"/>
      <c r="Z103" s="3039"/>
      <c r="AA103" s="3005">
        <v>1</v>
      </c>
      <c r="AB103" s="2390"/>
      <c r="AC103" s="2380"/>
      <c r="AD103" s="2390">
        <f>AB103</f>
        <v>0</v>
      </c>
      <c r="AE103" s="2380"/>
      <c r="AF103" s="3717"/>
      <c r="AG103" s="3718"/>
      <c r="AH103" s="3718"/>
      <c r="AI103" s="3717"/>
      <c r="AJ103" s="3718"/>
      <c r="AK103" s="3718"/>
      <c r="AL103" s="3199"/>
      <c r="AM103" s="3034"/>
      <c r="AN103" s="3034"/>
      <c r="AO103" s="3034"/>
      <c r="AP103" s="3034"/>
      <c r="AQ103" s="3034"/>
      <c r="AR103" s="3034"/>
      <c r="AS103" s="3034"/>
      <c r="AT103" s="3034"/>
      <c r="AU103" s="3034"/>
      <c r="AV103" s="3034"/>
      <c r="AW103" s="3034"/>
      <c r="AX103" s="3034"/>
      <c r="AY103" s="3034"/>
      <c r="AZ103" s="3034"/>
      <c r="BA103" s="3034"/>
      <c r="BB103" s="3034"/>
      <c r="BC103" s="3034"/>
      <c r="BD103" s="3034"/>
      <c r="BE103" s="3034"/>
      <c r="BF103" s="3034"/>
    </row>
    <row s="66903" customFormat="1" customHeight="1" ht="11.25">
      <c r="A104" s="2377"/>
      <c r="B104" s="2377"/>
      <c r="C104" s="2377"/>
      <c r="D104" s="2371"/>
      <c r="E104" s="2381"/>
      <c r="F104" s="3040"/>
      <c r="G104" s="3041"/>
      <c r="H104" s="3726"/>
      <c r="I104" s="3727"/>
      <c r="J104" s="3696"/>
      <c r="K104" s="3728"/>
      <c r="L104" s="3318"/>
      <c r="M104" s="3319"/>
      <c r="N104" s="3719"/>
      <c r="O104" s="3720"/>
      <c r="P104" s="3723"/>
      <c r="Q104" s="3724"/>
      <c r="R104" s="3724"/>
      <c r="S104" s="3725"/>
      <c r="T104" s="3724"/>
      <c r="U104" s="3724"/>
      <c r="V104" s="3724"/>
      <c r="W104" s="3724"/>
      <c r="X104" s="3724"/>
      <c r="Y104" s="3724"/>
      <c r="Z104" s="2386"/>
      <c r="AA104" s="2387"/>
      <c r="AB104" s="2452" t="s">
        <v>1206</v>
      </c>
      <c r="AC104" s="2391"/>
      <c r="AD104" s="2391"/>
      <c r="AE104" s="2393"/>
      <c r="AF104" s="3717"/>
      <c r="AG104" s="3718"/>
      <c r="AH104" s="3718"/>
      <c r="AI104" s="3717"/>
      <c r="AJ104" s="3718"/>
      <c r="AK104" s="3718"/>
      <c r="AL104" s="3199"/>
      <c r="AM104" s="3034"/>
      <c r="AN104" s="3034"/>
      <c r="AO104" s="3034"/>
      <c r="AP104" s="3034"/>
      <c r="AQ104" s="3034"/>
      <c r="AR104" s="3034"/>
      <c r="AS104" s="3034"/>
      <c r="AT104" s="3034"/>
      <c r="AU104" s="3034"/>
      <c r="AV104" s="3034"/>
      <c r="AW104" s="3034"/>
      <c r="AX104" s="3034"/>
      <c r="AY104" s="3034"/>
      <c r="AZ104" s="3034"/>
      <c r="BA104" s="3034"/>
      <c r="BB104" s="3034"/>
      <c r="BC104" s="3034"/>
      <c r="BD104" s="3034"/>
      <c r="BE104" s="3034"/>
      <c r="BF104" s="3034"/>
    </row>
    <row s="66903" customFormat="1" customHeight="1" ht="11.25">
      <c r="A105" s="2377"/>
      <c r="B105" s="2377"/>
      <c r="C105" s="2377"/>
      <c r="D105" s="2371"/>
      <c r="E105" s="2381"/>
      <c r="F105" s="3040"/>
      <c r="G105" s="3041"/>
      <c r="H105" s="3726"/>
      <c r="I105" s="3727"/>
      <c r="J105" s="3696"/>
      <c r="K105" s="3728"/>
      <c r="L105" s="3318"/>
      <c r="M105" s="3319"/>
      <c r="N105" s="2386"/>
      <c r="O105" s="2387"/>
      <c r="P105" s="2379" t="s">
        <v>1207</v>
      </c>
      <c r="Q105" s="2387"/>
      <c r="R105" s="2387"/>
      <c r="S105" s="2387"/>
      <c r="T105" s="2387"/>
      <c r="U105" s="2387"/>
      <c r="V105" s="2387"/>
      <c r="W105" s="2387"/>
      <c r="X105" s="2387"/>
      <c r="Y105" s="2387"/>
      <c r="Z105" s="2387"/>
      <c r="AA105" s="2387"/>
      <c r="AB105" s="2387"/>
      <c r="AC105" s="2387"/>
      <c r="AD105" s="2387"/>
      <c r="AE105" s="2394"/>
      <c r="AF105" s="3717"/>
      <c r="AG105" s="3718"/>
      <c r="AH105" s="3718"/>
      <c r="AI105" s="3717"/>
      <c r="AJ105" s="3718"/>
      <c r="AK105" s="3718"/>
      <c r="AL105" s="3199"/>
      <c r="AM105" s="3034"/>
      <c r="AN105" s="3034"/>
      <c r="AO105" s="3034"/>
      <c r="AP105" s="3034"/>
      <c r="AQ105" s="3034"/>
      <c r="AR105" s="3034"/>
      <c r="AS105" s="3034"/>
      <c r="AT105" s="3034"/>
      <c r="AU105" s="3034"/>
      <c r="AV105" s="3034"/>
      <c r="AW105" s="3034"/>
      <c r="AX105" s="3034"/>
      <c r="AY105" s="3034"/>
      <c r="AZ105" s="3034"/>
      <c r="BA105" s="3034"/>
      <c r="BB105" s="3034"/>
      <c r="BC105" s="3034"/>
      <c r="BD105" s="3034"/>
      <c r="BE105" s="3034"/>
      <c r="BF105" s="3034"/>
    </row>
    <row r="107" s="67209" customFormat="1" customHeight="1" ht="11.25">
      <c r="A107" s="3026" t="s">
        <v>2109</v>
      </c>
    </row>
    <row customHeight="1" ht="17.25"/>
    <row s="66606" customFormat="1" customHeight="1" ht="21">
      <c r="A109" s="2378"/>
      <c r="B109" s="2151"/>
      <c r="D109" s="2135"/>
      <c r="E109" s="2150" t="s">
        <v>22</v>
      </c>
      <c r="F109" s="2332">
        <f>INDEX(IP_MAIN_LIST_NAME_IP,MATCH(A109,IP_MAIN_LIST_IP_ID,0))&amp;" ("&amp;INDEX(IP_MAIN_START_DATE,MATCH(A109,IP_MAIN_LIST_IP_ID,0))&amp;"-"&amp;INDEX(IP_MAIN_END_DATE,MATCH(A109,IP_MAIN_LIST_IP_ID,0))&amp;")"</f>
      </c>
      <c r="G109" s="2414"/>
      <c r="H109" s="2415"/>
      <c r="I109" s="2415"/>
      <c r="J109" s="2415"/>
      <c r="K109" s="2415"/>
      <c r="L109" s="2415"/>
      <c r="M109" s="2415"/>
      <c r="N109" s="2415"/>
      <c r="O109" s="2414"/>
      <c r="P109" s="2414"/>
      <c r="Q109" s="2414"/>
      <c r="R109" s="2414"/>
      <c r="S109" s="2414"/>
      <c r="T109" s="2414"/>
      <c r="U109" s="2416"/>
      <c r="V109" s="2416"/>
      <c r="W109" s="2416"/>
      <c r="X109" s="2416"/>
      <c r="Y109" s="2416"/>
      <c r="Z109" s="2416"/>
      <c r="AA109" s="2416"/>
      <c r="AB109" s="2414"/>
      <c r="AC109" s="2415"/>
      <c r="AD109" s="2415"/>
      <c r="AE109" s="2415"/>
      <c r="AF109" s="2415"/>
      <c r="AG109" s="2415"/>
      <c r="AH109" s="2415"/>
      <c r="AI109" s="2415"/>
      <c r="AJ109" s="2415"/>
      <c r="AK109" s="2415"/>
      <c r="AL109" s="2415"/>
      <c r="AM109" s="2415"/>
      <c r="AN109" s="2415"/>
      <c r="AO109" s="2415"/>
      <c r="AP109" s="2415"/>
      <c r="AQ109" s="2415"/>
      <c r="AR109" s="2415"/>
      <c r="AS109" s="2415"/>
      <c r="AT109" s="2415"/>
      <c r="AU109" s="2415"/>
      <c r="AV109" s="2415"/>
      <c r="AW109" s="2415"/>
      <c r="AX109" s="2415"/>
      <c r="AY109" s="2415"/>
      <c r="AZ109" s="2415"/>
      <c r="BA109" s="2415"/>
      <c r="BB109" s="2415"/>
      <c r="BC109" s="2415"/>
      <c r="BD109" s="2415"/>
      <c r="BE109" s="2415"/>
      <c r="BF109" s="2415"/>
      <c r="BG109" s="2415"/>
      <c r="BH109" s="2415"/>
      <c r="BI109" s="2415"/>
      <c r="BJ109" s="2415"/>
      <c r="BK109" s="2415"/>
      <c r="BL109" s="2415"/>
      <c r="BM109" s="2415"/>
      <c r="BN109" s="2415"/>
      <c r="BO109" s="2415"/>
      <c r="BP109" s="2415"/>
      <c r="BQ109" s="2415"/>
      <c r="BR109" s="2415"/>
      <c r="BS109" s="2415"/>
      <c r="BT109" s="2415"/>
      <c r="BU109" s="2415"/>
      <c r="BV109" s="2415"/>
      <c r="BW109" s="2415"/>
      <c r="BX109" s="2415"/>
      <c r="BY109" s="2415"/>
      <c r="BZ109" s="2415"/>
      <c r="CA109" s="2415"/>
      <c r="CB109" s="2415"/>
      <c r="CC109" s="2415"/>
      <c r="CD109" s="2415"/>
      <c r="CE109" s="2415"/>
      <c r="CF109" s="2415"/>
      <c r="CG109" s="2415"/>
      <c r="CH109" s="2415"/>
      <c r="CI109" s="2415"/>
      <c r="CJ109" s="2415"/>
      <c r="CK109" s="2415"/>
      <c r="CL109" s="2417"/>
      <c r="CM109" s="2417"/>
      <c r="CN109" s="2417"/>
      <c r="CO109" s="2417"/>
      <c r="CP109" s="2417"/>
      <c r="CQ109" s="2417"/>
      <c r="CR109" s="2417"/>
      <c r="CS109" s="2417"/>
      <c r="CT109" s="2417"/>
      <c r="CU109" s="2417"/>
      <c r="CV109" s="2417"/>
      <c r="CW109" s="2417"/>
      <c r="CX109" s="2417"/>
      <c r="CY109" s="2417"/>
      <c r="CZ109" s="2417"/>
      <c r="DA109" s="2417"/>
      <c r="DB109" s="2417"/>
      <c r="DC109" s="2417"/>
      <c r="DD109" s="2417"/>
      <c r="DE109" s="2417"/>
      <c r="DF109" s="2417"/>
      <c r="DG109" s="2417"/>
      <c r="DH109" s="2417"/>
      <c r="DI109" s="2417"/>
      <c r="DJ109" s="2417"/>
      <c r="DK109" s="2417"/>
      <c r="DL109" s="2417"/>
      <c r="DM109" s="2417"/>
      <c r="DN109" s="2417"/>
      <c r="DO109" s="2417"/>
      <c r="DP109" s="2417"/>
      <c r="DQ109" s="2417"/>
      <c r="DR109" s="2417"/>
      <c r="DS109" s="2417"/>
      <c r="DT109" s="2417"/>
      <c r="DU109" s="2417"/>
      <c r="DV109" s="2417"/>
      <c r="DW109" s="2417"/>
      <c r="DX109" s="2417"/>
      <c r="DY109" s="2417"/>
      <c r="DZ109" s="2417"/>
      <c r="EA109" s="2417"/>
      <c r="EB109" s="2417"/>
      <c r="EC109" s="2417"/>
      <c r="ED109" s="2417"/>
      <c r="EE109" s="2417"/>
      <c r="EF109" s="2417"/>
      <c r="EG109" s="2417"/>
      <c r="EH109" s="2417"/>
      <c r="EI109" s="2417"/>
      <c r="EJ109" s="2417"/>
      <c r="EK109" s="2417"/>
      <c r="EL109" s="2417"/>
      <c r="EM109" s="2417"/>
      <c r="EN109" s="2417"/>
      <c r="EO109" s="2417"/>
      <c r="EP109" s="2417"/>
      <c r="EQ109" s="2417"/>
      <c r="ER109" s="2417"/>
      <c r="ES109" s="2417"/>
      <c r="ET109" s="2417"/>
      <c r="EU109" s="2417"/>
      <c r="EV109" s="2417"/>
      <c r="EW109" s="2417"/>
      <c r="EX109" s="2417"/>
      <c r="EY109" s="2417"/>
      <c r="EZ109" s="2417"/>
      <c r="FA109" s="2417"/>
      <c r="FB109" s="2417"/>
      <c r="FC109" s="2417"/>
      <c r="FD109" s="2417"/>
      <c r="FE109" s="2417"/>
      <c r="FF109" s="2417"/>
      <c r="FG109" s="2417"/>
      <c r="FH109" s="2417"/>
      <c r="FI109" s="2417"/>
      <c r="FJ109" s="2417"/>
      <c r="FK109" s="2417"/>
      <c r="FL109" s="2417"/>
      <c r="FM109" s="2417"/>
      <c r="FN109" s="2417"/>
      <c r="FO109" s="2417"/>
      <c r="FP109" s="2417"/>
      <c r="FQ109" s="2417"/>
      <c r="FR109" s="2417"/>
      <c r="FS109" s="2417"/>
      <c r="FT109" s="2417"/>
      <c r="FU109" s="2417"/>
      <c r="FV109" s="2418"/>
      <c r="FW109" s="2412"/>
      <c r="FX109" s="2413"/>
    </row>
    <row s="66606" customFormat="1" customHeight="1" ht="24.75">
      <c r="B110" s="2134"/>
      <c r="C110" s="2135"/>
      <c r="D110" s="2135"/>
      <c r="E110" s="3046"/>
      <c r="F110" s="2419">
        <v>1</v>
      </c>
      <c r="G110" s="2420"/>
      <c r="H110" s="2421"/>
      <c r="I110" s="3193"/>
      <c r="J110" s="2422"/>
      <c r="K110" s="2422"/>
      <c r="L110" s="2422"/>
      <c r="M110" s="2422"/>
      <c r="N110" s="2422"/>
      <c r="O110" s="2423"/>
      <c r="P110" s="2423"/>
      <c r="Q110" s="2423"/>
      <c r="R110" s="2423"/>
      <c r="S110" s="2423"/>
      <c r="T110" s="2423"/>
      <c r="U110" s="2423"/>
      <c r="V110" s="2423"/>
      <c r="W110" s="2423"/>
      <c r="X110" s="2423"/>
      <c r="Y110" s="2423"/>
      <c r="Z110" s="2423"/>
      <c r="AA110" s="2423"/>
      <c r="AB110" s="2423"/>
      <c r="AC110" s="2422"/>
      <c r="AD110" s="2422"/>
      <c r="AE110" s="2422"/>
      <c r="AF110" s="2422"/>
      <c r="AG110" s="2422"/>
      <c r="AH110" s="2422"/>
      <c r="AI110" s="2422"/>
      <c r="AJ110" s="2422"/>
      <c r="AK110" s="2422"/>
      <c r="AL110" s="2422"/>
      <c r="AM110" s="2422"/>
      <c r="AN110" s="2422"/>
      <c r="AO110" s="2422"/>
      <c r="AP110" s="2422"/>
      <c r="AQ110" s="2422"/>
      <c r="AR110" s="2422"/>
      <c r="AS110" s="2422"/>
      <c r="AT110" s="2422"/>
      <c r="AU110" s="2422"/>
      <c r="AV110" s="2422"/>
      <c r="AW110" s="2422"/>
      <c r="AX110" s="2422"/>
      <c r="AY110" s="2422"/>
      <c r="AZ110" s="2422"/>
      <c r="BA110" s="2422"/>
      <c r="BB110" s="2422"/>
      <c r="BC110" s="2422"/>
      <c r="BD110" s="2422"/>
      <c r="BE110" s="2422"/>
      <c r="BF110" s="2422"/>
      <c r="BG110" s="2422"/>
      <c r="BH110" s="2422"/>
      <c r="BI110" s="2422"/>
      <c r="BJ110" s="2422"/>
      <c r="BK110" s="2422"/>
      <c r="BL110" s="2422"/>
      <c r="BM110" s="2422"/>
      <c r="BN110" s="2422"/>
      <c r="BO110" s="2422"/>
      <c r="BP110" s="2422"/>
      <c r="BQ110" s="2422"/>
      <c r="BR110" s="2422"/>
      <c r="BS110" s="2422"/>
      <c r="BT110" s="2423"/>
      <c r="BU110" s="2423"/>
      <c r="BV110" s="2423"/>
      <c r="BW110" s="2423"/>
      <c r="BX110" s="2423"/>
      <c r="BY110" s="2423"/>
      <c r="BZ110" s="2423"/>
      <c r="CA110" s="2423"/>
      <c r="CB110" s="2423"/>
      <c r="CC110" s="2423"/>
      <c r="CD110" s="2423"/>
      <c r="CE110" s="2423"/>
      <c r="CF110" s="2423"/>
      <c r="CG110" s="2423"/>
      <c r="CH110" s="2423"/>
      <c r="CI110" s="2423"/>
      <c r="CJ110" s="2423"/>
      <c r="CK110" s="2423"/>
      <c r="CL110" s="2422"/>
      <c r="CM110" s="2422"/>
      <c r="CN110" s="2422"/>
      <c r="CO110" s="2422"/>
      <c r="CP110" s="2422"/>
      <c r="CQ110" s="2422"/>
      <c r="CR110" s="2422"/>
      <c r="CS110" s="2422"/>
      <c r="CT110" s="2422"/>
      <c r="CU110" s="2422"/>
      <c r="CV110" s="2422"/>
      <c r="CW110" s="2422"/>
      <c r="CX110" s="2422"/>
      <c r="CY110" s="2423"/>
      <c r="CZ110" s="2423"/>
      <c r="DA110" s="2423"/>
      <c r="DB110" s="2423"/>
      <c r="DC110" s="2423"/>
      <c r="DD110" s="2423"/>
      <c r="DE110" s="2423"/>
      <c r="DF110" s="2423"/>
      <c r="DG110" s="2423"/>
      <c r="DH110" s="2423"/>
      <c r="DI110" s="2423"/>
      <c r="DJ110" s="2423"/>
      <c r="DK110" s="2422"/>
      <c r="DL110" s="2422"/>
      <c r="DM110" s="2422"/>
      <c r="DN110" s="2422"/>
      <c r="DO110" s="2422"/>
      <c r="DP110" s="2422"/>
      <c r="DQ110" s="2422"/>
      <c r="DR110" s="2422"/>
      <c r="DS110" s="2422"/>
      <c r="DT110" s="2422"/>
      <c r="DU110" s="2422"/>
      <c r="DV110" s="2422"/>
      <c r="DW110" s="2422"/>
      <c r="DX110" s="2422"/>
      <c r="DY110" s="2422"/>
      <c r="DZ110" s="2422"/>
      <c r="EA110" s="2422"/>
      <c r="EB110" s="2422"/>
      <c r="EC110" s="2422"/>
      <c r="ED110" s="2422"/>
      <c r="EE110" s="2422"/>
      <c r="EF110" s="2422"/>
      <c r="EG110" s="2422"/>
      <c r="EH110" s="2422"/>
      <c r="EI110" s="2422"/>
      <c r="EJ110" s="2422"/>
      <c r="EK110" s="2422"/>
      <c r="EL110" s="2422"/>
      <c r="EM110" s="2422"/>
      <c r="EN110" s="2422"/>
      <c r="EO110" s="2422"/>
      <c r="EP110" s="2422"/>
      <c r="EQ110" s="2422"/>
      <c r="ER110" s="2422"/>
      <c r="ES110" s="2422"/>
      <c r="ET110" s="2422"/>
      <c r="EU110" s="2422"/>
      <c r="EV110" s="2422"/>
      <c r="EW110" s="2422"/>
      <c r="EX110" s="2422"/>
      <c r="EY110" s="2422"/>
      <c r="EZ110" s="2422"/>
      <c r="FA110" s="2422"/>
      <c r="FB110" s="2422"/>
      <c r="FC110" s="2422"/>
      <c r="FD110" s="2422"/>
      <c r="FE110" s="2422"/>
      <c r="FF110" s="2422"/>
      <c r="FG110" s="2422"/>
      <c r="FH110" s="2422"/>
      <c r="FI110" s="2422"/>
      <c r="FJ110" s="2422"/>
      <c r="FK110" s="2422"/>
      <c r="FL110" s="2422"/>
      <c r="FM110" s="2422"/>
      <c r="FN110" s="2422"/>
      <c r="FO110" s="2422"/>
      <c r="FP110" s="2422"/>
      <c r="FQ110" s="2422"/>
      <c r="FR110" s="2422"/>
      <c r="FS110" s="2422"/>
      <c r="FT110" s="2422"/>
      <c r="FU110" s="2422"/>
      <c r="FV110" s="2422"/>
      <c r="FW110" s="2422"/>
      <c r="FX110" s="2413"/>
    </row>
    <row s="66606" customFormat="1" customHeight="1" ht="12">
      <c r="A111" s="2135"/>
      <c r="B111" s="2134"/>
      <c r="C111" s="2135"/>
      <c r="D111" s="2135"/>
      <c r="E111" s="2135"/>
      <c r="F111" s="2424"/>
      <c r="G111" s="3011" t="s">
        <v>1321</v>
      </c>
      <c r="H111" s="2425"/>
      <c r="I111" s="2425"/>
      <c r="J111" s="2425"/>
      <c r="K111" s="2425"/>
      <c r="L111" s="2425"/>
      <c r="M111" s="2425"/>
      <c r="N111" s="2425"/>
      <c r="O111" s="2425"/>
      <c r="P111" s="2425"/>
      <c r="Q111" s="2425"/>
      <c r="R111" s="2425"/>
      <c r="S111" s="2425"/>
      <c r="T111" s="2425"/>
      <c r="U111" s="2425"/>
      <c r="V111" s="2425"/>
      <c r="W111" s="2425"/>
      <c r="X111" s="2425"/>
      <c r="Y111" s="2425"/>
      <c r="Z111" s="2425"/>
      <c r="AA111" s="2425"/>
      <c r="AB111" s="2425"/>
      <c r="AC111" s="2425"/>
      <c r="AD111" s="2425"/>
      <c r="AE111" s="2425"/>
      <c r="AF111" s="2425"/>
      <c r="AG111" s="2425"/>
      <c r="AH111" s="2425"/>
      <c r="AI111" s="2425"/>
      <c r="AJ111" s="2425"/>
      <c r="AK111" s="2425"/>
      <c r="AL111" s="2425"/>
      <c r="AM111" s="2425"/>
      <c r="AN111" s="2425"/>
      <c r="AO111" s="2425"/>
      <c r="AP111" s="2425"/>
      <c r="AQ111" s="2425"/>
      <c r="AR111" s="2425"/>
      <c r="AS111" s="2425"/>
      <c r="AT111" s="2425"/>
      <c r="AU111" s="2425"/>
      <c r="AV111" s="2425"/>
      <c r="AW111" s="2425"/>
      <c r="AX111" s="2425"/>
      <c r="AY111" s="2425"/>
      <c r="AZ111" s="2425"/>
      <c r="BA111" s="2425"/>
      <c r="BB111" s="2425"/>
      <c r="BC111" s="2425"/>
      <c r="BD111" s="2425"/>
      <c r="BE111" s="2425"/>
      <c r="BF111" s="2425"/>
      <c r="BG111" s="2425"/>
      <c r="BH111" s="2425"/>
      <c r="BI111" s="2425"/>
      <c r="BJ111" s="2425"/>
      <c r="BK111" s="2425"/>
      <c r="BL111" s="2425"/>
      <c r="BM111" s="2425"/>
      <c r="BN111" s="2425"/>
      <c r="BO111" s="2425"/>
      <c r="BP111" s="2425"/>
      <c r="BQ111" s="2425"/>
      <c r="BR111" s="2425"/>
      <c r="BS111" s="2425"/>
      <c r="BT111" s="2425"/>
      <c r="BU111" s="2425"/>
      <c r="BV111" s="2425"/>
      <c r="BW111" s="2425"/>
      <c r="BX111" s="2425"/>
      <c r="BY111" s="2425"/>
      <c r="BZ111" s="2425"/>
      <c r="CA111" s="2425"/>
      <c r="CB111" s="2425"/>
      <c r="CC111" s="2425"/>
      <c r="CD111" s="2425"/>
      <c r="CE111" s="2425"/>
      <c r="CF111" s="2425"/>
      <c r="CG111" s="2425"/>
      <c r="CH111" s="2425"/>
      <c r="CI111" s="2425"/>
      <c r="CJ111" s="2425"/>
      <c r="CK111" s="2425"/>
      <c r="CL111" s="2425"/>
      <c r="CM111" s="2425"/>
      <c r="CN111" s="2425"/>
      <c r="CO111" s="2425"/>
      <c r="CP111" s="2425"/>
      <c r="CQ111" s="2425"/>
      <c r="CR111" s="2425"/>
      <c r="CS111" s="2425"/>
      <c r="CT111" s="2425"/>
      <c r="CU111" s="2425"/>
      <c r="CV111" s="2425"/>
      <c r="CW111" s="2425"/>
      <c r="CX111" s="2425"/>
      <c r="CY111" s="2425"/>
      <c r="CZ111" s="2425"/>
      <c r="DA111" s="2425"/>
      <c r="DB111" s="2425"/>
      <c r="DC111" s="2425"/>
      <c r="DD111" s="2425"/>
      <c r="DE111" s="2425"/>
      <c r="DF111" s="2425"/>
      <c r="DG111" s="2425"/>
      <c r="DH111" s="2425"/>
      <c r="DI111" s="2425"/>
      <c r="DJ111" s="2425"/>
      <c r="DK111" s="2425"/>
      <c r="DL111" s="2425"/>
      <c r="DM111" s="2425"/>
      <c r="DN111" s="2425"/>
      <c r="DO111" s="2425"/>
      <c r="DP111" s="2425"/>
      <c r="DQ111" s="2425"/>
      <c r="DR111" s="2425"/>
      <c r="DS111" s="2425"/>
      <c r="DT111" s="2425"/>
      <c r="DU111" s="2425"/>
      <c r="DV111" s="2425"/>
      <c r="DW111" s="2425"/>
      <c r="DX111" s="2425"/>
      <c r="DY111" s="2425"/>
      <c r="DZ111" s="2425"/>
      <c r="EA111" s="2425"/>
      <c r="EB111" s="2425"/>
      <c r="EC111" s="2425"/>
      <c r="ED111" s="2425"/>
      <c r="EE111" s="2425"/>
      <c r="EF111" s="2425"/>
      <c r="EG111" s="2425"/>
      <c r="EH111" s="2425"/>
      <c r="EI111" s="2425"/>
      <c r="EJ111" s="2425"/>
      <c r="EK111" s="2425"/>
      <c r="EL111" s="2425"/>
      <c r="EM111" s="2425"/>
      <c r="EN111" s="2425"/>
      <c r="EO111" s="2425"/>
      <c r="EP111" s="2425"/>
      <c r="EQ111" s="2425"/>
      <c r="ER111" s="2425"/>
      <c r="ES111" s="2425"/>
      <c r="ET111" s="2425"/>
      <c r="EU111" s="2425"/>
      <c r="EV111" s="2425"/>
      <c r="EW111" s="2425"/>
      <c r="EX111" s="2425"/>
      <c r="EY111" s="2425"/>
      <c r="EZ111" s="2425"/>
      <c r="FA111" s="2425"/>
      <c r="FB111" s="2425"/>
      <c r="FC111" s="2425"/>
      <c r="FD111" s="2425"/>
      <c r="FE111" s="2425"/>
      <c r="FF111" s="2425"/>
      <c r="FG111" s="2425"/>
      <c r="FH111" s="2425"/>
      <c r="FI111" s="2425"/>
      <c r="FJ111" s="2425"/>
      <c r="FK111" s="2425"/>
      <c r="FL111" s="2425"/>
      <c r="FM111" s="2425"/>
      <c r="FN111" s="2425"/>
      <c r="FO111" s="2425"/>
      <c r="FP111" s="2425"/>
      <c r="FQ111" s="2425"/>
      <c r="FR111" s="2425"/>
      <c r="FS111" s="2425"/>
      <c r="FT111" s="2425"/>
      <c r="FU111" s="2425"/>
      <c r="FV111" s="2425"/>
      <c r="FW111" s="2426"/>
      <c r="FX111" s="2427"/>
      <c r="FY111" s="2152"/>
      <c r="FZ111" s="2152"/>
      <c r="GA111" s="2152"/>
      <c r="GB111" s="2152"/>
    </row>
    <row r="113" s="67209" customFormat="1" customHeight="1" ht="11.25">
      <c r="A113" s="3026" t="s">
        <v>2110</v>
      </c>
    </row>
    <row r="115" s="67502" customFormat="1" customHeight="1" ht="15">
      <c r="A115" s="1834"/>
      <c r="B115" s="1835"/>
      <c r="C115" s="1835"/>
      <c r="D115" s="3789" t="s">
        <v>99</v>
      </c>
      <c r="E115" s="3588" t="s">
        <v>118</v>
      </c>
      <c r="F115" s="3589"/>
      <c r="G115" s="3590"/>
      <c r="H115" s="3594" t="str">
        <f>IF(A115="","",INDEX(DIFFERENTIATION_UNMERGE_VD,MATCH(A115,DIFFERENTIATION_ID_DIFF,0)))</f>
        <v/>
      </c>
      <c r="I115" s="3594"/>
      <c r="J115" s="3594"/>
      <c r="K115" s="3594"/>
      <c r="L115" s="3594"/>
      <c r="M115" s="3594"/>
      <c r="N115" s="3594"/>
      <c r="O115" s="3594"/>
      <c r="P115" s="3594"/>
      <c r="Q115" s="3594"/>
      <c r="R115" s="3594"/>
      <c r="S115" s="1930"/>
      <c r="T115" s="1927"/>
      <c r="U115" s="1836"/>
      <c r="V115" s="1836"/>
      <c r="W115" s="1837"/>
      <c r="X115" s="1837"/>
      <c r="Y115" s="1837"/>
      <c r="Z115" s="1837"/>
      <c r="AA115" s="1838"/>
      <c r="AB115" s="1839"/>
      <c r="AC115" s="3586"/>
      <c r="AD115" s="1840"/>
      <c r="AE115" s="1841" t="s">
        <v>22</v>
      </c>
      <c r="AF115" s="1841"/>
      <c r="AG115" s="1842" t="s">
        <v>646</v>
      </c>
      <c r="AH115" s="1843">
        <v>3</v>
      </c>
      <c r="AI115" s="1836"/>
      <c r="AJ115" s="1836"/>
      <c r="AK115" s="1836"/>
      <c r="AL115" s="1836"/>
      <c r="AM115" s="1836"/>
      <c r="AN115" s="1836"/>
      <c r="AO115" s="1836"/>
      <c r="AP115" s="1836"/>
      <c r="AQ115" s="1836"/>
      <c r="AR115" s="1836"/>
      <c r="AS115" s="1836"/>
      <c r="AT115" s="1836"/>
      <c r="AU115" s="1836"/>
      <c r="AV115" s="1836"/>
      <c r="AW115" s="1836"/>
      <c r="AX115" s="1836"/>
      <c r="AY115" s="1836"/>
      <c r="AZ115" s="1836"/>
      <c r="BA115" s="1836"/>
      <c r="BB115" s="1836"/>
      <c r="BC115" s="1836"/>
      <c r="BD115" s="1836"/>
      <c r="BE115" s="1836"/>
      <c r="BF115" s="1836"/>
      <c r="BG115" s="1836"/>
      <c r="BH115" s="1836"/>
      <c r="BI115" s="1836"/>
      <c r="BJ115" s="1836"/>
      <c r="BK115" s="1836"/>
      <c r="BL115" s="1836"/>
      <c r="BM115" s="1836"/>
      <c r="BN115" s="1836"/>
      <c r="BO115" s="1836"/>
      <c r="BP115" s="1836"/>
      <c r="BQ115" s="1836"/>
      <c r="BR115" s="1836"/>
      <c r="BS115" s="1836"/>
      <c r="BT115" s="1836"/>
      <c r="BU115" s="1836"/>
      <c r="BV115" s="1837"/>
      <c r="BW115" s="1837"/>
      <c r="BX115" s="1837"/>
      <c r="BY115" s="1837"/>
      <c r="BZ115" s="1837"/>
      <c r="CA115" s="1837"/>
      <c r="CB115" s="1837"/>
      <c r="CC115" s="1837"/>
      <c r="CD115" s="1837"/>
      <c r="CE115" s="1837"/>
    </row>
    <row s="67502" customFormat="1" customHeight="1" ht="15">
      <c r="A116" s="1834"/>
      <c r="B116" s="1835"/>
      <c r="C116" s="1835"/>
      <c r="D116" s="3790"/>
      <c r="E116" s="3588" t="s">
        <v>582</v>
      </c>
      <c r="F116" s="3589"/>
      <c r="G116" s="3590"/>
      <c r="H116" s="3594" t="str">
        <f>IF(A115="","",INDEX(DIFFERENTIATION_UNMERGE_AREA,MATCH(A115,DIFFERENTIATION_ID_DIFF,0)))</f>
        <v/>
      </c>
      <c r="I116" s="3594"/>
      <c r="J116" s="3594"/>
      <c r="K116" s="3594"/>
      <c r="L116" s="3594"/>
      <c r="M116" s="3594"/>
      <c r="N116" s="3594"/>
      <c r="O116" s="3594"/>
      <c r="P116" s="3594"/>
      <c r="Q116" s="3594"/>
      <c r="R116" s="3594"/>
      <c r="S116" s="1930"/>
      <c r="T116" s="1927"/>
      <c r="U116" s="1836"/>
      <c r="V116" s="1836"/>
      <c r="W116" s="1837"/>
      <c r="X116" s="1837"/>
      <c r="Y116" s="1837"/>
      <c r="Z116" s="1837"/>
      <c r="AA116" s="1838"/>
      <c r="AB116" s="1839"/>
      <c r="AC116" s="3586"/>
      <c r="AD116" s="1840"/>
      <c r="AE116" s="1841"/>
      <c r="AF116" s="1841"/>
      <c r="AG116" s="1842"/>
      <c r="AH116" s="1843"/>
      <c r="AI116" s="1836"/>
      <c r="AJ116" s="1836"/>
      <c r="AK116" s="1836"/>
      <c r="AL116" s="1836"/>
      <c r="AM116" s="1836"/>
      <c r="AN116" s="1836"/>
      <c r="AO116" s="1836"/>
      <c r="AP116" s="1836"/>
      <c r="AQ116" s="1836"/>
      <c r="AR116" s="1836"/>
      <c r="AS116" s="1836"/>
      <c r="AT116" s="1836"/>
      <c r="AU116" s="1836"/>
      <c r="AV116" s="1836"/>
      <c r="AW116" s="1836"/>
      <c r="AX116" s="1836"/>
      <c r="AY116" s="1836"/>
      <c r="AZ116" s="1836"/>
      <c r="BA116" s="1836"/>
      <c r="BB116" s="1836"/>
      <c r="BC116" s="1836"/>
      <c r="BD116" s="1836"/>
      <c r="BE116" s="1836"/>
      <c r="BF116" s="1836"/>
      <c r="BG116" s="1836"/>
      <c r="BH116" s="1836"/>
      <c r="BI116" s="1836"/>
      <c r="BJ116" s="1836"/>
      <c r="BK116" s="1836"/>
      <c r="BL116" s="1836"/>
      <c r="BM116" s="1836"/>
      <c r="BN116" s="1836"/>
      <c r="BO116" s="1836"/>
      <c r="BP116" s="1836"/>
      <c r="BQ116" s="1836"/>
      <c r="BR116" s="1836"/>
      <c r="BS116" s="1836"/>
      <c r="BT116" s="1836"/>
      <c r="BU116" s="1836"/>
      <c r="BV116" s="1837"/>
      <c r="BW116" s="1837"/>
      <c r="BX116" s="1837"/>
      <c r="BY116" s="1837"/>
      <c r="BZ116" s="1837"/>
      <c r="CA116" s="1837"/>
      <c r="CB116" s="1837"/>
      <c r="CC116" s="1837"/>
      <c r="CD116" s="1837"/>
      <c r="CE116" s="1837"/>
    </row>
    <row s="67502" customFormat="1" customHeight="1" ht="15">
      <c r="A117" s="1834"/>
      <c r="B117" s="1835"/>
      <c r="C117" s="1835"/>
      <c r="D117" s="3790"/>
      <c r="E117" s="3588" t="s">
        <v>583</v>
      </c>
      <c r="F117" s="3589"/>
      <c r="G117" s="3590"/>
      <c r="H117" s="3594" t="str">
        <f>IF(A115="","",INDEX(DIFFERENTIATION_UNMERGE_SYSTEM,MATCH(A115,DIFFERENTIATION_ID_DIFF,0)))</f>
        <v/>
      </c>
      <c r="I117" s="3594"/>
      <c r="J117" s="3594"/>
      <c r="K117" s="3594"/>
      <c r="L117" s="3594"/>
      <c r="M117" s="3594"/>
      <c r="N117" s="3594"/>
      <c r="O117" s="3594"/>
      <c r="P117" s="3594"/>
      <c r="Q117" s="3594"/>
      <c r="R117" s="3594"/>
      <c r="S117" s="1930"/>
      <c r="T117" s="1927"/>
      <c r="U117" s="1836"/>
      <c r="V117" s="1836"/>
      <c r="W117" s="1837"/>
      <c r="X117" s="1837"/>
      <c r="Y117" s="1837"/>
      <c r="Z117" s="1837"/>
      <c r="AA117" s="1838"/>
      <c r="AB117" s="1839"/>
      <c r="AC117" s="3586"/>
      <c r="AD117" s="1840"/>
      <c r="AE117" s="1841"/>
      <c r="AF117" s="1841"/>
      <c r="AG117" s="1842"/>
      <c r="AH117" s="1843"/>
      <c r="AI117" s="1836"/>
      <c r="AJ117" s="1836"/>
      <c r="AK117" s="1836"/>
      <c r="AL117" s="1836"/>
      <c r="AM117" s="1836"/>
      <c r="AN117" s="1836"/>
      <c r="AO117" s="1836"/>
      <c r="AP117" s="1836"/>
      <c r="AQ117" s="1836"/>
      <c r="AR117" s="1836"/>
      <c r="AS117" s="1836"/>
      <c r="AT117" s="1836"/>
      <c r="AU117" s="1836"/>
      <c r="AV117" s="1836"/>
      <c r="AW117" s="1836"/>
      <c r="AX117" s="1836"/>
      <c r="AY117" s="1836"/>
      <c r="AZ117" s="1836"/>
      <c r="BA117" s="1836"/>
      <c r="BB117" s="1836"/>
      <c r="BC117" s="1836"/>
      <c r="BD117" s="1836"/>
      <c r="BE117" s="1836"/>
      <c r="BF117" s="1836"/>
      <c r="BG117" s="1836"/>
      <c r="BH117" s="1836"/>
      <c r="BI117" s="1836"/>
      <c r="BJ117" s="1836"/>
      <c r="BK117" s="1836"/>
      <c r="BL117" s="1836"/>
      <c r="BM117" s="1836"/>
      <c r="BN117" s="1836"/>
      <c r="BO117" s="1836"/>
      <c r="BP117" s="1836"/>
      <c r="BQ117" s="1836"/>
      <c r="BR117" s="1836"/>
      <c r="BS117" s="1836"/>
      <c r="BT117" s="1836"/>
      <c r="BU117" s="1836"/>
      <c r="BV117" s="1837"/>
      <c r="BW117" s="1837"/>
      <c r="BX117" s="1837"/>
      <c r="BY117" s="1837"/>
      <c r="BZ117" s="1837"/>
      <c r="CA117" s="1837"/>
      <c r="CB117" s="1837"/>
      <c r="CC117" s="1837"/>
      <c r="CD117" s="1837"/>
      <c r="CE117" s="1837"/>
    </row>
    <row s="67502" customFormat="1" customHeight="1" ht="24.75">
      <c r="A118" s="3017"/>
      <c r="B118" s="2371"/>
      <c r="C118" s="1623"/>
      <c r="D118" s="3790"/>
      <c r="E118" s="3587" t="s">
        <v>647</v>
      </c>
      <c r="F118" s="3587"/>
      <c r="G118" s="3587"/>
      <c r="H118" s="3587"/>
      <c r="I118" s="3587"/>
      <c r="J118" s="3587"/>
      <c r="K118" s="3587"/>
      <c r="L118" s="3587"/>
      <c r="M118" s="3587"/>
      <c r="N118" s="3587"/>
      <c r="O118" s="3587"/>
      <c r="P118" s="3587"/>
      <c r="Q118" s="1769">
        <f>SUMIF(T119:T120,"i",Q119:Q120)</f>
        <v>0</v>
      </c>
      <c r="R118" s="2228"/>
      <c r="S118" s="3009" t="s">
        <v>648</v>
      </c>
      <c r="T118" s="1928" t="s">
        <v>649</v>
      </c>
      <c r="U118" s="3585">
        <v>1</v>
      </c>
      <c r="V118" s="3585" t="s">
        <v>599</v>
      </c>
      <c r="W118" s="2371"/>
      <c r="X118" s="2371"/>
      <c r="Y118" s="2371"/>
      <c r="Z118" s="2371"/>
      <c r="AA118" s="2847"/>
      <c r="AB118" s="2371"/>
      <c r="AC118" s="3586"/>
      <c r="AD118" s="1840"/>
      <c r="AE118" s="2371"/>
      <c r="AF118" s="2371"/>
      <c r="AG118" s="2847"/>
      <c r="AH118" s="2847"/>
      <c r="AI118" s="2847"/>
      <c r="AJ118" s="2847"/>
      <c r="AK118" s="2847"/>
      <c r="AL118" s="2847"/>
      <c r="AM118" s="2847"/>
      <c r="AN118" s="2847"/>
      <c r="AO118" s="2847"/>
      <c r="AP118" s="2847"/>
      <c r="AQ118" s="2847"/>
      <c r="AR118" s="2847"/>
      <c r="AS118" s="2847"/>
      <c r="AT118" s="2847"/>
      <c r="AU118" s="2847"/>
      <c r="AV118" s="2847"/>
      <c r="AW118" s="2847"/>
      <c r="AX118" s="2847"/>
      <c r="AY118" s="2847"/>
      <c r="AZ118" s="2847"/>
      <c r="BA118" s="2847"/>
      <c r="BB118" s="2847"/>
      <c r="BC118" s="2847"/>
      <c r="BD118" s="2847"/>
      <c r="BE118" s="2847"/>
      <c r="BF118" s="2847"/>
      <c r="BG118" s="2847"/>
      <c r="BH118" s="2847"/>
      <c r="BI118" s="2847"/>
      <c r="BJ118" s="2847"/>
      <c r="BK118" s="2847"/>
      <c r="BL118" s="2847"/>
      <c r="BM118" s="2847"/>
      <c r="BN118" s="2847"/>
      <c r="BO118" s="2847"/>
      <c r="BP118" s="2847"/>
      <c r="BQ118" s="2847"/>
      <c r="BR118" s="2847"/>
      <c r="BS118" s="2847"/>
      <c r="BT118" s="2847"/>
      <c r="BU118" s="2847"/>
      <c r="BV118" s="2371"/>
      <c r="BW118" s="2371"/>
      <c r="BX118" s="2371"/>
      <c r="BY118" s="2371"/>
      <c r="BZ118" s="2371"/>
      <c r="CA118" s="2371"/>
      <c r="CB118" s="2371"/>
      <c r="CC118" s="2371"/>
      <c r="CD118" s="2371"/>
      <c r="CE118" s="2371"/>
    </row>
    <row s="67502" customFormat="1" customHeight="1" ht="11.25" hidden="1">
      <c r="A119" s="3004"/>
      <c r="B119" s="2847"/>
      <c r="C119" s="2847"/>
      <c r="D119" s="3790"/>
      <c r="E119" s="1846"/>
      <c r="F119" s="1846">
        <v>0</v>
      </c>
      <c r="G119" s="1846"/>
      <c r="H119" s="1846"/>
      <c r="I119" s="1846"/>
      <c r="J119" s="1846"/>
      <c r="K119" s="1846"/>
      <c r="L119" s="1846"/>
      <c r="M119" s="1846"/>
      <c r="N119" s="1846"/>
      <c r="O119" s="1846"/>
      <c r="P119" s="1846"/>
      <c r="Q119" s="1846"/>
      <c r="R119" s="1846"/>
      <c r="S119" s="1847"/>
      <c r="T119" s="1929"/>
      <c r="U119" s="3585"/>
      <c r="V119" s="3585"/>
      <c r="W119" s="2847"/>
      <c r="X119" s="2847"/>
      <c r="Y119" s="2847"/>
      <c r="Z119" s="2847"/>
      <c r="AA119" s="2847"/>
      <c r="AB119" s="2371"/>
      <c r="AC119" s="3586"/>
      <c r="AD119" s="1840"/>
      <c r="AE119" s="2371"/>
      <c r="AF119" s="2371"/>
      <c r="AG119" s="2847"/>
      <c r="AH119" s="2847"/>
      <c r="AI119" s="2847"/>
      <c r="AJ119" s="2847"/>
      <c r="AK119" s="2847"/>
      <c r="AL119" s="2847"/>
      <c r="AM119" s="2847"/>
      <c r="AN119" s="2847"/>
      <c r="AO119" s="2847"/>
      <c r="AP119" s="2847"/>
      <c r="AQ119" s="2847"/>
      <c r="AR119" s="2847"/>
      <c r="AS119" s="2847"/>
      <c r="AT119" s="2847"/>
      <c r="AU119" s="2847"/>
      <c r="AV119" s="2847"/>
      <c r="AW119" s="2847"/>
      <c r="AX119" s="2847"/>
      <c r="AY119" s="2847"/>
      <c r="AZ119" s="2847"/>
      <c r="BA119" s="2847"/>
      <c r="BB119" s="2847"/>
      <c r="BC119" s="2847"/>
      <c r="BD119" s="2847"/>
      <c r="BE119" s="2847"/>
      <c r="BF119" s="2847"/>
      <c r="BG119" s="2847"/>
      <c r="BH119" s="2847"/>
      <c r="BI119" s="2847"/>
      <c r="BJ119" s="2847"/>
      <c r="BK119" s="2847"/>
      <c r="BL119" s="2847"/>
      <c r="BM119" s="2847"/>
      <c r="BN119" s="2847"/>
      <c r="BO119" s="2847"/>
      <c r="BP119" s="2847"/>
      <c r="BQ119" s="2847"/>
      <c r="BR119" s="2847"/>
      <c r="BS119" s="2847"/>
      <c r="BT119" s="2847"/>
      <c r="BU119" s="2847"/>
      <c r="BV119" s="2847"/>
      <c r="BW119" s="2847"/>
      <c r="BX119" s="2847"/>
      <c r="BY119" s="2847"/>
      <c r="BZ119" s="2847"/>
      <c r="CA119" s="2847"/>
      <c r="CB119" s="2847"/>
      <c r="CC119" s="2847"/>
      <c r="CD119" s="2847"/>
      <c r="CE119" s="2847"/>
    </row>
    <row s="67502" customFormat="1" customHeight="1" ht="11.25">
      <c r="A120" s="3017"/>
      <c r="B120" s="2371"/>
      <c r="C120" s="1623"/>
      <c r="D120" s="3790"/>
      <c r="E120" s="1860" t="s">
        <v>22</v>
      </c>
      <c r="F120" s="2379" t="s">
        <v>22</v>
      </c>
      <c r="G120" s="2379" t="s">
        <v>689</v>
      </c>
      <c r="H120" s="1862" t="s">
        <v>22</v>
      </c>
      <c r="I120" s="1862"/>
      <c r="J120" s="1862"/>
      <c r="K120" s="1862"/>
      <c r="L120" s="1862"/>
      <c r="M120" s="1862"/>
      <c r="N120" s="1862"/>
      <c r="O120" s="1862"/>
      <c r="P120" s="1862"/>
      <c r="Q120" s="1862"/>
      <c r="R120" s="1863"/>
      <c r="S120" s="1864"/>
      <c r="T120" s="1929"/>
      <c r="U120" s="3585"/>
      <c r="V120" s="3585"/>
      <c r="W120" s="2371"/>
      <c r="X120" s="2371"/>
      <c r="Y120" s="2371"/>
      <c r="Z120" s="2371"/>
      <c r="AA120" s="2847"/>
      <c r="AB120" s="2371"/>
      <c r="AC120" s="3586"/>
      <c r="AD120" s="1840"/>
      <c r="AE120" s="2371"/>
      <c r="AF120" s="2371"/>
      <c r="AG120" s="2847"/>
      <c r="AH120" s="2847"/>
      <c r="AI120" s="2847"/>
      <c r="AJ120" s="2847"/>
      <c r="AK120" s="2847"/>
      <c r="AL120" s="2847"/>
      <c r="AM120" s="2847"/>
      <c r="AN120" s="2847"/>
      <c r="AO120" s="2847"/>
      <c r="AP120" s="2847"/>
      <c r="AQ120" s="2847"/>
      <c r="AR120" s="2847"/>
      <c r="AS120" s="2847"/>
      <c r="AT120" s="2847"/>
      <c r="AU120" s="2847"/>
      <c r="AV120" s="2847"/>
      <c r="AW120" s="2847"/>
      <c r="AX120" s="2847"/>
      <c r="AY120" s="2847"/>
      <c r="AZ120" s="2847"/>
      <c r="BA120" s="2847"/>
      <c r="BB120" s="2847"/>
      <c r="BC120" s="2847"/>
      <c r="BD120" s="2847"/>
      <c r="BE120" s="2847"/>
      <c r="BF120" s="2847"/>
      <c r="BG120" s="2847"/>
      <c r="BH120" s="2847"/>
      <c r="BI120" s="2847"/>
      <c r="BJ120" s="2847"/>
      <c r="BK120" s="2847"/>
      <c r="BL120" s="2847"/>
      <c r="BM120" s="2847"/>
      <c r="BN120" s="2847"/>
      <c r="BO120" s="2847"/>
      <c r="BP120" s="2847"/>
      <c r="BQ120" s="2847"/>
      <c r="BR120" s="2847"/>
      <c r="BS120" s="2847"/>
      <c r="BT120" s="2847"/>
      <c r="BU120" s="2847"/>
      <c r="BV120" s="2371"/>
      <c r="BW120" s="2371"/>
      <c r="BX120" s="2371"/>
      <c r="BY120" s="2371"/>
      <c r="BZ120" s="2371"/>
      <c r="CA120" s="2371"/>
      <c r="CB120" s="2371"/>
      <c r="CC120" s="2371"/>
      <c r="CD120" s="2371"/>
      <c r="CE120" s="2371"/>
    </row>
    <row s="67502" customFormat="1" customHeight="1" ht="24.75">
      <c r="A121" s="3017"/>
      <c r="B121" s="2371"/>
      <c r="C121" s="1623"/>
      <c r="D121" s="3790"/>
      <c r="E121" s="3587" t="s">
        <v>690</v>
      </c>
      <c r="F121" s="3587"/>
      <c r="G121" s="3587"/>
      <c r="H121" s="3587"/>
      <c r="I121" s="3587"/>
      <c r="J121" s="3587"/>
      <c r="K121" s="3587"/>
      <c r="L121" s="3587"/>
      <c r="M121" s="3587"/>
      <c r="N121" s="3587"/>
      <c r="O121" s="3587"/>
      <c r="P121" s="3587"/>
      <c r="Q121" s="1769">
        <f>SUMIF(T122:T123,"i",Q122:Q123)</f>
        <v>0</v>
      </c>
      <c r="R121" s="2228"/>
      <c r="S121" s="3009" t="s">
        <v>691</v>
      </c>
      <c r="T121" s="1928" t="s">
        <v>649</v>
      </c>
      <c r="U121" s="3585">
        <v>1</v>
      </c>
      <c r="V121" s="3585" t="s">
        <v>599</v>
      </c>
      <c r="W121" s="2371"/>
      <c r="X121" s="2371"/>
      <c r="Y121" s="2371"/>
      <c r="Z121" s="2371"/>
      <c r="AA121" s="2847"/>
      <c r="AB121" s="2371"/>
      <c r="AC121" s="3007"/>
      <c r="AD121" s="1840"/>
      <c r="AE121" s="2371"/>
      <c r="AF121" s="2371"/>
      <c r="AG121" s="2847"/>
      <c r="AH121" s="2847"/>
      <c r="AI121" s="2847"/>
      <c r="AJ121" s="2847"/>
      <c r="AK121" s="2847"/>
      <c r="AL121" s="2847"/>
      <c r="AM121" s="2847"/>
      <c r="AN121" s="2847"/>
      <c r="AO121" s="2847"/>
      <c r="AP121" s="2847"/>
      <c r="AQ121" s="2847"/>
      <c r="AR121" s="2847"/>
      <c r="AS121" s="2847"/>
      <c r="AT121" s="2847"/>
      <c r="AU121" s="2847"/>
      <c r="AV121" s="2847"/>
      <c r="AW121" s="2847"/>
      <c r="AX121" s="2847"/>
      <c r="AY121" s="2847"/>
      <c r="AZ121" s="2847"/>
      <c r="BA121" s="2847"/>
      <c r="BB121" s="2847"/>
      <c r="BC121" s="2847"/>
      <c r="BD121" s="2847"/>
      <c r="BE121" s="2847"/>
      <c r="BF121" s="2847"/>
      <c r="BG121" s="2847"/>
      <c r="BH121" s="2847"/>
      <c r="BI121" s="2847"/>
      <c r="BJ121" s="2847"/>
      <c r="BK121" s="2847"/>
      <c r="BL121" s="2847"/>
      <c r="BM121" s="2847"/>
      <c r="BN121" s="2847"/>
      <c r="BO121" s="2847"/>
      <c r="BP121" s="2847"/>
      <c r="BQ121" s="2847"/>
      <c r="BR121" s="2847"/>
      <c r="BS121" s="2847"/>
      <c r="BT121" s="2847"/>
      <c r="BU121" s="2847"/>
      <c r="BV121" s="2371"/>
      <c r="BW121" s="2371"/>
      <c r="BX121" s="2371"/>
      <c r="BY121" s="2371"/>
      <c r="BZ121" s="2371"/>
      <c r="CA121" s="2371"/>
      <c r="CB121" s="2371"/>
      <c r="CC121" s="2371"/>
      <c r="CD121" s="2371"/>
      <c r="CE121" s="2371"/>
    </row>
    <row s="67502" customFormat="1" customHeight="1" ht="11.25" hidden="1">
      <c r="A122" s="3004"/>
      <c r="B122" s="2847"/>
      <c r="C122" s="2847"/>
      <c r="D122" s="3790"/>
      <c r="E122" s="1846"/>
      <c r="F122" s="1846">
        <v>0</v>
      </c>
      <c r="G122" s="1846"/>
      <c r="H122" s="1846"/>
      <c r="I122" s="1846"/>
      <c r="J122" s="1846"/>
      <c r="K122" s="1846"/>
      <c r="L122" s="1846"/>
      <c r="M122" s="1846"/>
      <c r="N122" s="1846"/>
      <c r="O122" s="1846"/>
      <c r="P122" s="1846"/>
      <c r="Q122" s="1846"/>
      <c r="R122" s="1846"/>
      <c r="S122" s="1847"/>
      <c r="T122" s="1929"/>
      <c r="U122" s="3585"/>
      <c r="V122" s="3585"/>
      <c r="W122" s="2847"/>
      <c r="X122" s="2847"/>
      <c r="Y122" s="2847"/>
      <c r="Z122" s="2847"/>
      <c r="AA122" s="2847"/>
      <c r="AB122" s="2371"/>
      <c r="AC122" s="3007"/>
      <c r="AD122" s="1840"/>
      <c r="AE122" s="2371"/>
      <c r="AF122" s="2371"/>
      <c r="AG122" s="2847"/>
      <c r="AH122" s="2847"/>
      <c r="AI122" s="2847"/>
      <c r="AJ122" s="2847"/>
      <c r="AK122" s="2847"/>
      <c r="AL122" s="2847"/>
      <c r="AM122" s="2847"/>
      <c r="AN122" s="2847"/>
      <c r="AO122" s="2847"/>
      <c r="AP122" s="2847"/>
      <c r="AQ122" s="2847"/>
      <c r="AR122" s="2847"/>
      <c r="AS122" s="2847"/>
      <c r="AT122" s="2847"/>
      <c r="AU122" s="2847"/>
      <c r="AV122" s="2847"/>
      <c r="AW122" s="2847"/>
      <c r="AX122" s="2847"/>
      <c r="AY122" s="2847"/>
      <c r="AZ122" s="2847"/>
      <c r="BA122" s="2847"/>
      <c r="BB122" s="2847"/>
      <c r="BC122" s="2847"/>
      <c r="BD122" s="2847"/>
      <c r="BE122" s="2847"/>
      <c r="BF122" s="2847"/>
      <c r="BG122" s="2847"/>
      <c r="BH122" s="2847"/>
      <c r="BI122" s="2847"/>
      <c r="BJ122" s="2847"/>
      <c r="BK122" s="2847"/>
      <c r="BL122" s="2847"/>
      <c r="BM122" s="2847"/>
      <c r="BN122" s="2847"/>
      <c r="BO122" s="2847"/>
      <c r="BP122" s="2847"/>
      <c r="BQ122" s="2847"/>
      <c r="BR122" s="2847"/>
      <c r="BS122" s="2847"/>
      <c r="BT122" s="2847"/>
      <c r="BU122" s="2847"/>
      <c r="BV122" s="2847"/>
      <c r="BW122" s="2847"/>
      <c r="BX122" s="2847"/>
      <c r="BY122" s="2847"/>
      <c r="BZ122" s="2847"/>
      <c r="CA122" s="2847"/>
      <c r="CB122" s="2847"/>
      <c r="CC122" s="2847"/>
      <c r="CD122" s="2847"/>
      <c r="CE122" s="2847"/>
    </row>
    <row s="67502" customFormat="1" customHeight="1" ht="11.25">
      <c r="A123" s="3017"/>
      <c r="B123" s="2371"/>
      <c r="C123" s="1623"/>
      <c r="D123" s="3791"/>
      <c r="E123" s="1860" t="s">
        <v>22</v>
      </c>
      <c r="F123" s="2379" t="s">
        <v>22</v>
      </c>
      <c r="G123" s="2379" t="s">
        <v>689</v>
      </c>
      <c r="H123" s="1862" t="s">
        <v>22</v>
      </c>
      <c r="I123" s="1862"/>
      <c r="J123" s="1862"/>
      <c r="K123" s="1862"/>
      <c r="L123" s="1862"/>
      <c r="M123" s="1862"/>
      <c r="N123" s="1862"/>
      <c r="O123" s="1862"/>
      <c r="P123" s="1862"/>
      <c r="Q123" s="1862"/>
      <c r="R123" s="1863"/>
      <c r="S123" s="1864"/>
      <c r="T123" s="1929"/>
      <c r="U123" s="3585"/>
      <c r="V123" s="3585"/>
      <c r="W123" s="2371"/>
      <c r="X123" s="2371"/>
      <c r="Y123" s="2371"/>
      <c r="Z123" s="2371"/>
      <c r="AA123" s="2847"/>
      <c r="AB123" s="2371"/>
      <c r="AC123" s="3007"/>
      <c r="AD123" s="1840"/>
      <c r="AE123" s="2371"/>
      <c r="AF123" s="2371"/>
      <c r="AG123" s="2847"/>
      <c r="AH123" s="2847"/>
      <c r="AI123" s="2847"/>
      <c r="AJ123" s="2847"/>
      <c r="AK123" s="2847"/>
      <c r="AL123" s="2847"/>
      <c r="AM123" s="2847"/>
      <c r="AN123" s="2847"/>
      <c r="AO123" s="2847"/>
      <c r="AP123" s="2847"/>
      <c r="AQ123" s="2847"/>
      <c r="AR123" s="2847"/>
      <c r="AS123" s="2847"/>
      <c r="AT123" s="2847"/>
      <c r="AU123" s="2847"/>
      <c r="AV123" s="2847"/>
      <c r="AW123" s="2847"/>
      <c r="AX123" s="2847"/>
      <c r="AY123" s="2847"/>
      <c r="AZ123" s="2847"/>
      <c r="BA123" s="2847"/>
      <c r="BB123" s="2847"/>
      <c r="BC123" s="2847"/>
      <c r="BD123" s="2847"/>
      <c r="BE123" s="2847"/>
      <c r="BF123" s="2847"/>
      <c r="BG123" s="2847"/>
      <c r="BH123" s="2847"/>
      <c r="BI123" s="2847"/>
      <c r="BJ123" s="2847"/>
      <c r="BK123" s="2847"/>
      <c r="BL123" s="2847"/>
      <c r="BM123" s="2847"/>
      <c r="BN123" s="2847"/>
      <c r="BO123" s="2847"/>
      <c r="BP123" s="2847"/>
      <c r="BQ123" s="2847"/>
      <c r="BR123" s="2847"/>
      <c r="BS123" s="2847"/>
      <c r="BT123" s="2847"/>
      <c r="BU123" s="2847"/>
      <c r="BV123" s="2371"/>
      <c r="BW123" s="2371"/>
      <c r="BX123" s="2371"/>
      <c r="BY123" s="2371"/>
      <c r="BZ123" s="2371"/>
      <c r="CA123" s="2371"/>
      <c r="CB123" s="2371"/>
      <c r="CC123" s="2371"/>
      <c r="CD123" s="2371"/>
      <c r="CE123" s="2371"/>
    </row>
    <row r="125" s="67209" customFormat="1" customHeight="1" ht="11.25">
      <c r="A125" s="3026" t="s">
        <v>2111</v>
      </c>
    </row>
    <row r="127" s="67502" customFormat="1" customHeight="1" ht="15" hidden="1">
      <c r="A127" s="1834"/>
      <c r="B127" s="1835"/>
      <c r="C127" s="1835"/>
      <c r="D127" s="3789" t="s">
        <v>99</v>
      </c>
      <c r="E127" s="3588" t="s">
        <v>118</v>
      </c>
      <c r="F127" s="3589"/>
      <c r="G127" s="3590"/>
      <c r="H127" s="3594" t="str">
        <f>IF(A127="","",INDEX(DIFFERENTIATION_UNMERGE_VD,MATCH(A127,DIFFERENTIATION_ID_DIFF,0)))</f>
        <v/>
      </c>
      <c r="I127" s="3594"/>
      <c r="J127" s="3594"/>
      <c r="K127" s="3594"/>
      <c r="L127" s="3594"/>
      <c r="M127" s="3594"/>
      <c r="N127" s="3594"/>
      <c r="O127" s="3594"/>
      <c r="P127" s="3594"/>
      <c r="Q127" s="3594"/>
      <c r="R127" s="3594"/>
      <c r="S127" s="1930"/>
      <c r="T127" s="1927"/>
      <c r="U127" s="1836"/>
      <c r="V127" s="1836"/>
      <c r="W127" s="1837"/>
      <c r="X127" s="1837"/>
      <c r="Y127" s="1837"/>
      <c r="Z127" s="1837"/>
      <c r="AA127" s="1838"/>
      <c r="AB127" s="1839"/>
      <c r="AC127" s="3586"/>
      <c r="AD127" s="1840"/>
      <c r="AE127" s="1841" t="s">
        <v>22</v>
      </c>
      <c r="AF127" s="1841"/>
      <c r="AG127" s="1842" t="s">
        <v>646</v>
      </c>
      <c r="AH127" s="1843">
        <v>3</v>
      </c>
      <c r="AI127" s="1836"/>
      <c r="AJ127" s="1836"/>
      <c r="AK127" s="1836"/>
      <c r="AL127" s="1836"/>
      <c r="AM127" s="1836"/>
      <c r="AN127" s="1836"/>
      <c r="AO127" s="1836"/>
      <c r="AP127" s="1836"/>
      <c r="AQ127" s="1836"/>
      <c r="AR127" s="1836"/>
      <c r="AS127" s="1836"/>
      <c r="AT127" s="1836"/>
      <c r="AU127" s="1836"/>
      <c r="AV127" s="1836"/>
      <c r="AW127" s="1836"/>
      <c r="AX127" s="1836"/>
      <c r="AY127" s="1836"/>
      <c r="AZ127" s="1836"/>
      <c r="BA127" s="1836"/>
      <c r="BB127" s="1836"/>
      <c r="BC127" s="1836"/>
      <c r="BD127" s="1836"/>
      <c r="BE127" s="1836"/>
      <c r="BF127" s="1836"/>
      <c r="BG127" s="1836"/>
      <c r="BH127" s="1836"/>
      <c r="BI127" s="1836"/>
      <c r="BJ127" s="1836"/>
      <c r="BK127" s="1836"/>
      <c r="BL127" s="1836"/>
      <c r="BM127" s="1836"/>
      <c r="BN127" s="1836"/>
      <c r="BO127" s="1836"/>
      <c r="BP127" s="1836"/>
      <c r="BQ127" s="1836"/>
      <c r="BR127" s="1836"/>
      <c r="BS127" s="1836"/>
      <c r="BT127" s="1836"/>
      <c r="BU127" s="1836"/>
      <c r="BV127" s="1837"/>
      <c r="BW127" s="1837"/>
      <c r="BX127" s="1837"/>
      <c r="BY127" s="1837"/>
      <c r="BZ127" s="1837"/>
      <c r="CA127" s="1837"/>
      <c r="CB127" s="1837"/>
      <c r="CC127" s="1837"/>
      <c r="CD127" s="1837"/>
      <c r="CE127" s="1837"/>
    </row>
    <row s="67502" customFormat="1" customHeight="1" ht="15" hidden="1">
      <c r="A128" s="1834"/>
      <c r="B128" s="1835"/>
      <c r="C128" s="1835"/>
      <c r="D128" s="3790"/>
      <c r="E128" s="3588" t="s">
        <v>582</v>
      </c>
      <c r="F128" s="3589"/>
      <c r="G128" s="3590"/>
      <c r="H128" s="3594" t="str">
        <f>IF(A127="","",INDEX(DIFFERENTIATION_UNMERGE_AREA,MATCH(A127,DIFFERENTIATION_ID_DIFF,0)))</f>
        <v/>
      </c>
      <c r="I128" s="3594"/>
      <c r="J128" s="3594"/>
      <c r="K128" s="3594"/>
      <c r="L128" s="3594"/>
      <c r="M128" s="3594"/>
      <c r="N128" s="3594"/>
      <c r="O128" s="3594"/>
      <c r="P128" s="3594"/>
      <c r="Q128" s="3594"/>
      <c r="R128" s="3594"/>
      <c r="S128" s="1930"/>
      <c r="T128" s="1927"/>
      <c r="U128" s="1836"/>
      <c r="V128" s="1836"/>
      <c r="W128" s="1837"/>
      <c r="X128" s="1837"/>
      <c r="Y128" s="1837"/>
      <c r="Z128" s="1837"/>
      <c r="AA128" s="1838"/>
      <c r="AB128" s="1839"/>
      <c r="AC128" s="3586"/>
      <c r="AD128" s="1840"/>
      <c r="AE128" s="1841"/>
      <c r="AF128" s="1841"/>
      <c r="AG128" s="1842"/>
      <c r="AH128" s="1843"/>
      <c r="AI128" s="1836"/>
      <c r="AJ128" s="1836"/>
      <c r="AK128" s="1836"/>
      <c r="AL128" s="1836"/>
      <c r="AM128" s="1836"/>
      <c r="AN128" s="1836"/>
      <c r="AO128" s="1836"/>
      <c r="AP128" s="1836"/>
      <c r="AQ128" s="1836"/>
      <c r="AR128" s="1836"/>
      <c r="AS128" s="1836"/>
      <c r="AT128" s="1836"/>
      <c r="AU128" s="1836"/>
      <c r="AV128" s="1836"/>
      <c r="AW128" s="1836"/>
      <c r="AX128" s="1836"/>
      <c r="AY128" s="1836"/>
      <c r="AZ128" s="1836"/>
      <c r="BA128" s="1836"/>
      <c r="BB128" s="1836"/>
      <c r="BC128" s="1836"/>
      <c r="BD128" s="1836"/>
      <c r="BE128" s="1836"/>
      <c r="BF128" s="1836"/>
      <c r="BG128" s="1836"/>
      <c r="BH128" s="1836"/>
      <c r="BI128" s="1836"/>
      <c r="BJ128" s="1836"/>
      <c r="BK128" s="1836"/>
      <c r="BL128" s="1836"/>
      <c r="BM128" s="1836"/>
      <c r="BN128" s="1836"/>
      <c r="BO128" s="1836"/>
      <c r="BP128" s="1836"/>
      <c r="BQ128" s="1836"/>
      <c r="BR128" s="1836"/>
      <c r="BS128" s="1836"/>
      <c r="BT128" s="1836"/>
      <c r="BU128" s="1836"/>
      <c r="BV128" s="1837"/>
      <c r="BW128" s="1837"/>
      <c r="BX128" s="1837"/>
      <c r="BY128" s="1837"/>
      <c r="BZ128" s="1837"/>
      <c r="CA128" s="1837"/>
      <c r="CB128" s="1837"/>
      <c r="CC128" s="1837"/>
      <c r="CD128" s="1837"/>
      <c r="CE128" s="1837"/>
    </row>
    <row s="67502" customFormat="1" customHeight="1" ht="15" hidden="1">
      <c r="A129" s="1834"/>
      <c r="B129" s="1835"/>
      <c r="C129" s="1835"/>
      <c r="D129" s="3790"/>
      <c r="E129" s="3588" t="s">
        <v>583</v>
      </c>
      <c r="F129" s="3589"/>
      <c r="G129" s="3590"/>
      <c r="H129" s="3594" t="str">
        <f>IF(A127="","",INDEX(DIFFERENTIATION_UNMERGE_SYSTEM,MATCH(A127,DIFFERENTIATION_ID_DIFF,0)))</f>
        <v/>
      </c>
      <c r="I129" s="3594"/>
      <c r="J129" s="3594"/>
      <c r="K129" s="3594"/>
      <c r="L129" s="3594"/>
      <c r="M129" s="3594"/>
      <c r="N129" s="3594"/>
      <c r="O129" s="3594"/>
      <c r="P129" s="3594"/>
      <c r="Q129" s="3594"/>
      <c r="R129" s="3594"/>
      <c r="S129" s="1930"/>
      <c r="T129" s="1927"/>
      <c r="U129" s="1836"/>
      <c r="V129" s="1836"/>
      <c r="W129" s="1837"/>
      <c r="X129" s="1837"/>
      <c r="Y129" s="1837"/>
      <c r="Z129" s="1837"/>
      <c r="AA129" s="1838"/>
      <c r="AB129" s="1839"/>
      <c r="AC129" s="3586"/>
      <c r="AD129" s="1840"/>
      <c r="AE129" s="1841"/>
      <c r="AF129" s="1841"/>
      <c r="AG129" s="1842"/>
      <c r="AH129" s="1843"/>
      <c r="AI129" s="1836"/>
      <c r="AJ129" s="1836"/>
      <c r="AK129" s="1836"/>
      <c r="AL129" s="1836"/>
      <c r="AM129" s="1836"/>
      <c r="AN129" s="1836"/>
      <c r="AO129" s="1836"/>
      <c r="AP129" s="1836"/>
      <c r="AQ129" s="1836"/>
      <c r="AR129" s="1836"/>
      <c r="AS129" s="1836"/>
      <c r="AT129" s="1836"/>
      <c r="AU129" s="1836"/>
      <c r="AV129" s="1836"/>
      <c r="AW129" s="1836"/>
      <c r="AX129" s="1836"/>
      <c r="AY129" s="1836"/>
      <c r="AZ129" s="1836"/>
      <c r="BA129" s="1836"/>
      <c r="BB129" s="1836"/>
      <c r="BC129" s="1836"/>
      <c r="BD129" s="1836"/>
      <c r="BE129" s="1836"/>
      <c r="BF129" s="1836"/>
      <c r="BG129" s="1836"/>
      <c r="BH129" s="1836"/>
      <c r="BI129" s="1836"/>
      <c r="BJ129" s="1836"/>
      <c r="BK129" s="1836"/>
      <c r="BL129" s="1836"/>
      <c r="BM129" s="1836"/>
      <c r="BN129" s="1836"/>
      <c r="BO129" s="1836"/>
      <c r="BP129" s="1836"/>
      <c r="BQ129" s="1836"/>
      <c r="BR129" s="1836"/>
      <c r="BS129" s="1836"/>
      <c r="BT129" s="1836"/>
      <c r="BU129" s="1836"/>
      <c r="BV129" s="1837"/>
      <c r="BW129" s="1837"/>
      <c r="BX129" s="1837"/>
      <c r="BY129" s="1837"/>
      <c r="BZ129" s="1837"/>
      <c r="CA129" s="1837"/>
      <c r="CB129" s="1837"/>
      <c r="CC129" s="1837"/>
      <c r="CD129" s="1837"/>
      <c r="CE129" s="1837"/>
    </row>
    <row s="67502" customFormat="1" customHeight="1" ht="24.75" hidden="1">
      <c r="A130" s="3017"/>
      <c r="B130" s="2371"/>
      <c r="C130" s="1623"/>
      <c r="D130" s="3790"/>
      <c r="E130" s="3587" t="s">
        <v>647</v>
      </c>
      <c r="F130" s="3587"/>
      <c r="G130" s="3587"/>
      <c r="H130" s="3587"/>
      <c r="I130" s="3587"/>
      <c r="J130" s="3587"/>
      <c r="K130" s="3587"/>
      <c r="L130" s="3587"/>
      <c r="M130" s="3587"/>
      <c r="N130" s="3587"/>
      <c r="O130" s="3587"/>
      <c r="P130" s="3587"/>
      <c r="Q130" s="1769">
        <f>SUMIF(T131:T132,"i",Q131:Q132)</f>
        <v>0</v>
      </c>
      <c r="R130" s="2228"/>
      <c r="S130" s="3009" t="s">
        <v>648</v>
      </c>
      <c r="T130" s="1928" t="s">
        <v>649</v>
      </c>
      <c r="U130" s="3585">
        <v>1</v>
      </c>
      <c r="V130" s="3585" t="s">
        <v>599</v>
      </c>
      <c r="W130" s="2371"/>
      <c r="X130" s="2371"/>
      <c r="Y130" s="2371"/>
      <c r="Z130" s="2371"/>
      <c r="AA130" s="2847"/>
      <c r="AB130" s="2371"/>
      <c r="AC130" s="3586"/>
      <c r="AD130" s="1840"/>
      <c r="AE130" s="2371"/>
      <c r="AF130" s="2371"/>
      <c r="AG130" s="2847"/>
      <c r="AH130" s="2847"/>
      <c r="AI130" s="2847"/>
      <c r="AJ130" s="2847"/>
      <c r="AK130" s="2847"/>
      <c r="AL130" s="2847"/>
      <c r="AM130" s="2847"/>
      <c r="AN130" s="2847"/>
      <c r="AO130" s="2847"/>
      <c r="AP130" s="2847"/>
      <c r="AQ130" s="2847"/>
      <c r="AR130" s="2847"/>
      <c r="AS130" s="2847"/>
      <c r="AT130" s="2847"/>
      <c r="AU130" s="2847"/>
      <c r="AV130" s="2847"/>
      <c r="AW130" s="2847"/>
      <c r="AX130" s="2847"/>
      <c r="AY130" s="2847"/>
      <c r="AZ130" s="2847"/>
      <c r="BA130" s="2847"/>
      <c r="BB130" s="2847"/>
      <c r="BC130" s="2847"/>
      <c r="BD130" s="2847"/>
      <c r="BE130" s="2847"/>
      <c r="BF130" s="2847"/>
      <c r="BG130" s="2847"/>
      <c r="BH130" s="2847"/>
      <c r="BI130" s="2847"/>
      <c r="BJ130" s="2847"/>
      <c r="BK130" s="2847"/>
      <c r="BL130" s="2847"/>
      <c r="BM130" s="2847"/>
      <c r="BN130" s="2847"/>
      <c r="BO130" s="2847"/>
      <c r="BP130" s="2847"/>
      <c r="BQ130" s="2847"/>
      <c r="BR130" s="2847"/>
      <c r="BS130" s="2847"/>
      <c r="BT130" s="2847"/>
      <c r="BU130" s="2847"/>
      <c r="BV130" s="2371"/>
      <c r="BW130" s="2371"/>
      <c r="BX130" s="2371"/>
      <c r="BY130" s="2371"/>
      <c r="BZ130" s="2371"/>
      <c r="CA130" s="2371"/>
      <c r="CB130" s="2371"/>
      <c r="CC130" s="2371"/>
      <c r="CD130" s="2371"/>
      <c r="CE130" s="2371"/>
    </row>
    <row s="67502" customFormat="1" customHeight="1" ht="11.25" hidden="1">
      <c r="A131" s="3004"/>
      <c r="B131" s="2847"/>
      <c r="C131" s="2847"/>
      <c r="D131" s="3790"/>
      <c r="E131" s="1846"/>
      <c r="F131" s="1846">
        <v>0</v>
      </c>
      <c r="G131" s="1846"/>
      <c r="H131" s="1846"/>
      <c r="I131" s="1846"/>
      <c r="J131" s="1846"/>
      <c r="K131" s="1846"/>
      <c r="L131" s="1846"/>
      <c r="M131" s="1846"/>
      <c r="N131" s="1846"/>
      <c r="O131" s="1846"/>
      <c r="P131" s="1846"/>
      <c r="Q131" s="1846"/>
      <c r="R131" s="1846"/>
      <c r="S131" s="1847"/>
      <c r="T131" s="1929"/>
      <c r="U131" s="3585"/>
      <c r="V131" s="3585"/>
      <c r="W131" s="2847"/>
      <c r="X131" s="2847"/>
      <c r="Y131" s="2847"/>
      <c r="Z131" s="2847"/>
      <c r="AA131" s="2847"/>
      <c r="AB131" s="2371"/>
      <c r="AC131" s="3586"/>
      <c r="AD131" s="1840"/>
      <c r="AE131" s="2371"/>
      <c r="AF131" s="2371"/>
      <c r="AG131" s="2847"/>
      <c r="AH131" s="2847"/>
      <c r="AI131" s="2847"/>
      <c r="AJ131" s="2847"/>
      <c r="AK131" s="2847"/>
      <c r="AL131" s="2847"/>
      <c r="AM131" s="2847"/>
      <c r="AN131" s="2847"/>
      <c r="AO131" s="2847"/>
      <c r="AP131" s="2847"/>
      <c r="AQ131" s="2847"/>
      <c r="AR131" s="2847"/>
      <c r="AS131" s="2847"/>
      <c r="AT131" s="2847"/>
      <c r="AU131" s="2847"/>
      <c r="AV131" s="2847"/>
      <c r="AW131" s="2847"/>
      <c r="AX131" s="2847"/>
      <c r="AY131" s="2847"/>
      <c r="AZ131" s="2847"/>
      <c r="BA131" s="2847"/>
      <c r="BB131" s="2847"/>
      <c r="BC131" s="2847"/>
      <c r="BD131" s="2847"/>
      <c r="BE131" s="2847"/>
      <c r="BF131" s="2847"/>
      <c r="BG131" s="2847"/>
      <c r="BH131" s="2847"/>
      <c r="BI131" s="2847"/>
      <c r="BJ131" s="2847"/>
      <c r="BK131" s="2847"/>
      <c r="BL131" s="2847"/>
      <c r="BM131" s="2847"/>
      <c r="BN131" s="2847"/>
      <c r="BO131" s="2847"/>
      <c r="BP131" s="2847"/>
      <c r="BQ131" s="2847"/>
      <c r="BR131" s="2847"/>
      <c r="BS131" s="2847"/>
      <c r="BT131" s="2847"/>
      <c r="BU131" s="2847"/>
      <c r="BV131" s="2847"/>
      <c r="BW131" s="2847"/>
      <c r="BX131" s="2847"/>
      <c r="BY131" s="2847"/>
      <c r="BZ131" s="2847"/>
      <c r="CA131" s="2847"/>
      <c r="CB131" s="2847"/>
      <c r="CC131" s="2847"/>
      <c r="CD131" s="2847"/>
      <c r="CE131" s="2847"/>
    </row>
    <row s="67502" customFormat="1" customHeight="1" ht="11.25" hidden="1">
      <c r="A132" s="3017"/>
      <c r="B132" s="2371"/>
      <c r="C132" s="1623"/>
      <c r="D132" s="3790"/>
      <c r="E132" s="1860" t="s">
        <v>22</v>
      </c>
      <c r="F132" s="2379" t="s">
        <v>22</v>
      </c>
      <c r="G132" s="2379" t="s">
        <v>689</v>
      </c>
      <c r="H132" s="1862" t="s">
        <v>22</v>
      </c>
      <c r="I132" s="1862"/>
      <c r="J132" s="1862"/>
      <c r="K132" s="1862"/>
      <c r="L132" s="1862"/>
      <c r="M132" s="1862"/>
      <c r="N132" s="1862"/>
      <c r="O132" s="1862"/>
      <c r="P132" s="1862"/>
      <c r="Q132" s="1862"/>
      <c r="R132" s="1863"/>
      <c r="S132" s="1864"/>
      <c r="T132" s="1929"/>
      <c r="U132" s="3585"/>
      <c r="V132" s="3585"/>
      <c r="W132" s="2371"/>
      <c r="X132" s="2371"/>
      <c r="Y132" s="2371"/>
      <c r="Z132" s="2371"/>
      <c r="AA132" s="2847"/>
      <c r="AB132" s="2371"/>
      <c r="AC132" s="3586"/>
      <c r="AD132" s="1840"/>
      <c r="AE132" s="2371"/>
      <c r="AF132" s="2371"/>
      <c r="AG132" s="2847"/>
      <c r="AH132" s="2847"/>
      <c r="AI132" s="2847"/>
      <c r="AJ132" s="2847"/>
      <c r="AK132" s="2847"/>
      <c r="AL132" s="2847"/>
      <c r="AM132" s="2847"/>
      <c r="AN132" s="2847"/>
      <c r="AO132" s="2847"/>
      <c r="AP132" s="2847"/>
      <c r="AQ132" s="2847"/>
      <c r="AR132" s="2847"/>
      <c r="AS132" s="2847"/>
      <c r="AT132" s="2847"/>
      <c r="AU132" s="2847"/>
      <c r="AV132" s="2847"/>
      <c r="AW132" s="2847"/>
      <c r="AX132" s="2847"/>
      <c r="AY132" s="2847"/>
      <c r="AZ132" s="2847"/>
      <c r="BA132" s="2847"/>
      <c r="BB132" s="2847"/>
      <c r="BC132" s="2847"/>
      <c r="BD132" s="2847"/>
      <c r="BE132" s="2847"/>
      <c r="BF132" s="2847"/>
      <c r="BG132" s="2847"/>
      <c r="BH132" s="2847"/>
      <c r="BI132" s="2847"/>
      <c r="BJ132" s="2847"/>
      <c r="BK132" s="2847"/>
      <c r="BL132" s="2847"/>
      <c r="BM132" s="2847"/>
      <c r="BN132" s="2847"/>
      <c r="BO132" s="2847"/>
      <c r="BP132" s="2847"/>
      <c r="BQ132" s="2847"/>
      <c r="BR132" s="2847"/>
      <c r="BS132" s="2847"/>
      <c r="BT132" s="2847"/>
      <c r="BU132" s="2847"/>
      <c r="BV132" s="2371"/>
      <c r="BW132" s="2371"/>
      <c r="BX132" s="2371"/>
      <c r="BY132" s="2371"/>
      <c r="BZ132" s="2371"/>
      <c r="CA132" s="2371"/>
      <c r="CB132" s="2371"/>
      <c r="CC132" s="2371"/>
      <c r="CD132" s="2371"/>
      <c r="CE132" s="2371"/>
    </row>
    <row s="67460" customFormat="1" customHeight="1" ht="5.25" hidden="1">
      <c r="A133" s="3004"/>
      <c r="B133" s="2847"/>
      <c r="C133" s="2847"/>
      <c r="D133" s="3790"/>
      <c r="E133" s="2250"/>
      <c r="F133" s="2250"/>
      <c r="G133" s="2250"/>
      <c r="H133" s="2250"/>
      <c r="I133" s="2250"/>
      <c r="J133" s="2250"/>
      <c r="K133" s="2250"/>
      <c r="L133" s="2250"/>
      <c r="M133" s="2250"/>
      <c r="N133" s="2250"/>
      <c r="O133" s="2250"/>
      <c r="P133" s="2250"/>
      <c r="Q133" s="2251"/>
      <c r="R133" s="2252"/>
      <c r="S133" s="2253"/>
      <c r="T133" s="1928" t="s">
        <v>649</v>
      </c>
      <c r="U133" s="3585">
        <v>1</v>
      </c>
      <c r="V133" s="3585" t="s">
        <v>599</v>
      </c>
      <c r="W133" s="2847"/>
      <c r="X133" s="2847"/>
      <c r="Y133" s="2847"/>
      <c r="Z133" s="2847"/>
      <c r="AA133" s="2847"/>
      <c r="AB133" s="2847"/>
      <c r="AC133" s="2248"/>
      <c r="AD133" s="2249"/>
      <c r="AE133" s="2847"/>
      <c r="AF133" s="2847"/>
      <c r="AG133" s="2847"/>
      <c r="AH133" s="2847"/>
      <c r="AI133" s="2847"/>
      <c r="AJ133" s="2847"/>
      <c r="AK133" s="2847"/>
      <c r="AL133" s="2847"/>
      <c r="AM133" s="2847"/>
      <c r="AN133" s="2847"/>
      <c r="AO133" s="2847"/>
      <c r="AP133" s="2847"/>
      <c r="AQ133" s="2847"/>
      <c r="AR133" s="2847"/>
      <c r="AS133" s="2847"/>
      <c r="AT133" s="2847"/>
      <c r="AU133" s="2847"/>
      <c r="AV133" s="2847"/>
      <c r="AW133" s="2847"/>
      <c r="AX133" s="2847"/>
      <c r="AY133" s="2847"/>
      <c r="AZ133" s="2847"/>
      <c r="BA133" s="2847"/>
      <c r="BB133" s="2847"/>
      <c r="BC133" s="2847"/>
      <c r="BD133" s="2847"/>
      <c r="BE133" s="2847"/>
      <c r="BF133" s="2847"/>
      <c r="BG133" s="2847"/>
      <c r="BH133" s="2847"/>
      <c r="BI133" s="2847"/>
      <c r="BJ133" s="2847"/>
      <c r="BK133" s="2847"/>
      <c r="BL133" s="2847"/>
      <c r="BM133" s="2847"/>
      <c r="BN133" s="2847"/>
      <c r="BO133" s="2847"/>
      <c r="BP133" s="2847"/>
      <c r="BQ133" s="2847"/>
      <c r="BR133" s="2847"/>
      <c r="BS133" s="2847"/>
      <c r="BT133" s="2847"/>
      <c r="BU133" s="2847"/>
      <c r="BV133" s="2847"/>
      <c r="BW133" s="2847"/>
      <c r="BX133" s="2847"/>
      <c r="BY133" s="2847"/>
      <c r="BZ133" s="2847"/>
      <c r="CA133" s="2847"/>
      <c r="CB133" s="2847"/>
      <c r="CC133" s="2847"/>
      <c r="CD133" s="2847"/>
      <c r="CE133" s="2847"/>
    </row>
    <row s="67460" customFormat="1" customHeight="1" ht="5.25" hidden="1">
      <c r="A134" s="3004"/>
      <c r="B134" s="2847"/>
      <c r="C134" s="2847"/>
      <c r="D134" s="3790"/>
      <c r="E134" s="1846"/>
      <c r="F134" s="1846"/>
      <c r="G134" s="1846"/>
      <c r="H134" s="1846"/>
      <c r="I134" s="1846"/>
      <c r="J134" s="1846"/>
      <c r="K134" s="1846"/>
      <c r="L134" s="1846"/>
      <c r="M134" s="1846"/>
      <c r="N134" s="1846"/>
      <c r="O134" s="1846"/>
      <c r="P134" s="1846"/>
      <c r="Q134" s="1846"/>
      <c r="R134" s="1846"/>
      <c r="S134" s="1847"/>
      <c r="T134" s="1929"/>
      <c r="U134" s="3585"/>
      <c r="V134" s="3585"/>
      <c r="W134" s="2847"/>
      <c r="X134" s="2847"/>
      <c r="Y134" s="2847"/>
      <c r="Z134" s="2847"/>
      <c r="AA134" s="2847"/>
      <c r="AB134" s="2847"/>
      <c r="AC134" s="2248"/>
      <c r="AD134" s="2249"/>
      <c r="AE134" s="2847"/>
      <c r="AF134" s="2847"/>
      <c r="AG134" s="2847"/>
      <c r="AH134" s="2847"/>
      <c r="AI134" s="2847"/>
      <c r="AJ134" s="2847"/>
      <c r="AK134" s="2847"/>
      <c r="AL134" s="2847"/>
      <c r="AM134" s="2847"/>
      <c r="AN134" s="2847"/>
      <c r="AO134" s="2847"/>
      <c r="AP134" s="2847"/>
      <c r="AQ134" s="2847"/>
      <c r="AR134" s="2847"/>
      <c r="AS134" s="2847"/>
      <c r="AT134" s="2847"/>
      <c r="AU134" s="2847"/>
      <c r="AV134" s="2847"/>
      <c r="AW134" s="2847"/>
      <c r="AX134" s="2847"/>
      <c r="AY134" s="2847"/>
      <c r="AZ134" s="2847"/>
      <c r="BA134" s="2847"/>
      <c r="BB134" s="2847"/>
      <c r="BC134" s="2847"/>
      <c r="BD134" s="2847"/>
      <c r="BE134" s="2847"/>
      <c r="BF134" s="2847"/>
      <c r="BG134" s="2847"/>
      <c r="BH134" s="2847"/>
      <c r="BI134" s="2847"/>
      <c r="BJ134" s="2847"/>
      <c r="BK134" s="2847"/>
      <c r="BL134" s="2847"/>
      <c r="BM134" s="2847"/>
      <c r="BN134" s="2847"/>
      <c r="BO134" s="2847"/>
      <c r="BP134" s="2847"/>
      <c r="BQ134" s="2847"/>
      <c r="BR134" s="2847"/>
      <c r="BS134" s="2847"/>
      <c r="BT134" s="2847"/>
      <c r="BU134" s="2847"/>
      <c r="BV134" s="2847"/>
      <c r="BW134" s="2847"/>
      <c r="BX134" s="2847"/>
      <c r="BY134" s="2847"/>
      <c r="BZ134" s="2847"/>
      <c r="CA134" s="2847"/>
      <c r="CB134" s="2847"/>
      <c r="CC134" s="2847"/>
      <c r="CD134" s="2847"/>
      <c r="CE134" s="2847"/>
    </row>
    <row s="67460" customFormat="1" customHeight="1" ht="5.25" hidden="1">
      <c r="A135" s="3004"/>
      <c r="B135" s="2847"/>
      <c r="C135" s="2847"/>
      <c r="D135" s="3791"/>
      <c r="E135" s="2254"/>
      <c r="F135" s="2255"/>
      <c r="G135" s="2255"/>
      <c r="H135" s="2256"/>
      <c r="I135" s="2256"/>
      <c r="J135" s="2256"/>
      <c r="K135" s="2256"/>
      <c r="L135" s="2256"/>
      <c r="M135" s="2256"/>
      <c r="N135" s="2256"/>
      <c r="O135" s="2256"/>
      <c r="P135" s="2256"/>
      <c r="Q135" s="2256"/>
      <c r="R135" s="2157"/>
      <c r="S135" s="2257"/>
      <c r="T135" s="1929"/>
      <c r="U135" s="3585"/>
      <c r="V135" s="3585"/>
      <c r="W135" s="2847"/>
      <c r="X135" s="2847"/>
      <c r="Y135" s="2847"/>
      <c r="Z135" s="2847"/>
      <c r="AA135" s="2847"/>
      <c r="AB135" s="2847"/>
      <c r="AC135" s="2248"/>
      <c r="AD135" s="2249"/>
      <c r="AE135" s="2847"/>
      <c r="AF135" s="2847"/>
      <c r="AG135" s="2847"/>
      <c r="AH135" s="2847"/>
      <c r="AI135" s="2847"/>
      <c r="AJ135" s="2847"/>
      <c r="AK135" s="2847"/>
      <c r="AL135" s="2847"/>
      <c r="AM135" s="2847"/>
      <c r="AN135" s="2847"/>
      <c r="AO135" s="2847"/>
      <c r="AP135" s="2847"/>
      <c r="AQ135" s="2847"/>
      <c r="AR135" s="2847"/>
      <c r="AS135" s="2847"/>
      <c r="AT135" s="2847"/>
      <c r="AU135" s="2847"/>
      <c r="AV135" s="2847"/>
      <c r="AW135" s="2847"/>
      <c r="AX135" s="2847"/>
      <c r="AY135" s="2847"/>
      <c r="AZ135" s="2847"/>
      <c r="BA135" s="2847"/>
      <c r="BB135" s="2847"/>
      <c r="BC135" s="2847"/>
      <c r="BD135" s="2847"/>
      <c r="BE135" s="2847"/>
      <c r="BF135" s="2847"/>
      <c r="BG135" s="2847"/>
      <c r="BH135" s="2847"/>
      <c r="BI135" s="2847"/>
      <c r="BJ135" s="2847"/>
      <c r="BK135" s="2847"/>
      <c r="BL135" s="2847"/>
      <c r="BM135" s="2847"/>
      <c r="BN135" s="2847"/>
      <c r="BO135" s="2847"/>
      <c r="BP135" s="2847"/>
      <c r="BQ135" s="2847"/>
      <c r="BR135" s="2847"/>
      <c r="BS135" s="2847"/>
      <c r="BT135" s="2847"/>
      <c r="BU135" s="2847"/>
      <c r="BV135" s="2847"/>
      <c r="BW135" s="2847"/>
      <c r="BX135" s="2847"/>
      <c r="BY135" s="2847"/>
      <c r="BZ135" s="2847"/>
      <c r="CA135" s="2847"/>
      <c r="CB135" s="2847"/>
      <c r="CC135" s="2847"/>
      <c r="CD135" s="2847"/>
      <c r="CE135" s="2847"/>
    </row>
    <row customHeight="1" ht="17.25">
      <c r="D136" s="3047"/>
    </row>
    <row s="67209" customFormat="1" customHeight="1" ht="11.25">
      <c r="A137" s="3026" t="s">
        <v>2112</v>
      </c>
    </row>
    <row r="139" s="67502" customFormat="1" customHeight="1" ht="45">
      <c r="A139" s="3017"/>
      <c r="B139" s="2371"/>
      <c r="C139" s="1623"/>
      <c r="D139" s="1300"/>
      <c r="E139" s="3783"/>
      <c r="F139" s="3319" t="s">
        <v>99</v>
      </c>
      <c r="G139" s="3786" t="s">
        <v>22</v>
      </c>
      <c r="H139" s="1500"/>
      <c r="I139" s="1848" t="s">
        <v>99</v>
      </c>
      <c r="J139" s="3018" t="s">
        <v>651</v>
      </c>
      <c r="K139" s="1849" t="s">
        <v>564</v>
      </c>
      <c r="L139" s="3435" t="s">
        <v>564</v>
      </c>
      <c r="M139" s="3788"/>
      <c r="N139" s="1849" t="s">
        <v>564</v>
      </c>
      <c r="O139" s="1849" t="s">
        <v>564</v>
      </c>
      <c r="P139" s="1849" t="s">
        <v>564</v>
      </c>
      <c r="Q139" s="1850">
        <f>SUM(Q140:Q142)</f>
        <v>0</v>
      </c>
      <c r="R139" s="1850">
        <f>IF(R136=0,0,(Q136/R136)*100)</f>
        <v>0</v>
      </c>
      <c r="S139" s="3390"/>
      <c r="T139" s="1928" t="s">
        <v>649</v>
      </c>
      <c r="U139" s="1300"/>
      <c r="V139" s="1300"/>
      <c r="AC139" s="1300"/>
    </row>
    <row s="67502" customFormat="1" customHeight="1" ht="11.25">
      <c r="A140" s="3017"/>
      <c r="B140" s="2371"/>
      <c r="C140" s="1623"/>
      <c r="D140" s="1300"/>
      <c r="E140" s="3784"/>
      <c r="F140" s="3319"/>
      <c r="G140" s="3786"/>
      <c r="H140" s="3338"/>
      <c r="I140" s="3726" t="s">
        <v>652</v>
      </c>
      <c r="J140" s="3780"/>
      <c r="K140" s="3781"/>
      <c r="L140" s="1851"/>
      <c r="M140" s="1852" t="s">
        <v>99</v>
      </c>
      <c r="N140" s="3006"/>
      <c r="O140" s="1853"/>
      <c r="P140" s="1854"/>
      <c r="Q140" s="1853"/>
      <c r="R140" s="1855">
        <v>0</v>
      </c>
      <c r="S140" s="3390"/>
      <c r="T140" s="1928"/>
      <c r="U140" s="1300"/>
      <c r="V140" s="1300"/>
      <c r="AC140" s="1300"/>
    </row>
    <row s="67502" customFormat="1" customHeight="1" ht="11.25">
      <c r="A141" s="3017"/>
      <c r="B141" s="2371"/>
      <c r="C141" s="1623"/>
      <c r="D141" s="1300"/>
      <c r="E141" s="3784"/>
      <c r="F141" s="3319"/>
      <c r="G141" s="3786"/>
      <c r="H141" s="3338"/>
      <c r="I141" s="3726"/>
      <c r="J141" s="3780"/>
      <c r="K141" s="3782"/>
      <c r="L141" s="1856"/>
      <c r="M141" s="1857"/>
      <c r="N141" s="1858" t="s">
        <v>657</v>
      </c>
      <c r="O141" s="1858"/>
      <c r="P141" s="1858"/>
      <c r="Q141" s="1858"/>
      <c r="R141" s="1859"/>
      <c r="S141" s="3390"/>
      <c r="T141" s="1928"/>
      <c r="U141" s="1300"/>
      <c r="V141" s="1300"/>
      <c r="AC141" s="1300"/>
    </row>
    <row s="67502" customFormat="1" customHeight="1" ht="11.25">
      <c r="A142" s="3017"/>
      <c r="B142" s="2371"/>
      <c r="C142" s="1623"/>
      <c r="D142" s="1300"/>
      <c r="E142" s="3785"/>
      <c r="F142" s="3319"/>
      <c r="G142" s="3787"/>
      <c r="H142" s="1856" t="s">
        <v>22</v>
      </c>
      <c r="I142" s="1857"/>
      <c r="J142" s="1858" t="s">
        <v>667</v>
      </c>
      <c r="K142" s="1858"/>
      <c r="L142" s="1858"/>
      <c r="M142" s="1858"/>
      <c r="N142" s="1858"/>
      <c r="O142" s="1858"/>
      <c r="P142" s="1858"/>
      <c r="Q142" s="1858"/>
      <c r="R142" s="1859"/>
      <c r="S142" s="3390"/>
      <c r="T142" s="1928"/>
      <c r="U142" s="1300"/>
      <c r="V142" s="1300"/>
      <c r="AC142" s="1300"/>
    </row>
    <row r="147" s="67502" customFormat="1" customHeight="1" ht="11.25">
      <c r="A147" s="3017"/>
      <c r="B147" s="2371"/>
      <c r="C147" s="1623"/>
      <c r="D147" s="1300"/>
      <c r="E147" s="3041"/>
      <c r="F147" s="3041"/>
      <c r="G147" s="3041"/>
      <c r="H147" s="3338"/>
      <c r="I147" s="3726" t="s">
        <v>652</v>
      </c>
      <c r="J147" s="3780"/>
      <c r="K147" s="3781"/>
      <c r="L147" s="1851"/>
      <c r="M147" s="1852" t="s">
        <v>99</v>
      </c>
      <c r="N147" s="3006"/>
      <c r="O147" s="1853"/>
      <c r="P147" s="1854"/>
      <c r="Q147" s="1853"/>
      <c r="R147" s="1855">
        <v>0</v>
      </c>
      <c r="S147" s="1300"/>
      <c r="T147" s="1928"/>
      <c r="U147" s="1300"/>
      <c r="V147" s="1300"/>
      <c r="AC147" s="1300"/>
    </row>
    <row s="67502" customFormat="1" customHeight="1" ht="11.25">
      <c r="A148" s="3017"/>
      <c r="B148" s="2371"/>
      <c r="C148" s="1623"/>
      <c r="D148" s="1300"/>
      <c r="E148" s="3041"/>
      <c r="F148" s="3041"/>
      <c r="G148" s="3041"/>
      <c r="H148" s="3338"/>
      <c r="I148" s="3726"/>
      <c r="J148" s="3780"/>
      <c r="K148" s="3782"/>
      <c r="L148" s="1856"/>
      <c r="M148" s="1857"/>
      <c r="N148" s="1858" t="s">
        <v>657</v>
      </c>
      <c r="O148" s="1858"/>
      <c r="P148" s="1858"/>
      <c r="Q148" s="1858"/>
      <c r="R148" s="1859"/>
      <c r="S148" s="1300"/>
      <c r="T148" s="1928"/>
      <c r="U148" s="1300"/>
      <c r="V148" s="1300"/>
      <c r="AC148" s="1300"/>
    </row>
    <row r="150" s="67502" customFormat="1" customHeight="1" ht="11.25">
      <c r="A150" s="3017"/>
      <c r="B150" s="2371"/>
      <c r="C150" s="1623"/>
      <c r="D150" s="1300"/>
      <c r="E150" s="3048"/>
      <c r="F150" s="3046"/>
      <c r="G150" s="3046"/>
      <c r="H150" s="3049"/>
      <c r="I150" s="3041"/>
      <c r="J150" s="3042"/>
      <c r="K150" s="3042"/>
      <c r="L150" s="1851"/>
      <c r="M150" s="1852" t="s">
        <v>99</v>
      </c>
      <c r="N150" s="3006"/>
      <c r="O150" s="1853"/>
      <c r="P150" s="1854"/>
      <c r="Q150" s="1853"/>
      <c r="R150" s="1855">
        <v>0</v>
      </c>
      <c r="S150" s="1300"/>
      <c r="T150" s="1928"/>
      <c r="U150" s="1300"/>
      <c r="V150" s="1300"/>
      <c r="AC150" s="1300"/>
    </row>
    <row r="152" s="67209" customFormat="1" customHeight="1" ht="17.25">
      <c r="A152" s="3026" t="s">
        <v>2113</v>
      </c>
    </row>
    <row customHeight="1" ht="17.25">
      <c r="G153" s="3050"/>
      <c r="H153" s="3050"/>
      <c r="I153" s="3050"/>
      <c r="M153" s="3046"/>
    </row>
    <row s="67333" customFormat="1" customHeight="1" ht="17.25">
      <c r="A154" s="3051"/>
      <c r="C154" s="3053"/>
      <c r="D154" s="3740"/>
      <c r="E154" s="3354"/>
      <c r="F154" s="3356"/>
      <c r="G154" s="3742"/>
      <c r="H154" s="3740"/>
      <c r="I154" s="3740">
        <v>1</v>
      </c>
      <c r="J154" s="3712"/>
      <c r="K154" s="3396" t="s">
        <v>62</v>
      </c>
      <c r="L154" s="3319"/>
      <c r="M154" s="3319" t="s">
        <v>99</v>
      </c>
      <c r="N154" s="3715" t="str">
        <f>IF(Z154="","",INDEX(TERRITORY_MR_LIST,MATCH(Z154,TERRITORY_LIST_ID,0)))</f>
        <v/>
      </c>
      <c r="O154" s="3396" t="s">
        <v>62</v>
      </c>
      <c r="P154" s="3319"/>
      <c r="Q154" s="3319" t="s">
        <v>99</v>
      </c>
      <c r="R154" s="3713" t="s">
        <v>22</v>
      </c>
      <c r="S154" s="3318" t="s">
        <v>62</v>
      </c>
      <c r="T154" s="3022"/>
      <c r="U154" s="3022" t="s">
        <v>99</v>
      </c>
      <c r="V154" s="3054" t="s">
        <v>22</v>
      </c>
      <c r="W154" s="3012"/>
      <c r="Y154" s="2478"/>
      <c r="Z154" s="2478"/>
      <c r="AA154" s="2478"/>
      <c r="AB154" s="2478"/>
      <c r="AC154" s="2478"/>
      <c r="AD154" s="2478"/>
      <c r="AE154" s="2478"/>
      <c r="AF154" s="2478"/>
      <c r="AG154" s="2478"/>
      <c r="AH154" s="2478"/>
      <c r="AI154" s="2478"/>
      <c r="AJ154" s="2478"/>
      <c r="AK154" s="2478"/>
      <c r="AL154" s="3055"/>
      <c r="AM154" s="3055"/>
      <c r="AN154" s="2478"/>
      <c r="AO154" s="2478"/>
      <c r="AP154" s="2478"/>
      <c r="AQ154" s="2478"/>
    </row>
    <row s="67333" customFormat="1" customHeight="1" ht="17.25">
      <c r="A155" s="3051"/>
      <c r="C155" s="3056"/>
      <c r="D155" s="3740"/>
      <c r="E155" s="3354"/>
      <c r="F155" s="3357"/>
      <c r="G155" s="3742"/>
      <c r="H155" s="3740"/>
      <c r="I155" s="3740"/>
      <c r="J155" s="3712"/>
      <c r="K155" s="3397"/>
      <c r="L155" s="3319"/>
      <c r="M155" s="3319"/>
      <c r="N155" s="3715"/>
      <c r="O155" s="3397"/>
      <c r="P155" s="3319"/>
      <c r="Q155" s="3319"/>
      <c r="R155" s="3713"/>
      <c r="S155" s="3318"/>
      <c r="T155" s="1528"/>
      <c r="U155" s="1529"/>
      <c r="V155" s="1529" t="s">
        <v>432</v>
      </c>
      <c r="W155" s="1530"/>
      <c r="Y155" s="2470"/>
      <c r="Z155" s="2470"/>
      <c r="AA155" s="2470"/>
      <c r="AB155" s="2470"/>
      <c r="AC155" s="2470"/>
      <c r="AD155" s="2470"/>
      <c r="AE155" s="2470"/>
      <c r="AF155" s="2470"/>
      <c r="AG155" s="2470"/>
      <c r="AH155" s="2470"/>
      <c r="AI155" s="2470"/>
      <c r="AJ155" s="2470"/>
      <c r="AK155" s="2470"/>
    </row>
    <row s="67333" customFormat="1" customHeight="1" ht="17.25">
      <c r="A156" s="3051"/>
      <c r="C156" s="3056"/>
      <c r="D156" s="3714"/>
      <c r="E156" s="3741"/>
      <c r="F156" s="3357"/>
      <c r="G156" s="3743"/>
      <c r="H156" s="3714"/>
      <c r="I156" s="3714"/>
      <c r="J156" s="3744"/>
      <c r="K156" s="3397"/>
      <c r="L156" s="3714"/>
      <c r="M156" s="3714"/>
      <c r="N156" s="3716"/>
      <c r="O156" s="3323"/>
      <c r="P156" s="1528"/>
      <c r="Q156" s="1529"/>
      <c r="R156" s="1529" t="s">
        <v>433</v>
      </c>
      <c r="S156" s="3057"/>
      <c r="T156" s="3057"/>
      <c r="U156" s="3057"/>
      <c r="V156" s="3057"/>
      <c r="W156" s="1530"/>
      <c r="Y156" s="2470"/>
      <c r="Z156" s="2470"/>
      <c r="AA156" s="2470"/>
      <c r="AB156" s="2470"/>
      <c r="AC156" s="2470"/>
      <c r="AD156" s="2470"/>
      <c r="AE156" s="2470"/>
      <c r="AF156" s="2470"/>
      <c r="AG156" s="2470"/>
      <c r="AH156" s="2470"/>
      <c r="AI156" s="2470"/>
      <c r="AJ156" s="2470"/>
      <c r="AK156" s="2470"/>
    </row>
    <row s="67333" customFormat="1" customHeight="1" ht="17.25">
      <c r="A157" s="3051"/>
      <c r="C157" s="3056"/>
      <c r="D157" s="3714"/>
      <c r="E157" s="3741"/>
      <c r="F157" s="3357"/>
      <c r="G157" s="3743"/>
      <c r="H157" s="3714"/>
      <c r="I157" s="3714"/>
      <c r="J157" s="3744"/>
      <c r="K157" s="3323"/>
      <c r="L157" s="1528"/>
      <c r="M157" s="1529"/>
      <c r="N157" s="1529" t="s">
        <v>434</v>
      </c>
      <c r="O157" s="1529"/>
      <c r="P157" s="1529"/>
      <c r="Q157" s="1529"/>
      <c r="R157" s="1529"/>
      <c r="S157" s="3057"/>
      <c r="T157" s="3057"/>
      <c r="U157" s="3057"/>
      <c r="V157" s="3057"/>
      <c r="W157" s="1530"/>
      <c r="Y157" s="2470"/>
      <c r="Z157" s="2470"/>
      <c r="AA157" s="2470"/>
      <c r="AB157" s="2470"/>
      <c r="AC157" s="2470"/>
      <c r="AD157" s="2470"/>
      <c r="AE157" s="2470"/>
      <c r="AF157" s="2470"/>
      <c r="AG157" s="2470"/>
      <c r="AH157" s="2470"/>
      <c r="AI157" s="2470"/>
      <c r="AJ157" s="2470"/>
      <c r="AK157" s="2470"/>
    </row>
    <row s="67333" customFormat="1" customHeight="1" ht="17.25">
      <c r="A158" s="3051"/>
      <c r="C158" s="3056"/>
      <c r="D158" s="3714"/>
      <c r="E158" s="3741"/>
      <c r="F158" s="3358"/>
      <c r="G158" s="3743"/>
      <c r="H158" s="1528"/>
      <c r="I158" s="1529"/>
      <c r="J158" s="1529" t="s">
        <v>466</v>
      </c>
      <c r="K158" s="1529"/>
      <c r="L158" s="1529"/>
      <c r="M158" s="1529"/>
      <c r="N158" s="1529"/>
      <c r="O158" s="1529"/>
      <c r="P158" s="1529"/>
      <c r="Q158" s="1529"/>
      <c r="R158" s="1529"/>
      <c r="S158" s="3057"/>
      <c r="T158" s="3057"/>
      <c r="U158" s="3057"/>
      <c r="V158" s="3057"/>
      <c r="W158" s="1530"/>
      <c r="Y158" s="2470"/>
      <c r="Z158" s="2470"/>
      <c r="AA158" s="2470"/>
      <c r="AB158" s="2470"/>
      <c r="AC158" s="2470"/>
      <c r="AD158" s="2470"/>
      <c r="AE158" s="2470"/>
      <c r="AF158" s="2470"/>
      <c r="AG158" s="2470"/>
      <c r="AH158" s="2470"/>
      <c r="AI158" s="2470"/>
      <c r="AJ158" s="2470"/>
      <c r="AK158" s="2470"/>
    </row>
    <row customHeight="1" ht="17.25">
      <c r="G159" s="3050"/>
      <c r="H159" s="3050"/>
      <c r="I159" s="3050"/>
      <c r="M159" s="3046"/>
    </row>
    <row s="67333" customFormat="1" customHeight="1" ht="17.25">
      <c r="A160" s="3051"/>
      <c r="C160" s="3053"/>
      <c r="D160" s="3041"/>
      <c r="E160" s="3058"/>
      <c r="F160" s="2995"/>
      <c r="G160" s="3059"/>
      <c r="H160" s="3740"/>
      <c r="I160" s="3740">
        <v>1</v>
      </c>
      <c r="J160" s="3712"/>
      <c r="K160" s="3396" t="s">
        <v>62</v>
      </c>
      <c r="L160" s="3319"/>
      <c r="M160" s="3319" t="s">
        <v>99</v>
      </c>
      <c r="N160" s="3715" t="str">
        <f>IF(Z160="","",INDEX(TERRITORY_MR_LIST,MATCH(Z160,TERRITORY_LIST_ID,0)))</f>
        <v/>
      </c>
      <c r="O160" s="3396" t="s">
        <v>62</v>
      </c>
      <c r="P160" s="3319"/>
      <c r="Q160" s="3319" t="s">
        <v>99</v>
      </c>
      <c r="R160" s="3713" t="s">
        <v>22</v>
      </c>
      <c r="S160" s="3318" t="s">
        <v>62</v>
      </c>
      <c r="T160" s="3022"/>
      <c r="U160" s="3022" t="s">
        <v>99</v>
      </c>
      <c r="V160" s="3054" t="s">
        <v>22</v>
      </c>
      <c r="W160" s="3012"/>
      <c r="Y160" s="2478"/>
      <c r="Z160" s="2478"/>
      <c r="AA160" s="2478"/>
      <c r="AB160" s="2478"/>
      <c r="AC160" s="2478"/>
      <c r="AD160" s="2478"/>
      <c r="AE160" s="2478"/>
      <c r="AF160" s="2478"/>
      <c r="AG160" s="2478"/>
      <c r="AH160" s="2478"/>
      <c r="AI160" s="2478"/>
      <c r="AJ160" s="2478"/>
      <c r="AK160" s="2478"/>
      <c r="AL160" s="3055"/>
      <c r="AM160" s="3055"/>
      <c r="AN160" s="2478"/>
      <c r="AO160" s="2478"/>
      <c r="AP160" s="2478"/>
      <c r="AQ160" s="2478"/>
    </row>
    <row s="67333" customFormat="1" customHeight="1" ht="17.25">
      <c r="A161" s="3051"/>
      <c r="C161" s="3056"/>
      <c r="D161" s="3041"/>
      <c r="E161" s="3058"/>
      <c r="F161" s="2995"/>
      <c r="G161" s="3059"/>
      <c r="H161" s="3740"/>
      <c r="I161" s="3740"/>
      <c r="J161" s="3712"/>
      <c r="K161" s="3397"/>
      <c r="L161" s="3319"/>
      <c r="M161" s="3319"/>
      <c r="N161" s="3715"/>
      <c r="O161" s="3397"/>
      <c r="P161" s="3319"/>
      <c r="Q161" s="3319"/>
      <c r="R161" s="3713"/>
      <c r="S161" s="3318"/>
      <c r="T161" s="1528"/>
      <c r="U161" s="1529"/>
      <c r="V161" s="1529" t="s">
        <v>432</v>
      </c>
      <c r="W161" s="1530"/>
      <c r="Y161" s="2470"/>
      <c r="Z161" s="2470"/>
      <c r="AA161" s="2470"/>
      <c r="AB161" s="2470"/>
      <c r="AC161" s="2470"/>
      <c r="AD161" s="2470"/>
      <c r="AE161" s="2470"/>
      <c r="AF161" s="2470"/>
      <c r="AG161" s="2470"/>
      <c r="AH161" s="2470"/>
      <c r="AI161" s="2470"/>
      <c r="AJ161" s="2470"/>
      <c r="AK161" s="2470"/>
    </row>
    <row s="67333" customFormat="1" customHeight="1" ht="17.25">
      <c r="A162" s="3051"/>
      <c r="C162" s="3056"/>
      <c r="D162" s="3041"/>
      <c r="E162" s="3058"/>
      <c r="F162" s="2995"/>
      <c r="G162" s="3059"/>
      <c r="H162" s="3714"/>
      <c r="I162" s="3714"/>
      <c r="J162" s="3744"/>
      <c r="K162" s="3397"/>
      <c r="L162" s="3714"/>
      <c r="M162" s="3714"/>
      <c r="N162" s="3716"/>
      <c r="O162" s="3323"/>
      <c r="P162" s="1528"/>
      <c r="Q162" s="1529"/>
      <c r="R162" s="1529" t="s">
        <v>433</v>
      </c>
      <c r="S162" s="3057"/>
      <c r="T162" s="3057"/>
      <c r="U162" s="3057"/>
      <c r="V162" s="3057"/>
      <c r="W162" s="1530"/>
      <c r="Y162" s="2470"/>
      <c r="Z162" s="2470"/>
      <c r="AA162" s="2470"/>
      <c r="AB162" s="2470"/>
      <c r="AC162" s="2470"/>
      <c r="AD162" s="2470"/>
      <c r="AE162" s="2470"/>
      <c r="AF162" s="2470"/>
      <c r="AG162" s="2470"/>
      <c r="AH162" s="2470"/>
      <c r="AI162" s="2470"/>
      <c r="AJ162" s="2470"/>
      <c r="AK162" s="2470"/>
    </row>
    <row s="67333" customFormat="1" customHeight="1" ht="17.25">
      <c r="A163" s="3051"/>
      <c r="C163" s="3056"/>
      <c r="D163" s="3041"/>
      <c r="E163" s="3058"/>
      <c r="F163" s="2995"/>
      <c r="G163" s="3059"/>
      <c r="H163" s="3714"/>
      <c r="I163" s="3714"/>
      <c r="J163" s="3744"/>
      <c r="K163" s="3323"/>
      <c r="L163" s="1528"/>
      <c r="M163" s="1529"/>
      <c r="N163" s="1529" t="s">
        <v>434</v>
      </c>
      <c r="O163" s="1529"/>
      <c r="P163" s="1529"/>
      <c r="Q163" s="1529"/>
      <c r="R163" s="1529"/>
      <c r="S163" s="3057"/>
      <c r="T163" s="3057"/>
      <c r="U163" s="3057"/>
      <c r="V163" s="3057"/>
      <c r="W163" s="1530"/>
      <c r="Y163" s="2470"/>
      <c r="Z163" s="2470"/>
      <c r="AA163" s="2470"/>
      <c r="AB163" s="2470"/>
      <c r="AC163" s="2470"/>
      <c r="AD163" s="2470"/>
      <c r="AE163" s="2470"/>
      <c r="AF163" s="2470"/>
      <c r="AG163" s="2470"/>
      <c r="AH163" s="2470"/>
      <c r="AI163" s="2470"/>
      <c r="AJ163" s="2470"/>
      <c r="AK163" s="2470"/>
    </row>
    <row customHeight="1" ht="17.25">
      <c r="G164" s="3050"/>
      <c r="H164" s="3050"/>
      <c r="I164" s="3050"/>
      <c r="M164" s="3046"/>
    </row>
    <row s="67333" customFormat="1" customHeight="1" ht="17.25">
      <c r="A165" s="3051"/>
      <c r="C165" s="3053"/>
      <c r="D165" s="3041"/>
      <c r="E165" s="3058"/>
      <c r="F165" s="2995"/>
      <c r="G165" s="3059"/>
      <c r="H165" s="3041"/>
      <c r="I165" s="3041"/>
      <c r="J165" s="3060"/>
      <c r="K165" s="2971"/>
      <c r="L165" s="3319"/>
      <c r="M165" s="3319" t="s">
        <v>99</v>
      </c>
      <c r="N165" s="3715" t="str">
        <f>IF(Z165="","",INDEX(TERRITORY_MR_LIST,MATCH(Z165,TERRITORY_LIST_ID,0)))</f>
        <v/>
      </c>
      <c r="O165" s="3396" t="s">
        <v>62</v>
      </c>
      <c r="P165" s="3319"/>
      <c r="Q165" s="3319" t="s">
        <v>99</v>
      </c>
      <c r="R165" s="3713" t="s">
        <v>22</v>
      </c>
      <c r="S165" s="3318" t="s">
        <v>62</v>
      </c>
      <c r="T165" s="3022"/>
      <c r="U165" s="3022" t="s">
        <v>99</v>
      </c>
      <c r="V165" s="3054" t="s">
        <v>22</v>
      </c>
      <c r="W165" s="3012"/>
      <c r="Y165" s="2478"/>
      <c r="Z165" s="2478"/>
      <c r="AA165" s="2478"/>
      <c r="AB165" s="2478"/>
      <c r="AC165" s="2478"/>
      <c r="AD165" s="2478"/>
      <c r="AE165" s="2478"/>
      <c r="AF165" s="2478"/>
      <c r="AG165" s="2478"/>
      <c r="AH165" s="2478"/>
      <c r="AI165" s="2478"/>
      <c r="AJ165" s="2478"/>
      <c r="AK165" s="2478"/>
      <c r="AL165" s="3055"/>
      <c r="AM165" s="3055"/>
      <c r="AN165" s="2478"/>
      <c r="AO165" s="2478"/>
      <c r="AP165" s="2478"/>
      <c r="AQ165" s="2478"/>
    </row>
    <row s="67333" customFormat="1" customHeight="1" ht="17.25">
      <c r="A166" s="3051"/>
      <c r="C166" s="3056"/>
      <c r="D166" s="3041"/>
      <c r="E166" s="3058"/>
      <c r="F166" s="2995"/>
      <c r="G166" s="3059"/>
      <c r="H166" s="3041"/>
      <c r="I166" s="3041"/>
      <c r="J166" s="3060"/>
      <c r="K166" s="2971"/>
      <c r="L166" s="3319"/>
      <c r="M166" s="3319"/>
      <c r="N166" s="3715"/>
      <c r="O166" s="3397"/>
      <c r="P166" s="3319"/>
      <c r="Q166" s="3319"/>
      <c r="R166" s="3713"/>
      <c r="S166" s="3318"/>
      <c r="T166" s="1528"/>
      <c r="U166" s="1529"/>
      <c r="V166" s="1529" t="s">
        <v>432</v>
      </c>
      <c r="W166" s="1530"/>
      <c r="Y166" s="2470"/>
      <c r="Z166" s="2470"/>
      <c r="AA166" s="2470"/>
      <c r="AB166" s="2470"/>
      <c r="AC166" s="2470"/>
      <c r="AD166" s="2470"/>
      <c r="AE166" s="2470"/>
      <c r="AF166" s="2470"/>
      <c r="AG166" s="2470"/>
      <c r="AH166" s="2470"/>
      <c r="AI166" s="2470"/>
      <c r="AJ166" s="2470"/>
      <c r="AK166" s="2470"/>
    </row>
    <row s="67333" customFormat="1" customHeight="1" ht="17.25">
      <c r="A167" s="3051"/>
      <c r="C167" s="3056"/>
      <c r="D167" s="3041"/>
      <c r="E167" s="3058"/>
      <c r="F167" s="2995"/>
      <c r="G167" s="3059"/>
      <c r="H167" s="3041"/>
      <c r="I167" s="3041"/>
      <c r="J167" s="3060"/>
      <c r="K167" s="2971"/>
      <c r="L167" s="3714"/>
      <c r="M167" s="3714"/>
      <c r="N167" s="3716"/>
      <c r="O167" s="3323"/>
      <c r="P167" s="1528"/>
      <c r="Q167" s="1529"/>
      <c r="R167" s="1529" t="s">
        <v>433</v>
      </c>
      <c r="S167" s="3057"/>
      <c r="T167" s="3057"/>
      <c r="U167" s="3057"/>
      <c r="V167" s="3057"/>
      <c r="W167" s="1530"/>
      <c r="Y167" s="2470"/>
      <c r="Z167" s="2470"/>
      <c r="AA167" s="2470"/>
      <c r="AB167" s="2470"/>
      <c r="AC167" s="2470"/>
      <c r="AD167" s="2470"/>
      <c r="AE167" s="2470"/>
      <c r="AF167" s="2470"/>
      <c r="AG167" s="2470"/>
      <c r="AH167" s="2470"/>
      <c r="AI167" s="2470"/>
      <c r="AJ167" s="2470"/>
      <c r="AK167" s="2470"/>
    </row>
    <row customHeight="1" ht="17.25">
      <c r="G168" s="3050"/>
      <c r="H168" s="3050"/>
      <c r="I168" s="3050"/>
      <c r="M168" s="3046"/>
    </row>
    <row s="67333" customFormat="1" customHeight="1" ht="17.25">
      <c r="A169" s="3051"/>
      <c r="C169" s="3053"/>
      <c r="D169" s="3041"/>
      <c r="E169" s="3058"/>
      <c r="F169" s="2995"/>
      <c r="G169" s="3059"/>
      <c r="H169" s="3041"/>
      <c r="I169" s="3041"/>
      <c r="J169" s="3060"/>
      <c r="K169" s="2971"/>
      <c r="L169" s="2967"/>
      <c r="M169" s="2967"/>
      <c r="N169" s="3259"/>
      <c r="O169" s="2998"/>
      <c r="P169" s="3319"/>
      <c r="Q169" s="3319" t="s">
        <v>99</v>
      </c>
      <c r="R169" s="3713" t="s">
        <v>22</v>
      </c>
      <c r="S169" s="3318" t="s">
        <v>62</v>
      </c>
      <c r="T169" s="3022"/>
      <c r="U169" s="3022" t="s">
        <v>99</v>
      </c>
      <c r="V169" s="3054" t="s">
        <v>22</v>
      </c>
      <c r="W169" s="3012"/>
      <c r="Y169" s="2478"/>
      <c r="Z169" s="2478"/>
      <c r="AA169" s="2478"/>
      <c r="AB169" s="2478"/>
      <c r="AC169" s="2478"/>
      <c r="AD169" s="2478"/>
      <c r="AE169" s="2478"/>
      <c r="AF169" s="2478"/>
      <c r="AG169" s="2478"/>
      <c r="AH169" s="2478"/>
      <c r="AI169" s="2478"/>
      <c r="AJ169" s="2478"/>
      <c r="AK169" s="2478"/>
      <c r="AL169" s="3055"/>
      <c r="AM169" s="3055"/>
      <c r="AN169" s="2478"/>
      <c r="AO169" s="2478"/>
      <c r="AP169" s="2478"/>
      <c r="AQ169" s="2478"/>
    </row>
    <row s="67333" customFormat="1" customHeight="1" ht="17.25">
      <c r="A170" s="3051"/>
      <c r="C170" s="3056"/>
      <c r="D170" s="3041"/>
      <c r="E170" s="3058"/>
      <c r="F170" s="2995"/>
      <c r="G170" s="3059"/>
      <c r="H170" s="3041"/>
      <c r="I170" s="3041"/>
      <c r="J170" s="3060"/>
      <c r="K170" s="2971"/>
      <c r="L170" s="2967"/>
      <c r="M170" s="2967"/>
      <c r="N170" s="3259"/>
      <c r="O170" s="2998"/>
      <c r="P170" s="3319"/>
      <c r="Q170" s="3319"/>
      <c r="R170" s="3713"/>
      <c r="S170" s="3318"/>
      <c r="T170" s="1528"/>
      <c r="U170" s="1529"/>
      <c r="V170" s="1529" t="s">
        <v>432</v>
      </c>
      <c r="W170" s="1530"/>
      <c r="Y170" s="2470"/>
      <c r="Z170" s="2470"/>
      <c r="AA170" s="2470"/>
      <c r="AB170" s="2470"/>
      <c r="AC170" s="2470"/>
      <c r="AD170" s="2470"/>
      <c r="AE170" s="2470"/>
      <c r="AF170" s="2470"/>
      <c r="AG170" s="2470"/>
      <c r="AH170" s="2470"/>
      <c r="AI170" s="2470"/>
      <c r="AJ170" s="2470"/>
      <c r="AK170" s="2470"/>
    </row>
    <row customHeight="1" ht="17.25">
      <c r="G171" s="3050"/>
      <c r="H171" s="3050"/>
      <c r="I171" s="3050"/>
      <c r="M171" s="3046"/>
    </row>
    <row s="67333" customFormat="1" customHeight="1" ht="17.25">
      <c r="A172" s="3051"/>
      <c r="C172" s="3053"/>
      <c r="D172" s="3041"/>
      <c r="E172" s="3058"/>
      <c r="F172" s="2995"/>
      <c r="G172" s="3059"/>
      <c r="H172" s="2967"/>
      <c r="I172" s="2967"/>
      <c r="J172" s="2968"/>
      <c r="K172" s="3059"/>
      <c r="L172" s="2967"/>
      <c r="M172" s="2967"/>
      <c r="N172" s="3059"/>
      <c r="O172" s="3059"/>
      <c r="P172" s="2967"/>
      <c r="Q172" s="2967"/>
      <c r="R172" s="2969"/>
      <c r="S172" s="3059"/>
      <c r="T172" s="3022"/>
      <c r="U172" s="3022" t="s">
        <v>99</v>
      </c>
      <c r="V172" s="3054" t="s">
        <v>22</v>
      </c>
      <c r="W172" s="3012"/>
      <c r="Y172" s="2478"/>
      <c r="Z172" s="2478"/>
      <c r="AA172" s="2478"/>
      <c r="AB172" s="2478"/>
      <c r="AC172" s="2478"/>
      <c r="AD172" s="2478"/>
      <c r="AE172" s="2478"/>
      <c r="AF172" s="2478"/>
      <c r="AG172" s="2478"/>
      <c r="AH172" s="2478"/>
      <c r="AI172" s="2478"/>
      <c r="AJ172" s="2478"/>
      <c r="AK172" s="2478"/>
      <c r="AL172" s="3055"/>
      <c r="AM172" s="3055"/>
      <c r="AN172" s="2478"/>
      <c r="AO172" s="2478"/>
      <c r="AP172" s="2478"/>
      <c r="AQ172" s="2478"/>
    </row>
    <row r="174" s="67209" customFormat="1" customHeight="1" ht="17.25">
      <c r="A174" s="3026" t="s">
        <v>2114</v>
      </c>
    </row>
    <row customHeight="1" ht="17.25">
      <c r="G175" s="3050"/>
      <c r="H175" s="3050"/>
      <c r="I175" s="3050"/>
      <c r="M175" s="3046"/>
    </row>
    <row s="67333" customFormat="1" customHeight="1" ht="17.25">
      <c r="A176" s="3051"/>
      <c r="C176" s="3053"/>
      <c r="D176" s="3740"/>
      <c r="E176" s="3354"/>
      <c r="F176" s="3356"/>
      <c r="G176" s="3742"/>
      <c r="H176" s="3740"/>
      <c r="I176" s="3740">
        <v>1</v>
      </c>
      <c r="J176" s="3712"/>
      <c r="K176" s="3396" t="s">
        <v>62</v>
      </c>
      <c r="L176" s="3319"/>
      <c r="M176" s="3319" t="s">
        <v>99</v>
      </c>
      <c r="N176" s="3715" t="str">
        <f>IF(Z176="","",INDEX(TERRITORY_MR_LIST,MATCH(Z176,TERRITORY_LIST_ID,0)))</f>
        <v/>
      </c>
      <c r="O176" s="3396" t="s">
        <v>62</v>
      </c>
      <c r="P176" s="3319"/>
      <c r="Q176" s="3319" t="s">
        <v>99</v>
      </c>
      <c r="R176" s="3713" t="s">
        <v>22</v>
      </c>
      <c r="S176" s="3617" t="s">
        <v>19</v>
      </c>
      <c r="T176" s="3013"/>
      <c r="U176" s="3013" t="s">
        <v>99</v>
      </c>
      <c r="V176" s="2645"/>
      <c r="W176" s="3712"/>
      <c r="Y176" s="2478"/>
      <c r="Z176" s="2478"/>
      <c r="AA176" s="2478"/>
      <c r="AB176" s="2478"/>
      <c r="AC176" s="2478"/>
      <c r="AD176" s="2478"/>
      <c r="AE176" s="2478"/>
      <c r="AF176" s="2478"/>
      <c r="AG176" s="2478"/>
      <c r="AH176" s="2478"/>
      <c r="AI176" s="2478"/>
      <c r="AJ176" s="2478"/>
      <c r="AK176" s="2478"/>
      <c r="AL176" s="3055"/>
      <c r="AM176" s="3055"/>
      <c r="AN176" s="2478"/>
      <c r="AO176" s="2478"/>
      <c r="AP176" s="2478"/>
      <c r="AQ176" s="2478"/>
    </row>
    <row s="67333" customFormat="1" customHeight="1" ht="17.25">
      <c r="A177" s="3051"/>
      <c r="C177" s="3056"/>
      <c r="D177" s="3740"/>
      <c r="E177" s="3354"/>
      <c r="F177" s="3357"/>
      <c r="G177" s="3742"/>
      <c r="H177" s="3740"/>
      <c r="I177" s="3740"/>
      <c r="J177" s="3712"/>
      <c r="K177" s="3397"/>
      <c r="L177" s="3319"/>
      <c r="M177" s="3319"/>
      <c r="N177" s="3715"/>
      <c r="O177" s="3397"/>
      <c r="P177" s="3319"/>
      <c r="Q177" s="3319"/>
      <c r="R177" s="3713"/>
      <c r="S177" s="3617"/>
      <c r="T177" s="2646"/>
      <c r="U177" s="2647"/>
      <c r="V177" s="2647"/>
      <c r="W177" s="3712"/>
      <c r="Y177" s="2470"/>
      <c r="Z177" s="2470"/>
      <c r="AA177" s="2470"/>
      <c r="AB177" s="2470"/>
      <c r="AC177" s="2470"/>
      <c r="AD177" s="2470"/>
      <c r="AE177" s="2470"/>
      <c r="AF177" s="2470"/>
      <c r="AG177" s="2470"/>
      <c r="AH177" s="2470"/>
      <c r="AI177" s="2470"/>
      <c r="AJ177" s="2470"/>
      <c r="AK177" s="2470"/>
    </row>
    <row s="67333" customFormat="1" customHeight="1" ht="17.25">
      <c r="A178" s="3051"/>
      <c r="C178" s="3056"/>
      <c r="D178" s="3714"/>
      <c r="E178" s="3741"/>
      <c r="F178" s="3357"/>
      <c r="G178" s="3743"/>
      <c r="H178" s="3714"/>
      <c r="I178" s="3714"/>
      <c r="J178" s="3744"/>
      <c r="K178" s="3397"/>
      <c r="L178" s="3714"/>
      <c r="M178" s="3714"/>
      <c r="N178" s="3716"/>
      <c r="O178" s="3323"/>
      <c r="P178" s="1528"/>
      <c r="Q178" s="1529"/>
      <c r="R178" s="1529" t="s">
        <v>433</v>
      </c>
      <c r="S178" s="3057"/>
      <c r="T178" s="3057"/>
      <c r="U178" s="3057"/>
      <c r="V178" s="3057"/>
      <c r="W178" s="2644"/>
      <c r="Y178" s="2470"/>
      <c r="Z178" s="2470"/>
      <c r="AA178" s="2470"/>
      <c r="AB178" s="2470"/>
      <c r="AC178" s="2470"/>
      <c r="AD178" s="2470"/>
      <c r="AE178" s="2470"/>
      <c r="AF178" s="2470"/>
      <c r="AG178" s="2470"/>
      <c r="AH178" s="2470"/>
      <c r="AI178" s="2470"/>
      <c r="AJ178" s="2470"/>
      <c r="AK178" s="2470"/>
    </row>
    <row s="67333" customFormat="1" customHeight="1" ht="17.25">
      <c r="A179" s="3051"/>
      <c r="C179" s="3056"/>
      <c r="D179" s="3714"/>
      <c r="E179" s="3741"/>
      <c r="F179" s="3357"/>
      <c r="G179" s="3743"/>
      <c r="H179" s="3714"/>
      <c r="I179" s="3714"/>
      <c r="J179" s="3744"/>
      <c r="K179" s="3323"/>
      <c r="L179" s="1528"/>
      <c r="M179" s="1529"/>
      <c r="N179" s="1529" t="s">
        <v>434</v>
      </c>
      <c r="O179" s="1529"/>
      <c r="P179" s="1529"/>
      <c r="Q179" s="1529"/>
      <c r="R179" s="1529"/>
      <c r="S179" s="3057"/>
      <c r="T179" s="3057"/>
      <c r="U179" s="3057"/>
      <c r="V179" s="3057"/>
      <c r="W179" s="1530"/>
      <c r="Y179" s="2470"/>
      <c r="Z179" s="2470"/>
      <c r="AA179" s="2470"/>
      <c r="AB179" s="2470"/>
      <c r="AC179" s="2470"/>
      <c r="AD179" s="2470"/>
      <c r="AE179" s="2470"/>
      <c r="AF179" s="2470"/>
      <c r="AG179" s="2470"/>
      <c r="AH179" s="2470"/>
      <c r="AI179" s="2470"/>
      <c r="AJ179" s="2470"/>
      <c r="AK179" s="2470"/>
    </row>
    <row s="67333" customFormat="1" customHeight="1" ht="17.25">
      <c r="A180" s="3051"/>
      <c r="C180" s="3056"/>
      <c r="D180" s="3714"/>
      <c r="E180" s="3741"/>
      <c r="F180" s="3358"/>
      <c r="G180" s="3743"/>
      <c r="H180" s="1528"/>
      <c r="I180" s="1529"/>
      <c r="J180" s="1529" t="s">
        <v>466</v>
      </c>
      <c r="K180" s="1529"/>
      <c r="L180" s="1529"/>
      <c r="M180" s="1529"/>
      <c r="N180" s="1529"/>
      <c r="O180" s="1529"/>
      <c r="P180" s="1529"/>
      <c r="Q180" s="1529"/>
      <c r="R180" s="1529"/>
      <c r="S180" s="3057"/>
      <c r="T180" s="3057"/>
      <c r="U180" s="3057"/>
      <c r="V180" s="3057"/>
      <c r="W180" s="1530"/>
      <c r="Y180" s="2470"/>
      <c r="Z180" s="2470"/>
      <c r="AA180" s="2470"/>
      <c r="AB180" s="2470"/>
      <c r="AC180" s="2470"/>
      <c r="AD180" s="2470"/>
      <c r="AE180" s="2470"/>
      <c r="AF180" s="2470"/>
      <c r="AG180" s="2470"/>
      <c r="AH180" s="2470"/>
      <c r="AI180" s="2470"/>
      <c r="AJ180" s="2470"/>
      <c r="AK180" s="2470"/>
    </row>
    <row customHeight="1" ht="17.25">
      <c r="A181" s="3061"/>
    </row>
    <row s="67333" customFormat="1" customHeight="1" ht="17.25">
      <c r="A182" s="3051"/>
      <c r="C182" s="3053"/>
      <c r="D182" s="3041"/>
      <c r="E182" s="3058"/>
      <c r="F182" s="2995"/>
      <c r="G182" s="3059"/>
      <c r="H182" s="3740"/>
      <c r="I182" s="3740">
        <v>1</v>
      </c>
      <c r="J182" s="3712"/>
      <c r="K182" s="3396" t="s">
        <v>62</v>
      </c>
      <c r="L182" s="3319"/>
      <c r="M182" s="3319" t="s">
        <v>99</v>
      </c>
      <c r="N182" s="3715" t="str">
        <f>IF(Z182="","",INDEX(TERRITORY_MR_LIST,MATCH(Z182,TERRITORY_LIST_ID,0)))</f>
        <v/>
      </c>
      <c r="O182" s="3396" t="s">
        <v>62</v>
      </c>
      <c r="P182" s="3319"/>
      <c r="Q182" s="3319" t="s">
        <v>99</v>
      </c>
      <c r="R182" s="3713" t="s">
        <v>22</v>
      </c>
      <c r="S182" s="3617" t="s">
        <v>19</v>
      </c>
      <c r="T182" s="3013"/>
      <c r="U182" s="3013" t="s">
        <v>99</v>
      </c>
      <c r="V182" s="2645"/>
      <c r="W182" s="3712"/>
      <c r="Y182" s="2478"/>
      <c r="Z182" s="2478"/>
      <c r="AA182" s="2478"/>
      <c r="AB182" s="2478"/>
      <c r="AC182" s="2478"/>
      <c r="AD182" s="2478"/>
      <c r="AE182" s="2478"/>
      <c r="AF182" s="2478"/>
      <c r="AG182" s="2478"/>
      <c r="AH182" s="2478"/>
      <c r="AI182" s="2478"/>
      <c r="AJ182" s="2478"/>
      <c r="AK182" s="2478"/>
      <c r="AL182" s="3055"/>
      <c r="AM182" s="3055"/>
      <c r="AN182" s="2478"/>
      <c r="AO182" s="2478"/>
      <c r="AP182" s="2478"/>
      <c r="AQ182" s="2478"/>
    </row>
    <row s="67333" customFormat="1" customHeight="1" ht="17.25">
      <c r="A183" s="3051"/>
      <c r="C183" s="3056"/>
      <c r="D183" s="3041"/>
      <c r="E183" s="3058"/>
      <c r="F183" s="2995"/>
      <c r="G183" s="3059"/>
      <c r="H183" s="3740"/>
      <c r="I183" s="3740"/>
      <c r="J183" s="3712"/>
      <c r="K183" s="3397"/>
      <c r="L183" s="3319"/>
      <c r="M183" s="3319"/>
      <c r="N183" s="3715"/>
      <c r="O183" s="3397"/>
      <c r="P183" s="3319"/>
      <c r="Q183" s="3319"/>
      <c r="R183" s="3713"/>
      <c r="S183" s="3617"/>
      <c r="T183" s="2646"/>
      <c r="U183" s="2647"/>
      <c r="V183" s="2647"/>
      <c r="W183" s="3712"/>
      <c r="Y183" s="2470"/>
      <c r="Z183" s="2470"/>
      <c r="AA183" s="2470"/>
      <c r="AB183" s="2470"/>
      <c r="AC183" s="2470"/>
      <c r="AD183" s="2470"/>
      <c r="AE183" s="2470"/>
      <c r="AF183" s="2470"/>
      <c r="AG183" s="2470"/>
      <c r="AH183" s="2470"/>
      <c r="AI183" s="2470"/>
      <c r="AJ183" s="2470"/>
      <c r="AK183" s="2470"/>
    </row>
    <row s="67333" customFormat="1" customHeight="1" ht="17.25">
      <c r="A184" s="3051"/>
      <c r="C184" s="3056"/>
      <c r="D184" s="3041"/>
      <c r="E184" s="3058"/>
      <c r="F184" s="2995"/>
      <c r="G184" s="3059"/>
      <c r="H184" s="3714"/>
      <c r="I184" s="3714"/>
      <c r="J184" s="3744"/>
      <c r="K184" s="3397"/>
      <c r="L184" s="3714"/>
      <c r="M184" s="3714"/>
      <c r="N184" s="3716"/>
      <c r="O184" s="3323"/>
      <c r="P184" s="1528"/>
      <c r="Q184" s="1529"/>
      <c r="R184" s="1529" t="s">
        <v>433</v>
      </c>
      <c r="S184" s="3057"/>
      <c r="T184" s="3057"/>
      <c r="U184" s="3057"/>
      <c r="V184" s="3057"/>
      <c r="W184" s="2644"/>
      <c r="Y184" s="2470"/>
      <c r="Z184" s="2470"/>
      <c r="AA184" s="2470"/>
      <c r="AB184" s="2470"/>
      <c r="AC184" s="2470"/>
      <c r="AD184" s="2470"/>
      <c r="AE184" s="2470"/>
      <c r="AF184" s="2470"/>
      <c r="AG184" s="2470"/>
      <c r="AH184" s="2470"/>
      <c r="AI184" s="2470"/>
      <c r="AJ184" s="2470"/>
      <c r="AK184" s="2470"/>
    </row>
    <row s="67333" customFormat="1" customHeight="1" ht="17.25">
      <c r="A185" s="3051"/>
      <c r="C185" s="3056"/>
      <c r="D185" s="3041"/>
      <c r="E185" s="3058"/>
      <c r="F185" s="2995"/>
      <c r="G185" s="3059"/>
      <c r="H185" s="3714"/>
      <c r="I185" s="3714"/>
      <c r="J185" s="3744"/>
      <c r="K185" s="3323"/>
      <c r="L185" s="1528"/>
      <c r="M185" s="1529"/>
      <c r="N185" s="1529" t="s">
        <v>434</v>
      </c>
      <c r="O185" s="1529"/>
      <c r="P185" s="1529"/>
      <c r="Q185" s="1529"/>
      <c r="R185" s="1529"/>
      <c r="S185" s="3057"/>
      <c r="T185" s="3057"/>
      <c r="U185" s="3057"/>
      <c r="V185" s="3057"/>
      <c r="W185" s="1530"/>
      <c r="Y185" s="2470"/>
      <c r="Z185" s="2470"/>
      <c r="AA185" s="2470"/>
      <c r="AB185" s="2470"/>
      <c r="AC185" s="2470"/>
      <c r="AD185" s="2470"/>
      <c r="AE185" s="2470"/>
      <c r="AF185" s="2470"/>
      <c r="AG185" s="2470"/>
      <c r="AH185" s="2470"/>
      <c r="AI185" s="2470"/>
      <c r="AJ185" s="2470"/>
      <c r="AK185" s="2470"/>
    </row>
    <row customHeight="1" ht="17.25">
      <c r="A186" s="3061"/>
    </row>
    <row s="67333" customFormat="1" customHeight="1" ht="17.25">
      <c r="A187" s="3051"/>
      <c r="C187" s="3053"/>
      <c r="D187" s="3041"/>
      <c r="E187" s="3058"/>
      <c r="F187" s="2995"/>
      <c r="G187" s="3059"/>
      <c r="H187" s="3041"/>
      <c r="I187" s="3041"/>
      <c r="J187" s="3062"/>
      <c r="K187" s="3059"/>
      <c r="L187" s="3319"/>
      <c r="M187" s="3319" t="s">
        <v>99</v>
      </c>
      <c r="N187" s="3715" t="str">
        <f>IF(Z187="","",INDEX(TERRITORY_MR_LIST,MATCH(Z187,TERRITORY_LIST_ID,0)))</f>
        <v/>
      </c>
      <c r="O187" s="3396" t="s">
        <v>62</v>
      </c>
      <c r="P187" s="3319"/>
      <c r="Q187" s="3319" t="s">
        <v>99</v>
      </c>
      <c r="R187" s="3713" t="s">
        <v>22</v>
      </c>
      <c r="S187" s="3617" t="s">
        <v>19</v>
      </c>
      <c r="T187" s="3013"/>
      <c r="U187" s="3013" t="s">
        <v>99</v>
      </c>
      <c r="V187" s="2645"/>
      <c r="W187" s="3712"/>
      <c r="Y187" s="2478"/>
      <c r="Z187" s="2478"/>
      <c r="AA187" s="2478"/>
      <c r="AB187" s="2478"/>
      <c r="AC187" s="2478"/>
      <c r="AD187" s="2478"/>
      <c r="AE187" s="2478"/>
      <c r="AF187" s="2478"/>
      <c r="AG187" s="2478"/>
      <c r="AH187" s="2478"/>
      <c r="AI187" s="2478"/>
      <c r="AJ187" s="2478"/>
      <c r="AK187" s="2478"/>
      <c r="AL187" s="3055"/>
      <c r="AM187" s="3055"/>
      <c r="AN187" s="2478"/>
      <c r="AO187" s="2478"/>
      <c r="AP187" s="2478"/>
      <c r="AQ187" s="2478"/>
    </row>
    <row s="67333" customFormat="1" customHeight="1" ht="17.25">
      <c r="A188" s="3051"/>
      <c r="C188" s="3056"/>
      <c r="D188" s="3041"/>
      <c r="E188" s="3058"/>
      <c r="F188" s="2995"/>
      <c r="G188" s="3059"/>
      <c r="H188" s="3041"/>
      <c r="I188" s="3041"/>
      <c r="J188" s="3062"/>
      <c r="K188" s="3059"/>
      <c r="L188" s="3319"/>
      <c r="M188" s="3319"/>
      <c r="N188" s="3715"/>
      <c r="O188" s="3397"/>
      <c r="P188" s="3319"/>
      <c r="Q188" s="3319"/>
      <c r="R188" s="3713"/>
      <c r="S188" s="3617"/>
      <c r="T188" s="2646"/>
      <c r="U188" s="2647"/>
      <c r="V188" s="2647"/>
      <c r="W188" s="3712"/>
      <c r="Y188" s="2470"/>
      <c r="Z188" s="2470"/>
      <c r="AA188" s="2470"/>
      <c r="AB188" s="2470"/>
      <c r="AC188" s="2470"/>
      <c r="AD188" s="2470"/>
      <c r="AE188" s="2470"/>
      <c r="AF188" s="2470"/>
      <c r="AG188" s="2470"/>
      <c r="AH188" s="2470"/>
      <c r="AI188" s="2470"/>
      <c r="AJ188" s="2470"/>
      <c r="AK188" s="2470"/>
    </row>
    <row s="67333" customFormat="1" customHeight="1" ht="17.25">
      <c r="A189" s="3051"/>
      <c r="C189" s="3056"/>
      <c r="D189" s="3041"/>
      <c r="E189" s="3058"/>
      <c r="F189" s="2995"/>
      <c r="G189" s="3059"/>
      <c r="H189" s="3041"/>
      <c r="I189" s="3041"/>
      <c r="J189" s="3062"/>
      <c r="K189" s="3059"/>
      <c r="L189" s="3714"/>
      <c r="M189" s="3714"/>
      <c r="N189" s="3716"/>
      <c r="O189" s="3323"/>
      <c r="P189" s="1528"/>
      <c r="Q189" s="1529"/>
      <c r="R189" s="1529" t="s">
        <v>433</v>
      </c>
      <c r="S189" s="3057"/>
      <c r="T189" s="3057"/>
      <c r="U189" s="3057"/>
      <c r="V189" s="3057"/>
      <c r="W189" s="2644"/>
      <c r="Y189" s="2470"/>
      <c r="Z189" s="2470"/>
      <c r="AA189" s="2470"/>
      <c r="AB189" s="2470"/>
      <c r="AC189" s="2470"/>
      <c r="AD189" s="2470"/>
      <c r="AE189" s="2470"/>
      <c r="AF189" s="2470"/>
      <c r="AG189" s="2470"/>
      <c r="AH189" s="2470"/>
      <c r="AI189" s="2470"/>
      <c r="AJ189" s="2470"/>
      <c r="AK189" s="2470"/>
    </row>
    <row customHeight="1" ht="17.25">
      <c r="A190" s="3061"/>
    </row>
    <row s="67333" customFormat="1" customHeight="1" ht="17.25">
      <c r="A191" s="3051"/>
      <c r="C191" s="3053"/>
      <c r="D191" s="3041"/>
      <c r="E191" s="3058"/>
      <c r="F191" s="2995"/>
      <c r="G191" s="3059"/>
      <c r="H191" s="3041"/>
      <c r="I191" s="3041"/>
      <c r="J191" s="3062"/>
      <c r="K191" s="3059"/>
      <c r="L191" s="3041"/>
      <c r="M191" s="3041"/>
      <c r="N191" s="3259"/>
      <c r="O191" s="2998"/>
      <c r="P191" s="3319"/>
      <c r="Q191" s="3319" t="s">
        <v>99</v>
      </c>
      <c r="R191" s="3713" t="s">
        <v>22</v>
      </c>
      <c r="S191" s="3617" t="s">
        <v>19</v>
      </c>
      <c r="T191" s="3013"/>
      <c r="U191" s="3013" t="s">
        <v>99</v>
      </c>
      <c r="V191" s="2645"/>
      <c r="W191" s="3712"/>
      <c r="Y191" s="2478"/>
      <c r="Z191" s="2478"/>
      <c r="AA191" s="2478"/>
      <c r="AB191" s="2478"/>
      <c r="AC191" s="2478"/>
      <c r="AD191" s="2478"/>
      <c r="AE191" s="2478"/>
      <c r="AF191" s="2478"/>
      <c r="AG191" s="2478"/>
      <c r="AH191" s="2478"/>
      <c r="AI191" s="2478"/>
      <c r="AJ191" s="2478"/>
      <c r="AK191" s="2478"/>
      <c r="AL191" s="3055"/>
      <c r="AM191" s="3055"/>
      <c r="AN191" s="2478"/>
      <c r="AO191" s="2478"/>
      <c r="AP191" s="2478"/>
      <c r="AQ191" s="2478"/>
    </row>
    <row s="67333" customFormat="1" customHeight="1" ht="17.25">
      <c r="A192" s="3051"/>
      <c r="C192" s="3056"/>
      <c r="D192" s="3041"/>
      <c r="E192" s="3058"/>
      <c r="F192" s="2995"/>
      <c r="G192" s="3059"/>
      <c r="H192" s="3041"/>
      <c r="I192" s="3041"/>
      <c r="J192" s="3062"/>
      <c r="K192" s="3059"/>
      <c r="L192" s="3041"/>
      <c r="M192" s="3041"/>
      <c r="N192" s="3259"/>
      <c r="O192" s="2998"/>
      <c r="P192" s="3319"/>
      <c r="Q192" s="3319"/>
      <c r="R192" s="3713"/>
      <c r="S192" s="3617"/>
      <c r="T192" s="2646"/>
      <c r="U192" s="2647"/>
      <c r="V192" s="2647"/>
      <c r="W192" s="3712"/>
      <c r="Y192" s="2470"/>
      <c r="Z192" s="2470"/>
      <c r="AA192" s="2470"/>
      <c r="AB192" s="2470"/>
      <c r="AC192" s="2470"/>
      <c r="AD192" s="2470"/>
      <c r="AE192" s="2470"/>
      <c r="AF192" s="2470"/>
      <c r="AG192" s="2470"/>
      <c r="AH192" s="2470"/>
      <c r="AI192" s="2470"/>
      <c r="AJ192" s="2470"/>
      <c r="AK192" s="2470"/>
    </row>
    <row customHeight="1" ht="17.25">
      <c r="A193" s="3061"/>
    </row>
    <row customHeight="1" ht="16.5">
      <c r="A194" s="3051"/>
      <c r="B194" s="3052"/>
      <c r="C194" s="3056"/>
      <c r="D194" s="3764"/>
      <c r="E194" s="3390"/>
      <c r="F194" s="3390"/>
      <c r="G194" s="3338"/>
      <c r="H194" s="3765"/>
      <c r="I194" s="3778"/>
      <c r="J194" s="3363"/>
      <c r="K194" s="3348"/>
      <c r="L194" s="3348"/>
      <c r="M194" s="3348"/>
      <c r="N194" s="3776"/>
      <c r="O194" s="3348"/>
      <c r="P194" s="3348"/>
      <c r="Q194" s="3348"/>
      <c r="R194" s="3774"/>
      <c r="S194" s="3348"/>
      <c r="T194" s="2994"/>
      <c r="U194" s="2994"/>
      <c r="V194" s="3063"/>
      <c r="W194" s="2507"/>
    </row>
    <row customHeight="1" ht="16.5">
      <c r="A195" s="3051"/>
      <c r="B195" s="3052"/>
      <c r="C195" s="3056"/>
      <c r="D195" s="3764"/>
      <c r="E195" s="3390"/>
      <c r="F195" s="3390"/>
      <c r="G195" s="3338"/>
      <c r="H195" s="3766"/>
      <c r="I195" s="3779"/>
      <c r="J195" s="3364"/>
      <c r="K195" s="3349"/>
      <c r="L195" s="3349"/>
      <c r="M195" s="3349"/>
      <c r="N195" s="3777"/>
      <c r="O195" s="3349"/>
      <c r="P195" s="3349"/>
      <c r="Q195" s="3349"/>
      <c r="R195" s="3775"/>
      <c r="S195" s="3349"/>
      <c r="T195" s="2508"/>
      <c r="U195" s="2508"/>
      <c r="V195" s="2508"/>
      <c r="W195" s="2509"/>
    </row>
    <row customHeight="1" ht="17.25">
      <c r="A196" s="3051"/>
      <c r="B196" s="3052"/>
      <c r="C196" s="3056"/>
      <c r="D196" s="3764"/>
      <c r="E196" s="3390"/>
      <c r="F196" s="3390"/>
      <c r="G196" s="3338"/>
      <c r="H196" s="3766"/>
      <c r="I196" s="3779"/>
      <c r="J196" s="3767"/>
      <c r="K196" s="3349"/>
      <c r="L196" s="3349"/>
      <c r="M196" s="3349"/>
      <c r="N196" s="3775"/>
      <c r="O196" s="3349"/>
      <c r="P196" s="2997"/>
      <c r="Q196" s="2508"/>
      <c r="R196" s="2508"/>
      <c r="S196" s="3064"/>
      <c r="T196" s="3064"/>
      <c r="U196" s="3064"/>
      <c r="V196" s="3064"/>
      <c r="W196" s="2509"/>
    </row>
    <row customHeight="1" ht="17.25">
      <c r="A197" s="3051"/>
      <c r="B197" s="3052"/>
      <c r="C197" s="3056"/>
      <c r="D197" s="3764"/>
      <c r="E197" s="3390"/>
      <c r="F197" s="3390"/>
      <c r="G197" s="3338"/>
      <c r="H197" s="3766"/>
      <c r="I197" s="3779"/>
      <c r="J197" s="3767"/>
      <c r="K197" s="3349"/>
      <c r="L197" s="2508"/>
      <c r="M197" s="2508"/>
      <c r="N197" s="2508"/>
      <c r="O197" s="2508"/>
      <c r="P197" s="2508"/>
      <c r="Q197" s="2508"/>
      <c r="R197" s="2508"/>
      <c r="S197" s="3064"/>
      <c r="T197" s="3064"/>
      <c r="U197" s="3064"/>
      <c r="V197" s="3064"/>
      <c r="W197" s="2509"/>
    </row>
    <row customHeight="1" ht="17.25">
      <c r="A198" s="3051"/>
      <c r="B198" s="3052"/>
      <c r="C198" s="3056"/>
      <c r="D198" s="3764"/>
      <c r="E198" s="3390"/>
      <c r="F198" s="3390"/>
      <c r="G198" s="3338"/>
      <c r="H198" s="2510"/>
      <c r="I198" s="2511"/>
      <c r="J198" s="2511"/>
      <c r="K198" s="2511"/>
      <c r="L198" s="2511"/>
      <c r="M198" s="2511"/>
      <c r="N198" s="2511"/>
      <c r="O198" s="2511"/>
      <c r="P198" s="2511"/>
      <c r="Q198" s="2511"/>
      <c r="R198" s="2511"/>
      <c r="S198" s="3065"/>
      <c r="T198" s="3065"/>
      <c r="U198" s="3065"/>
      <c r="V198" s="3065"/>
      <c r="W198" s="2513"/>
    </row>
    <row r="200" s="67209" customFormat="1" customHeight="1" ht="17.25">
      <c r="A200" s="3026" t="s">
        <v>2115</v>
      </c>
    </row>
    <row customHeight="1" ht="17.25">
      <c r="G201" s="3050"/>
      <c r="H201" s="3050"/>
      <c r="I201" s="3050"/>
      <c r="M201" s="3046"/>
    </row>
    <row s="67502" customFormat="1" customHeight="1" ht="15">
      <c r="D202" s="3734"/>
      <c r="E202" s="3410"/>
      <c r="F202" s="3410"/>
      <c r="G202" s="3396"/>
      <c r="H202" s="2775"/>
      <c r="I202" s="3738">
        <v>1</v>
      </c>
      <c r="J202" s="3712"/>
      <c r="K202" s="2790"/>
      <c r="L202" s="3396" t="s">
        <v>62</v>
      </c>
      <c r="M202" s="3396" t="s">
        <v>62</v>
      </c>
      <c r="N202" s="2775"/>
      <c r="O202" s="3319" t="s">
        <v>99</v>
      </c>
      <c r="P202" s="3728"/>
      <c r="Q202" s="2791"/>
      <c r="R202" s="3396" t="s">
        <v>62</v>
      </c>
      <c r="S202" s="3396" t="s">
        <v>62</v>
      </c>
      <c r="T202" s="3066"/>
      <c r="U202" s="3319" t="s">
        <v>99</v>
      </c>
      <c r="V202" s="3735" t="str">
        <f>IF(AK202="","",INDEX(TERRITORY_MR_LIST,MATCH(AK202,TERRITORY_LIST_ID,0)))</f>
        <v/>
      </c>
      <c r="W202" s="2792"/>
      <c r="X202" s="3396" t="s">
        <v>62</v>
      </c>
      <c r="Y202" s="3396" t="s">
        <v>19</v>
      </c>
      <c r="Z202" s="2775"/>
      <c r="AA202" s="3319" t="s">
        <v>99</v>
      </c>
      <c r="AB202" s="3737"/>
      <c r="AC202" s="2793"/>
      <c r="AD202" s="3396" t="s">
        <v>62</v>
      </c>
      <c r="AE202" s="3396" t="s">
        <v>19</v>
      </c>
      <c r="AF202" s="2773"/>
      <c r="AG202" s="3022" t="s">
        <v>99</v>
      </c>
      <c r="AH202" s="2783"/>
      <c r="AI202" s="3012"/>
    </row>
    <row s="67502" customFormat="1" customHeight="1" ht="15">
      <c r="D203" s="3734"/>
      <c r="E203" s="3410"/>
      <c r="F203" s="3410"/>
      <c r="G203" s="3397"/>
      <c r="H203" s="2775"/>
      <c r="I203" s="3738"/>
      <c r="J203" s="3712"/>
      <c r="K203" s="2774"/>
      <c r="L203" s="3397"/>
      <c r="M203" s="3397"/>
      <c r="N203" s="2775"/>
      <c r="O203" s="3319"/>
      <c r="P203" s="3728"/>
      <c r="Q203" s="2771"/>
      <c r="R203" s="3397"/>
      <c r="S203" s="3397"/>
      <c r="T203" s="3066"/>
      <c r="U203" s="3319"/>
      <c r="V203" s="3736"/>
      <c r="W203" s="2772"/>
      <c r="X203" s="3397"/>
      <c r="Y203" s="3397"/>
      <c r="Z203" s="2775"/>
      <c r="AA203" s="3319"/>
      <c r="AB203" s="3706"/>
      <c r="AC203" s="2776"/>
      <c r="AD203" s="3323"/>
      <c r="AE203" s="3323"/>
      <c r="AF203" s="2777"/>
      <c r="AG203" s="2778"/>
      <c r="AH203" s="3729" t="s">
        <v>2116</v>
      </c>
      <c r="AI203" s="3730"/>
    </row>
    <row s="67502" customFormat="1" customHeight="1" ht="15">
      <c r="D204" s="3734"/>
      <c r="E204" s="3410"/>
      <c r="F204" s="3410"/>
      <c r="G204" s="3397"/>
      <c r="H204" s="2775"/>
      <c r="I204" s="3738"/>
      <c r="J204" s="3712"/>
      <c r="K204" s="2774"/>
      <c r="L204" s="3397"/>
      <c r="M204" s="3397"/>
      <c r="N204" s="2775"/>
      <c r="O204" s="3319"/>
      <c r="P204" s="3728"/>
      <c r="Q204" s="2771"/>
      <c r="R204" s="3397"/>
      <c r="S204" s="3397"/>
      <c r="T204" s="3066"/>
      <c r="U204" s="3319"/>
      <c r="V204" s="3736"/>
      <c r="W204" s="2772"/>
      <c r="X204" s="3397"/>
      <c r="Y204" s="3397"/>
      <c r="Z204" s="2814"/>
      <c r="AA204" s="2780"/>
      <c r="AB204" s="3731" t="s">
        <v>2117</v>
      </c>
      <c r="AC204" s="3731"/>
      <c r="AD204" s="3731"/>
      <c r="AE204" s="3731"/>
      <c r="AF204" s="3731"/>
      <c r="AG204" s="3731"/>
      <c r="AH204" s="3731"/>
      <c r="AI204" s="3732"/>
    </row>
    <row s="67502" customFormat="1" customHeight="1" ht="15">
      <c r="D205" s="3734"/>
      <c r="E205" s="3410"/>
      <c r="F205" s="3410"/>
      <c r="G205" s="3397"/>
      <c r="H205" s="2775"/>
      <c r="I205" s="3738"/>
      <c r="J205" s="3712"/>
      <c r="K205" s="2774"/>
      <c r="L205" s="3397"/>
      <c r="M205" s="3397"/>
      <c r="N205" s="2775"/>
      <c r="O205" s="3319"/>
      <c r="P205" s="3733"/>
      <c r="Q205" s="2771"/>
      <c r="R205" s="3397"/>
      <c r="S205" s="3397"/>
      <c r="T205" s="3067"/>
      <c r="U205" s="2815"/>
      <c r="V205" s="3729" t="s">
        <v>116</v>
      </c>
      <c r="W205" s="3729"/>
      <c r="X205" s="3729"/>
      <c r="Y205" s="3729"/>
      <c r="Z205" s="3729"/>
      <c r="AA205" s="3729"/>
      <c r="AB205" s="3729"/>
      <c r="AC205" s="3729"/>
      <c r="AD205" s="3729"/>
      <c r="AE205" s="3729"/>
      <c r="AF205" s="3729"/>
      <c r="AG205" s="3729"/>
      <c r="AH205" s="3729"/>
      <c r="AI205" s="3730"/>
    </row>
    <row s="67502" customFormat="1" customHeight="1" ht="11.25">
      <c r="D206" s="3734"/>
      <c r="E206" s="3410"/>
      <c r="F206" s="3410"/>
      <c r="G206" s="3397"/>
      <c r="H206" s="2779"/>
      <c r="I206" s="3738"/>
      <c r="J206" s="3739"/>
      <c r="K206" s="2774"/>
      <c r="L206" s="3397"/>
      <c r="M206" s="3397"/>
      <c r="N206" s="2779"/>
      <c r="O206" s="2780"/>
      <c r="P206" s="3729" t="s">
        <v>2118</v>
      </c>
      <c r="Q206" s="3729"/>
      <c r="R206" s="3729"/>
      <c r="S206" s="3729"/>
      <c r="T206" s="3729"/>
      <c r="U206" s="3729"/>
      <c r="V206" s="3729"/>
      <c r="W206" s="3729"/>
      <c r="X206" s="3729"/>
      <c r="Y206" s="3729"/>
      <c r="Z206" s="3729"/>
      <c r="AA206" s="3729"/>
      <c r="AB206" s="3729"/>
      <c r="AC206" s="3729"/>
      <c r="AD206" s="3729"/>
      <c r="AE206" s="3729"/>
      <c r="AF206" s="3729"/>
      <c r="AG206" s="3729"/>
      <c r="AH206" s="3729"/>
      <c r="AI206" s="3730"/>
    </row>
    <row s="64928" customFormat="1" customHeight="1" ht="11.25">
      <c r="D207" s="3734"/>
      <c r="E207" s="3410"/>
      <c r="F207" s="3410"/>
      <c r="G207" s="3323"/>
      <c r="H207" s="2781"/>
      <c r="I207" s="2782"/>
      <c r="J207" s="3729" t="s">
        <v>466</v>
      </c>
      <c r="K207" s="3729"/>
      <c r="L207" s="3729"/>
      <c r="M207" s="3729"/>
      <c r="N207" s="3729"/>
      <c r="O207" s="3729"/>
      <c r="P207" s="3729"/>
      <c r="Q207" s="3729"/>
      <c r="R207" s="3729"/>
      <c r="S207" s="3729"/>
      <c r="T207" s="3729"/>
      <c r="U207" s="3729"/>
      <c r="V207" s="3729"/>
      <c r="W207" s="3729"/>
      <c r="X207" s="3729"/>
      <c r="Y207" s="3729"/>
      <c r="Z207" s="3729"/>
      <c r="AA207" s="3729"/>
      <c r="AB207" s="3729"/>
      <c r="AC207" s="3729"/>
      <c r="AD207" s="3729"/>
      <c r="AE207" s="3729"/>
      <c r="AF207" s="3729"/>
      <c r="AG207" s="3729"/>
      <c r="AH207" s="3729"/>
      <c r="AI207" s="3730"/>
      <c r="BK207" s="2785"/>
    </row>
    <row customHeight="1" ht="17.25">
      <c r="G208" s="3050"/>
      <c r="I208" s="3050"/>
      <c r="J208" s="3050"/>
      <c r="N208" s="3046"/>
    </row>
    <row s="67502" customFormat="1" customHeight="1" ht="15">
      <c r="D209" s="3734"/>
      <c r="E209" s="3410"/>
      <c r="F209" s="3410"/>
      <c r="G209" s="3390"/>
      <c r="H209" s="2810"/>
      <c r="I209" s="3392"/>
      <c r="J209" s="3363"/>
      <c r="K209" s="2996"/>
      <c r="L209" s="3348"/>
      <c r="M209" s="3348"/>
      <c r="N209" s="2795"/>
      <c r="O209" s="3348"/>
      <c r="P209" s="3363"/>
      <c r="Q209" s="3000"/>
      <c r="R209" s="3348"/>
      <c r="S209" s="3348"/>
      <c r="T209" s="3068"/>
      <c r="U209" s="3348"/>
      <c r="V209" s="3363"/>
      <c r="W209" s="2798"/>
      <c r="X209" s="3348"/>
      <c r="Y209" s="3348"/>
      <c r="Z209" s="2795"/>
      <c r="AA209" s="3348"/>
      <c r="AB209" s="3363"/>
      <c r="AC209" s="2799"/>
      <c r="AD209" s="3348"/>
      <c r="AE209" s="3348"/>
      <c r="AF209" s="2994"/>
      <c r="AG209" s="2994"/>
      <c r="AH209" s="2800"/>
      <c r="AI209" s="2507"/>
    </row>
    <row s="67502" customFormat="1" customHeight="1" ht="15">
      <c r="D210" s="3734"/>
      <c r="E210" s="3410"/>
      <c r="F210" s="3410"/>
      <c r="G210" s="3390"/>
      <c r="H210" s="2811"/>
      <c r="I210" s="3393"/>
      <c r="J210" s="3364"/>
      <c r="K210" s="2821"/>
      <c r="L210" s="3349"/>
      <c r="M210" s="3349"/>
      <c r="N210" s="2801"/>
      <c r="O210" s="3349"/>
      <c r="P210" s="3364"/>
      <c r="Q210" s="3001"/>
      <c r="R210" s="3349"/>
      <c r="S210" s="3349"/>
      <c r="T210" s="3069"/>
      <c r="U210" s="3349"/>
      <c r="V210" s="3364"/>
      <c r="W210" s="2804"/>
      <c r="X210" s="3349"/>
      <c r="Y210" s="3349"/>
      <c r="Z210" s="2801"/>
      <c r="AA210" s="3349"/>
      <c r="AB210" s="3364"/>
      <c r="AC210" s="2805"/>
      <c r="AD210" s="3349"/>
      <c r="AE210" s="3349"/>
      <c r="AF210" s="2999"/>
      <c r="AG210" s="2999"/>
      <c r="AH210" s="3388"/>
      <c r="AI210" s="3389"/>
    </row>
    <row s="67502" customFormat="1" customHeight="1" ht="15">
      <c r="D211" s="3734"/>
      <c r="E211" s="3410"/>
      <c r="F211" s="3410"/>
      <c r="G211" s="3390"/>
      <c r="H211" s="2811"/>
      <c r="I211" s="3393"/>
      <c r="J211" s="3364"/>
      <c r="K211" s="2821"/>
      <c r="L211" s="3349"/>
      <c r="M211" s="3349"/>
      <c r="N211" s="2801"/>
      <c r="O211" s="3349"/>
      <c r="P211" s="3364"/>
      <c r="Q211" s="3001"/>
      <c r="R211" s="3349"/>
      <c r="S211" s="3349"/>
      <c r="T211" s="3069"/>
      <c r="U211" s="3349"/>
      <c r="V211" s="3364"/>
      <c r="W211" s="2804"/>
      <c r="X211" s="3349"/>
      <c r="Y211" s="3349"/>
      <c r="Z211" s="2997"/>
      <c r="AA211" s="2999"/>
      <c r="AB211" s="3388"/>
      <c r="AC211" s="3388"/>
      <c r="AD211" s="3388"/>
      <c r="AE211" s="3388"/>
      <c r="AF211" s="3388"/>
      <c r="AG211" s="3388"/>
      <c r="AH211" s="3388"/>
      <c r="AI211" s="3389"/>
    </row>
    <row s="67502" customFormat="1" customHeight="1" ht="15">
      <c r="D212" s="3734"/>
      <c r="E212" s="3410"/>
      <c r="F212" s="3410"/>
      <c r="G212" s="3390"/>
      <c r="H212" s="2811"/>
      <c r="I212" s="3393"/>
      <c r="J212" s="3364"/>
      <c r="K212" s="2821"/>
      <c r="L212" s="3349"/>
      <c r="M212" s="3349"/>
      <c r="N212" s="2801"/>
      <c r="O212" s="3349"/>
      <c r="P212" s="3364"/>
      <c r="Q212" s="3001"/>
      <c r="R212" s="3349"/>
      <c r="S212" s="3349"/>
      <c r="T212" s="3070"/>
      <c r="U212" s="2808"/>
      <c r="V212" s="3388"/>
      <c r="W212" s="3388"/>
      <c r="X212" s="3388"/>
      <c r="Y212" s="3388"/>
      <c r="Z212" s="3388"/>
      <c r="AA212" s="3388"/>
      <c r="AB212" s="3388"/>
      <c r="AC212" s="3388"/>
      <c r="AD212" s="3388"/>
      <c r="AE212" s="3388"/>
      <c r="AF212" s="3388"/>
      <c r="AG212" s="3388"/>
      <c r="AH212" s="3388"/>
      <c r="AI212" s="3389"/>
    </row>
    <row s="67502" customFormat="1" customHeight="1" ht="11.25">
      <c r="D213" s="3734"/>
      <c r="E213" s="3410"/>
      <c r="F213" s="3410"/>
      <c r="G213" s="3390"/>
      <c r="H213" s="2812"/>
      <c r="I213" s="3393"/>
      <c r="J213" s="3364"/>
      <c r="K213" s="2821"/>
      <c r="L213" s="3349"/>
      <c r="M213" s="3349"/>
      <c r="N213" s="2999"/>
      <c r="O213" s="2999"/>
      <c r="P213" s="3388"/>
      <c r="Q213" s="3388"/>
      <c r="R213" s="3388"/>
      <c r="S213" s="3388"/>
      <c r="T213" s="3388"/>
      <c r="U213" s="3388"/>
      <c r="V213" s="3388"/>
      <c r="W213" s="3388"/>
      <c r="X213" s="3388"/>
      <c r="Y213" s="3388"/>
      <c r="Z213" s="3388"/>
      <c r="AA213" s="3388"/>
      <c r="AB213" s="3388"/>
      <c r="AC213" s="3388"/>
      <c r="AD213" s="3388"/>
      <c r="AE213" s="3388"/>
      <c r="AF213" s="3388"/>
      <c r="AG213" s="3388"/>
      <c r="AH213" s="3388"/>
      <c r="AI213" s="3389"/>
    </row>
    <row s="64928" customFormat="1" customHeight="1" ht="11.25">
      <c r="D214" s="3734"/>
      <c r="E214" s="3410"/>
      <c r="F214" s="3410"/>
      <c r="G214" s="3395"/>
      <c r="H214" s="2809"/>
      <c r="I214" s="2813"/>
      <c r="J214" s="3398"/>
      <c r="K214" s="3398"/>
      <c r="L214" s="3398"/>
      <c r="M214" s="3398"/>
      <c r="N214" s="3398"/>
      <c r="O214" s="3398"/>
      <c r="P214" s="3398"/>
      <c r="Q214" s="3398"/>
      <c r="R214" s="3398"/>
      <c r="S214" s="3398"/>
      <c r="T214" s="3398"/>
      <c r="U214" s="3398"/>
      <c r="V214" s="3398"/>
      <c r="W214" s="3398"/>
      <c r="X214" s="3398"/>
      <c r="Y214" s="3398"/>
      <c r="Z214" s="3398"/>
      <c r="AA214" s="3398"/>
      <c r="AB214" s="3398"/>
      <c r="AC214" s="3398"/>
      <c r="AD214" s="3398"/>
      <c r="AE214" s="3398"/>
      <c r="AF214" s="3398"/>
      <c r="AG214" s="3398"/>
      <c r="AH214" s="3398"/>
      <c r="AI214" s="3399"/>
      <c r="BK214" s="2785"/>
    </row>
    <row customHeight="1" ht="17.25">
      <c r="A215" s="306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AEE11-D95F-D5C6-5FC5-4E71AF051B5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67382" width="43.140625"/>
    <col min="2" max="2" style="67382" width="43.140625" hidden="1"/>
    <col min="3" max="3" style="67382" width="43.140625"/>
    <col min="4" max="5" style="67382" width="36.421875" customWidth="1"/>
    <col min="6" max="8" style="67383" width="36.421875" customWidth="1"/>
  </cols>
  <sheetData>
    <row customHeight="1" ht="9">
      <c r="A1" s="2057" t="s">
        <v>2119</v>
      </c>
      <c r="B1" s="2057"/>
      <c r="C1" s="2193" t="s">
        <v>2120</v>
      </c>
      <c r="D1" s="2191" t="s">
        <v>978</v>
      </c>
      <c r="E1" s="2191" t="s">
        <v>1025</v>
      </c>
      <c r="F1" s="2191" t="s">
        <v>1078</v>
      </c>
      <c r="G1" s="2191" t="s">
        <v>1065</v>
      </c>
      <c r="H1" s="2191" t="s">
        <v>1813</v>
      </c>
    </row>
    <row customHeight="1" ht="9">
      <c r="A2" s="2194" t="s">
        <v>2121</v>
      </c>
      <c r="B2" s="2194"/>
      <c r="C2" s="2195" t="str">
        <f>INDEX(TEMPLATE_NUMBER_FORM_LIST,MATCH(TEMPLATE_SPHERE,TEMPLATE_SPHERE_LIST,0))</f>
        <v>16</v>
      </c>
      <c r="D2" s="2194" t="s">
        <v>1663</v>
      </c>
      <c r="E2" s="2194" t="s">
        <v>169</v>
      </c>
      <c r="F2" s="2196" t="s">
        <v>169</v>
      </c>
      <c r="G2" s="2194" t="s">
        <v>169</v>
      </c>
      <c r="H2" s="2197"/>
    </row>
    <row customHeight="1" ht="63">
      <c r="A3" s="2057"/>
      <c r="B3" s="2057" t="s">
        <v>99</v>
      </c>
      <c r="C3" s="219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2195" t="s">
        <v>2122</v>
      </c>
      <c r="E3" s="219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2196"/>
      <c r="G3" s="2197"/>
      <c r="H3" s="2057"/>
    </row>
    <row customHeight="1" ht="243">
      <c r="A4" s="2057" t="s">
        <v>2123</v>
      </c>
      <c r="B4" s="2057" t="s">
        <v>102</v>
      </c>
      <c r="C4" s="219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2194" t="s">
        <v>2124</v>
      </c>
      <c r="E4" s="219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2194"/>
      <c r="G4" s="2194"/>
      <c r="H4" s="2057" t="s">
        <v>2125</v>
      </c>
    </row>
    <row customHeight="1" ht="117">
      <c r="A5" s="2057" t="s">
        <v>2126</v>
      </c>
      <c r="B5" s="2057" t="s">
        <v>90</v>
      </c>
      <c r="C5" s="219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2057" t="s">
        <v>2127</v>
      </c>
      <c r="E5" s="206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2197"/>
      <c r="G5" s="2197"/>
      <c r="H5" s="2057" t="s">
        <v>2128</v>
      </c>
    </row>
    <row customHeight="1" ht="90">
      <c r="A6" s="2057" t="s">
        <v>2129</v>
      </c>
      <c r="B6" s="2057" t="s">
        <v>91</v>
      </c>
      <c r="C6" s="219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206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206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2057"/>
      <c r="G6" s="2057"/>
      <c r="H6" s="2197"/>
    </row>
    <row customHeight="1" ht="45">
      <c r="A7" s="2057" t="s">
        <v>2130</v>
      </c>
      <c r="B7" s="2057" t="s">
        <v>122</v>
      </c>
      <c r="C7" s="2195" t="str">
        <f>IF(TEMPLATE_SPHERE="HEAT",D7,E7)</f>
        <v>Форма 11. Информация о расходах на капитальный и текущий ремонт основных средств</v>
      </c>
      <c r="D7" s="2057" t="s">
        <v>2131</v>
      </c>
      <c r="E7" s="2057" t="s">
        <v>2132</v>
      </c>
      <c r="F7" s="2197"/>
      <c r="G7" s="2197"/>
      <c r="H7" s="2197"/>
    </row>
    <row customHeight="1" ht="108">
      <c r="A8" s="2057" t="s">
        <v>2133</v>
      </c>
      <c r="B8" s="2057" t="s">
        <v>92</v>
      </c>
      <c r="C8" s="219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2057" t="s">
        <v>1365</v>
      </c>
      <c r="E8" s="2057" t="s">
        <v>2134</v>
      </c>
      <c r="F8" s="2197"/>
      <c r="G8" s="2197"/>
      <c r="H8" s="2197"/>
    </row>
    <row customHeight="1" ht="99">
      <c r="A9" s="2057" t="s">
        <v>2135</v>
      </c>
      <c r="B9" s="2057"/>
      <c r="C9" s="2057" t="s">
        <v>2136</v>
      </c>
      <c r="D9" s="2057"/>
      <c r="E9" s="2057"/>
      <c r="F9" s="2197"/>
      <c r="G9" s="2197"/>
      <c r="H9" s="2197"/>
    </row>
    <row customHeight="1" ht="126">
      <c r="A10" s="2057" t="s">
        <v>2137</v>
      </c>
      <c r="B10" s="2057"/>
      <c r="C10" s="2057" t="s">
        <v>2138</v>
      </c>
      <c r="D10" s="2057"/>
      <c r="E10" s="2057"/>
      <c r="F10" s="2197"/>
      <c r="G10" s="2197"/>
      <c r="H10" s="2197"/>
    </row>
    <row customHeight="1" ht="108">
      <c r="A11" s="2057" t="s">
        <v>2139</v>
      </c>
      <c r="B11" s="2057"/>
      <c r="C11" s="2057" t="s">
        <v>2140</v>
      </c>
      <c r="D11" s="2057"/>
      <c r="E11" s="2057"/>
      <c r="F11" s="2197"/>
      <c r="G11" s="2197"/>
      <c r="H11" s="2197"/>
    </row>
    <row customHeight="1" ht="54">
      <c r="A12" s="2057" t="s">
        <v>2141</v>
      </c>
      <c r="B12" s="2057"/>
      <c r="C12" s="2057" t="s">
        <v>2142</v>
      </c>
      <c r="D12" s="2057"/>
      <c r="E12" s="2057"/>
      <c r="F12" s="2197"/>
      <c r="G12" s="2197"/>
      <c r="H12" s="2197"/>
    </row>
    <row customHeight="1" ht="45">
      <c r="A13" s="2057" t="s">
        <v>2143</v>
      </c>
      <c r="B13" s="2057"/>
      <c r="C13" s="2057" t="s">
        <v>2144</v>
      </c>
      <c r="D13" s="2057"/>
      <c r="E13" s="2057"/>
      <c r="F13" s="2197"/>
      <c r="G13" s="2197"/>
      <c r="H13" s="2197"/>
    </row>
    <row customHeight="1" ht="117">
      <c r="A14" s="2057" t="s">
        <v>2145</v>
      </c>
      <c r="B14" s="2057"/>
      <c r="C14" s="2057" t="s">
        <v>2146</v>
      </c>
      <c r="D14" s="2057"/>
      <c r="E14" s="2057"/>
      <c r="F14" s="2197"/>
      <c r="G14" s="2197"/>
      <c r="H14" s="2197"/>
    </row>
    <row customHeight="1" ht="117">
      <c r="A15" s="2057" t="s">
        <v>2147</v>
      </c>
      <c r="B15" s="2057"/>
      <c r="C15" s="2057" t="s">
        <v>2148</v>
      </c>
      <c r="D15" s="2057"/>
      <c r="E15" s="2057"/>
      <c r="F15" s="2197"/>
      <c r="G15" s="2197"/>
      <c r="H15" s="2197"/>
    </row>
    <row customHeight="1" ht="63">
      <c r="A16" s="2057" t="s">
        <v>2149</v>
      </c>
      <c r="B16" s="2057"/>
      <c r="C16" s="2057" t="s">
        <v>2150</v>
      </c>
      <c r="D16" s="2057"/>
      <c r="E16" s="2057"/>
      <c r="F16" s="2197"/>
      <c r="G16" s="2197"/>
      <c r="H16" s="2197"/>
    </row>
    <row customHeight="1" ht="54">
      <c r="A17" s="2057" t="s">
        <v>2151</v>
      </c>
      <c r="B17" s="2057"/>
      <c r="C17" s="2195" t="s">
        <v>2152</v>
      </c>
      <c r="D17" s="2057"/>
      <c r="E17" s="2057"/>
      <c r="F17" s="2197"/>
      <c r="G17" s="2197"/>
      <c r="H17" s="2197"/>
    </row>
    <row customHeight="1" ht="27">
      <c r="A18" s="2057" t="s">
        <v>2153</v>
      </c>
      <c r="B18" s="2057"/>
      <c r="C18" s="2195" t="s">
        <v>2154</v>
      </c>
      <c r="D18" s="2057"/>
      <c r="E18" s="2057"/>
      <c r="F18" s="2197"/>
      <c r="G18" s="2197"/>
      <c r="H18" s="2197"/>
    </row>
    <row customHeight="1" ht="54">
      <c r="A19" s="2057" t="s">
        <v>2155</v>
      </c>
      <c r="B19" s="2057"/>
      <c r="C19" s="2195" t="s">
        <v>2156</v>
      </c>
      <c r="D19" s="2057"/>
      <c r="E19" s="2057"/>
      <c r="F19" s="2197"/>
      <c r="G19" s="2197"/>
      <c r="H19" s="2197"/>
    </row>
    <row customHeight="1" ht="36">
      <c r="A20" s="2057" t="s">
        <v>2157</v>
      </c>
      <c r="B20" s="2057"/>
      <c r="C20" s="2195" t="s">
        <v>2158</v>
      </c>
      <c r="D20" s="2057"/>
      <c r="E20" s="2057"/>
      <c r="F20" s="2197"/>
      <c r="G20" s="2197"/>
      <c r="H20" s="2197"/>
    </row>
    <row customHeight="1" ht="36">
      <c r="A21" s="2057" t="s">
        <v>2159</v>
      </c>
      <c r="B21" s="2057"/>
      <c r="C21" s="2195" t="s">
        <v>2160</v>
      </c>
      <c r="D21" s="2057"/>
      <c r="E21" s="2057"/>
      <c r="F21" s="2197"/>
      <c r="G21" s="2197"/>
      <c r="H21" s="2197"/>
    </row>
    <row customHeight="1" ht="27">
      <c r="A22" s="2057" t="s">
        <v>2161</v>
      </c>
      <c r="B22" s="2057"/>
      <c r="C22" s="2195" t="s">
        <v>2162</v>
      </c>
      <c r="D22" s="2057"/>
      <c r="E22" s="2057"/>
      <c r="F22" s="2197"/>
      <c r="G22" s="2197"/>
      <c r="H22" s="2197"/>
    </row>
    <row customHeight="1" ht="36">
      <c r="A23" s="2057" t="s">
        <v>2163</v>
      </c>
      <c r="B23" s="2057"/>
      <c r="C23" s="2195" t="s">
        <v>2164</v>
      </c>
      <c r="D23" s="2057"/>
      <c r="E23" s="2057"/>
      <c r="F23" s="2197"/>
      <c r="G23" s="2197"/>
      <c r="H23" s="2197"/>
    </row>
    <row customHeight="1" ht="28.5">
      <c r="A24" s="2057" t="s">
        <v>2165</v>
      </c>
      <c r="B24" s="2057"/>
      <c r="C24" s="2195" t="s">
        <v>2166</v>
      </c>
      <c r="D24" s="2057"/>
      <c r="E24" s="2057"/>
      <c r="F24" s="2197"/>
      <c r="G24" s="2197"/>
      <c r="H24" s="2197"/>
    </row>
    <row customHeight="1" ht="36">
      <c r="A25" s="2057" t="s">
        <v>2167</v>
      </c>
      <c r="B25" s="2057"/>
      <c r="C25" s="2195" t="s">
        <v>2168</v>
      </c>
      <c r="D25" s="2057"/>
      <c r="E25" s="2057"/>
      <c r="F25" s="2197"/>
      <c r="G25" s="2197"/>
      <c r="H25" s="2197"/>
    </row>
    <row customHeight="1" ht="27">
      <c r="A26" s="2057" t="s">
        <v>2169</v>
      </c>
      <c r="B26" s="2057"/>
      <c r="C26" s="2195" t="s">
        <v>2170</v>
      </c>
      <c r="D26" s="2057"/>
      <c r="E26" s="2057"/>
      <c r="F26" s="2197"/>
      <c r="G26" s="2197"/>
      <c r="H26" s="2197"/>
    </row>
    <row customHeight="1" ht="36">
      <c r="A27" s="2057" t="s">
        <v>2171</v>
      </c>
      <c r="B27" s="2057"/>
      <c r="C27" s="2195" t="s">
        <v>2172</v>
      </c>
      <c r="D27" s="2057"/>
      <c r="E27" s="2057"/>
      <c r="F27" s="2197"/>
      <c r="G27" s="2197"/>
      <c r="H27" s="2197"/>
    </row>
    <row customHeight="1" ht="28.5">
      <c r="A28" s="2057" t="s">
        <v>2173</v>
      </c>
      <c r="B28" s="2057"/>
      <c r="C28" s="2195" t="s">
        <v>2174</v>
      </c>
      <c r="D28" s="2057"/>
      <c r="E28" s="2057"/>
      <c r="F28" s="2197"/>
      <c r="G28" s="2197"/>
      <c r="H28" s="2197"/>
    </row>
    <row customHeight="1" ht="126">
      <c r="A29" s="2057" t="s">
        <v>2175</v>
      </c>
      <c r="B29" s="2057" t="s">
        <v>1764</v>
      </c>
      <c r="C29" s="219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2057" t="s">
        <v>2176</v>
      </c>
      <c r="E29" s="206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2197"/>
      <c r="G29" s="2197"/>
      <c r="H29" s="2057" t="s">
        <v>2177</v>
      </c>
    </row>
    <row customHeight="1" ht="36">
      <c r="A30" s="2057" t="s">
        <v>2178</v>
      </c>
      <c r="B30" s="2057"/>
      <c r="C30" s="219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2057" t="s">
        <v>2179</v>
      </c>
      <c r="E30" s="206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2197"/>
      <c r="G30" s="2197"/>
      <c r="H30" s="2197"/>
    </row>
    <row customHeight="1" ht="54">
      <c r="A31" s="2057" t="s">
        <v>2180</v>
      </c>
      <c r="B31" s="2057"/>
      <c r="C31" s="219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2057" t="s">
        <v>2181</v>
      </c>
      <c r="E31" s="206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2197"/>
      <c r="G31" s="2197"/>
      <c r="H31" s="2197"/>
    </row>
    <row customHeight="1" ht="198">
      <c r="A32" s="2057" t="s">
        <v>2182</v>
      </c>
      <c r="B32" s="2057"/>
      <c r="C32" s="219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2057" t="s">
        <v>2183</v>
      </c>
      <c r="E32" s="206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2197"/>
      <c r="G32" s="2197"/>
      <c r="H32" s="2057" t="s">
        <v>2184</v>
      </c>
    </row>
    <row customHeight="1" ht="9">
      <c r="A33" s="2057"/>
      <c r="B33" s="2057"/>
      <c r="C33" s="2195"/>
      <c r="D33" s="2057"/>
      <c r="E33" s="2057"/>
      <c r="F33" s="2197"/>
      <c r="G33" s="2197"/>
      <c r="H33" s="2197"/>
    </row>
    <row customHeight="1" ht="9">
      <c r="A34" s="2057"/>
      <c r="B34" s="2057" t="s">
        <v>1701</v>
      </c>
      <c r="C34" s="2195">
        <f>INDEX(TEMPLATE_NAME_FORM_LIST,B34,MATCH(TEMPLATE_SPHERE,TEMPLATE_SPHERE_LIST,0))</f>
        <v>0</v>
      </c>
      <c r="D34" s="2057"/>
      <c r="E34" s="2057"/>
      <c r="F34" s="2197"/>
      <c r="G34" s="2197"/>
      <c r="H34" s="219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0448862-E903-6571-CCBD-17D16A2B8CF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67382" width="9.140625"/>
    <col min="3" max="7" style="67426" width="8.00390625" customWidth="1"/>
    <col min="8" max="12" style="67426" width="8.57421875" customWidth="1"/>
    <col min="13" max="14" style="67426" width="27.7109375" customWidth="1"/>
    <col min="15" max="19" style="67426" width="5.140625" customWidth="1"/>
    <col min="20" max="24" style="67426" width="27.7109375" customWidth="1"/>
    <col min="25" max="25" style="67427" width="1.8515625" customWidth="1"/>
    <col min="26" max="26" style="67382" width="27.7109375" customWidth="1"/>
    <col min="27" max="27" style="67428" width="27.7109375" customWidth="1"/>
    <col min="28" max="29" style="67382" width="27.7109375" customWidth="1"/>
    <col min="30" max="30" style="67382" width="3.8515625" customWidth="1"/>
    <col min="31" max="34" style="67382" width="9.140625"/>
  </cols>
  <sheetData>
    <row s="67384" customFormat="1" customHeight="1" ht="18">
      <c r="A1" s="2109"/>
      <c r="B1" s="2109"/>
      <c r="C1" s="2109" t="s">
        <v>2185</v>
      </c>
      <c r="D1" s="2109"/>
      <c r="E1" s="2109"/>
      <c r="F1" s="2109"/>
      <c r="G1" s="2109"/>
      <c r="H1" s="2109" t="s">
        <v>2186</v>
      </c>
      <c r="I1" s="2109"/>
      <c r="J1" s="2109"/>
      <c r="K1" s="2109"/>
      <c r="L1" s="2109"/>
      <c r="M1" s="2109" t="s">
        <v>2187</v>
      </c>
      <c r="N1" s="2109" t="s">
        <v>2188</v>
      </c>
      <c r="O1" s="3803" t="s">
        <v>2189</v>
      </c>
      <c r="P1" s="3803"/>
      <c r="Q1" s="3803"/>
      <c r="R1" s="3803"/>
      <c r="S1" s="3803"/>
      <c r="T1" s="3803" t="s">
        <v>2187</v>
      </c>
      <c r="U1" s="3803"/>
      <c r="V1" s="3803"/>
      <c r="W1" s="3803"/>
      <c r="X1" s="3803"/>
      <c r="Y1" s="2210"/>
      <c r="Z1" s="3803" t="s">
        <v>2190</v>
      </c>
      <c r="AA1" s="3803"/>
      <c r="AB1" s="3803"/>
      <c r="AC1" s="3803"/>
      <c r="AD1" s="3803"/>
    </row>
    <row customHeight="1" ht="18">
      <c r="A2" s="2057"/>
      <c r="B2" s="2057"/>
      <c r="C2" s="2052" t="s">
        <v>978</v>
      </c>
      <c r="D2" s="2052" t="s">
        <v>1025</v>
      </c>
      <c r="E2" s="2052" t="s">
        <v>1078</v>
      </c>
      <c r="F2" s="2052" t="s">
        <v>1065</v>
      </c>
      <c r="G2" s="2052" t="s">
        <v>1813</v>
      </c>
      <c r="H2" s="2054"/>
      <c r="I2" s="2054"/>
      <c r="J2" s="2054"/>
      <c r="K2" s="2054"/>
      <c r="L2" s="2054"/>
      <c r="M2" s="2054"/>
      <c r="N2" s="2054"/>
      <c r="O2" s="2052" t="s">
        <v>978</v>
      </c>
      <c r="P2" s="2052" t="s">
        <v>1025</v>
      </c>
      <c r="Q2" s="2052" t="s">
        <v>1065</v>
      </c>
      <c r="R2" s="2052" t="s">
        <v>1078</v>
      </c>
      <c r="S2" s="2052" t="s">
        <v>1813</v>
      </c>
      <c r="T2" s="2052" t="s">
        <v>978</v>
      </c>
      <c r="U2" s="2052" t="s">
        <v>1025</v>
      </c>
      <c r="V2" s="2052" t="s">
        <v>1065</v>
      </c>
      <c r="W2" s="2052" t="s">
        <v>1078</v>
      </c>
      <c r="X2" s="2052" t="s">
        <v>1813</v>
      </c>
      <c r="Y2" s="2052"/>
      <c r="Z2" s="2052" t="s">
        <v>978</v>
      </c>
      <c r="AA2" s="2061" t="s">
        <v>1025</v>
      </c>
      <c r="AB2" s="2052" t="s">
        <v>1065</v>
      </c>
      <c r="AC2" s="2052" t="s">
        <v>1078</v>
      </c>
      <c r="AD2" s="2052" t="s">
        <v>1813</v>
      </c>
    </row>
    <row customHeight="1" ht="162">
      <c r="A3" s="2056" t="s">
        <v>27</v>
      </c>
      <c r="B3" s="2056"/>
      <c r="C3" s="3807" t="s">
        <v>2191</v>
      </c>
      <c r="D3" s="3808"/>
      <c r="E3" s="3808"/>
      <c r="F3" s="3809"/>
      <c r="G3" s="2054"/>
      <c r="H3" s="2054"/>
      <c r="I3" s="2054"/>
      <c r="J3" s="2054"/>
      <c r="K3" s="2054"/>
      <c r="L3" s="2054"/>
      <c r="M3" s="2054"/>
      <c r="N3" s="205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2054"/>
      <c r="P3" s="2054"/>
      <c r="Q3" s="2054"/>
      <c r="R3" s="2054"/>
      <c r="S3" s="2054"/>
      <c r="T3" s="2054"/>
      <c r="U3" s="2054"/>
      <c r="V3" s="2054"/>
      <c r="W3" s="2054"/>
      <c r="X3" s="2054"/>
      <c r="Y3" s="2211"/>
      <c r="Z3" s="2057" t="s">
        <v>2192</v>
      </c>
      <c r="AA3" s="2054" t="s">
        <v>2193</v>
      </c>
      <c r="AB3" s="2057" t="s">
        <v>2194</v>
      </c>
      <c r="AC3" s="2057" t="s">
        <v>2195</v>
      </c>
      <c r="AD3" s="2057"/>
      <c r="AG3" s="2057"/>
      <c r="AH3" s="2057"/>
    </row>
    <row customHeight="1" ht="9">
      <c r="A4" s="2056"/>
      <c r="B4" s="2056"/>
      <c r="C4" s="2054"/>
      <c r="D4" s="2054"/>
      <c r="E4" s="2054"/>
      <c r="F4" s="2054"/>
      <c r="G4" s="2054"/>
      <c r="H4" s="2054"/>
      <c r="I4" s="2054"/>
      <c r="J4" s="2054"/>
      <c r="K4" s="2054"/>
      <c r="L4" s="2054"/>
      <c r="M4" s="2054"/>
      <c r="N4" s="2054"/>
      <c r="O4" s="2054"/>
      <c r="P4" s="2054"/>
      <c r="Q4" s="2054"/>
      <c r="R4" s="2054"/>
      <c r="S4" s="2054"/>
      <c r="T4" s="2054"/>
      <c r="U4" s="2054"/>
      <c r="V4" s="2054"/>
      <c r="W4" s="2054"/>
      <c r="X4" s="2054"/>
      <c r="Y4" s="2211"/>
      <c r="Z4" s="2057"/>
      <c r="AA4" s="2060"/>
      <c r="AB4" s="2057"/>
      <c r="AC4" s="2057"/>
      <c r="AD4" s="2057"/>
    </row>
    <row customHeight="1" ht="9">
      <c r="A5" s="2056"/>
      <c r="B5" s="2056"/>
      <c r="C5" s="2054"/>
      <c r="D5" s="2054"/>
      <c r="E5" s="2054"/>
      <c r="F5" s="2054"/>
      <c r="G5" s="2054"/>
      <c r="H5" s="2054"/>
      <c r="I5" s="2054"/>
      <c r="J5" s="2054"/>
      <c r="K5" s="2054"/>
      <c r="L5" s="2054"/>
      <c r="M5" s="2054"/>
      <c r="N5" s="2054"/>
      <c r="O5" s="2054"/>
      <c r="P5" s="2054"/>
      <c r="Q5" s="2054"/>
      <c r="R5" s="2054"/>
      <c r="S5" s="2054"/>
      <c r="T5" s="2054"/>
      <c r="U5" s="2054"/>
      <c r="V5" s="2054"/>
      <c r="W5" s="2054"/>
      <c r="X5" s="2054"/>
      <c r="Y5" s="2211"/>
      <c r="Z5" s="2057"/>
      <c r="AA5" s="2060"/>
      <c r="AB5" s="2057"/>
      <c r="AC5" s="2057"/>
      <c r="AD5" s="2057"/>
    </row>
    <row customHeight="1" ht="9">
      <c r="A6" s="2056"/>
      <c r="B6" s="2056"/>
      <c r="C6" s="2054"/>
      <c r="D6" s="2054"/>
      <c r="E6" s="2054"/>
      <c r="F6" s="2054"/>
      <c r="G6" s="2054"/>
      <c r="H6" s="2054"/>
      <c r="I6" s="2054"/>
      <c r="J6" s="2054"/>
      <c r="K6" s="2054"/>
      <c r="L6" s="2054"/>
      <c r="M6" s="2054"/>
      <c r="N6" s="2054"/>
      <c r="O6" s="2054"/>
      <c r="P6" s="2054"/>
      <c r="Q6" s="2054"/>
      <c r="R6" s="2054"/>
      <c r="S6" s="2054"/>
      <c r="T6" s="2054"/>
      <c r="U6" s="2054"/>
      <c r="V6" s="2054"/>
      <c r="W6" s="2054"/>
      <c r="X6" s="2054"/>
      <c r="Y6" s="2211"/>
      <c r="Z6" s="2057"/>
      <c r="AA6" s="2060"/>
      <c r="AB6" s="2057"/>
      <c r="AC6" s="2057"/>
      <c r="AD6" s="2057"/>
    </row>
    <row customHeight="1" ht="9">
      <c r="A7" s="2056"/>
      <c r="B7" s="2056"/>
      <c r="C7" s="2054"/>
      <c r="D7" s="2054"/>
      <c r="E7" s="2054"/>
      <c r="F7" s="2054"/>
      <c r="G7" s="2054"/>
      <c r="H7" s="2054"/>
      <c r="I7" s="2054"/>
      <c r="J7" s="2054"/>
      <c r="K7" s="2054"/>
      <c r="L7" s="2054"/>
      <c r="M7" s="2054"/>
      <c r="N7" s="2054"/>
      <c r="O7" s="2054"/>
      <c r="P7" s="2054"/>
      <c r="Q7" s="2054"/>
      <c r="R7" s="2054"/>
      <c r="S7" s="2054"/>
      <c r="T7" s="2054"/>
      <c r="U7" s="2054"/>
      <c r="V7" s="2054"/>
      <c r="W7" s="2054"/>
      <c r="X7" s="2054"/>
      <c r="Y7" s="2211"/>
      <c r="Z7" s="2057"/>
      <c r="AA7" s="2060"/>
      <c r="AB7" s="2057"/>
      <c r="AC7" s="2057"/>
      <c r="AD7" s="2057"/>
    </row>
    <row customHeight="1" ht="9">
      <c r="A8" s="2056"/>
      <c r="B8" s="2056"/>
      <c r="C8" s="2054"/>
      <c r="D8" s="2054"/>
      <c r="E8" s="2054"/>
      <c r="F8" s="2054"/>
      <c r="G8" s="2054"/>
      <c r="H8" s="2054"/>
      <c r="I8" s="2054"/>
      <c r="J8" s="2054"/>
      <c r="K8" s="2054"/>
      <c r="L8" s="2054"/>
      <c r="M8" s="2054"/>
      <c r="N8" s="2054"/>
      <c r="O8" s="2054"/>
      <c r="P8" s="2054"/>
      <c r="Q8" s="2054"/>
      <c r="R8" s="2054"/>
      <c r="S8" s="2054"/>
      <c r="T8" s="2054"/>
      <c r="U8" s="2054"/>
      <c r="V8" s="2054"/>
      <c r="W8" s="2054"/>
      <c r="X8" s="2054"/>
      <c r="Y8" s="2211"/>
      <c r="Z8" s="2057"/>
      <c r="AA8" s="2060"/>
      <c r="AB8" s="2057"/>
      <c r="AC8" s="2057"/>
      <c r="AD8" s="2057"/>
    </row>
    <row customHeight="1" ht="9">
      <c r="A9" s="2056"/>
      <c r="B9" s="2056"/>
      <c r="C9" s="2054"/>
      <c r="D9" s="2054"/>
      <c r="E9" s="2054"/>
      <c r="F9" s="2054"/>
      <c r="G9" s="2054"/>
      <c r="H9" s="2054"/>
      <c r="I9" s="2054"/>
      <c r="J9" s="2054"/>
      <c r="K9" s="2054"/>
      <c r="L9" s="2054"/>
      <c r="M9" s="2054"/>
      <c r="N9" s="2054"/>
      <c r="O9" s="2054"/>
      <c r="P9" s="2054"/>
      <c r="Q9" s="2054"/>
      <c r="R9" s="2054"/>
      <c r="S9" s="2054"/>
      <c r="T9" s="2054"/>
      <c r="U9" s="2054"/>
      <c r="V9" s="2054"/>
      <c r="W9" s="2054"/>
      <c r="X9" s="2054"/>
      <c r="Y9" s="2211"/>
      <c r="Z9" s="2057"/>
      <c r="AA9" s="2060"/>
      <c r="AB9" s="2057"/>
      <c r="AC9" s="2057"/>
      <c r="AD9" s="2057"/>
    </row>
    <row customHeight="1" ht="9">
      <c r="A10" s="2110"/>
      <c r="B10" s="2110"/>
      <c r="C10" s="2110"/>
      <c r="D10" s="2110"/>
      <c r="E10" s="2110"/>
      <c r="F10" s="2110"/>
      <c r="G10" s="2110"/>
      <c r="H10" s="2110"/>
      <c r="I10" s="2110"/>
      <c r="J10" s="2110"/>
      <c r="K10" s="2110"/>
      <c r="L10" s="2110"/>
      <c r="M10" s="2110"/>
      <c r="N10" s="2110"/>
      <c r="O10" s="2110"/>
      <c r="P10" s="2110"/>
      <c r="Q10" s="2110"/>
      <c r="R10" s="2110"/>
      <c r="S10" s="2110"/>
      <c r="T10" s="2110"/>
      <c r="U10" s="2110"/>
      <c r="V10" s="2110"/>
      <c r="W10" s="2110"/>
      <c r="X10" s="2110"/>
      <c r="Y10" s="2110"/>
      <c r="Z10" s="2110"/>
      <c r="AA10" s="2110"/>
      <c r="AB10" s="2110"/>
      <c r="AC10" s="2110"/>
      <c r="AD10" s="2110"/>
    </row>
    <row customHeight="1" ht="45">
      <c r="A11" s="3804" t="s">
        <v>33</v>
      </c>
      <c r="B11" s="2110">
        <v>1</v>
      </c>
      <c r="C11" s="3810" t="s">
        <v>1751</v>
      </c>
      <c r="D11" s="3810" t="s">
        <v>1747</v>
      </c>
      <c r="E11" s="3810" t="s">
        <v>1846</v>
      </c>
      <c r="F11" s="3810" t="s">
        <v>2196</v>
      </c>
      <c r="G11" s="3810"/>
      <c r="H11" s="2109" t="s">
        <v>2197</v>
      </c>
      <c r="I11" s="2109"/>
      <c r="J11" s="2109"/>
      <c r="K11" s="2109"/>
      <c r="L11" s="2109"/>
      <c r="M11" s="2055" t="str">
        <f>IF(TEMPLATE_SPHERE="HEAT",T11,U11)</f>
        <v>Количество поданных заявок</v>
      </c>
      <c r="N11" s="205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2054"/>
      <c r="P11" s="2054"/>
      <c r="Q11" s="2054"/>
      <c r="R11" s="2054"/>
      <c r="S11" s="2054"/>
      <c r="T11" s="2054" t="s">
        <v>2198</v>
      </c>
      <c r="U11" s="2054" t="s">
        <v>2199</v>
      </c>
      <c r="V11" s="2054"/>
      <c r="W11" s="2054"/>
      <c r="X11" s="2054"/>
      <c r="Y11" s="2211"/>
      <c r="Z11" s="2057" t="s">
        <v>2200</v>
      </c>
      <c r="AA11" s="206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2057"/>
      <c r="AC11" s="2057"/>
      <c r="AD11" s="2057"/>
    </row>
    <row customHeight="1" ht="45">
      <c r="A12" s="3804"/>
      <c r="B12" s="2110">
        <v>2</v>
      </c>
      <c r="C12" s="3811"/>
      <c r="D12" s="3811"/>
      <c r="E12" s="3811"/>
      <c r="F12" s="3811"/>
      <c r="G12" s="3811"/>
      <c r="H12" s="2109" t="s">
        <v>2201</v>
      </c>
      <c r="I12" s="2109"/>
      <c r="J12" s="2109"/>
      <c r="K12" s="2109"/>
      <c r="L12" s="2109"/>
      <c r="M12" s="2055" t="str">
        <f>IF(TEMPLATE_SPHERE="HEAT",T12,U12)</f>
        <v>Количество рассмотренных заявок</v>
      </c>
      <c r="N12" s="205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2054"/>
      <c r="P12" s="2054"/>
      <c r="Q12" s="2054"/>
      <c r="R12" s="2054"/>
      <c r="S12" s="2054"/>
      <c r="T12" s="2054" t="s">
        <v>2202</v>
      </c>
      <c r="U12" s="2054" t="s">
        <v>2203</v>
      </c>
      <c r="V12" s="2054"/>
      <c r="W12" s="2054"/>
      <c r="X12" s="2054"/>
      <c r="Y12" s="2211"/>
      <c r="Z12" s="2057" t="s">
        <v>2204</v>
      </c>
      <c r="AA12" s="206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2057"/>
      <c r="AC12" s="2057"/>
      <c r="AD12" s="2057"/>
    </row>
    <row customHeight="1" ht="72">
      <c r="A13" s="3804"/>
      <c r="B13" s="2110">
        <v>3</v>
      </c>
      <c r="C13" s="3811"/>
      <c r="D13" s="3811"/>
      <c r="E13" s="3811"/>
      <c r="F13" s="3811"/>
      <c r="G13" s="3811"/>
      <c r="H13" s="3803" t="s">
        <v>2205</v>
      </c>
      <c r="I13" s="2109"/>
      <c r="J13" s="2109"/>
      <c r="K13" s="2109"/>
      <c r="L13" s="2109"/>
      <c r="M13" s="205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2055" t="str">
        <f>IF(TEMPLATE_SPHERE="HEAT",Z13,AA13)</f>
        <v>Указывается количество заявок с решением об отказе в течение отчетного квартала.</v>
      </c>
      <c r="O13" s="2054"/>
      <c r="P13" s="2055"/>
      <c r="Q13" s="2055"/>
      <c r="R13" s="2055"/>
      <c r="S13" s="2054"/>
      <c r="T13" s="2054" t="s">
        <v>2206</v>
      </c>
      <c r="U13" s="2055" t="s">
        <v>2207</v>
      </c>
      <c r="V13" s="2055"/>
      <c r="W13" s="2055"/>
      <c r="X13" s="2054"/>
      <c r="Y13" s="2211"/>
      <c r="Z13" s="2057" t="s">
        <v>2208</v>
      </c>
      <c r="AA13" s="206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2057"/>
      <c r="AC13" s="2057"/>
      <c r="AD13" s="2057"/>
    </row>
    <row customHeight="1" ht="45">
      <c r="A14" s="3804"/>
      <c r="B14" s="2110">
        <v>4</v>
      </c>
      <c r="C14" s="3811"/>
      <c r="D14" s="3811"/>
      <c r="E14" s="3811"/>
      <c r="F14" s="3811"/>
      <c r="G14" s="3811"/>
      <c r="H14" s="3803"/>
      <c r="I14" s="2112"/>
      <c r="J14" s="2112"/>
      <c r="K14" s="2112"/>
      <c r="L14" s="2112"/>
      <c r="M14" s="2058" t="str">
        <f>IF(TEMPLATE_SPHERE="HEAT",T14,U14)</f>
        <v>Причины отказа в заключении договора о подключении (технологическом присоединении) к системе теплоснабжения</v>
      </c>
      <c r="N14" s="205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2054"/>
      <c r="P14" s="2055"/>
      <c r="Q14" s="2055"/>
      <c r="R14" s="2055"/>
      <c r="S14" s="2054"/>
      <c r="T14" s="2054" t="s">
        <v>2209</v>
      </c>
      <c r="U14" s="205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2055"/>
      <c r="W14" s="2055"/>
      <c r="X14" s="2054"/>
      <c r="Y14" s="2211"/>
      <c r="Z14" s="2057" t="s">
        <v>2210</v>
      </c>
      <c r="AA14" s="2060" t="s">
        <v>2210</v>
      </c>
      <c r="AB14" s="2057"/>
      <c r="AC14" s="2057"/>
      <c r="AD14" s="2057"/>
    </row>
    <row customHeight="1" ht="108">
      <c r="A15" s="3804"/>
      <c r="B15" s="2110">
        <v>5</v>
      </c>
      <c r="C15" s="3811"/>
      <c r="D15" s="3811"/>
      <c r="E15" s="3811"/>
      <c r="F15" s="3811"/>
      <c r="G15" s="3811"/>
      <c r="H15" s="3805" t="s">
        <v>2211</v>
      </c>
      <c r="I15" s="2111"/>
      <c r="J15" s="2111"/>
      <c r="K15" s="2111"/>
      <c r="L15" s="2111"/>
      <c r="M15" s="2060" t="str">
        <f>IF(TEMPLATE_SPHERE="HEAT",T15,U15)</f>
        <v>Резерв мощности источников тепловой энергии, входящих в систему теплоснабжения, в течение одного квартала, в том числе:</v>
      </c>
      <c r="N15" s="205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2054"/>
      <c r="P15" s="2055"/>
      <c r="Q15" s="2055"/>
      <c r="R15" s="2055"/>
      <c r="S15" s="2054"/>
      <c r="T15" s="2054" t="s">
        <v>2212</v>
      </c>
      <c r="U15" s="205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2055"/>
      <c r="W15" s="2055"/>
      <c r="X15" s="2054"/>
      <c r="Y15" s="2211"/>
      <c r="Z15" s="2057" t="s">
        <v>2213</v>
      </c>
      <c r="AA15" s="206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2057"/>
      <c r="AC15" s="2057"/>
      <c r="AD15" s="2057"/>
    </row>
    <row customHeight="1" ht="108">
      <c r="A16" s="2110"/>
      <c r="B16" s="2110">
        <v>6</v>
      </c>
      <c r="C16" s="3812"/>
      <c r="D16" s="3812"/>
      <c r="E16" s="3812"/>
      <c r="F16" s="3812"/>
      <c r="G16" s="3812"/>
      <c r="H16" s="3806"/>
      <c r="I16" s="2173"/>
      <c r="J16" s="2173"/>
      <c r="K16" s="2173"/>
      <c r="L16" s="2173"/>
      <c r="M16" s="2103"/>
      <c r="N16" s="205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2054"/>
      <c r="P16" s="2055"/>
      <c r="Q16" s="2055"/>
      <c r="R16" s="2055"/>
      <c r="S16" s="2054"/>
      <c r="T16" s="2054"/>
      <c r="U16" s="2055"/>
      <c r="V16" s="2055"/>
      <c r="W16" s="2055"/>
      <c r="X16" s="2054"/>
      <c r="Y16" s="2211"/>
      <c r="Z16" s="2057" t="s">
        <v>2213</v>
      </c>
      <c r="AA16" s="206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2057"/>
      <c r="AC16" s="2057"/>
      <c r="AD16" s="2057"/>
    </row>
    <row customHeight="1" ht="9">
      <c r="A17" s="2110"/>
      <c r="B17" s="2110"/>
      <c r="C17" s="2110">
        <v>22</v>
      </c>
      <c r="D17" s="2110">
        <v>21</v>
      </c>
      <c r="E17" s="2110">
        <v>42</v>
      </c>
      <c r="F17" s="2110">
        <v>63</v>
      </c>
      <c r="G17" s="2110"/>
      <c r="H17" s="2110"/>
      <c r="I17" s="2110"/>
      <c r="J17" s="2110"/>
      <c r="K17" s="2110"/>
      <c r="L17" s="2110"/>
      <c r="M17" s="2110"/>
      <c r="N17" s="2110"/>
      <c r="O17" s="2110"/>
      <c r="P17" s="2110"/>
      <c r="Q17" s="2110"/>
      <c r="R17" s="2110"/>
      <c r="S17" s="2110"/>
      <c r="T17" s="2110"/>
      <c r="U17" s="2110"/>
      <c r="V17" s="2110"/>
      <c r="W17" s="2110"/>
      <c r="X17" s="2110"/>
      <c r="Y17" s="2110"/>
      <c r="Z17" s="2110"/>
      <c r="AA17" s="2110"/>
      <c r="AB17" s="2110"/>
      <c r="AC17" s="2110"/>
      <c r="AD17" s="2110"/>
    </row>
    <row customHeight="1" ht="27">
      <c r="A18" s="2056" t="s">
        <v>1849</v>
      </c>
      <c r="B18" s="2110">
        <v>1</v>
      </c>
      <c r="C18" s="2054" t="s">
        <v>2197</v>
      </c>
      <c r="D18" s="2178" t="s">
        <v>2197</v>
      </c>
      <c r="E18" s="2054" t="s">
        <v>2197</v>
      </c>
      <c r="F18" s="2054" t="s">
        <v>2197</v>
      </c>
      <c r="G18" s="2054"/>
      <c r="H18" s="2213"/>
      <c r="I18" s="2216">
        <f>INDEX(TEMPLATE_NUMBER_POINT_FHD,B18,MATCH(TEMPLATE_SPHERE,TEMPLATE_SPHERE_LIST_FOR_NOTE,0))</f>
        <v>1</v>
      </c>
      <c r="J18" s="2216" t="str">
        <f>INDEX(TEMPLATE_DATA_POINT_FHD,B18,MATCH(TEMPLATE_SPHERE,TEMPLATE_SPHERE_LIST_FOR_NOTE,0))</f>
        <v>Выручка от регулируемого вида деятельности с распределением по видам деятельности</v>
      </c>
      <c r="K18" s="221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2055">
        <f>IF(I18=0,"",I18)</f>
        <v>1</v>
      </c>
      <c r="M18" s="2055" t="str">
        <f>IF(J18=0,"",J18)</f>
        <v>Выручка от регулируемого вида деятельности с распределением по видам деятельности</v>
      </c>
      <c r="N18" s="2055" t="str">
        <f>IF(K18=0,"",K18)</f>
        <v>Указывается выручка от регулируемого вида деятельности с распределением по видам деятельности.</v>
      </c>
      <c r="O18" s="2168">
        <v>1</v>
      </c>
      <c r="P18" s="2168">
        <v>1</v>
      </c>
      <c r="Q18" s="2168">
        <v>1</v>
      </c>
      <c r="R18" s="2168">
        <v>1</v>
      </c>
      <c r="S18" s="2168"/>
      <c r="T18" s="2175" t="s">
        <v>2214</v>
      </c>
      <c r="U18" s="2057" t="s">
        <v>2215</v>
      </c>
      <c r="V18" s="2057" t="s">
        <v>2216</v>
      </c>
      <c r="W18" s="2057" t="s">
        <v>2217</v>
      </c>
      <c r="X18" s="2054"/>
      <c r="Y18" s="2211"/>
      <c r="Z18" s="2057" t="s">
        <v>2218</v>
      </c>
      <c r="AA18" s="2060" t="s">
        <v>2219</v>
      </c>
      <c r="AB18" s="2060" t="s">
        <v>2219</v>
      </c>
      <c r="AC18" s="2060" t="s">
        <v>2219</v>
      </c>
      <c r="AD18" s="2057"/>
    </row>
    <row customHeight="1" ht="36">
      <c r="A19" s="2056"/>
      <c r="B19" s="2110">
        <v>2</v>
      </c>
      <c r="C19" s="2054" t="s">
        <v>2201</v>
      </c>
      <c r="D19" s="2178" t="s">
        <v>2201</v>
      </c>
      <c r="E19" s="2054" t="s">
        <v>2201</v>
      </c>
      <c r="F19" s="2054" t="s">
        <v>2201</v>
      </c>
      <c r="G19" s="2054"/>
      <c r="H19" s="2213"/>
      <c r="I19" s="2216">
        <f>INDEX(TEMPLATE_NUMBER_POINT_FHD,B19,MATCH(TEMPLATE_SPHERE,TEMPLATE_SPHERE_LIST_FOR_NOTE,0))</f>
        <v>2</v>
      </c>
      <c r="J19" s="221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2216" t="str">
        <f>INDEX(TEMPLATE_NOTE_POINT_FHD,B19,MATCH(TEMPLATE_SPHERE,TEMPLATE_SPHERE_LIST_FOR_NOTE,0))</f>
        <v>Указывается суммарная себестоимость производимых товаров.</v>
      </c>
      <c r="L19" s="2055">
        <f>IF(I19=0,"",I19)</f>
        <v>2</v>
      </c>
      <c r="M19" s="2055" t="str">
        <f>IF(J19=0,"",J19)</f>
        <v>Себестоимость производимых товаров (оказываемых услуг) по регулируемому виду деятельности, включая:</v>
      </c>
      <c r="N19" s="2055" t="str">
        <f>IF(K19=0,"",K19)</f>
        <v>Указывается суммарная себестоимость производимых товаров.</v>
      </c>
      <c r="O19" s="2168">
        <v>2</v>
      </c>
      <c r="P19" s="2168">
        <v>2</v>
      </c>
      <c r="Q19" s="2168">
        <v>2</v>
      </c>
      <c r="R19" s="2168">
        <v>2</v>
      </c>
      <c r="S19" s="2168"/>
      <c r="T19" s="2175" t="s">
        <v>2220</v>
      </c>
      <c r="U19" s="2057" t="s">
        <v>2221</v>
      </c>
      <c r="V19" s="2057" t="s">
        <v>2222</v>
      </c>
      <c r="W19" s="2057" t="s">
        <v>2223</v>
      </c>
      <c r="X19" s="2054"/>
      <c r="Y19" s="2211"/>
      <c r="Z19" s="2057" t="s">
        <v>2224</v>
      </c>
      <c r="AA19" s="2060" t="s">
        <v>2224</v>
      </c>
      <c r="AB19" s="2060" t="s">
        <v>2224</v>
      </c>
      <c r="AC19" s="2060" t="s">
        <v>2224</v>
      </c>
      <c r="AD19" s="2057"/>
    </row>
    <row customHeight="1" ht="27">
      <c r="A20" s="2056"/>
      <c r="B20" s="2110">
        <v>3</v>
      </c>
      <c r="C20" s="2054">
        <v>1</v>
      </c>
      <c r="D20" s="2178"/>
      <c r="E20" s="2054"/>
      <c r="F20" s="2054"/>
      <c r="G20" s="2054"/>
      <c r="H20" s="2213"/>
      <c r="I20" s="2216" t="str">
        <f>INDEX(TEMPLATE_NUMBER_POINT_FHD,B20,MATCH(TEMPLATE_SPHERE,TEMPLATE_SPHERE_LIST_FOR_NOTE,0))</f>
        <v>2.1</v>
      </c>
      <c r="J20" s="2216" t="str">
        <f>INDEX(TEMPLATE_DATA_POINT_FHD,B20,MATCH(TEMPLATE_SPHERE,TEMPLATE_SPHERE_LIST_FOR_NOTE,0))</f>
        <v>Расходы на приобретаемую тепловую энергию (мощность), теплоноситель</v>
      </c>
      <c r="K20" s="2216">
        <f>INDEX(TEMPLATE_NOTE_POINT_FHD,B20,MATCH(TEMPLATE_SPHERE,TEMPLATE_SPHERE_LIST_FOR_NOTE,0))</f>
        <v>0</v>
      </c>
      <c r="L20" s="2055" t="str">
        <f>IF(I20=0,"",I20)</f>
        <v>2.1</v>
      </c>
      <c r="M20" s="2055" t="str">
        <f>IF(J20=0,"",J20)</f>
        <v>Расходы на приобретаемую тепловую энергию (мощность), теплоноситель</v>
      </c>
      <c r="N20" s="2055" t="str">
        <f>IF(K20=0,"",K20)</f>
        <v/>
      </c>
      <c r="O20" s="2168" t="s">
        <v>860</v>
      </c>
      <c r="P20" s="2168" t="s">
        <v>860</v>
      </c>
      <c r="Q20" s="2168" t="s">
        <v>860</v>
      </c>
      <c r="R20" s="2168" t="s">
        <v>860</v>
      </c>
      <c r="S20" s="2168"/>
      <c r="T20" s="2175" t="s">
        <v>2225</v>
      </c>
      <c r="U20" s="2057" t="s">
        <v>2226</v>
      </c>
      <c r="V20" s="2057" t="s">
        <v>2227</v>
      </c>
      <c r="W20" s="2057" t="s">
        <v>2228</v>
      </c>
      <c r="X20" s="2054"/>
      <c r="Y20" s="2211"/>
      <c r="Z20" s="2057"/>
      <c r="AA20" s="2060"/>
      <c r="AB20" s="2057"/>
      <c r="AC20" s="2057"/>
      <c r="AD20" s="2057"/>
    </row>
    <row customHeight="1" ht="36">
      <c r="A21" s="2056"/>
      <c r="B21" s="2110">
        <v>4</v>
      </c>
      <c r="C21" s="2054">
        <v>2</v>
      </c>
      <c r="D21" s="2178"/>
      <c r="E21" s="2054"/>
      <c r="F21" s="2054"/>
      <c r="G21" s="2054"/>
      <c r="H21" s="2213"/>
      <c r="I21" s="2216" t="str">
        <f>INDEX(TEMPLATE_NUMBER_POINT_FHD,B21,MATCH(TEMPLATE_SPHERE,TEMPLATE_SPHERE_LIST_FOR_NOTE,0))</f>
        <v>2.2</v>
      </c>
      <c r="J21" s="221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2216" t="str">
        <f>INDEX(TEMPLATE_NOTE_POINT_FHD,B21,MATCH(TEMPLATE_SPHERE,TEMPLATE_SPHERE_LIST_FOR_NOTE,0))</f>
        <v>Указываются суммарные расходы на приобретение топлива всех видов.</v>
      </c>
      <c r="L21" s="2055" t="str">
        <f>IF(I21=0,"",I21)</f>
        <v>2.2</v>
      </c>
      <c r="M21" s="205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2055" t="str">
        <f>IF(K21=0,"",K21)</f>
        <v>Указываются суммарные расходы на приобретение топлива всех видов.</v>
      </c>
      <c r="O21" s="2168" t="s">
        <v>325</v>
      </c>
      <c r="P21" s="2168"/>
      <c r="Q21" s="2168"/>
      <c r="R21" s="2168"/>
      <c r="S21" s="2168"/>
      <c r="T21" s="2175" t="s">
        <v>2229</v>
      </c>
      <c r="U21" s="2057"/>
      <c r="V21" s="2057"/>
      <c r="W21" s="2057"/>
      <c r="X21" s="2054"/>
      <c r="Y21" s="2211"/>
      <c r="Z21" s="2057" t="s">
        <v>2230</v>
      </c>
      <c r="AA21" s="2060"/>
      <c r="AB21" s="2057"/>
      <c r="AC21" s="2057"/>
      <c r="AD21" s="2057"/>
    </row>
    <row customHeight="1" ht="36">
      <c r="A22" s="2056"/>
      <c r="B22" s="2110">
        <v>5</v>
      </c>
      <c r="C22" s="2054">
        <v>3</v>
      </c>
      <c r="D22" s="2178"/>
      <c r="E22" s="2054"/>
      <c r="F22" s="2054"/>
      <c r="G22" s="2102"/>
      <c r="H22" s="2169"/>
      <c r="I22" s="2216">
        <f>INDEX(TEMPLATE_NUMBER_POINT_FHD,B22,MATCH(TEMPLATE_SPHERE,TEMPLATE_SPHERE_LIST_FOR_NOTE,0))</f>
        <v>0</v>
      </c>
      <c r="J22" s="2216">
        <f>INDEX(TEMPLATE_DATA_POINT_FHD,B22,MATCH(TEMPLATE_SPHERE,TEMPLATE_SPHERE_LIST_FOR_NOTE,0))</f>
        <v>0</v>
      </c>
      <c r="K22" s="2216">
        <f>INDEX(TEMPLATE_NOTE_POINT_FHD,B22,MATCH(TEMPLATE_SPHERE,TEMPLATE_SPHERE_LIST_FOR_NOTE,0))</f>
        <v>0</v>
      </c>
      <c r="L22" s="2055" t="str">
        <f>IF(I22=0,"",I22)</f>
        <v/>
      </c>
      <c r="M22" s="2055" t="str">
        <f>IF(J22=0,"",J22)</f>
        <v/>
      </c>
      <c r="N22" s="2055" t="str">
        <f>IF(K22=0,"",K22)</f>
        <v/>
      </c>
      <c r="O22" s="2168"/>
      <c r="P22" s="2168"/>
      <c r="Q22" s="2168" t="s">
        <v>325</v>
      </c>
      <c r="R22" s="2168"/>
      <c r="S22" s="2168"/>
      <c r="T22" s="2175"/>
      <c r="U22" s="2057"/>
      <c r="V22" s="2057" t="s">
        <v>2231</v>
      </c>
      <c r="W22" s="2057"/>
      <c r="X22" s="2054"/>
      <c r="Y22" s="2211"/>
      <c r="Z22" s="2057"/>
      <c r="AA22" s="2060"/>
      <c r="AB22" s="2057"/>
      <c r="AC22" s="2057"/>
      <c r="AD22" s="2057"/>
    </row>
    <row customHeight="1" ht="27">
      <c r="A23" s="2056"/>
      <c r="B23" s="2110">
        <v>6</v>
      </c>
      <c r="C23" s="2054">
        <v>4</v>
      </c>
      <c r="D23" s="2178"/>
      <c r="E23" s="2054"/>
      <c r="F23" s="2054"/>
      <c r="G23" s="2102"/>
      <c r="H23" s="2169"/>
      <c r="I23" s="2216">
        <f>INDEX(TEMPLATE_NUMBER_POINT_FHD,B23,MATCH(TEMPLATE_SPHERE,TEMPLATE_SPHERE_LIST_FOR_NOTE,0))</f>
        <v>0</v>
      </c>
      <c r="J23" s="2216">
        <f>INDEX(TEMPLATE_DATA_POINT_FHD,B23,MATCH(TEMPLATE_SPHERE,TEMPLATE_SPHERE_LIST_FOR_NOTE,0))</f>
        <v>0</v>
      </c>
      <c r="K23" s="2216">
        <f>INDEX(TEMPLATE_NOTE_POINT_FHD,B23,MATCH(TEMPLATE_SPHERE,TEMPLATE_SPHERE_LIST_FOR_NOTE,0))</f>
        <v>0</v>
      </c>
      <c r="L23" s="2055" t="str">
        <f>IF(I23=0,"",I23)</f>
        <v/>
      </c>
      <c r="M23" s="2055" t="str">
        <f>IF(J23=0,"",J23)</f>
        <v/>
      </c>
      <c r="N23" s="2055" t="str">
        <f>IF(K23=0,"",K23)</f>
        <v/>
      </c>
      <c r="O23" s="2168"/>
      <c r="P23" s="2168"/>
      <c r="Q23" s="2168" t="s">
        <v>328</v>
      </c>
      <c r="R23" s="2168"/>
      <c r="S23" s="2168"/>
      <c r="T23" s="2175"/>
      <c r="U23" s="2057"/>
      <c r="V23" s="2057" t="s">
        <v>2232</v>
      </c>
      <c r="W23" s="2057"/>
      <c r="X23" s="2054"/>
      <c r="Y23" s="2211"/>
      <c r="Z23" s="2057"/>
      <c r="AA23" s="2060"/>
      <c r="AB23" s="2057"/>
      <c r="AC23" s="2057"/>
      <c r="AD23" s="2057"/>
    </row>
    <row customHeight="1" ht="36">
      <c r="A24" s="2056"/>
      <c r="B24" s="2110">
        <v>7</v>
      </c>
      <c r="C24" s="2054">
        <v>5</v>
      </c>
      <c r="D24" s="2178"/>
      <c r="E24" s="2054"/>
      <c r="F24" s="2054"/>
      <c r="G24" s="2102"/>
      <c r="H24" s="2169"/>
      <c r="I24" s="2216">
        <f>INDEX(TEMPLATE_NUMBER_POINT_FHD,B24,MATCH(TEMPLATE_SPHERE,TEMPLATE_SPHERE_LIST_FOR_NOTE,0))</f>
        <v>0</v>
      </c>
      <c r="J24" s="2216">
        <f>INDEX(TEMPLATE_DATA_POINT_FHD,B24,MATCH(TEMPLATE_SPHERE,TEMPLATE_SPHERE_LIST_FOR_NOTE,0))</f>
        <v>0</v>
      </c>
      <c r="K24" s="2216">
        <f>INDEX(TEMPLATE_NOTE_POINT_FHD,B24,MATCH(TEMPLATE_SPHERE,TEMPLATE_SPHERE_LIST_FOR_NOTE,0))</f>
        <v>0</v>
      </c>
      <c r="L24" s="2055" t="str">
        <f>IF(I24=0,"",I24)</f>
        <v/>
      </c>
      <c r="M24" s="2055" t="str">
        <f>IF(J24=0,"",J24)</f>
        <v/>
      </c>
      <c r="N24" s="2055" t="str">
        <f>IF(K24=0,"",K24)</f>
        <v/>
      </c>
      <c r="O24" s="2168"/>
      <c r="P24" s="2168"/>
      <c r="Q24" s="2168" t="s">
        <v>880</v>
      </c>
      <c r="R24" s="2168"/>
      <c r="S24" s="2168"/>
      <c r="T24" s="2175"/>
      <c r="U24" s="2057"/>
      <c r="V24" s="2057" t="s">
        <v>2233</v>
      </c>
      <c r="W24" s="2057"/>
      <c r="X24" s="2054"/>
      <c r="Y24" s="2211"/>
      <c r="Z24" s="2057"/>
      <c r="AA24" s="2060"/>
      <c r="AB24" s="2057"/>
      <c r="AC24" s="2057"/>
      <c r="AD24" s="2057"/>
    </row>
    <row customHeight="1" ht="36">
      <c r="A25" s="2056"/>
      <c r="B25" s="2110">
        <v>8</v>
      </c>
      <c r="C25" s="2054">
        <v>6</v>
      </c>
      <c r="D25" s="2178"/>
      <c r="E25" s="2054"/>
      <c r="F25" s="2054"/>
      <c r="G25" s="2102"/>
      <c r="H25" s="2169"/>
      <c r="I25" s="2216" t="str">
        <f>INDEX(TEMPLATE_NUMBER_POINT_FHD,B25,MATCH(TEMPLATE_SPHERE,TEMPLATE_SPHERE_LIST_FOR_NOTE,0))</f>
        <v>2.3</v>
      </c>
      <c r="J25" s="221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2216">
        <f>INDEX(TEMPLATE_NOTE_POINT_FHD,B25,MATCH(TEMPLATE_SPHERE,TEMPLATE_SPHERE_LIST_FOR_NOTE,0))</f>
        <v>0</v>
      </c>
      <c r="L25" s="2055" t="str">
        <f>IF(I25=0,"",I25)</f>
        <v>2.3</v>
      </c>
      <c r="M25" s="2055" t="str">
        <f>IF(J25=0,"",J25)</f>
        <v>Расходы на приобретаемую электрическую энергию (мощность), используемую в технологическом процессе</v>
      </c>
      <c r="N25" s="2055" t="str">
        <f>IF(K25=0,"",K25)</f>
        <v/>
      </c>
      <c r="O25" s="2168" t="s">
        <v>328</v>
      </c>
      <c r="P25" s="2168" t="s">
        <v>325</v>
      </c>
      <c r="Q25" s="2168" t="s">
        <v>887</v>
      </c>
      <c r="R25" s="2168" t="s">
        <v>325</v>
      </c>
      <c r="S25" s="2168"/>
      <c r="T25" s="2175" t="s">
        <v>2234</v>
      </c>
      <c r="U25" s="2057" t="s">
        <v>2234</v>
      </c>
      <c r="V25" s="2057" t="s">
        <v>2234</v>
      </c>
      <c r="W25" s="2057" t="s">
        <v>2234</v>
      </c>
      <c r="X25" s="2054"/>
      <c r="Y25" s="2211"/>
      <c r="Z25" s="2057"/>
      <c r="AA25" s="2060"/>
      <c r="AB25" s="2057"/>
      <c r="AC25" s="2057"/>
      <c r="AD25" s="2057"/>
    </row>
    <row customHeight="1" ht="18">
      <c r="A26" s="2056"/>
      <c r="B26" s="2110">
        <v>9</v>
      </c>
      <c r="C26" s="2054" t="s">
        <v>804</v>
      </c>
      <c r="D26" s="2178"/>
      <c r="E26" s="2054"/>
      <c r="F26" s="2054"/>
      <c r="G26" s="2102"/>
      <c r="H26" s="2169"/>
      <c r="I26" s="2216" t="str">
        <f>INDEX(TEMPLATE_NUMBER_POINT_FHD,B26,MATCH(TEMPLATE_SPHERE,TEMPLATE_SPHERE_LIST_FOR_NOTE,0))</f>
        <v>2.3.1</v>
      </c>
      <c r="J26" s="2216" t="str">
        <f>INDEX(TEMPLATE_DATA_POINT_FHD,B26,MATCH(TEMPLATE_SPHERE,TEMPLATE_SPHERE_LIST_FOR_NOTE,0))</f>
        <v>Средневзвешенная стоимость 1 кВт.ч (с учетом мощности)</v>
      </c>
      <c r="K26" s="2216">
        <f>INDEX(TEMPLATE_NOTE_POINT_FHD,B26,MATCH(TEMPLATE_SPHERE,TEMPLATE_SPHERE_LIST_FOR_NOTE,0))</f>
        <v>0</v>
      </c>
      <c r="L26" s="2055" t="str">
        <f>IF(I26=0,"",I26)</f>
        <v>2.3.1</v>
      </c>
      <c r="M26" s="2055" t="str">
        <f>IF(J26=0,"",J26)</f>
        <v>Средневзвешенная стоимость 1 кВт.ч (с учетом мощности)</v>
      </c>
      <c r="N26" s="2055" t="str">
        <f>IF(K26=0,"",K26)</f>
        <v/>
      </c>
      <c r="O26" s="2168" t="s">
        <v>876</v>
      </c>
      <c r="P26" s="2168" t="s">
        <v>870</v>
      </c>
      <c r="Q26" s="2168" t="s">
        <v>2235</v>
      </c>
      <c r="R26" s="2168" t="s">
        <v>870</v>
      </c>
      <c r="S26" s="2168"/>
      <c r="T26" s="2175" t="str">
        <f>"Средневзвешенная стоимость 1 кВт.ч"&amp;IF(TITLE_TYPE_ORG="Регулируемая организация"," (с учетом мощности)","")</f>
        <v>Средневзвешенная стоимость 1 кВт.ч (с учетом мощности)</v>
      </c>
      <c r="U26" s="2175" t="s">
        <v>2236</v>
      </c>
      <c r="V26" s="2175" t="s">
        <v>2236</v>
      </c>
      <c r="W26" s="2175" t="s">
        <v>2236</v>
      </c>
      <c r="X26" s="2054"/>
      <c r="Y26" s="2211"/>
      <c r="Z26" s="2057"/>
      <c r="AA26" s="2060"/>
      <c r="AB26" s="2057"/>
      <c r="AC26" s="2057"/>
      <c r="AD26" s="2057"/>
    </row>
    <row customHeight="1" ht="18">
      <c r="A27" s="2056"/>
      <c r="B27" s="2110">
        <v>10</v>
      </c>
      <c r="C27" s="2054" t="s">
        <v>808</v>
      </c>
      <c r="D27" s="2178"/>
      <c r="E27" s="2054"/>
      <c r="F27" s="2054"/>
      <c r="G27" s="2102"/>
      <c r="H27" s="2169"/>
      <c r="I27" s="2216" t="str">
        <f>INDEX(TEMPLATE_NUMBER_POINT_FHD,B27,MATCH(TEMPLATE_SPHERE,TEMPLATE_SPHERE_LIST_FOR_NOTE,0))</f>
        <v>2.3.2</v>
      </c>
      <c r="J27" s="2216" t="str">
        <f>INDEX(TEMPLATE_DATA_POINT_FHD,B27,MATCH(TEMPLATE_SPHERE,TEMPLATE_SPHERE_LIST_FOR_NOTE,0))</f>
        <v>Объём приобретения электрической энергии</v>
      </c>
      <c r="K27" s="2216">
        <f>INDEX(TEMPLATE_NOTE_POINT_FHD,B27,MATCH(TEMPLATE_SPHERE,TEMPLATE_SPHERE_LIST_FOR_NOTE,0))</f>
        <v>0</v>
      </c>
      <c r="L27" s="2055" t="str">
        <f>IF(I27=0,"",I27)</f>
        <v>2.3.2</v>
      </c>
      <c r="M27" s="2055" t="str">
        <f>IF(J27=0,"",J27)</f>
        <v>Объём приобретения электрической энергии</v>
      </c>
      <c r="N27" s="2055" t="str">
        <f>IF(K27=0,"",K27)</f>
        <v/>
      </c>
      <c r="O27" s="2168" t="s">
        <v>878</v>
      </c>
      <c r="P27" s="2168" t="s">
        <v>872</v>
      </c>
      <c r="Q27" s="2168" t="s">
        <v>2237</v>
      </c>
      <c r="R27" s="2168" t="s">
        <v>872</v>
      </c>
      <c r="S27" s="2168"/>
      <c r="T27" s="2175" t="s">
        <v>2238</v>
      </c>
      <c r="U27" s="2175" t="s">
        <v>2238</v>
      </c>
      <c r="V27" s="2175" t="s">
        <v>2238</v>
      </c>
      <c r="W27" s="2175" t="s">
        <v>2238</v>
      </c>
      <c r="X27" s="2054"/>
      <c r="Y27" s="2211"/>
      <c r="Z27" s="2057"/>
      <c r="AA27" s="2060"/>
      <c r="AB27" s="2057"/>
      <c r="AC27" s="2057"/>
      <c r="AD27" s="2057"/>
    </row>
    <row customHeight="1" ht="27">
      <c r="A28" s="2056"/>
      <c r="B28" s="2110">
        <v>11</v>
      </c>
      <c r="C28" s="2054">
        <v>7</v>
      </c>
      <c r="D28" s="2178"/>
      <c r="E28" s="2054"/>
      <c r="F28" s="2054"/>
      <c r="G28" s="2102"/>
      <c r="H28" s="2169"/>
      <c r="I28" s="2216" t="str">
        <f>INDEX(TEMPLATE_NUMBER_POINT_FHD,B28,MATCH(TEMPLATE_SPHERE,TEMPLATE_SPHERE_LIST_FOR_NOTE,0))</f>
        <v>2.4</v>
      </c>
      <c r="J28" s="2216" t="str">
        <f>INDEX(TEMPLATE_DATA_POINT_FHD,B28,MATCH(TEMPLATE_SPHERE,TEMPLATE_SPHERE_LIST_FOR_NOTE,0))</f>
        <v>Расходы на приобретение холодной воды, используемой в технологическом процессе</v>
      </c>
      <c r="K28" s="2216">
        <f>INDEX(TEMPLATE_NOTE_POINT_FHD,B28,MATCH(TEMPLATE_SPHERE,TEMPLATE_SPHERE_LIST_FOR_NOTE,0))</f>
        <v>0</v>
      </c>
      <c r="L28" s="2055" t="str">
        <f>IF(I28=0,"",I28)</f>
        <v>2.4</v>
      </c>
      <c r="M28" s="2055" t="str">
        <f>IF(J28=0,"",J28)</f>
        <v>Расходы на приобретение холодной воды, используемой в технологическом процессе</v>
      </c>
      <c r="N28" s="2055" t="str">
        <f>IF(K28=0,"",K28)</f>
        <v/>
      </c>
      <c r="O28" s="2168" t="s">
        <v>880</v>
      </c>
      <c r="P28" s="2168"/>
      <c r="Q28" s="2168"/>
      <c r="R28" s="2168"/>
      <c r="S28" s="2168"/>
      <c r="T28" s="2175" t="s">
        <v>2239</v>
      </c>
      <c r="U28" s="2057"/>
      <c r="V28" s="2057"/>
      <c r="W28" s="2057"/>
      <c r="X28" s="2054"/>
      <c r="Y28" s="2211"/>
      <c r="Z28" s="2057"/>
      <c r="AA28" s="2060"/>
      <c r="AB28" s="2057"/>
      <c r="AC28" s="2057"/>
      <c r="AD28" s="2057"/>
    </row>
    <row customHeight="1" ht="27">
      <c r="A29" s="2056"/>
      <c r="B29" s="2110">
        <v>12</v>
      </c>
      <c r="C29" s="2054">
        <v>8</v>
      </c>
      <c r="D29" s="2178"/>
      <c r="E29" s="2054"/>
      <c r="F29" s="2054"/>
      <c r="G29" s="2102"/>
      <c r="H29" s="2169"/>
      <c r="I29" s="2216" t="str">
        <f>INDEX(TEMPLATE_NUMBER_POINT_FHD,B29,MATCH(TEMPLATE_SPHERE,TEMPLATE_SPHERE_LIST_FOR_NOTE,0))</f>
        <v>2.5</v>
      </c>
      <c r="J29" s="2216" t="str">
        <f>INDEX(TEMPLATE_DATA_POINT_FHD,B29,MATCH(TEMPLATE_SPHERE,TEMPLATE_SPHERE_LIST_FOR_NOTE,0))</f>
        <v>Расходы на  химические реагенты, используемые в технологическом процессе</v>
      </c>
      <c r="K29" s="2216">
        <f>INDEX(TEMPLATE_NOTE_POINT_FHD,B29,MATCH(TEMPLATE_SPHERE,TEMPLATE_SPHERE_LIST_FOR_NOTE,0))</f>
        <v>0</v>
      </c>
      <c r="L29" s="2055" t="str">
        <f>IF(I29=0,"",I29)</f>
        <v>2.5</v>
      </c>
      <c r="M29" s="2055" t="str">
        <f>IF(J29=0,"",J29)</f>
        <v>Расходы на  химические реагенты, используемые в технологическом процессе</v>
      </c>
      <c r="N29" s="2055" t="str">
        <f>IF(K29=0,"",K29)</f>
        <v/>
      </c>
      <c r="O29" s="2168" t="s">
        <v>887</v>
      </c>
      <c r="P29" s="2168" t="s">
        <v>328</v>
      </c>
      <c r="Q29" s="2168"/>
      <c r="R29" s="2168" t="s">
        <v>328</v>
      </c>
      <c r="S29" s="2168"/>
      <c r="T29" s="217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2057" t="s">
        <v>2240</v>
      </c>
      <c r="V29" s="2057"/>
      <c r="W29" s="2057" t="s">
        <v>2240</v>
      </c>
      <c r="X29" s="2054"/>
      <c r="Y29" s="2211"/>
      <c r="Z29" s="2057"/>
      <c r="AA29" s="2060"/>
      <c r="AB29" s="2057"/>
      <c r="AC29" s="2057"/>
      <c r="AD29" s="2057"/>
    </row>
    <row customHeight="1" ht="54">
      <c r="A30" s="2056"/>
      <c r="B30" s="2110">
        <v>13</v>
      </c>
      <c r="C30" s="2054">
        <v>9</v>
      </c>
      <c r="D30" s="2178"/>
      <c r="E30" s="2054"/>
      <c r="F30" s="2054"/>
      <c r="G30" s="2102"/>
      <c r="H30" s="2169"/>
      <c r="I30" s="2216" t="str">
        <f>INDEX(TEMPLATE_NUMBER_POINT_FHD,B30,MATCH(TEMPLATE_SPHERE,TEMPLATE_SPHERE_LIST_FOR_NOTE,0))</f>
        <v>2.6</v>
      </c>
      <c r="J30" s="221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2216">
        <f>INDEX(TEMPLATE_NOTE_POINT_FHD,B30,MATCH(TEMPLATE_SPHERE,TEMPLATE_SPHERE_LIST_FOR_NOTE,0))</f>
        <v>0</v>
      </c>
      <c r="L30" s="2055" t="str">
        <f>IF(I30=0,"",I30)</f>
        <v>2.6</v>
      </c>
      <c r="M30" s="205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2055" t="str">
        <f>IF(K30=0,"",K30)</f>
        <v/>
      </c>
      <c r="O30" s="2168" t="s">
        <v>889</v>
      </c>
      <c r="P30" s="2168" t="s">
        <v>880</v>
      </c>
      <c r="Q30" s="2168" t="s">
        <v>889</v>
      </c>
      <c r="R30" s="2168" t="s">
        <v>880</v>
      </c>
      <c r="S30" s="2168"/>
      <c r="T30" s="2175" t="s">
        <v>2241</v>
      </c>
      <c r="U30" s="2057" t="s">
        <v>2241</v>
      </c>
      <c r="V30" s="2057" t="s">
        <v>2241</v>
      </c>
      <c r="W30" s="2057" t="s">
        <v>2241</v>
      </c>
      <c r="X30" s="2054"/>
      <c r="Y30" s="2211"/>
      <c r="Z30" s="2057"/>
      <c r="AA30" s="2060" t="s">
        <v>2242</v>
      </c>
      <c r="AB30" s="2060" t="s">
        <v>2242</v>
      </c>
      <c r="AC30" s="2060" t="s">
        <v>2242</v>
      </c>
      <c r="AD30" s="2057"/>
    </row>
    <row customHeight="1" ht="18">
      <c r="A31" s="2056"/>
      <c r="B31" s="2110">
        <v>14</v>
      </c>
      <c r="C31" s="2054" t="s">
        <v>2243</v>
      </c>
      <c r="D31" s="2178"/>
      <c r="E31" s="2054"/>
      <c r="F31" s="2054"/>
      <c r="G31" s="2102"/>
      <c r="H31" s="2169"/>
      <c r="I31" s="2216" t="str">
        <f>INDEX(TEMPLATE_NUMBER_POINT_FHD,B31,MATCH(TEMPLATE_SPHERE,TEMPLATE_SPHERE_LIST_FOR_NOTE,0))</f>
        <v>2.6.1</v>
      </c>
      <c r="J31" s="2216" t="str">
        <f>INDEX(TEMPLATE_DATA_POINT_FHD,B31,MATCH(TEMPLATE_SPHERE,TEMPLATE_SPHERE_LIST_FOR_NOTE,0))</f>
        <v>Расходы на оплату труда основного производственного персонала</v>
      </c>
      <c r="K31" s="2216">
        <f>INDEX(TEMPLATE_NOTE_POINT_FHD,B31,MATCH(TEMPLATE_SPHERE,TEMPLATE_SPHERE_LIST_FOR_NOTE,0))</f>
        <v>0</v>
      </c>
      <c r="L31" s="2055" t="str">
        <f>IF(I31=0,"",I31)</f>
        <v>2.6.1</v>
      </c>
      <c r="M31" s="2055" t="str">
        <f>IF(J31=0,"",J31)</f>
        <v>Расходы на оплату труда основного производственного персонала</v>
      </c>
      <c r="N31" s="2055" t="str">
        <f>IF(K31=0,"",K31)</f>
        <v/>
      </c>
      <c r="O31" s="2168" t="s">
        <v>2244</v>
      </c>
      <c r="P31" s="2168" t="s">
        <v>883</v>
      </c>
      <c r="Q31" s="2168" t="s">
        <v>2244</v>
      </c>
      <c r="R31" s="2168" t="s">
        <v>883</v>
      </c>
      <c r="S31" s="2168"/>
      <c r="T31" s="2176" t="s">
        <v>2245</v>
      </c>
      <c r="U31" s="2057" t="s">
        <v>2245</v>
      </c>
      <c r="V31" s="2057" t="s">
        <v>2245</v>
      </c>
      <c r="W31" s="2057" t="s">
        <v>2245</v>
      </c>
      <c r="X31" s="2054"/>
      <c r="Y31" s="2211"/>
      <c r="Z31" s="2057"/>
      <c r="AA31" s="2060"/>
      <c r="AB31" s="2060"/>
      <c r="AC31" s="2060"/>
      <c r="AD31" s="2057"/>
    </row>
    <row customHeight="1" ht="36">
      <c r="A32" s="2056"/>
      <c r="B32" s="2110">
        <v>15</v>
      </c>
      <c r="C32" s="2054" t="s">
        <v>2246</v>
      </c>
      <c r="D32" s="2178"/>
      <c r="E32" s="2054"/>
      <c r="F32" s="2054"/>
      <c r="G32" s="2102"/>
      <c r="H32" s="2169"/>
      <c r="I32" s="2216" t="str">
        <f>INDEX(TEMPLATE_NUMBER_POINT_FHD,B32,MATCH(TEMPLATE_SPHERE,TEMPLATE_SPHERE_LIST_FOR_NOTE,0))</f>
        <v>2.6.2</v>
      </c>
      <c r="J32" s="221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2216">
        <f>INDEX(TEMPLATE_NOTE_POINT_FHD,B32,MATCH(TEMPLATE_SPHERE,TEMPLATE_SPHERE_LIST_FOR_NOTE,0))</f>
        <v>0</v>
      </c>
      <c r="L32" s="2055" t="str">
        <f>IF(I32=0,"",I32)</f>
        <v>2.6.2</v>
      </c>
      <c r="M32" s="2055" t="str">
        <f>IF(J32=0,"",J32)</f>
        <v>Страховые взносы на обязательное социальное страхование, выплачиваемые из фонда оплаты труда основного производственного персонала</v>
      </c>
      <c r="N32" s="2055" t="str">
        <f>IF(K32=0,"",K32)</f>
        <v/>
      </c>
      <c r="O32" s="2168" t="s">
        <v>2247</v>
      </c>
      <c r="P32" s="2168" t="s">
        <v>885</v>
      </c>
      <c r="Q32" s="2168" t="s">
        <v>2247</v>
      </c>
      <c r="R32" s="2168" t="s">
        <v>885</v>
      </c>
      <c r="S32" s="2168"/>
      <c r="T32" s="217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2057" t="s">
        <v>2248</v>
      </c>
      <c r="V32" s="2057" t="s">
        <v>2248</v>
      </c>
      <c r="W32" s="2057" t="s">
        <v>2248</v>
      </c>
      <c r="X32" s="2054"/>
      <c r="Y32" s="2211"/>
      <c r="Z32" s="2057"/>
      <c r="AA32" s="2060"/>
      <c r="AB32" s="2060"/>
      <c r="AC32" s="2060"/>
      <c r="AD32" s="2057"/>
    </row>
    <row customHeight="1" ht="45">
      <c r="A33" s="2056"/>
      <c r="B33" s="2110">
        <v>16</v>
      </c>
      <c r="C33" s="2054">
        <v>10</v>
      </c>
      <c r="D33" s="2178"/>
      <c r="E33" s="2054"/>
      <c r="F33" s="2054"/>
      <c r="G33" s="2102"/>
      <c r="H33" s="2169"/>
      <c r="I33" s="2216" t="str">
        <f>INDEX(TEMPLATE_NUMBER_POINT_FHD,B33,MATCH(TEMPLATE_SPHERE,TEMPLATE_SPHERE_LIST_FOR_NOTE,0))</f>
        <v>2.7</v>
      </c>
      <c r="J33" s="221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2216">
        <f>INDEX(TEMPLATE_NOTE_POINT_FHD,B33,MATCH(TEMPLATE_SPHERE,TEMPLATE_SPHERE_LIST_FOR_NOTE,0))</f>
        <v>0</v>
      </c>
      <c r="L33" s="2055" t="str">
        <f>IF(I33=0,"",I33)</f>
        <v>2.7</v>
      </c>
      <c r="M33" s="205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2055" t="str">
        <f>IF(K33=0,"",K33)</f>
        <v/>
      </c>
      <c r="O33" s="2168" t="s">
        <v>891</v>
      </c>
      <c r="P33" s="2168" t="s">
        <v>887</v>
      </c>
      <c r="Q33" s="2168" t="s">
        <v>891</v>
      </c>
      <c r="R33" s="2168" t="s">
        <v>887</v>
      </c>
      <c r="S33" s="2168"/>
      <c r="T33" s="217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2057" t="s">
        <v>2249</v>
      </c>
      <c r="V33" s="2057" t="s">
        <v>2249</v>
      </c>
      <c r="W33" s="2057" t="s">
        <v>2250</v>
      </c>
      <c r="X33" s="2054"/>
      <c r="Y33" s="2211"/>
      <c r="Z33" s="2057"/>
      <c r="AA33" s="2060" t="s">
        <v>2251</v>
      </c>
      <c r="AB33" s="2060" t="s">
        <v>2251</v>
      </c>
      <c r="AC33" s="2060" t="s">
        <v>2251</v>
      </c>
      <c r="AD33" s="2057"/>
    </row>
    <row customHeight="1" ht="27">
      <c r="A34" s="2056"/>
      <c r="B34" s="2110">
        <v>17</v>
      </c>
      <c r="C34" s="2054" t="s">
        <v>2252</v>
      </c>
      <c r="D34" s="2178"/>
      <c r="E34" s="2054"/>
      <c r="F34" s="2054"/>
      <c r="G34" s="2102"/>
      <c r="H34" s="2169"/>
      <c r="I34" s="2216" t="str">
        <f>INDEX(TEMPLATE_NUMBER_POINT_FHD,B34,MATCH(TEMPLATE_SPHERE,TEMPLATE_SPHERE_LIST_FOR_NOTE,0))</f>
        <v>2.7.1</v>
      </c>
      <c r="J34" s="2216" t="str">
        <f>INDEX(TEMPLATE_DATA_POINT_FHD,B34,MATCH(TEMPLATE_SPHERE,TEMPLATE_SPHERE_LIST_FOR_NOTE,0))</f>
        <v>Расходы на оплату труда административно-управленческого персонала</v>
      </c>
      <c r="K34" s="2216">
        <f>INDEX(TEMPLATE_NOTE_POINT_FHD,B34,MATCH(TEMPLATE_SPHERE,TEMPLATE_SPHERE_LIST_FOR_NOTE,0))</f>
        <v>0</v>
      </c>
      <c r="L34" s="2055" t="str">
        <f>IF(I34=0,"",I34)</f>
        <v>2.7.1</v>
      </c>
      <c r="M34" s="2055" t="str">
        <f>IF(J34=0,"",J34)</f>
        <v>Расходы на оплату труда административно-управленческого персонала</v>
      </c>
      <c r="N34" s="2055" t="str">
        <f>IF(K34=0,"",K34)</f>
        <v/>
      </c>
      <c r="O34" s="2168" t="s">
        <v>2253</v>
      </c>
      <c r="P34" s="2168" t="s">
        <v>2235</v>
      </c>
      <c r="Q34" s="2168" t="s">
        <v>2253</v>
      </c>
      <c r="R34" s="2168" t="s">
        <v>2235</v>
      </c>
      <c r="S34" s="2168"/>
      <c r="T34" s="2177" t="s">
        <v>2254</v>
      </c>
      <c r="U34" s="2057" t="s">
        <v>2254</v>
      </c>
      <c r="V34" s="2057" t="s">
        <v>2254</v>
      </c>
      <c r="W34" s="2057" t="s">
        <v>2255</v>
      </c>
      <c r="X34" s="2054"/>
      <c r="Y34" s="2211"/>
      <c r="Z34" s="2057"/>
      <c r="AA34" s="2060"/>
      <c r="AB34" s="2057"/>
      <c r="AC34" s="2057"/>
      <c r="AD34" s="2057"/>
    </row>
    <row customHeight="1" ht="45">
      <c r="A35" s="2056"/>
      <c r="B35" s="2110">
        <v>18</v>
      </c>
      <c r="C35" s="2054" t="s">
        <v>2256</v>
      </c>
      <c r="D35" s="2178"/>
      <c r="E35" s="2054"/>
      <c r="F35" s="2054"/>
      <c r="G35" s="2102"/>
      <c r="H35" s="2169"/>
      <c r="I35" s="2216" t="str">
        <f>INDEX(TEMPLATE_NUMBER_POINT_FHD,B35,MATCH(TEMPLATE_SPHERE,TEMPLATE_SPHERE_LIST_FOR_NOTE,0))</f>
        <v>2.7.2</v>
      </c>
      <c r="J35" s="221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2216">
        <f>INDEX(TEMPLATE_NOTE_POINT_FHD,B35,MATCH(TEMPLATE_SPHERE,TEMPLATE_SPHERE_LIST_FOR_NOTE,0))</f>
        <v>0</v>
      </c>
      <c r="L35" s="2055" t="str">
        <f>IF(I35=0,"",I35)</f>
        <v>2.7.2</v>
      </c>
      <c r="M35" s="205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2055" t="str">
        <f>IF(K35=0,"",K35)</f>
        <v/>
      </c>
      <c r="O35" s="2168" t="s">
        <v>2257</v>
      </c>
      <c r="P35" s="2168" t="s">
        <v>2237</v>
      </c>
      <c r="Q35" s="2168" t="s">
        <v>2257</v>
      </c>
      <c r="R35" s="2168" t="s">
        <v>2237</v>
      </c>
      <c r="S35" s="2168"/>
      <c r="T35" s="217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2057" t="s">
        <v>2258</v>
      </c>
      <c r="V35" s="2057" t="s">
        <v>2258</v>
      </c>
      <c r="W35" s="2057" t="s">
        <v>2258</v>
      </c>
      <c r="X35" s="2054"/>
      <c r="Y35" s="2211"/>
      <c r="Z35" s="2057"/>
      <c r="AA35" s="2060"/>
      <c r="AB35" s="2057"/>
      <c r="AC35" s="2057"/>
      <c r="AD35" s="2057"/>
    </row>
    <row customHeight="1" ht="18">
      <c r="A36" s="2056"/>
      <c r="B36" s="2110">
        <v>19</v>
      </c>
      <c r="C36" s="2054">
        <v>11</v>
      </c>
      <c r="D36" s="2178"/>
      <c r="E36" s="2054"/>
      <c r="F36" s="2054"/>
      <c r="G36" s="2102"/>
      <c r="H36" s="2169"/>
      <c r="I36" s="2216" t="str">
        <f>INDEX(TEMPLATE_NUMBER_POINT_FHD,B36,MATCH(TEMPLATE_SPHERE,TEMPLATE_SPHERE_LIST_FOR_NOTE,0))</f>
        <v>2.8</v>
      </c>
      <c r="J36" s="2216" t="str">
        <f>INDEX(TEMPLATE_DATA_POINT_FHD,B36,MATCH(TEMPLATE_SPHERE,TEMPLATE_SPHERE_LIST_FOR_NOTE,0))</f>
        <v>Расходы на амортизацию основных средств и нематериальных активов</v>
      </c>
      <c r="K36" s="2216">
        <f>INDEX(TEMPLATE_NOTE_POINT_FHD,B36,MATCH(TEMPLATE_SPHERE,TEMPLATE_SPHERE_LIST_FOR_NOTE,0))</f>
        <v>0</v>
      </c>
      <c r="L36" s="2055" t="str">
        <f>IF(I36=0,"",I36)</f>
        <v>2.8</v>
      </c>
      <c r="M36" s="2055" t="str">
        <f>IF(J36=0,"",J36)</f>
        <v>Расходы на амортизацию основных средств и нематериальных активов</v>
      </c>
      <c r="N36" s="2055" t="str">
        <f>IF(K36=0,"",K36)</f>
        <v/>
      </c>
      <c r="O36" s="2168" t="s">
        <v>893</v>
      </c>
      <c r="P36" s="2168" t="s">
        <v>889</v>
      </c>
      <c r="Q36" s="2168" t="s">
        <v>893</v>
      </c>
      <c r="R36" s="2168" t="s">
        <v>889</v>
      </c>
      <c r="S36" s="2168"/>
      <c r="T36" s="2175" t="s">
        <v>2259</v>
      </c>
      <c r="U36" s="2057" t="s">
        <v>2259</v>
      </c>
      <c r="V36" s="2057" t="s">
        <v>2259</v>
      </c>
      <c r="W36" s="2057" t="s">
        <v>2259</v>
      </c>
      <c r="X36" s="2054"/>
      <c r="Y36" s="2211"/>
      <c r="Z36" s="2057"/>
      <c r="AA36" s="2060"/>
      <c r="AB36" s="2057"/>
      <c r="AC36" s="2057"/>
      <c r="AD36" s="2057"/>
    </row>
    <row customHeight="1" ht="18">
      <c r="A37" s="2056"/>
      <c r="B37" s="2110">
        <v>20</v>
      </c>
      <c r="C37" s="2054" t="s">
        <v>2260</v>
      </c>
      <c r="D37" s="2178"/>
      <c r="E37" s="2054"/>
      <c r="F37" s="2054"/>
      <c r="G37" s="2102"/>
      <c r="H37" s="2169"/>
      <c r="I37" s="2216" t="str">
        <f>INDEX(TEMPLATE_NUMBER_POINT_FHD,B37,MATCH(TEMPLATE_SPHERE,TEMPLATE_SPHERE_LIST_FOR_NOTE,0))</f>
        <v>2.8.1</v>
      </c>
      <c r="J37" s="2216" t="str">
        <f>INDEX(TEMPLATE_DATA_POINT_FHD,B37,MATCH(TEMPLATE_SPHERE,TEMPLATE_SPHERE_LIST_FOR_NOTE,0))</f>
        <v>Расходы на амортизацию основных средств</v>
      </c>
      <c r="K37" s="2216">
        <f>INDEX(TEMPLATE_NOTE_POINT_FHD,B37,MATCH(TEMPLATE_SPHERE,TEMPLATE_SPHERE_LIST_FOR_NOTE,0))</f>
        <v>0</v>
      </c>
      <c r="L37" s="2055" t="str">
        <f>IF(I37=0,"",I37)</f>
        <v>2.8.1</v>
      </c>
      <c r="M37" s="2055" t="str">
        <f>IF(J37=0,"",J37)</f>
        <v>Расходы на амортизацию основных средств</v>
      </c>
      <c r="N37" s="2055" t="str">
        <f>IF(K37=0,"",K37)</f>
        <v/>
      </c>
      <c r="O37" s="2168" t="s">
        <v>2261</v>
      </c>
      <c r="P37" s="2168" t="s">
        <v>2244</v>
      </c>
      <c r="Q37" s="2168" t="s">
        <v>2261</v>
      </c>
      <c r="R37" s="2168" t="s">
        <v>2244</v>
      </c>
      <c r="S37" s="2168"/>
      <c r="T37" s="2175" t="s">
        <v>2262</v>
      </c>
      <c r="U37" s="2057" t="s">
        <v>2262</v>
      </c>
      <c r="V37" s="2057" t="s">
        <v>2262</v>
      </c>
      <c r="W37" s="2057" t="s">
        <v>2262</v>
      </c>
      <c r="X37" s="2054"/>
      <c r="Y37" s="2211"/>
      <c r="Z37" s="2057"/>
      <c r="AA37" s="2060"/>
      <c r="AB37" s="2057"/>
      <c r="AC37" s="2057"/>
      <c r="AD37" s="2057"/>
    </row>
    <row customHeight="1" ht="18">
      <c r="A38" s="2056"/>
      <c r="B38" s="2110">
        <v>21</v>
      </c>
      <c r="C38" s="2054" t="s">
        <v>2263</v>
      </c>
      <c r="D38" s="2178"/>
      <c r="E38" s="2054"/>
      <c r="F38" s="2054"/>
      <c r="G38" s="2102"/>
      <c r="H38" s="2169"/>
      <c r="I38" s="2216" t="str">
        <f>INDEX(TEMPLATE_NUMBER_POINT_FHD,B38,MATCH(TEMPLATE_SPHERE,TEMPLATE_SPHERE_LIST_FOR_NOTE,0))</f>
        <v>2.8.2</v>
      </c>
      <c r="J38" s="2216" t="str">
        <f>INDEX(TEMPLATE_DATA_POINT_FHD,B38,MATCH(TEMPLATE_SPHERE,TEMPLATE_SPHERE_LIST_FOR_NOTE,0))</f>
        <v>Расходы на амортизацию нематериальных активов</v>
      </c>
      <c r="K38" s="2216">
        <f>INDEX(TEMPLATE_NOTE_POINT_FHD,B38,MATCH(TEMPLATE_SPHERE,TEMPLATE_SPHERE_LIST_FOR_NOTE,0))</f>
        <v>0</v>
      </c>
      <c r="L38" s="2055" t="str">
        <f>IF(I38=0,"",I38)</f>
        <v>2.8.2</v>
      </c>
      <c r="M38" s="2055" t="str">
        <f>IF(J38=0,"",J38)</f>
        <v>Расходы на амортизацию нематериальных активов</v>
      </c>
      <c r="N38" s="2055" t="str">
        <f>IF(K38=0,"",K38)</f>
        <v/>
      </c>
      <c r="O38" s="2168" t="s">
        <v>2264</v>
      </c>
      <c r="P38" s="2168" t="s">
        <v>2247</v>
      </c>
      <c r="Q38" s="2168" t="s">
        <v>2264</v>
      </c>
      <c r="R38" s="2168" t="s">
        <v>2247</v>
      </c>
      <c r="S38" s="2168"/>
      <c r="T38" s="2175" t="s">
        <v>2265</v>
      </c>
      <c r="U38" s="2057" t="s">
        <v>2265</v>
      </c>
      <c r="V38" s="2057" t="s">
        <v>2265</v>
      </c>
      <c r="W38" s="2057" t="s">
        <v>2265</v>
      </c>
      <c r="X38" s="2054"/>
      <c r="Y38" s="2211"/>
      <c r="Z38" s="2057"/>
      <c r="AA38" s="2060"/>
      <c r="AB38" s="2057"/>
      <c r="AC38" s="2057"/>
      <c r="AD38" s="2057"/>
    </row>
    <row customHeight="1" ht="36">
      <c r="A39" s="2056"/>
      <c r="B39" s="2110">
        <v>22</v>
      </c>
      <c r="C39" s="2054">
        <v>12</v>
      </c>
      <c r="D39" s="2178"/>
      <c r="E39" s="2054"/>
      <c r="F39" s="2054"/>
      <c r="G39" s="2102"/>
      <c r="H39" s="2169"/>
      <c r="I39" s="2216" t="str">
        <f>INDEX(TEMPLATE_NUMBER_POINT_FHD,B39,MATCH(TEMPLATE_SPHERE,TEMPLATE_SPHERE_LIST_FOR_NOTE,0))</f>
        <v>2.9</v>
      </c>
      <c r="J39" s="2216" t="str">
        <f>INDEX(TEMPLATE_DATA_POINT_FHD,B39,MATCH(TEMPLATE_SPHERE,TEMPLATE_SPHERE_LIST_FOR_NOTE,0))</f>
        <v>Расходы на аренду имущества, используемого для осуществления регулируемого вида деятельности</v>
      </c>
      <c r="K39" s="2216">
        <f>INDEX(TEMPLATE_NOTE_POINT_FHD,B39,MATCH(TEMPLATE_SPHERE,TEMPLATE_SPHERE_LIST_FOR_NOTE,0))</f>
        <v>0</v>
      </c>
      <c r="L39" s="2055" t="str">
        <f>IF(I39=0,"",I39)</f>
        <v>2.9</v>
      </c>
      <c r="M39" s="2055" t="str">
        <f>IF(J39=0,"",J39)</f>
        <v>Расходы на аренду имущества, используемого для осуществления регулируемого вида деятельности</v>
      </c>
      <c r="N39" s="2055" t="str">
        <f>IF(K39=0,"",K39)</f>
        <v/>
      </c>
      <c r="O39" s="2168" t="s">
        <v>897</v>
      </c>
      <c r="P39" s="2168" t="s">
        <v>891</v>
      </c>
      <c r="Q39" s="2168" t="s">
        <v>897</v>
      </c>
      <c r="R39" s="2168" t="s">
        <v>891</v>
      </c>
      <c r="S39" s="2168"/>
      <c r="T39" s="2175" t="s">
        <v>2266</v>
      </c>
      <c r="U39" s="2057" t="s">
        <v>2267</v>
      </c>
      <c r="V39" s="2057" t="s">
        <v>2268</v>
      </c>
      <c r="W39" s="2057" t="s">
        <v>2269</v>
      </c>
      <c r="X39" s="2054"/>
      <c r="Y39" s="2211"/>
      <c r="Z39" s="2057"/>
      <c r="AA39" s="2060"/>
      <c r="AB39" s="2057"/>
      <c r="AC39" s="2057"/>
      <c r="AD39" s="2057"/>
    </row>
    <row customHeight="1" ht="18">
      <c r="A40" s="2056"/>
      <c r="B40" s="2110">
        <v>23</v>
      </c>
      <c r="C40" s="2054">
        <v>13</v>
      </c>
      <c r="D40" s="2178"/>
      <c r="E40" s="2054"/>
      <c r="F40" s="2054"/>
      <c r="G40" s="2054"/>
      <c r="H40" s="2105"/>
      <c r="I40" s="2216" t="str">
        <f>INDEX(TEMPLATE_NUMBER_POINT_FHD,B40,MATCH(TEMPLATE_SPHERE,TEMPLATE_SPHERE_LIST_FOR_NOTE,0))</f>
        <v>2.10</v>
      </c>
      <c r="J40" s="2216" t="str">
        <f>INDEX(TEMPLATE_DATA_POINT_FHD,B40,MATCH(TEMPLATE_SPHERE,TEMPLATE_SPHERE_LIST_FOR_NOTE,0))</f>
        <v>Общепроизводственные расходы, в том числе:</v>
      </c>
      <c r="K40" s="2216" t="str">
        <f>INDEX(TEMPLATE_NOTE_POINT_FHD,B40,MATCH(TEMPLATE_SPHERE,TEMPLATE_SPHERE_LIST_FOR_NOTE,0))</f>
        <v>Указывается общая сумма общепроизводственных расходов.</v>
      </c>
      <c r="L40" s="2055" t="str">
        <f>IF(I40=0,"",I40)</f>
        <v>2.10</v>
      </c>
      <c r="M40" s="2055" t="str">
        <f>IF(J40=0,"",J40)</f>
        <v>Общепроизводственные расходы, в том числе:</v>
      </c>
      <c r="N40" s="2055" t="str">
        <f>IF(K40=0,"",K40)</f>
        <v>Указывается общая сумма общепроизводственных расходов.</v>
      </c>
      <c r="O40" s="2168" t="s">
        <v>949</v>
      </c>
      <c r="P40" s="2168" t="s">
        <v>893</v>
      </c>
      <c r="Q40" s="2168" t="s">
        <v>949</v>
      </c>
      <c r="R40" s="2168" t="s">
        <v>893</v>
      </c>
      <c r="S40" s="2168"/>
      <c r="T40" s="2054" t="s">
        <v>2270</v>
      </c>
      <c r="U40" s="2054" t="s">
        <v>2270</v>
      </c>
      <c r="V40" s="2054" t="s">
        <v>2270</v>
      </c>
      <c r="W40" s="2054" t="s">
        <v>2270</v>
      </c>
      <c r="X40" s="2054"/>
      <c r="Y40" s="2211"/>
      <c r="Z40" s="2057" t="s">
        <v>2271</v>
      </c>
      <c r="AA40" s="2060" t="s">
        <v>2271</v>
      </c>
      <c r="AB40" s="2060" t="s">
        <v>2271</v>
      </c>
      <c r="AC40" s="2060" t="s">
        <v>2271</v>
      </c>
      <c r="AD40" s="2057"/>
    </row>
    <row customHeight="1" ht="27">
      <c r="A41" s="2056"/>
      <c r="B41" s="2110">
        <v>24</v>
      </c>
      <c r="C41" s="2054" t="s">
        <v>2272</v>
      </c>
      <c r="D41" s="2178"/>
      <c r="E41" s="2054"/>
      <c r="F41" s="2054"/>
      <c r="G41" s="2054"/>
      <c r="H41" s="2102"/>
      <c r="I41" s="2216" t="str">
        <f>INDEX(TEMPLATE_NUMBER_POINT_FHD,B41,MATCH(TEMPLATE_SPHERE,TEMPLATE_SPHERE_LIST_FOR_NOTE,0))</f>
        <v>2.10.1</v>
      </c>
      <c r="J41" s="2216" t="str">
        <f>INDEX(TEMPLATE_DATA_POINT_FHD,B41,MATCH(TEMPLATE_SPHERE,TEMPLATE_SPHERE_LIST_FOR_NOTE,0))</f>
        <v>Расходы на текущий ремонт</v>
      </c>
      <c r="K41" s="2216" t="str">
        <f>INDEX(TEMPLATE_NOTE_POINT_FHD,B41,MATCH(TEMPLATE_SPHERE,TEMPLATE_SPHERE_LIST_FOR_NOTE,0))</f>
        <v>Указываются расходы на текущий ремонт, отнесенные к общепроизводственным расходам.</v>
      </c>
      <c r="L41" s="2055" t="str">
        <f>IF(I41=0,"",I41)</f>
        <v>2.10.1</v>
      </c>
      <c r="M41" s="2055" t="str">
        <f>IF(J41=0,"",J41)</f>
        <v>Расходы на текущий ремонт</v>
      </c>
      <c r="N41" s="2055" t="str">
        <f>IF(K41=0,"",K41)</f>
        <v>Указываются расходы на текущий ремонт, отнесенные к общепроизводственным расходам.</v>
      </c>
      <c r="O41" s="2168" t="s">
        <v>2273</v>
      </c>
      <c r="P41" s="2168" t="s">
        <v>2261</v>
      </c>
      <c r="Q41" s="2168" t="s">
        <v>2273</v>
      </c>
      <c r="R41" s="2168" t="s">
        <v>2261</v>
      </c>
      <c r="S41" s="2168"/>
      <c r="T41" s="2054" t="s">
        <v>2274</v>
      </c>
      <c r="U41" s="2054" t="s">
        <v>2274</v>
      </c>
      <c r="V41" s="2054" t="s">
        <v>2274</v>
      </c>
      <c r="W41" s="2054" t="s">
        <v>2274</v>
      </c>
      <c r="X41" s="2054"/>
      <c r="Y41" s="2211"/>
      <c r="Z41" s="2057" t="s">
        <v>2275</v>
      </c>
      <c r="AA41" s="2057" t="s">
        <v>2275</v>
      </c>
      <c r="AB41" s="2057" t="s">
        <v>2275</v>
      </c>
      <c r="AC41" s="2057" t="s">
        <v>2275</v>
      </c>
      <c r="AD41" s="2057"/>
    </row>
    <row customHeight="1" ht="27">
      <c r="A42" s="2056"/>
      <c r="B42" s="2110">
        <v>25</v>
      </c>
      <c r="C42" s="2054" t="s">
        <v>2276</v>
      </c>
      <c r="D42" s="2178"/>
      <c r="E42" s="2054"/>
      <c r="F42" s="2054"/>
      <c r="G42" s="2054"/>
      <c r="H42" s="2102"/>
      <c r="I42" s="2216" t="str">
        <f>INDEX(TEMPLATE_NUMBER_POINT_FHD,B42,MATCH(TEMPLATE_SPHERE,TEMPLATE_SPHERE_LIST_FOR_NOTE,0))</f>
        <v>2.10.2</v>
      </c>
      <c r="J42" s="2216" t="str">
        <f>INDEX(TEMPLATE_DATA_POINT_FHD,B42,MATCH(TEMPLATE_SPHERE,TEMPLATE_SPHERE_LIST_FOR_NOTE,0))</f>
        <v>Расходы на капитальный ремонт</v>
      </c>
      <c r="K42" s="2216" t="str">
        <f>INDEX(TEMPLATE_NOTE_POINT_FHD,B42,MATCH(TEMPLATE_SPHERE,TEMPLATE_SPHERE_LIST_FOR_NOTE,0))</f>
        <v>Указываются расходы на капитальный ремонт, отнесенные к общепроизводственным расходам.</v>
      </c>
      <c r="L42" s="2055" t="str">
        <f>IF(I42=0,"",I42)</f>
        <v>2.10.2</v>
      </c>
      <c r="M42" s="2055" t="str">
        <f>IF(J42=0,"",J42)</f>
        <v>Расходы на капитальный ремонт</v>
      </c>
      <c r="N42" s="2055" t="str">
        <f>IF(K42=0,"",K42)</f>
        <v>Указываются расходы на капитальный ремонт, отнесенные к общепроизводственным расходам.</v>
      </c>
      <c r="O42" s="2168" t="s">
        <v>2277</v>
      </c>
      <c r="P42" s="2168" t="s">
        <v>2264</v>
      </c>
      <c r="Q42" s="2168" t="s">
        <v>2277</v>
      </c>
      <c r="R42" s="2168" t="s">
        <v>2264</v>
      </c>
      <c r="S42" s="2168"/>
      <c r="T42" s="2054" t="s">
        <v>2278</v>
      </c>
      <c r="U42" s="2054" t="s">
        <v>2278</v>
      </c>
      <c r="V42" s="2054" t="s">
        <v>2278</v>
      </c>
      <c r="W42" s="2054" t="s">
        <v>2278</v>
      </c>
      <c r="X42" s="2054"/>
      <c r="Y42" s="2211"/>
      <c r="Z42" s="2057" t="s">
        <v>2279</v>
      </c>
      <c r="AA42" s="2057" t="s">
        <v>2279</v>
      </c>
      <c r="AB42" s="2057" t="s">
        <v>2279</v>
      </c>
      <c r="AC42" s="2057" t="s">
        <v>2279</v>
      </c>
      <c r="AD42" s="2057"/>
    </row>
    <row customHeight="1" ht="18">
      <c r="A43" s="2056"/>
      <c r="B43" s="2110">
        <v>26</v>
      </c>
      <c r="C43" s="2054">
        <v>14</v>
      </c>
      <c r="D43" s="2178"/>
      <c r="E43" s="2054"/>
      <c r="F43" s="2054"/>
      <c r="G43" s="2054"/>
      <c r="H43" s="2102"/>
      <c r="I43" s="2216" t="str">
        <f>INDEX(TEMPLATE_NUMBER_POINT_FHD,B43,MATCH(TEMPLATE_SPHERE,TEMPLATE_SPHERE_LIST_FOR_NOTE,0))</f>
        <v>2.11</v>
      </c>
      <c r="J43" s="2216" t="str">
        <f>INDEX(TEMPLATE_DATA_POINT_FHD,B43,MATCH(TEMPLATE_SPHERE,TEMPLATE_SPHERE_LIST_FOR_NOTE,0))</f>
        <v>Общехозяйственные расходы, в том числе:</v>
      </c>
      <c r="K43" s="2216" t="str">
        <f>INDEX(TEMPLATE_NOTE_POINT_FHD,B43,MATCH(TEMPLATE_SPHERE,TEMPLATE_SPHERE_LIST_FOR_NOTE,0))</f>
        <v>Указывается общая сумма общехозяйственных расходов.</v>
      </c>
      <c r="L43" s="2055" t="str">
        <f>IF(I43=0,"",I43)</f>
        <v>2.11</v>
      </c>
      <c r="M43" s="2055" t="str">
        <f>IF(J43=0,"",J43)</f>
        <v>Общехозяйственные расходы, в том числе:</v>
      </c>
      <c r="N43" s="2055" t="str">
        <f>IF(K43=0,"",K43)</f>
        <v>Указывается общая сумма общехозяйственных расходов.</v>
      </c>
      <c r="O43" s="2168" t="s">
        <v>2280</v>
      </c>
      <c r="P43" s="2168" t="s">
        <v>897</v>
      </c>
      <c r="Q43" s="2168" t="s">
        <v>2280</v>
      </c>
      <c r="R43" s="2168" t="s">
        <v>897</v>
      </c>
      <c r="S43" s="2168"/>
      <c r="T43" s="2054" t="s">
        <v>2281</v>
      </c>
      <c r="U43" s="2054" t="s">
        <v>2281</v>
      </c>
      <c r="V43" s="2054" t="s">
        <v>2281</v>
      </c>
      <c r="W43" s="2054" t="s">
        <v>2281</v>
      </c>
      <c r="X43" s="2054"/>
      <c r="Y43" s="2211"/>
      <c r="Z43" s="2057" t="s">
        <v>2282</v>
      </c>
      <c r="AA43" s="2057" t="s">
        <v>2282</v>
      </c>
      <c r="AB43" s="2057" t="s">
        <v>2282</v>
      </c>
      <c r="AC43" s="2057" t="s">
        <v>2282</v>
      </c>
      <c r="AD43" s="2057"/>
    </row>
    <row customHeight="1" ht="27">
      <c r="A44" s="2056"/>
      <c r="B44" s="2110">
        <v>27</v>
      </c>
      <c r="C44" s="2054" t="s">
        <v>2283</v>
      </c>
      <c r="D44" s="2178"/>
      <c r="E44" s="2054"/>
      <c r="F44" s="2054"/>
      <c r="G44" s="2054"/>
      <c r="H44" s="2102"/>
      <c r="I44" s="2216" t="str">
        <f>INDEX(TEMPLATE_NUMBER_POINT_FHD,B44,MATCH(TEMPLATE_SPHERE,TEMPLATE_SPHERE_LIST_FOR_NOTE,0))</f>
        <v>2.11.1</v>
      </c>
      <c r="J44" s="2216" t="str">
        <f>INDEX(TEMPLATE_DATA_POINT_FHD,B44,MATCH(TEMPLATE_SPHERE,TEMPLATE_SPHERE_LIST_FOR_NOTE,0))</f>
        <v>Расходы на текущий ремонт</v>
      </c>
      <c r="K44" s="2216" t="str">
        <f>INDEX(TEMPLATE_NOTE_POINT_FHD,B44,MATCH(TEMPLATE_SPHERE,TEMPLATE_SPHERE_LIST_FOR_NOTE,0))</f>
        <v>Указываются расходы на текущий ремонт, отнесенные к общехозяйственным расходам.</v>
      </c>
      <c r="L44" s="2055" t="str">
        <f>IF(I44=0,"",I44)</f>
        <v>2.11.1</v>
      </c>
      <c r="M44" s="2055" t="str">
        <f>IF(J44=0,"",J44)</f>
        <v>Расходы на текущий ремонт</v>
      </c>
      <c r="N44" s="2055" t="str">
        <f>IF(K44=0,"",K44)</f>
        <v>Указываются расходы на текущий ремонт, отнесенные к общехозяйственным расходам.</v>
      </c>
      <c r="O44" s="2168" t="s">
        <v>2284</v>
      </c>
      <c r="P44" s="2168" t="s">
        <v>900</v>
      </c>
      <c r="Q44" s="2168" t="s">
        <v>2284</v>
      </c>
      <c r="R44" s="2168" t="s">
        <v>900</v>
      </c>
      <c r="S44" s="2168"/>
      <c r="T44" s="2054" t="s">
        <v>2274</v>
      </c>
      <c r="U44" s="2054" t="s">
        <v>2274</v>
      </c>
      <c r="V44" s="2054" t="s">
        <v>2274</v>
      </c>
      <c r="W44" s="2054" t="s">
        <v>2274</v>
      </c>
      <c r="X44" s="2054"/>
      <c r="Y44" s="2211"/>
      <c r="Z44" s="2057" t="s">
        <v>2285</v>
      </c>
      <c r="AA44" s="2057" t="s">
        <v>2285</v>
      </c>
      <c r="AB44" s="2057" t="s">
        <v>2285</v>
      </c>
      <c r="AC44" s="2057" t="s">
        <v>2285</v>
      </c>
      <c r="AD44" s="2057"/>
    </row>
    <row customHeight="1" ht="27">
      <c r="A45" s="2056"/>
      <c r="B45" s="2110">
        <v>28</v>
      </c>
      <c r="C45" s="2054" t="s">
        <v>2286</v>
      </c>
      <c r="D45" s="2178"/>
      <c r="E45" s="2054"/>
      <c r="F45" s="2054"/>
      <c r="G45" s="2054"/>
      <c r="H45" s="2102"/>
      <c r="I45" s="2216" t="str">
        <f>INDEX(TEMPLATE_NUMBER_POINT_FHD,B45,MATCH(TEMPLATE_SPHERE,TEMPLATE_SPHERE_LIST_FOR_NOTE,0))</f>
        <v>2.11.2</v>
      </c>
      <c r="J45" s="2216" t="str">
        <f>INDEX(TEMPLATE_DATA_POINT_FHD,B45,MATCH(TEMPLATE_SPHERE,TEMPLATE_SPHERE_LIST_FOR_NOTE,0))</f>
        <v>Расходы на капитальный ремонт</v>
      </c>
      <c r="K45" s="2216" t="str">
        <f>INDEX(TEMPLATE_NOTE_POINT_FHD,B45,MATCH(TEMPLATE_SPHERE,TEMPLATE_SPHERE_LIST_FOR_NOTE,0))</f>
        <v>Указываются расходы на капитальный ремонт, отнесенные к общехозяйственным расходам.</v>
      </c>
      <c r="L45" s="2055" t="str">
        <f>IF(I45=0,"",I45)</f>
        <v>2.11.2</v>
      </c>
      <c r="M45" s="2055" t="str">
        <f>IF(J45=0,"",J45)</f>
        <v>Расходы на капитальный ремонт</v>
      </c>
      <c r="N45" s="2055" t="str">
        <f>IF(K45=0,"",K45)</f>
        <v>Указываются расходы на капитальный ремонт, отнесенные к общехозяйственным расходам.</v>
      </c>
      <c r="O45" s="2168" t="s">
        <v>2287</v>
      </c>
      <c r="P45" s="2168" t="s">
        <v>903</v>
      </c>
      <c r="Q45" s="2168" t="s">
        <v>2287</v>
      </c>
      <c r="R45" s="2168" t="s">
        <v>903</v>
      </c>
      <c r="S45" s="2168"/>
      <c r="T45" s="2054" t="s">
        <v>2278</v>
      </c>
      <c r="U45" s="2054" t="s">
        <v>2278</v>
      </c>
      <c r="V45" s="2054" t="s">
        <v>2278</v>
      </c>
      <c r="W45" s="2054" t="s">
        <v>2278</v>
      </c>
      <c r="X45" s="2054"/>
      <c r="Y45" s="2211"/>
      <c r="Z45" s="2057" t="s">
        <v>2288</v>
      </c>
      <c r="AA45" s="2057" t="s">
        <v>2288</v>
      </c>
      <c r="AB45" s="2057" t="s">
        <v>2288</v>
      </c>
      <c r="AC45" s="2057" t="s">
        <v>2288</v>
      </c>
      <c r="AD45" s="2057"/>
    </row>
    <row customHeight="1" ht="54">
      <c r="A46" s="2056"/>
      <c r="B46" s="2110">
        <v>29</v>
      </c>
      <c r="C46" s="2054">
        <v>15</v>
      </c>
      <c r="D46" s="2178"/>
      <c r="E46" s="2054"/>
      <c r="F46" s="2054"/>
      <c r="G46" s="2054"/>
      <c r="H46" s="2102"/>
      <c r="I46" s="2216" t="str">
        <f>INDEX(TEMPLATE_NUMBER_POINT_FHD,B46,MATCH(TEMPLATE_SPHERE,TEMPLATE_SPHERE_LIST_FOR_NOTE,0))</f>
        <v>2.12</v>
      </c>
      <c r="J46" s="2216" t="str">
        <f>INDEX(TEMPLATE_DATA_POINT_FHD,B46,MATCH(TEMPLATE_SPHERE,TEMPLATE_SPHERE_LIST_FOR_NOTE,0))</f>
        <v>Расходы на капитальный и текущий ремонт основных средств</v>
      </c>
      <c r="K46" s="221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2055" t="str">
        <f>IF(I46=0,"",I46)</f>
        <v>2.12</v>
      </c>
      <c r="M46" s="2055" t="str">
        <f>IF(J46=0,"",J46)</f>
        <v>Расходы на капитальный и текущий ремонт основных средств</v>
      </c>
      <c r="N46" s="205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2168" t="s">
        <v>2289</v>
      </c>
      <c r="P46" s="2168" t="s">
        <v>949</v>
      </c>
      <c r="Q46" s="2168" t="s">
        <v>2289</v>
      </c>
      <c r="R46" s="2168" t="s">
        <v>949</v>
      </c>
      <c r="S46" s="2168"/>
      <c r="T46" s="205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2054" t="s">
        <v>2290</v>
      </c>
      <c r="V46" s="2054" t="s">
        <v>2290</v>
      </c>
      <c r="W46" s="2054" t="s">
        <v>2290</v>
      </c>
      <c r="X46" s="2054"/>
      <c r="Y46" s="2211"/>
      <c r="Z46" s="2057" t="s">
        <v>2291</v>
      </c>
      <c r="AA46" s="2057" t="s">
        <v>2292</v>
      </c>
      <c r="AB46" s="2057" t="s">
        <v>2292</v>
      </c>
      <c r="AC46" s="2057" t="s">
        <v>2292</v>
      </c>
      <c r="AD46" s="2057"/>
    </row>
    <row customHeight="1" ht="54">
      <c r="A47" s="2056"/>
      <c r="B47" s="2110">
        <v>30</v>
      </c>
      <c r="C47" s="2054" t="s">
        <v>2293</v>
      </c>
      <c r="D47" s="2178"/>
      <c r="E47" s="2054"/>
      <c r="F47" s="2054"/>
      <c r="G47" s="2054"/>
      <c r="H47" s="2102"/>
      <c r="I47" s="2216" t="str">
        <f>INDEX(TEMPLATE_NUMBER_POINT_FHD,B47,MATCH(TEMPLATE_SPHERE,TEMPLATE_SPHERE_LIST_FOR_NOTE,0))</f>
        <v>2.12.1</v>
      </c>
      <c r="J47" s="221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2216">
        <f>INDEX(TEMPLATE_NOTE_POINT_FHD,B47,MATCH(TEMPLATE_SPHERE,TEMPLATE_SPHERE_LIST_FOR_NOTE,0))</f>
        <v>0</v>
      </c>
      <c r="L47" s="2055" t="str">
        <f>IF(I47=0,"",I47)</f>
        <v>2.12.1</v>
      </c>
      <c r="M47" s="205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2055" t="str">
        <f>IF(K47=0,"",K47)</f>
        <v/>
      </c>
      <c r="O47" s="2168" t="s">
        <v>2294</v>
      </c>
      <c r="P47" s="2168" t="s">
        <v>2273</v>
      </c>
      <c r="Q47" s="2168" t="s">
        <v>2294</v>
      </c>
      <c r="R47" s="2168" t="s">
        <v>2273</v>
      </c>
      <c r="S47" s="2168"/>
      <c r="T47" s="2054" t="s">
        <v>2295</v>
      </c>
      <c r="U47" s="2054" t="s">
        <v>2295</v>
      </c>
      <c r="V47" s="2054" t="s">
        <v>2295</v>
      </c>
      <c r="W47" s="2054" t="s">
        <v>2295</v>
      </c>
      <c r="X47" s="2054"/>
      <c r="Y47" s="2211"/>
      <c r="Z47" s="2057"/>
      <c r="AA47" s="2060"/>
      <c r="AB47" s="2060"/>
      <c r="AC47" s="2060"/>
      <c r="AD47" s="2057"/>
    </row>
    <row customHeight="1" ht="54">
      <c r="A48" s="2056"/>
      <c r="B48" s="2110">
        <v>31</v>
      </c>
      <c r="C48" s="2054">
        <v>16</v>
      </c>
      <c r="D48" s="2178"/>
      <c r="E48" s="2054"/>
      <c r="F48" s="2054"/>
      <c r="G48" s="2054"/>
      <c r="H48" s="2102"/>
      <c r="I48" s="2216">
        <f>INDEX(TEMPLATE_NUMBER_POINT_FHD,B48,MATCH(TEMPLATE_SPHERE,TEMPLATE_SPHERE_LIST_FOR_NOTE,0))</f>
        <v>0</v>
      </c>
      <c r="J48" s="2216">
        <f>INDEX(TEMPLATE_DATA_POINT_FHD,B48,MATCH(TEMPLATE_SPHERE,TEMPLATE_SPHERE_LIST_FOR_NOTE,0))</f>
        <v>0</v>
      </c>
      <c r="K48" s="2216">
        <f>INDEX(TEMPLATE_NOTE_POINT_FHD,B48,MATCH(TEMPLATE_SPHERE,TEMPLATE_SPHERE_LIST_FOR_NOTE,0))</f>
        <v>0</v>
      </c>
      <c r="L48" s="2055" t="str">
        <f>IF(I48=0,"",I48)</f>
        <v/>
      </c>
      <c r="M48" s="2055" t="str">
        <f>IF(J48=0,"",J48)</f>
        <v/>
      </c>
      <c r="N48" s="2055" t="str">
        <f>IF(K48=0,"",K48)</f>
        <v/>
      </c>
      <c r="O48" s="2168"/>
      <c r="P48" s="2168" t="s">
        <v>2280</v>
      </c>
      <c r="Q48" s="2168" t="s">
        <v>2296</v>
      </c>
      <c r="R48" s="2168" t="s">
        <v>2280</v>
      </c>
      <c r="S48" s="2168"/>
      <c r="T48" s="2054"/>
      <c r="U48" s="2054" t="s">
        <v>2297</v>
      </c>
      <c r="V48" s="2054" t="s">
        <v>2298</v>
      </c>
      <c r="W48" s="2054" t="s">
        <v>2298</v>
      </c>
      <c r="X48" s="2054"/>
      <c r="Y48" s="2211"/>
      <c r="Z48" s="2057"/>
      <c r="AA48" s="2060" t="s">
        <v>2292</v>
      </c>
      <c r="AB48" s="2060" t="s">
        <v>2292</v>
      </c>
      <c r="AC48" s="2060" t="s">
        <v>2292</v>
      </c>
      <c r="AD48" s="2057"/>
    </row>
    <row customHeight="1" ht="54">
      <c r="A49" s="2056"/>
      <c r="B49" s="2110">
        <v>32</v>
      </c>
      <c r="C49" s="2054" t="s">
        <v>2299</v>
      </c>
      <c r="D49" s="2178"/>
      <c r="E49" s="2054"/>
      <c r="F49" s="2054"/>
      <c r="G49" s="2054"/>
      <c r="H49" s="2102"/>
      <c r="I49" s="2216">
        <f>INDEX(TEMPLATE_NUMBER_POINT_FHD,B49,MATCH(TEMPLATE_SPHERE,TEMPLATE_SPHERE_LIST_FOR_NOTE,0))</f>
        <v>0</v>
      </c>
      <c r="J49" s="2216">
        <f>INDEX(TEMPLATE_DATA_POINT_FHD,B49,MATCH(TEMPLATE_SPHERE,TEMPLATE_SPHERE_LIST_FOR_NOTE,0))</f>
        <v>0</v>
      </c>
      <c r="K49" s="2216">
        <f>INDEX(TEMPLATE_NOTE_POINT_FHD,B49,MATCH(TEMPLATE_SPHERE,TEMPLATE_SPHERE_LIST_FOR_NOTE,0))</f>
        <v>0</v>
      </c>
      <c r="L49" s="2055" t="str">
        <f>IF(I49=0,"",I49)</f>
        <v/>
      </c>
      <c r="M49" s="2055" t="str">
        <f>IF(J49=0,"",J49)</f>
        <v/>
      </c>
      <c r="N49" s="2055" t="str">
        <f>IF(K49=0,"",K49)</f>
        <v/>
      </c>
      <c r="O49" s="2168"/>
      <c r="P49" s="2168" t="s">
        <v>2284</v>
      </c>
      <c r="Q49" s="2168" t="s">
        <v>2300</v>
      </c>
      <c r="R49" s="2168" t="s">
        <v>2284</v>
      </c>
      <c r="S49" s="2168"/>
      <c r="T49" s="2054"/>
      <c r="U49" s="2054" t="s">
        <v>2295</v>
      </c>
      <c r="V49" s="2054" t="s">
        <v>2295</v>
      </c>
      <c r="W49" s="2054" t="s">
        <v>2295</v>
      </c>
      <c r="X49" s="2054"/>
      <c r="Y49" s="2211"/>
      <c r="Z49" s="2057"/>
      <c r="AA49" s="2060"/>
      <c r="AB49" s="2060"/>
      <c r="AC49" s="2060"/>
      <c r="AD49" s="2057"/>
    </row>
    <row customHeight="1" ht="126">
      <c r="A50" s="2056"/>
      <c r="B50" s="2110">
        <v>33</v>
      </c>
      <c r="C50" s="2054">
        <v>17</v>
      </c>
      <c r="D50" s="2178"/>
      <c r="E50" s="2054"/>
      <c r="F50" s="2054"/>
      <c r="G50" s="2054"/>
      <c r="H50" s="2102"/>
      <c r="I50" s="2216" t="str">
        <f>INDEX(TEMPLATE_NUMBER_POINT_FHD,B50,MATCH(TEMPLATE_SPHERE,TEMPLATE_SPHERE_LIST_FOR_NOTE,0))</f>
        <v>2.13</v>
      </c>
      <c r="J50" s="221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221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2055" t="str">
        <f>IF(I50=0,"",I50)</f>
        <v>2.13</v>
      </c>
      <c r="M50" s="205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205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2168" t="s">
        <v>2296</v>
      </c>
      <c r="P50" s="2168" t="s">
        <v>2289</v>
      </c>
      <c r="Q50" s="2168" t="s">
        <v>2301</v>
      </c>
      <c r="R50" s="2168" t="s">
        <v>2289</v>
      </c>
      <c r="S50" s="2168"/>
      <c r="T50" s="2054" t="s">
        <v>2302</v>
      </c>
      <c r="U50" s="2054" t="s">
        <v>2303</v>
      </c>
      <c r="V50" s="2054" t="s">
        <v>2304</v>
      </c>
      <c r="W50" s="2054" t="s">
        <v>2305</v>
      </c>
      <c r="X50" s="2054"/>
      <c r="Y50" s="2211"/>
      <c r="Z50" s="2057" t="s">
        <v>2306</v>
      </c>
      <c r="AA50" s="2060" t="s">
        <v>2307</v>
      </c>
      <c r="AB50" s="2060" t="s">
        <v>2307</v>
      </c>
      <c r="AC50" s="2060" t="s">
        <v>2307</v>
      </c>
      <c r="AD50" s="2057"/>
    </row>
    <row customHeight="1" ht="27">
      <c r="A51" s="2056"/>
      <c r="B51" s="2110">
        <v>34</v>
      </c>
      <c r="C51" s="2054" t="s">
        <v>2308</v>
      </c>
      <c r="D51" s="2178"/>
      <c r="E51" s="2054"/>
      <c r="F51" s="2054"/>
      <c r="G51" s="2054"/>
      <c r="H51" s="2102"/>
      <c r="I51" s="2216" t="str">
        <f>INDEX(TEMPLATE_NUMBER_POINT_FHD,B51,MATCH(TEMPLATE_SPHERE,TEMPLATE_SPHERE_LIST_FOR_NOTE,0))</f>
        <v>3</v>
      </c>
      <c r="J51" s="221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2216">
        <f>INDEX(TEMPLATE_NOTE_POINT_FHD,B51,MATCH(TEMPLATE_SPHERE,TEMPLATE_SPHERE_LIST_FOR_NOTE,0))</f>
        <v>0</v>
      </c>
      <c r="L51" s="2055" t="str">
        <f>IF(I51=0,"",I51)</f>
        <v>3</v>
      </c>
      <c r="M51" s="2055" t="str">
        <f>IF(J51=0,"",J51)</f>
        <v>Валовая прибыль (убытки) от реализации товаров и оказания услуг по регулируемому виду деятельности</v>
      </c>
      <c r="N51" s="2055" t="str">
        <f>IF(K51=0,"",K51)</f>
        <v/>
      </c>
      <c r="O51" s="2168" t="s">
        <v>90</v>
      </c>
      <c r="P51" s="2168"/>
      <c r="Q51" s="2168"/>
      <c r="R51" s="2168"/>
      <c r="S51" s="2168"/>
      <c r="T51" s="2054" t="s">
        <v>2309</v>
      </c>
      <c r="U51" s="2054"/>
      <c r="V51" s="2054"/>
      <c r="W51" s="2054"/>
      <c r="X51" s="2054"/>
      <c r="Y51" s="2211"/>
      <c r="Z51" s="2057"/>
      <c r="AA51" s="2060"/>
      <c r="AB51" s="2060"/>
      <c r="AC51" s="2060"/>
      <c r="AD51" s="2057"/>
    </row>
    <row customHeight="1" ht="36">
      <c r="A52" s="2056"/>
      <c r="B52" s="2110">
        <v>35</v>
      </c>
      <c r="C52" s="2054" t="s">
        <v>2205</v>
      </c>
      <c r="D52" s="2178" t="s">
        <v>2205</v>
      </c>
      <c r="E52" s="2054" t="s">
        <v>2205</v>
      </c>
      <c r="F52" s="2054" t="s">
        <v>2205</v>
      </c>
      <c r="G52" s="2054"/>
      <c r="H52" s="2102"/>
      <c r="I52" s="2216" t="str">
        <f>INDEX(TEMPLATE_NUMBER_POINT_FHD,B52,MATCH(TEMPLATE_SPHERE,TEMPLATE_SPHERE_LIST_FOR_NOTE,0))</f>
        <v>4</v>
      </c>
      <c r="J52" s="2216" t="str">
        <f>INDEX(TEMPLATE_DATA_POINT_FHD,B52,MATCH(TEMPLATE_SPHERE,TEMPLATE_SPHERE_LIST_FOR_NOTE,0))</f>
        <v>Чистая прибыль, полученная от регулируемого вида деятельности, в том числе:</v>
      </c>
      <c r="K52" s="2216" t="str">
        <f>INDEX(TEMPLATE_NOTE_POINT_FHD,B52,MATCH(TEMPLATE_SPHERE,TEMPLATE_SPHERE_LIST_FOR_NOTE,0))</f>
        <v>Указывается общая сумма чистой прибыли, полученной от регулируемого вида деятельности.</v>
      </c>
      <c r="L52" s="2055" t="str">
        <f>IF(I52=0,"",I52)</f>
        <v>4</v>
      </c>
      <c r="M52" s="2055" t="str">
        <f>IF(J52=0,"",J52)</f>
        <v>Чистая прибыль, полученная от регулируемого вида деятельности, в том числе:</v>
      </c>
      <c r="N52" s="2055" t="str">
        <f>IF(K52=0,"",K52)</f>
        <v>Указывается общая сумма чистой прибыли, полученной от регулируемого вида деятельности.</v>
      </c>
      <c r="O52" s="2168" t="s">
        <v>91</v>
      </c>
      <c r="P52" s="2168" t="s">
        <v>90</v>
      </c>
      <c r="Q52" s="2168" t="s">
        <v>90</v>
      </c>
      <c r="R52" s="2168" t="s">
        <v>90</v>
      </c>
      <c r="S52" s="2168"/>
      <c r="T52" s="2054" t="s">
        <v>2310</v>
      </c>
      <c r="U52" s="2054" t="s">
        <v>2311</v>
      </c>
      <c r="V52" s="2054" t="s">
        <v>2312</v>
      </c>
      <c r="W52" s="2054" t="s">
        <v>2313</v>
      </c>
      <c r="X52" s="2054"/>
      <c r="Y52" s="2211"/>
      <c r="Z52" s="2057" t="s">
        <v>907</v>
      </c>
      <c r="AA52" s="2060" t="s">
        <v>907</v>
      </c>
      <c r="AB52" s="2060" t="s">
        <v>907</v>
      </c>
      <c r="AC52" s="2060" t="s">
        <v>907</v>
      </c>
      <c r="AD52" s="2057"/>
    </row>
    <row customHeight="1" ht="36">
      <c r="A53" s="2056"/>
      <c r="B53" s="2110">
        <v>36</v>
      </c>
      <c r="C53" s="2054">
        <v>1</v>
      </c>
      <c r="D53" s="2178"/>
      <c r="E53" s="2054"/>
      <c r="F53" s="2054"/>
      <c r="G53" s="2054"/>
      <c r="H53" s="2102"/>
      <c r="I53" s="2216" t="str">
        <f>INDEX(TEMPLATE_NUMBER_POINT_FHD,B53,MATCH(TEMPLATE_SPHERE,TEMPLATE_SPHERE_LIST_FOR_NOTE,0))</f>
        <v>4.1</v>
      </c>
      <c r="J53" s="221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2216">
        <f>INDEX(TEMPLATE_NOTE_POINT_FHD,B53,MATCH(TEMPLATE_SPHERE,TEMPLATE_SPHERE_LIST_FOR_NOTE,0))</f>
        <v>0</v>
      </c>
      <c r="L53" s="2055" t="str">
        <f>IF(I53=0,"",I53)</f>
        <v>4.1</v>
      </c>
      <c r="M53" s="205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2055" t="str">
        <f>IF(K53=0,"",K53)</f>
        <v/>
      </c>
      <c r="O53" s="2168" t="s">
        <v>911</v>
      </c>
      <c r="P53" s="2168" t="s">
        <v>342</v>
      </c>
      <c r="Q53" s="2168" t="s">
        <v>342</v>
      </c>
      <c r="R53" s="2168" t="s">
        <v>342</v>
      </c>
      <c r="S53" s="2168"/>
      <c r="T53" s="2054" t="s">
        <v>2314</v>
      </c>
      <c r="U53" s="2054" t="s">
        <v>2314</v>
      </c>
      <c r="V53" s="2054" t="s">
        <v>2314</v>
      </c>
      <c r="W53" s="2054" t="s">
        <v>2314</v>
      </c>
      <c r="X53" s="2054"/>
      <c r="Y53" s="2211"/>
      <c r="Z53" s="2057"/>
      <c r="AA53" s="2060"/>
      <c r="AB53" s="2057"/>
      <c r="AC53" s="2057"/>
      <c r="AD53" s="2057"/>
    </row>
    <row customHeight="1" ht="18">
      <c r="A54" s="2056"/>
      <c r="B54" s="2110">
        <v>37</v>
      </c>
      <c r="C54" s="2054" t="s">
        <v>2211</v>
      </c>
      <c r="D54" s="2178" t="s">
        <v>2211</v>
      </c>
      <c r="E54" s="2054" t="s">
        <v>2211</v>
      </c>
      <c r="F54" s="2054" t="s">
        <v>2211</v>
      </c>
      <c r="G54" s="2054"/>
      <c r="H54" s="2102"/>
      <c r="I54" s="2216" t="str">
        <f>INDEX(TEMPLATE_NUMBER_POINT_FHD,B54,MATCH(TEMPLATE_SPHERE,TEMPLATE_SPHERE_LIST_FOR_NOTE,0))</f>
        <v>5</v>
      </c>
      <c r="J54" s="2216" t="str">
        <f>INDEX(TEMPLATE_DATA_POINT_FHD,B54,MATCH(TEMPLATE_SPHERE,TEMPLATE_SPHERE_LIST_FOR_NOTE,0))</f>
        <v>Изменение стоимости основных фондов, в том числе:</v>
      </c>
      <c r="K54" s="2216" t="str">
        <f>INDEX(TEMPLATE_NOTE_POINT_FHD,B54,MATCH(TEMPLATE_SPHERE,TEMPLATE_SPHERE_LIST_FOR_NOTE,0))</f>
        <v>Указывается общее изменение стоимости основных фондов.</v>
      </c>
      <c r="L54" s="2055" t="str">
        <f>IF(I54=0,"",I54)</f>
        <v>5</v>
      </c>
      <c r="M54" s="2055" t="str">
        <f>IF(J54=0,"",J54)</f>
        <v>Изменение стоимости основных фондов, в том числе:</v>
      </c>
      <c r="N54" s="2055" t="str">
        <f>IF(K54=0,"",K54)</f>
        <v>Указывается общее изменение стоимости основных фондов.</v>
      </c>
      <c r="O54" s="2168" t="s">
        <v>122</v>
      </c>
      <c r="P54" s="2168" t="s">
        <v>91</v>
      </c>
      <c r="Q54" s="2168" t="s">
        <v>91</v>
      </c>
      <c r="R54" s="2168" t="s">
        <v>91</v>
      </c>
      <c r="S54" s="2168"/>
      <c r="T54" s="2054" t="s">
        <v>909</v>
      </c>
      <c r="U54" s="2054" t="s">
        <v>909</v>
      </c>
      <c r="V54" s="2054" t="s">
        <v>909</v>
      </c>
      <c r="W54" s="2054" t="s">
        <v>909</v>
      </c>
      <c r="X54" s="2054"/>
      <c r="Y54" s="2211"/>
      <c r="Z54" s="2057" t="s">
        <v>910</v>
      </c>
      <c r="AA54" s="2057" t="s">
        <v>910</v>
      </c>
      <c r="AB54" s="2057" t="s">
        <v>910</v>
      </c>
      <c r="AC54" s="2057" t="s">
        <v>910</v>
      </c>
      <c r="AD54" s="2057"/>
    </row>
    <row customHeight="1" ht="36">
      <c r="A55" s="2056"/>
      <c r="B55" s="2110">
        <v>38</v>
      </c>
      <c r="C55" s="2054">
        <v>1</v>
      </c>
      <c r="D55" s="2178"/>
      <c r="E55" s="2054"/>
      <c r="F55" s="2054"/>
      <c r="G55" s="2054"/>
      <c r="H55" s="2102"/>
      <c r="I55" s="2216" t="str">
        <f>INDEX(TEMPLATE_NUMBER_POINT_FHD,B55,MATCH(TEMPLATE_SPHERE,TEMPLATE_SPHERE_LIST_FOR_NOTE,0))</f>
        <v>5.1</v>
      </c>
      <c r="J55" s="2216" t="str">
        <f>INDEX(TEMPLATE_DATA_POINT_FHD,B55,MATCH(TEMPLATE_SPHERE,TEMPLATE_SPHERE_LIST_FOR_NOTE,0))</f>
        <v>Изменение стоимости основных фондов за счет:</v>
      </c>
      <c r="K55" s="221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2055" t="str">
        <f>IF(I55=0,"",I55)</f>
        <v>5.1</v>
      </c>
      <c r="M55" s="2055" t="str">
        <f>IF(J55=0,"",J55)</f>
        <v>Изменение стоимости основных фондов за счет:</v>
      </c>
      <c r="N55" s="2055" t="str">
        <f>IF(K55=0,"",K55)</f>
        <v>Указываются общее изменение стоимости основных фондов за счет их ввода в эксплуатацию и вывода из эксплуатации.</v>
      </c>
      <c r="O55" s="2168" t="s">
        <v>331</v>
      </c>
      <c r="P55" s="2168" t="s">
        <v>911</v>
      </c>
      <c r="Q55" s="2168" t="s">
        <v>911</v>
      </c>
      <c r="R55" s="2168" t="s">
        <v>911</v>
      </c>
      <c r="S55" s="2168"/>
      <c r="T55" s="205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2054" t="s">
        <v>2315</v>
      </c>
      <c r="V55" s="2054" t="s">
        <v>2315</v>
      </c>
      <c r="W55" s="2054" t="s">
        <v>2315</v>
      </c>
      <c r="X55" s="2054"/>
      <c r="Y55" s="2211"/>
      <c r="Z55" s="2057" t="s">
        <v>2316</v>
      </c>
      <c r="AA55" s="2057" t="s">
        <v>2316</v>
      </c>
      <c r="AB55" s="2057" t="s">
        <v>2316</v>
      </c>
      <c r="AC55" s="2057" t="s">
        <v>2316</v>
      </c>
      <c r="AD55" s="2057"/>
    </row>
    <row customHeight="1" ht="27">
      <c r="A56" s="2056"/>
      <c r="B56" s="2110">
        <v>39</v>
      </c>
      <c r="C56" s="2054" t="s">
        <v>652</v>
      </c>
      <c r="D56" s="2178"/>
      <c r="E56" s="2054"/>
      <c r="F56" s="2054"/>
      <c r="G56" s="2054"/>
      <c r="H56" s="2102"/>
      <c r="I56" s="2216" t="str">
        <f>INDEX(TEMPLATE_NUMBER_POINT_FHD,B56,MATCH(TEMPLATE_SPHERE,TEMPLATE_SPHERE_LIST_FOR_NOTE,0))</f>
        <v>5.1.1</v>
      </c>
      <c r="J56" s="2216" t="str">
        <f>INDEX(TEMPLATE_DATA_POINT_FHD,B56,MATCH(TEMPLATE_SPHERE,TEMPLATE_SPHERE_LIST_FOR_NOTE,0))</f>
        <v>Изменения стоимости основных фондов за счет их ввода в эксплуатацию</v>
      </c>
      <c r="K56" s="2216" t="str">
        <f>INDEX(TEMPLATE_NOTE_POINT_FHD,B56,MATCH(TEMPLATE_SPHERE,TEMPLATE_SPHERE_LIST_FOR_NOTE,0))</f>
        <v>Указываются изменение стоимости основных фондов за счет их ввода в эксплуатацию.</v>
      </c>
      <c r="L56" s="2055" t="str">
        <f>IF(I56=0,"",I56)</f>
        <v>5.1.1</v>
      </c>
      <c r="M56" s="2055" t="str">
        <f>IF(J56=0,"",J56)</f>
        <v>Изменения стоимости основных фондов за счет их ввода в эксплуатацию</v>
      </c>
      <c r="N56" s="2055" t="str">
        <f>IF(K56=0,"",K56)</f>
        <v>Указываются изменение стоимости основных фондов за счет их ввода в эксплуатацию.</v>
      </c>
      <c r="O56" s="2168" t="s">
        <v>1349</v>
      </c>
      <c r="P56" s="2168" t="s">
        <v>914</v>
      </c>
      <c r="Q56" s="2168" t="s">
        <v>914</v>
      </c>
      <c r="R56" s="2168" t="s">
        <v>914</v>
      </c>
      <c r="S56" s="2168"/>
      <c r="T56" s="205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2054" t="s">
        <v>2317</v>
      </c>
      <c r="V56" s="2054" t="s">
        <v>2317</v>
      </c>
      <c r="W56" s="2054" t="s">
        <v>2317</v>
      </c>
      <c r="X56" s="2054"/>
      <c r="Y56" s="2211"/>
      <c r="Z56" s="2057" t="s">
        <v>916</v>
      </c>
      <c r="AA56" s="2057" t="s">
        <v>916</v>
      </c>
      <c r="AB56" s="2057" t="s">
        <v>916</v>
      </c>
      <c r="AC56" s="2057" t="s">
        <v>916</v>
      </c>
      <c r="AD56" s="2057"/>
    </row>
    <row customHeight="1" ht="27">
      <c r="A57" s="2056"/>
      <c r="B57" s="2110">
        <v>40</v>
      </c>
      <c r="C57" s="2054" t="s">
        <v>658</v>
      </c>
      <c r="D57" s="2178"/>
      <c r="E57" s="2054"/>
      <c r="F57" s="2054"/>
      <c r="G57" s="2054"/>
      <c r="H57" s="2102"/>
      <c r="I57" s="2216" t="str">
        <f>INDEX(TEMPLATE_NUMBER_POINT_FHD,B57,MATCH(TEMPLATE_SPHERE,TEMPLATE_SPHERE_LIST_FOR_NOTE,0))</f>
        <v>5.1.2</v>
      </c>
      <c r="J57" s="2216" t="str">
        <f>INDEX(TEMPLATE_DATA_POINT_FHD,B57,MATCH(TEMPLATE_SPHERE,TEMPLATE_SPHERE_LIST_FOR_NOTE,0))</f>
        <v>Изменения стоимости основных фондов за счет их вывода в эксплуатацию</v>
      </c>
      <c r="K57" s="2216" t="str">
        <f>INDEX(TEMPLATE_NOTE_POINT_FHD,B57,MATCH(TEMPLATE_SPHERE,TEMPLATE_SPHERE_LIST_FOR_NOTE,0))</f>
        <v>Указываются изменение стоимости основных фондов за счет их вывода из эксплуатации.</v>
      </c>
      <c r="L57" s="2055" t="str">
        <f>IF(I57=0,"",I57)</f>
        <v>5.1.2</v>
      </c>
      <c r="M57" s="2055" t="str">
        <f>IF(J57=0,"",J57)</f>
        <v>Изменения стоимости основных фондов за счет их вывода в эксплуатацию</v>
      </c>
      <c r="N57" s="2055" t="str">
        <f>IF(K57=0,"",K57)</f>
        <v>Указываются изменение стоимости основных фондов за счет их вывода из эксплуатации.</v>
      </c>
      <c r="O57" s="2168" t="s">
        <v>2318</v>
      </c>
      <c r="P57" s="2168" t="s">
        <v>917</v>
      </c>
      <c r="Q57" s="2168" t="s">
        <v>917</v>
      </c>
      <c r="R57" s="2168" t="s">
        <v>917</v>
      </c>
      <c r="S57" s="2168"/>
      <c r="T57" s="205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2054" t="s">
        <v>2319</v>
      </c>
      <c r="V57" s="2054" t="s">
        <v>2319</v>
      </c>
      <c r="W57" s="2054" t="s">
        <v>2319</v>
      </c>
      <c r="X57" s="2054"/>
      <c r="Y57" s="2211"/>
      <c r="Z57" s="2057" t="s">
        <v>919</v>
      </c>
      <c r="AA57" s="2057" t="s">
        <v>919</v>
      </c>
      <c r="AB57" s="2057" t="s">
        <v>919</v>
      </c>
      <c r="AC57" s="2057" t="s">
        <v>919</v>
      </c>
      <c r="AD57" s="2057"/>
    </row>
    <row customHeight="1" ht="18">
      <c r="A58" s="2056"/>
      <c r="B58" s="2110">
        <v>41</v>
      </c>
      <c r="C58" s="2054">
        <v>2</v>
      </c>
      <c r="D58" s="2178"/>
      <c r="E58" s="2054"/>
      <c r="F58" s="2054"/>
      <c r="G58" s="2054"/>
      <c r="H58" s="2102"/>
      <c r="I58" s="2216" t="str">
        <f>INDEX(TEMPLATE_NUMBER_POINT_FHD,B58,MATCH(TEMPLATE_SPHERE,TEMPLATE_SPHERE_LIST_FOR_NOTE,0))</f>
        <v>5.2</v>
      </c>
      <c r="J58" s="2216" t="str">
        <f>INDEX(TEMPLATE_DATA_POINT_FHD,B58,MATCH(TEMPLATE_SPHERE,TEMPLATE_SPHERE_LIST_FOR_NOTE,0))</f>
        <v>Изменение стоимости основных фондов за счет их переоценки</v>
      </c>
      <c r="K58" s="2216">
        <f>INDEX(TEMPLATE_NOTE_POINT_FHD,B58,MATCH(TEMPLATE_SPHERE,TEMPLATE_SPHERE_LIST_FOR_NOTE,0))</f>
        <v>0</v>
      </c>
      <c r="L58" s="2055" t="str">
        <f>IF(I58=0,"",I58)</f>
        <v>5.2</v>
      </c>
      <c r="M58" s="2055" t="str">
        <f>IF(J58=0,"",J58)</f>
        <v>Изменение стоимости основных фондов за счет их переоценки</v>
      </c>
      <c r="N58" s="2055" t="str">
        <f>IF(K58=0,"",K58)</f>
        <v/>
      </c>
      <c r="O58" s="2168" t="s">
        <v>1053</v>
      </c>
      <c r="P58" s="2168" t="s">
        <v>955</v>
      </c>
      <c r="Q58" s="2168" t="s">
        <v>955</v>
      </c>
      <c r="R58" s="2168" t="s">
        <v>955</v>
      </c>
      <c r="S58" s="2168"/>
      <c r="T58" s="205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2054" t="s">
        <v>2320</v>
      </c>
      <c r="V58" s="2054" t="s">
        <v>2320</v>
      </c>
      <c r="W58" s="2054" t="s">
        <v>2320</v>
      </c>
      <c r="X58" s="2054"/>
      <c r="Y58" s="2211"/>
      <c r="Z58" s="2057"/>
      <c r="AA58" s="2060"/>
      <c r="AB58" s="2057"/>
      <c r="AC58" s="2057"/>
      <c r="AD58" s="2057"/>
    </row>
    <row customHeight="1" ht="36">
      <c r="A59" s="2056"/>
      <c r="B59" s="2110">
        <v>42</v>
      </c>
      <c r="C59" s="2054">
        <v>3</v>
      </c>
      <c r="D59" s="2178" t="s">
        <v>2308</v>
      </c>
      <c r="E59" s="2054" t="s">
        <v>2308</v>
      </c>
      <c r="F59" s="2054" t="s">
        <v>2308</v>
      </c>
      <c r="G59" s="2054"/>
      <c r="H59" s="2102"/>
      <c r="I59" s="2216">
        <f>INDEX(TEMPLATE_NUMBER_POINT_FHD,B59,MATCH(TEMPLATE_SPHERE,TEMPLATE_SPHERE_LIST_FOR_NOTE,0))</f>
        <v>0</v>
      </c>
      <c r="J59" s="2216">
        <f>INDEX(TEMPLATE_DATA_POINT_FHD,B59,MATCH(TEMPLATE_SPHERE,TEMPLATE_SPHERE_LIST_FOR_NOTE,0))</f>
        <v>0</v>
      </c>
      <c r="K59" s="2216">
        <f>INDEX(TEMPLATE_NOTE_POINT_FHD,B59,MATCH(TEMPLATE_SPHERE,TEMPLATE_SPHERE_LIST_FOR_NOTE,0))</f>
        <v>0</v>
      </c>
      <c r="L59" s="2055" t="str">
        <f>IF(I59=0,"",I59)</f>
        <v/>
      </c>
      <c r="M59" s="2055" t="str">
        <f>IF(J59=0,"",J59)</f>
        <v/>
      </c>
      <c r="N59" s="2055" t="str">
        <f>IF(K59=0,"",K59)</f>
        <v/>
      </c>
      <c r="O59" s="2168"/>
      <c r="P59" s="2168" t="s">
        <v>122</v>
      </c>
      <c r="Q59" s="2168" t="s">
        <v>122</v>
      </c>
      <c r="R59" s="2168" t="s">
        <v>122</v>
      </c>
      <c r="S59" s="2168"/>
      <c r="T59" s="2054"/>
      <c r="U59" s="2054" t="s">
        <v>2321</v>
      </c>
      <c r="V59" s="2054" t="s">
        <v>2322</v>
      </c>
      <c r="W59" s="2054" t="s">
        <v>2323</v>
      </c>
      <c r="X59" s="2054"/>
      <c r="Y59" s="2211"/>
      <c r="Z59" s="2057"/>
      <c r="AA59" s="2060"/>
      <c r="AB59" s="2057"/>
      <c r="AC59" s="2057"/>
      <c r="AD59" s="2057"/>
    </row>
    <row customHeight="1" ht="81">
      <c r="A60" s="2056"/>
      <c r="B60" s="2110">
        <v>43</v>
      </c>
      <c r="C60" s="2054" t="s">
        <v>2324</v>
      </c>
      <c r="D60" s="2178" t="s">
        <v>2324</v>
      </c>
      <c r="E60" s="2054" t="s">
        <v>2324</v>
      </c>
      <c r="F60" s="2054" t="s">
        <v>2324</v>
      </c>
      <c r="G60" s="2054"/>
      <c r="H60" s="2102"/>
      <c r="I60" s="2216" t="str">
        <f>INDEX(TEMPLATE_NUMBER_POINT_FHD,B60,MATCH(TEMPLATE_SPHERE,TEMPLATE_SPHERE_LIST_FOR_NOTE,0))</f>
        <v>6</v>
      </c>
      <c r="J60" s="2216" t="str">
        <f>INDEX(TEMPLATE_DATA_POINT_FHD,B60,MATCH(TEMPLATE_SPHERE,TEMPLATE_SPHERE_LIST_FOR_NOTE,0))</f>
        <v>Годовая бухгалтерская (финансовая) отчетность, включая бухгалтерский баланс и приложения к нему</v>
      </c>
      <c r="K60" s="221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2055" t="str">
        <f>IF(I60=0,"",I60)</f>
        <v>6</v>
      </c>
      <c r="M60" s="2055" t="str">
        <f>IF(J60=0,"",J60)</f>
        <v>Годовая бухгалтерская (финансовая) отчетность, включая бухгалтерский баланс и приложения к нему</v>
      </c>
      <c r="N60" s="205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2168" t="s">
        <v>92</v>
      </c>
      <c r="P60" s="2168" t="s">
        <v>92</v>
      </c>
      <c r="Q60" s="2168" t="s">
        <v>92</v>
      </c>
      <c r="R60" s="2168" t="s">
        <v>92</v>
      </c>
      <c r="S60" s="2168"/>
      <c r="T60" s="2054" t="s">
        <v>781</v>
      </c>
      <c r="U60" s="2054" t="s">
        <v>781</v>
      </c>
      <c r="V60" s="2054" t="s">
        <v>781</v>
      </c>
      <c r="W60" s="2054" t="s">
        <v>781</v>
      </c>
      <c r="X60" s="2054"/>
      <c r="Y60" s="2211"/>
      <c r="Z60" s="2057" t="s">
        <v>2325</v>
      </c>
      <c r="AA60" s="2060" t="s">
        <v>2326</v>
      </c>
      <c r="AB60" s="2057" t="s">
        <v>2327</v>
      </c>
      <c r="AC60" s="2057" t="s">
        <v>2326</v>
      </c>
      <c r="AD60" s="2057"/>
    </row>
    <row customHeight="1" ht="9">
      <c r="A61" s="2056"/>
      <c r="B61" s="2110">
        <v>44</v>
      </c>
      <c r="C61" s="2054"/>
      <c r="D61" s="2178" t="s">
        <v>2328</v>
      </c>
      <c r="E61" s="2054"/>
      <c r="F61" s="2054"/>
      <c r="G61" s="2054"/>
      <c r="H61" s="2102"/>
      <c r="I61" s="2216">
        <f>INDEX(TEMPLATE_NUMBER_POINT_FHD,B61,MATCH(TEMPLATE_SPHERE,TEMPLATE_SPHERE_LIST_FOR_NOTE,0))</f>
        <v>0</v>
      </c>
      <c r="J61" s="2216">
        <f>INDEX(TEMPLATE_DATA_POINT_FHD,B61,MATCH(TEMPLATE_SPHERE,TEMPLATE_SPHERE_LIST_FOR_NOTE,0))</f>
        <v>0</v>
      </c>
      <c r="K61" s="2216">
        <f>INDEX(TEMPLATE_NOTE_POINT_FHD,B61,MATCH(TEMPLATE_SPHERE,TEMPLATE_SPHERE_LIST_FOR_NOTE,0))</f>
        <v>0</v>
      </c>
      <c r="L61" s="2055" t="str">
        <f>IF(I61=0,"",I61)</f>
        <v/>
      </c>
      <c r="M61" s="2055" t="str">
        <f>IF(J61=0,"",J61)</f>
        <v/>
      </c>
      <c r="N61" s="2055" t="str">
        <f>IF(K61=0,"",K61)</f>
        <v/>
      </c>
      <c r="O61" s="2168"/>
      <c r="P61" s="2168" t="s">
        <v>93</v>
      </c>
      <c r="Q61" s="2168"/>
      <c r="R61" s="2168"/>
      <c r="S61" s="2168"/>
      <c r="T61" s="2054"/>
      <c r="U61" s="2054" t="s">
        <v>2329</v>
      </c>
      <c r="V61" s="2054"/>
      <c r="W61" s="2054"/>
      <c r="X61" s="2054"/>
      <c r="Y61" s="2211"/>
      <c r="Z61" s="2057"/>
      <c r="AA61" s="2060"/>
      <c r="AB61" s="2057"/>
      <c r="AC61" s="2057"/>
      <c r="AD61" s="2057"/>
    </row>
    <row customHeight="1" ht="9">
      <c r="A62" s="2056"/>
      <c r="B62" s="2110">
        <v>45</v>
      </c>
      <c r="C62" s="2054"/>
      <c r="D62" s="2178" t="s">
        <v>2330</v>
      </c>
      <c r="E62" s="2054"/>
      <c r="F62" s="2054"/>
      <c r="G62" s="2054"/>
      <c r="H62" s="2102"/>
      <c r="I62" s="2216">
        <f>INDEX(TEMPLATE_NUMBER_POINT_FHD,B62,MATCH(TEMPLATE_SPHERE,TEMPLATE_SPHERE_LIST_FOR_NOTE,0))</f>
        <v>0</v>
      </c>
      <c r="J62" s="2216">
        <f>INDEX(TEMPLATE_DATA_POINT_FHD,B62,MATCH(TEMPLATE_SPHERE,TEMPLATE_SPHERE_LIST_FOR_NOTE,0))</f>
        <v>0</v>
      </c>
      <c r="K62" s="2216">
        <f>INDEX(TEMPLATE_NOTE_POINT_FHD,B62,MATCH(TEMPLATE_SPHERE,TEMPLATE_SPHERE_LIST_FOR_NOTE,0))</f>
        <v>0</v>
      </c>
      <c r="L62" s="2055" t="str">
        <f>IF(I62=0,"",I62)</f>
        <v/>
      </c>
      <c r="M62" s="2055" t="str">
        <f>IF(J62=0,"",J62)</f>
        <v/>
      </c>
      <c r="N62" s="2055" t="str">
        <f>IF(K62=0,"",K62)</f>
        <v/>
      </c>
      <c r="O62" s="2168"/>
      <c r="P62" s="2168" t="s">
        <v>123</v>
      </c>
      <c r="Q62" s="2168"/>
      <c r="R62" s="2168"/>
      <c r="S62" s="2168"/>
      <c r="T62" s="2054"/>
      <c r="U62" s="2054" t="s">
        <v>2331</v>
      </c>
      <c r="V62" s="2054"/>
      <c r="W62" s="2054"/>
      <c r="X62" s="2054"/>
      <c r="Y62" s="2211"/>
      <c r="Z62" s="2057"/>
      <c r="AA62" s="2060"/>
      <c r="AB62" s="2057"/>
      <c r="AC62" s="2057"/>
      <c r="AD62" s="2057"/>
    </row>
    <row customHeight="1" ht="18">
      <c r="A63" s="2056"/>
      <c r="B63" s="2110">
        <v>46</v>
      </c>
      <c r="C63" s="2054"/>
      <c r="D63" s="2178" t="s">
        <v>2332</v>
      </c>
      <c r="E63" s="2054"/>
      <c r="F63" s="2054"/>
      <c r="G63" s="2054"/>
      <c r="H63" s="2102"/>
      <c r="I63" s="2216">
        <f>INDEX(TEMPLATE_NUMBER_POINT_FHD,B63,MATCH(TEMPLATE_SPHERE,TEMPLATE_SPHERE_LIST_FOR_NOTE,0))</f>
        <v>0</v>
      </c>
      <c r="J63" s="2216">
        <f>INDEX(TEMPLATE_DATA_POINT_FHD,B63,MATCH(TEMPLATE_SPHERE,TEMPLATE_SPHERE_LIST_FOR_NOTE,0))</f>
        <v>0</v>
      </c>
      <c r="K63" s="2216">
        <f>INDEX(TEMPLATE_NOTE_POINT_FHD,B63,MATCH(TEMPLATE_SPHERE,TEMPLATE_SPHERE_LIST_FOR_NOTE,0))</f>
        <v>0</v>
      </c>
      <c r="L63" s="2055" t="str">
        <f>IF(I63=0,"",I63)</f>
        <v/>
      </c>
      <c r="M63" s="2055" t="str">
        <f>IF(J63=0,"",J63)</f>
        <v/>
      </c>
      <c r="N63" s="2055" t="str">
        <f>IF(K63=0,"",K63)</f>
        <v/>
      </c>
      <c r="O63" s="2168"/>
      <c r="P63" s="2168" t="s">
        <v>168</v>
      </c>
      <c r="Q63" s="2168"/>
      <c r="R63" s="2168"/>
      <c r="S63" s="2168"/>
      <c r="T63" s="2054"/>
      <c r="U63" s="2054" t="s">
        <v>2333</v>
      </c>
      <c r="V63" s="2054"/>
      <c r="W63" s="2054"/>
      <c r="X63" s="2054"/>
      <c r="Y63" s="2211"/>
      <c r="Z63" s="2057"/>
      <c r="AA63" s="2060"/>
      <c r="AB63" s="2057"/>
      <c r="AC63" s="2057"/>
      <c r="AD63" s="2057"/>
    </row>
    <row customHeight="1" ht="18">
      <c r="A64" s="2056"/>
      <c r="B64" s="2110">
        <v>47</v>
      </c>
      <c r="C64" s="2054"/>
      <c r="D64" s="2178" t="s">
        <v>2334</v>
      </c>
      <c r="E64" s="2054"/>
      <c r="F64" s="2054"/>
      <c r="G64" s="2054"/>
      <c r="H64" s="2102"/>
      <c r="I64" s="2216">
        <f>INDEX(TEMPLATE_NUMBER_POINT_FHD,B64,MATCH(TEMPLATE_SPHERE,TEMPLATE_SPHERE_LIST_FOR_NOTE,0))</f>
        <v>0</v>
      </c>
      <c r="J64" s="2216">
        <f>INDEX(TEMPLATE_DATA_POINT_FHD,B64,MATCH(TEMPLATE_SPHERE,TEMPLATE_SPHERE_LIST_FOR_NOTE,0))</f>
        <v>0</v>
      </c>
      <c r="K64" s="2216">
        <f>INDEX(TEMPLATE_NOTE_POINT_FHD,B64,MATCH(TEMPLATE_SPHERE,TEMPLATE_SPHERE_LIST_FOR_NOTE,0))</f>
        <v>0</v>
      </c>
      <c r="L64" s="2055" t="str">
        <f>IF(I64=0,"",I64)</f>
        <v/>
      </c>
      <c r="M64" s="2055" t="str">
        <f>IF(J64=0,"",J64)</f>
        <v/>
      </c>
      <c r="N64" s="2055" t="str">
        <f>IF(K64=0,"",K64)</f>
        <v/>
      </c>
      <c r="O64" s="2168"/>
      <c r="P64" s="2168" t="s">
        <v>169</v>
      </c>
      <c r="Q64" s="2168"/>
      <c r="R64" s="2168"/>
      <c r="S64" s="2168"/>
      <c r="T64" s="2054"/>
      <c r="U64" s="2054" t="s">
        <v>2335</v>
      </c>
      <c r="V64" s="2054"/>
      <c r="W64" s="2054"/>
      <c r="X64" s="2054"/>
      <c r="Y64" s="2211"/>
      <c r="Z64" s="2057"/>
      <c r="AA64" s="2060" t="s">
        <v>2336</v>
      </c>
      <c r="AB64" s="2057"/>
      <c r="AC64" s="2057"/>
      <c r="AD64" s="2057"/>
    </row>
    <row customHeight="1" ht="18">
      <c r="A65" s="2056"/>
      <c r="B65" s="2110">
        <v>48</v>
      </c>
      <c r="C65" s="2054"/>
      <c r="D65" s="2178"/>
      <c r="E65" s="2054"/>
      <c r="F65" s="2054"/>
      <c r="G65" s="2054"/>
      <c r="H65" s="2102"/>
      <c r="I65" s="2216">
        <f>INDEX(TEMPLATE_NUMBER_POINT_FHD,B65,MATCH(TEMPLATE_SPHERE,TEMPLATE_SPHERE_LIST_FOR_NOTE,0))</f>
        <v>0</v>
      </c>
      <c r="J65" s="2216">
        <f>INDEX(TEMPLATE_DATA_POINT_FHD,B65,MATCH(TEMPLATE_SPHERE,TEMPLATE_SPHERE_LIST_FOR_NOTE,0))</f>
        <v>0</v>
      </c>
      <c r="K65" s="2216">
        <f>INDEX(TEMPLATE_NOTE_POINT_FHD,B65,MATCH(TEMPLATE_SPHERE,TEMPLATE_SPHERE_LIST_FOR_NOTE,0))</f>
        <v>0</v>
      </c>
      <c r="L65" s="2055" t="str">
        <f>IF(I65=0,"",I65)</f>
        <v/>
      </c>
      <c r="M65" s="2055" t="str">
        <f>IF(J65=0,"",J65)</f>
        <v/>
      </c>
      <c r="N65" s="2055" t="str">
        <f>IF(K65=0,"",K65)</f>
        <v/>
      </c>
      <c r="O65" s="2168"/>
      <c r="P65" s="2168" t="s">
        <v>2252</v>
      </c>
      <c r="Q65" s="2168"/>
      <c r="R65" s="2168"/>
      <c r="S65" s="2168"/>
      <c r="T65" s="2054"/>
      <c r="U65" s="2054" t="s">
        <v>2337</v>
      </c>
      <c r="V65" s="2054"/>
      <c r="W65" s="2054"/>
      <c r="X65" s="2054"/>
      <c r="Y65" s="2211"/>
      <c r="Z65" s="2057"/>
      <c r="AA65" s="2060"/>
      <c r="AB65" s="2057"/>
      <c r="AC65" s="2057"/>
      <c r="AD65" s="2057"/>
    </row>
    <row customHeight="1" ht="18">
      <c r="A66" s="2056"/>
      <c r="B66" s="2110">
        <v>49</v>
      </c>
      <c r="C66" s="2054"/>
      <c r="D66" s="2178"/>
      <c r="E66" s="2054"/>
      <c r="F66" s="2054"/>
      <c r="G66" s="2054"/>
      <c r="H66" s="2102"/>
      <c r="I66" s="2216">
        <f>INDEX(TEMPLATE_NUMBER_POINT_FHD,B66,MATCH(TEMPLATE_SPHERE,TEMPLATE_SPHERE_LIST_FOR_NOTE,0))</f>
        <v>0</v>
      </c>
      <c r="J66" s="2216">
        <f>INDEX(TEMPLATE_DATA_POINT_FHD,B66,MATCH(TEMPLATE_SPHERE,TEMPLATE_SPHERE_LIST_FOR_NOTE,0))</f>
        <v>0</v>
      </c>
      <c r="K66" s="2216">
        <f>INDEX(TEMPLATE_NOTE_POINT_FHD,B66,MATCH(TEMPLATE_SPHERE,TEMPLATE_SPHERE_LIST_FOR_NOTE,0))</f>
        <v>0</v>
      </c>
      <c r="L66" s="2055" t="str">
        <f>IF(I66=0,"",I66)</f>
        <v/>
      </c>
      <c r="M66" s="2055" t="str">
        <f>IF(J66=0,"",J66)</f>
        <v/>
      </c>
      <c r="N66" s="2055" t="str">
        <f>IF(K66=0,"",K66)</f>
        <v/>
      </c>
      <c r="O66" s="2168"/>
      <c r="P66" s="2168" t="s">
        <v>2256</v>
      </c>
      <c r="Q66" s="2168"/>
      <c r="R66" s="2168"/>
      <c r="S66" s="2168"/>
      <c r="T66" s="2054"/>
      <c r="U66" s="2054" t="s">
        <v>2338</v>
      </c>
      <c r="V66" s="2054"/>
      <c r="W66" s="2054"/>
      <c r="X66" s="2054"/>
      <c r="Y66" s="2211"/>
      <c r="Z66" s="2057"/>
      <c r="AA66" s="2060"/>
      <c r="AB66" s="2057"/>
      <c r="AC66" s="2057"/>
      <c r="AD66" s="2057"/>
    </row>
    <row customHeight="1" ht="27">
      <c r="A67" s="2056"/>
      <c r="B67" s="2110">
        <v>50</v>
      </c>
      <c r="C67" s="2054"/>
      <c r="D67" s="2178"/>
      <c r="E67" s="2054"/>
      <c r="F67" s="2054"/>
      <c r="G67" s="2054"/>
      <c r="H67" s="2102"/>
      <c r="I67" s="2216">
        <f>INDEX(TEMPLATE_NUMBER_POINT_FHD,B67,MATCH(TEMPLATE_SPHERE,TEMPLATE_SPHERE_LIST_FOR_NOTE,0))</f>
        <v>0</v>
      </c>
      <c r="J67" s="2216">
        <f>INDEX(TEMPLATE_DATA_POINT_FHD,B67,MATCH(TEMPLATE_SPHERE,TEMPLATE_SPHERE_LIST_FOR_NOTE,0))</f>
        <v>0</v>
      </c>
      <c r="K67" s="2216">
        <f>INDEX(TEMPLATE_NOTE_POINT_FHD,B67,MATCH(TEMPLATE_SPHERE,TEMPLATE_SPHERE_LIST_FOR_NOTE,0))</f>
        <v>0</v>
      </c>
      <c r="L67" s="2055" t="str">
        <f>IF(I67=0,"",I67)</f>
        <v/>
      </c>
      <c r="M67" s="2055" t="str">
        <f>IF(J67=0,"",J67)</f>
        <v/>
      </c>
      <c r="N67" s="2055" t="str">
        <f>IF(K67=0,"",K67)</f>
        <v/>
      </c>
      <c r="O67" s="2168"/>
      <c r="P67" s="2168" t="s">
        <v>2339</v>
      </c>
      <c r="Q67" s="2168"/>
      <c r="R67" s="2168"/>
      <c r="S67" s="2168"/>
      <c r="T67" s="2054"/>
      <c r="U67" s="2054" t="s">
        <v>2340</v>
      </c>
      <c r="V67" s="2054"/>
      <c r="W67" s="2054"/>
      <c r="X67" s="2054"/>
      <c r="Y67" s="2211"/>
      <c r="Z67" s="2057"/>
      <c r="AA67" s="2060"/>
      <c r="AB67" s="2057"/>
      <c r="AC67" s="2057"/>
      <c r="AD67" s="2057"/>
    </row>
    <row customHeight="1" ht="27">
      <c r="A68" s="2056"/>
      <c r="B68" s="2110">
        <v>51</v>
      </c>
      <c r="C68" s="2054"/>
      <c r="D68" s="2178"/>
      <c r="E68" s="2054"/>
      <c r="F68" s="2054"/>
      <c r="G68" s="2054"/>
      <c r="H68" s="2102"/>
      <c r="I68" s="2216">
        <f>INDEX(TEMPLATE_NUMBER_POINT_FHD,B68,MATCH(TEMPLATE_SPHERE,TEMPLATE_SPHERE_LIST_FOR_NOTE,0))</f>
        <v>0</v>
      </c>
      <c r="J68" s="2216">
        <f>INDEX(TEMPLATE_DATA_POINT_FHD,B68,MATCH(TEMPLATE_SPHERE,TEMPLATE_SPHERE_LIST_FOR_NOTE,0))</f>
        <v>0</v>
      </c>
      <c r="K68" s="2216">
        <f>INDEX(TEMPLATE_NOTE_POINT_FHD,B68,MATCH(TEMPLATE_SPHERE,TEMPLATE_SPHERE_LIST_FOR_NOTE,0))</f>
        <v>0</v>
      </c>
      <c r="L68" s="2055" t="str">
        <f>IF(I68=0,"",I68)</f>
        <v/>
      </c>
      <c r="M68" s="2055" t="str">
        <f>IF(J68=0,"",J68)</f>
        <v/>
      </c>
      <c r="N68" s="2055" t="str">
        <f>IF(K68=0,"",K68)</f>
        <v/>
      </c>
      <c r="O68" s="2168"/>
      <c r="P68" s="2168" t="s">
        <v>2341</v>
      </c>
      <c r="Q68" s="2168"/>
      <c r="R68" s="2168"/>
      <c r="S68" s="2168"/>
      <c r="T68" s="2054"/>
      <c r="U68" s="2054" t="s">
        <v>2342</v>
      </c>
      <c r="V68" s="2054"/>
      <c r="W68" s="2054"/>
      <c r="X68" s="2054"/>
      <c r="Y68" s="2211"/>
      <c r="Z68" s="2057"/>
      <c r="AA68" s="2060"/>
      <c r="AB68" s="2057"/>
      <c r="AC68" s="2057"/>
      <c r="AD68" s="2057"/>
    </row>
    <row customHeight="1" ht="9">
      <c r="A69" s="2056"/>
      <c r="B69" s="2110">
        <v>52</v>
      </c>
      <c r="C69" s="2054"/>
      <c r="D69" s="2178" t="s">
        <v>2343</v>
      </c>
      <c r="E69" s="2054"/>
      <c r="F69" s="2054"/>
      <c r="G69" s="2054"/>
      <c r="H69" s="2102"/>
      <c r="I69" s="2216">
        <f>INDEX(TEMPLATE_NUMBER_POINT_FHD,B69,MATCH(TEMPLATE_SPHERE,TEMPLATE_SPHERE_LIST_FOR_NOTE,0))</f>
        <v>0</v>
      </c>
      <c r="J69" s="2216">
        <f>INDEX(TEMPLATE_DATA_POINT_FHD,B69,MATCH(TEMPLATE_SPHERE,TEMPLATE_SPHERE_LIST_FOR_NOTE,0))</f>
        <v>0</v>
      </c>
      <c r="K69" s="2216">
        <f>INDEX(TEMPLATE_NOTE_POINT_FHD,B69,MATCH(TEMPLATE_SPHERE,TEMPLATE_SPHERE_LIST_FOR_NOTE,0))</f>
        <v>0</v>
      </c>
      <c r="L69" s="2055" t="str">
        <f>IF(I69=0,"",I69)</f>
        <v/>
      </c>
      <c r="M69" s="2055" t="str">
        <f>IF(J69=0,"",J69)</f>
        <v/>
      </c>
      <c r="N69" s="2055" t="str">
        <f>IF(K69=0,"",K69)</f>
        <v/>
      </c>
      <c r="O69" s="2168"/>
      <c r="P69" s="2168" t="s">
        <v>170</v>
      </c>
      <c r="Q69" s="2168"/>
      <c r="R69" s="2168"/>
      <c r="S69" s="2168"/>
      <c r="T69" s="2054"/>
      <c r="U69" s="2054" t="s">
        <v>2344</v>
      </c>
      <c r="V69" s="2054"/>
      <c r="W69" s="2054"/>
      <c r="X69" s="2054"/>
      <c r="Y69" s="2211"/>
      <c r="Z69" s="2057"/>
      <c r="AA69" s="2060"/>
      <c r="AB69" s="2057"/>
      <c r="AC69" s="2057"/>
      <c r="AD69" s="2057"/>
    </row>
    <row customHeight="1" ht="27">
      <c r="A70" s="2056"/>
      <c r="B70" s="2110">
        <v>53</v>
      </c>
      <c r="C70" s="2054"/>
      <c r="D70" s="2178"/>
      <c r="E70" s="2054" t="s">
        <v>2328</v>
      </c>
      <c r="F70" s="2054"/>
      <c r="G70" s="2054"/>
      <c r="H70" s="2102"/>
      <c r="I70" s="2216">
        <f>INDEX(TEMPLATE_NUMBER_POINT_FHD,B70,MATCH(TEMPLATE_SPHERE,TEMPLATE_SPHERE_LIST_FOR_NOTE,0))</f>
        <v>0</v>
      </c>
      <c r="J70" s="2216">
        <f>INDEX(TEMPLATE_DATA_POINT_FHD,B70,MATCH(TEMPLATE_SPHERE,TEMPLATE_SPHERE_LIST_FOR_NOTE,0))</f>
        <v>0</v>
      </c>
      <c r="K70" s="2216">
        <f>INDEX(TEMPLATE_NOTE_POINT_FHD,B70,MATCH(TEMPLATE_SPHERE,TEMPLATE_SPHERE_LIST_FOR_NOTE,0))</f>
        <v>0</v>
      </c>
      <c r="L70" s="2055" t="str">
        <f>IF(I70=0,"",I70)</f>
        <v/>
      </c>
      <c r="M70" s="2055" t="str">
        <f>IF(J70=0,"",J70)</f>
        <v/>
      </c>
      <c r="N70" s="2055" t="str">
        <f>IF(K70=0,"",K70)</f>
        <v/>
      </c>
      <c r="O70" s="2168"/>
      <c r="P70" s="2168"/>
      <c r="Q70" s="2168" t="s">
        <v>93</v>
      </c>
      <c r="R70" s="2168"/>
      <c r="S70" s="2168"/>
      <c r="T70" s="2054"/>
      <c r="U70" s="2054"/>
      <c r="V70" s="2054" t="s">
        <v>2345</v>
      </c>
      <c r="W70" s="2054"/>
      <c r="X70" s="2054"/>
      <c r="Y70" s="2211"/>
      <c r="Z70" s="2057"/>
      <c r="AA70" s="2060"/>
      <c r="AB70" s="2057"/>
      <c r="AC70" s="2057"/>
      <c r="AD70" s="2057"/>
    </row>
    <row customHeight="1" ht="36">
      <c r="A71" s="2056"/>
      <c r="B71" s="2110">
        <v>54</v>
      </c>
      <c r="C71" s="2054"/>
      <c r="D71" s="2178"/>
      <c r="E71" s="2054" t="s">
        <v>2330</v>
      </c>
      <c r="F71" s="2054"/>
      <c r="G71" s="2054"/>
      <c r="H71" s="2102"/>
      <c r="I71" s="2216">
        <f>INDEX(TEMPLATE_NUMBER_POINT_FHD,B71,MATCH(TEMPLATE_SPHERE,TEMPLATE_SPHERE_LIST_FOR_NOTE,0))</f>
        <v>0</v>
      </c>
      <c r="J71" s="2216">
        <f>INDEX(TEMPLATE_DATA_POINT_FHD,B71,MATCH(TEMPLATE_SPHERE,TEMPLATE_SPHERE_LIST_FOR_NOTE,0))</f>
        <v>0</v>
      </c>
      <c r="K71" s="2216">
        <f>INDEX(TEMPLATE_NOTE_POINT_FHD,B71,MATCH(TEMPLATE_SPHERE,TEMPLATE_SPHERE_LIST_FOR_NOTE,0))</f>
        <v>0</v>
      </c>
      <c r="L71" s="2055" t="str">
        <f>IF(I71=0,"",I71)</f>
        <v/>
      </c>
      <c r="M71" s="2055" t="str">
        <f>IF(J71=0,"",J71)</f>
        <v/>
      </c>
      <c r="N71" s="2055" t="str">
        <f>IF(K71=0,"",K71)</f>
        <v/>
      </c>
      <c r="O71" s="2168"/>
      <c r="P71" s="2168"/>
      <c r="Q71" s="2168" t="s">
        <v>123</v>
      </c>
      <c r="R71" s="2168"/>
      <c r="S71" s="2168"/>
      <c r="T71" s="2054"/>
      <c r="U71" s="2054"/>
      <c r="V71" s="2054" t="s">
        <v>2346</v>
      </c>
      <c r="W71" s="2054"/>
      <c r="X71" s="2054"/>
      <c r="Y71" s="2211"/>
      <c r="Z71" s="2057"/>
      <c r="AA71" s="2060"/>
      <c r="AB71" s="2057"/>
      <c r="AC71" s="2057"/>
      <c r="AD71" s="2057"/>
    </row>
    <row customHeight="1" ht="27">
      <c r="A72" s="2056"/>
      <c r="B72" s="2110">
        <v>55</v>
      </c>
      <c r="C72" s="2054"/>
      <c r="D72" s="2178"/>
      <c r="E72" s="2054" t="s">
        <v>2332</v>
      </c>
      <c r="F72" s="2054"/>
      <c r="G72" s="2054"/>
      <c r="H72" s="2102"/>
      <c r="I72" s="2216">
        <f>INDEX(TEMPLATE_NUMBER_POINT_FHD,B72,MATCH(TEMPLATE_SPHERE,TEMPLATE_SPHERE_LIST_FOR_NOTE,0))</f>
        <v>0</v>
      </c>
      <c r="J72" s="2216">
        <f>INDEX(TEMPLATE_DATA_POINT_FHD,B72,MATCH(TEMPLATE_SPHERE,TEMPLATE_SPHERE_LIST_FOR_NOTE,0))</f>
        <v>0</v>
      </c>
      <c r="K72" s="2216">
        <f>INDEX(TEMPLATE_NOTE_POINT_FHD,B72,MATCH(TEMPLATE_SPHERE,TEMPLATE_SPHERE_LIST_FOR_NOTE,0))</f>
        <v>0</v>
      </c>
      <c r="L72" s="2055" t="str">
        <f>IF(I72=0,"",I72)</f>
        <v/>
      </c>
      <c r="M72" s="2055" t="str">
        <f>IF(J72=0,"",J72)</f>
        <v/>
      </c>
      <c r="N72" s="2055" t="str">
        <f>IF(K72=0,"",K72)</f>
        <v/>
      </c>
      <c r="O72" s="2168"/>
      <c r="P72" s="2168"/>
      <c r="Q72" s="2168" t="s">
        <v>168</v>
      </c>
      <c r="R72" s="2168"/>
      <c r="S72" s="2168"/>
      <c r="T72" s="2054"/>
      <c r="U72" s="2054"/>
      <c r="V72" s="2054" t="s">
        <v>2347</v>
      </c>
      <c r="W72" s="2054"/>
      <c r="X72" s="2054"/>
      <c r="Y72" s="2211"/>
      <c r="Z72" s="2057"/>
      <c r="AA72" s="2060"/>
      <c r="AB72" s="2057"/>
      <c r="AC72" s="2057"/>
      <c r="AD72" s="2057"/>
    </row>
    <row customHeight="1" ht="36">
      <c r="A73" s="2056"/>
      <c r="B73" s="2110">
        <v>56</v>
      </c>
      <c r="C73" s="2054"/>
      <c r="D73" s="2178"/>
      <c r="E73" s="2054" t="s">
        <v>2334</v>
      </c>
      <c r="F73" s="2054"/>
      <c r="G73" s="2054"/>
      <c r="H73" s="2102"/>
      <c r="I73" s="2216">
        <f>INDEX(TEMPLATE_NUMBER_POINT_FHD,B73,MATCH(TEMPLATE_SPHERE,TEMPLATE_SPHERE_LIST_FOR_NOTE,0))</f>
        <v>0</v>
      </c>
      <c r="J73" s="2216">
        <f>INDEX(TEMPLATE_DATA_POINT_FHD,B73,MATCH(TEMPLATE_SPHERE,TEMPLATE_SPHERE_LIST_FOR_NOTE,0))</f>
        <v>0</v>
      </c>
      <c r="K73" s="2216">
        <f>INDEX(TEMPLATE_NOTE_POINT_FHD,B73,MATCH(TEMPLATE_SPHERE,TEMPLATE_SPHERE_LIST_FOR_NOTE,0))</f>
        <v>0</v>
      </c>
      <c r="L73" s="2055" t="str">
        <f>IF(I73=0,"",I73)</f>
        <v/>
      </c>
      <c r="M73" s="2055" t="str">
        <f>IF(J73=0,"",J73)</f>
        <v/>
      </c>
      <c r="N73" s="2055" t="str">
        <f>IF(K73=0,"",K73)</f>
        <v/>
      </c>
      <c r="O73" s="2168"/>
      <c r="P73" s="2168"/>
      <c r="Q73" s="2168" t="s">
        <v>169</v>
      </c>
      <c r="R73" s="2168"/>
      <c r="S73" s="2168"/>
      <c r="T73" s="2054"/>
      <c r="U73" s="2054"/>
      <c r="V73" s="2054" t="s">
        <v>2348</v>
      </c>
      <c r="W73" s="2054"/>
      <c r="X73" s="2054"/>
      <c r="Y73" s="2211"/>
      <c r="Z73" s="2057"/>
      <c r="AA73" s="2060"/>
      <c r="AB73" s="2057"/>
      <c r="AC73" s="2057"/>
      <c r="AD73" s="2057"/>
    </row>
    <row customHeight="1" ht="18">
      <c r="A74" s="2056"/>
      <c r="B74" s="2110">
        <v>57</v>
      </c>
      <c r="C74" s="2054"/>
      <c r="D74" s="2178"/>
      <c r="E74" s="2054" t="s">
        <v>2343</v>
      </c>
      <c r="F74" s="2054"/>
      <c r="G74" s="2054"/>
      <c r="H74" s="2102"/>
      <c r="I74" s="2216">
        <f>INDEX(TEMPLATE_NUMBER_POINT_FHD,B74,MATCH(TEMPLATE_SPHERE,TEMPLATE_SPHERE_LIST_FOR_NOTE,0))</f>
        <v>0</v>
      </c>
      <c r="J74" s="2216">
        <f>INDEX(TEMPLATE_DATA_POINT_FHD,B74,MATCH(TEMPLATE_SPHERE,TEMPLATE_SPHERE_LIST_FOR_NOTE,0))</f>
        <v>0</v>
      </c>
      <c r="K74" s="2216">
        <f>INDEX(TEMPLATE_NOTE_POINT_FHD,B74,MATCH(TEMPLATE_SPHERE,TEMPLATE_SPHERE_LIST_FOR_NOTE,0))</f>
        <v>0</v>
      </c>
      <c r="L74" s="2055" t="str">
        <f>IF(I74=0,"",I74)</f>
        <v/>
      </c>
      <c r="M74" s="2055" t="str">
        <f>IF(J74=0,"",J74)</f>
        <v/>
      </c>
      <c r="N74" s="2055" t="str">
        <f>IF(K74=0,"",K74)</f>
        <v/>
      </c>
      <c r="O74" s="2168"/>
      <c r="P74" s="2168"/>
      <c r="Q74" s="2168" t="s">
        <v>170</v>
      </c>
      <c r="R74" s="2168"/>
      <c r="S74" s="2168"/>
      <c r="T74" s="2054"/>
      <c r="U74" s="2054"/>
      <c r="V74" s="2054" t="s">
        <v>2349</v>
      </c>
      <c r="W74" s="2054"/>
      <c r="X74" s="2054"/>
      <c r="Y74" s="2211"/>
      <c r="Z74" s="2057"/>
      <c r="AA74" s="2060"/>
      <c r="AB74" s="2057"/>
      <c r="AC74" s="2057"/>
      <c r="AD74" s="2057"/>
    </row>
    <row customHeight="1" ht="18">
      <c r="A75" s="2056"/>
      <c r="B75" s="2110">
        <v>58</v>
      </c>
      <c r="C75" s="2054"/>
      <c r="D75" s="2178"/>
      <c r="E75" s="2054"/>
      <c r="F75" s="2054" t="s">
        <v>2328</v>
      </c>
      <c r="G75" s="2054"/>
      <c r="H75" s="2102"/>
      <c r="I75" s="2216">
        <f>INDEX(TEMPLATE_NUMBER_POINT_FHD,B75,MATCH(TEMPLATE_SPHERE,TEMPLATE_SPHERE_LIST_FOR_NOTE,0))</f>
        <v>0</v>
      </c>
      <c r="J75" s="2216">
        <f>INDEX(TEMPLATE_DATA_POINT_FHD,B75,MATCH(TEMPLATE_SPHERE,TEMPLATE_SPHERE_LIST_FOR_NOTE,0))</f>
        <v>0</v>
      </c>
      <c r="K75" s="2216">
        <f>INDEX(TEMPLATE_NOTE_POINT_FHD,B75,MATCH(TEMPLATE_SPHERE,TEMPLATE_SPHERE_LIST_FOR_NOTE,0))</f>
        <v>0</v>
      </c>
      <c r="L75" s="2055" t="str">
        <f>IF(I75=0,"",I75)</f>
        <v/>
      </c>
      <c r="M75" s="2055" t="str">
        <f>IF(J75=0,"",J75)</f>
        <v/>
      </c>
      <c r="N75" s="2055" t="str">
        <f>IF(K75=0,"",K75)</f>
        <v/>
      </c>
      <c r="O75" s="2168"/>
      <c r="P75" s="2168"/>
      <c r="Q75" s="2168"/>
      <c r="R75" s="2168" t="s">
        <v>93</v>
      </c>
      <c r="S75" s="2168"/>
      <c r="T75" s="2054"/>
      <c r="U75" s="2054"/>
      <c r="V75" s="2054"/>
      <c r="W75" s="2054" t="s">
        <v>2350</v>
      </c>
      <c r="X75" s="2054"/>
      <c r="Y75" s="2211"/>
      <c r="Z75" s="2057"/>
      <c r="AA75" s="2060"/>
      <c r="AB75" s="2057"/>
      <c r="AC75" s="2057"/>
      <c r="AD75" s="2057"/>
    </row>
    <row customHeight="1" ht="36">
      <c r="A76" s="2056"/>
      <c r="B76" s="2110">
        <v>59</v>
      </c>
      <c r="C76" s="2054"/>
      <c r="D76" s="2178"/>
      <c r="E76" s="2054"/>
      <c r="F76" s="2054" t="s">
        <v>2330</v>
      </c>
      <c r="G76" s="2054"/>
      <c r="H76" s="2102"/>
      <c r="I76" s="2216">
        <f>INDEX(TEMPLATE_NUMBER_POINT_FHD,B76,MATCH(TEMPLATE_SPHERE,TEMPLATE_SPHERE_LIST_FOR_NOTE,0))</f>
        <v>0</v>
      </c>
      <c r="J76" s="2216">
        <f>INDEX(TEMPLATE_DATA_POINT_FHD,B76,MATCH(TEMPLATE_SPHERE,TEMPLATE_SPHERE_LIST_FOR_NOTE,0))</f>
        <v>0</v>
      </c>
      <c r="K76" s="2216">
        <f>INDEX(TEMPLATE_NOTE_POINT_FHD,B76,MATCH(TEMPLATE_SPHERE,TEMPLATE_SPHERE_LIST_FOR_NOTE,0))</f>
        <v>0</v>
      </c>
      <c r="L76" s="2055" t="str">
        <f>IF(I76=0,"",I76)</f>
        <v/>
      </c>
      <c r="M76" s="2055" t="str">
        <f>IF(J76=0,"",J76)</f>
        <v/>
      </c>
      <c r="N76" s="2055" t="str">
        <f>IF(K76=0,"",K76)</f>
        <v/>
      </c>
      <c r="O76" s="2168"/>
      <c r="P76" s="2168"/>
      <c r="Q76" s="2168"/>
      <c r="R76" s="2168" t="s">
        <v>123</v>
      </c>
      <c r="S76" s="2168"/>
      <c r="T76" s="2054"/>
      <c r="U76" s="2054"/>
      <c r="V76" s="2054"/>
      <c r="W76" s="2054" t="s">
        <v>2351</v>
      </c>
      <c r="X76" s="2054"/>
      <c r="Y76" s="2211"/>
      <c r="Z76" s="2057"/>
      <c r="AA76" s="2060"/>
      <c r="AB76" s="2057"/>
      <c r="AC76" s="2057"/>
      <c r="AD76" s="2057"/>
    </row>
    <row customHeight="1" ht="18">
      <c r="A77" s="2056"/>
      <c r="B77" s="2110">
        <v>60</v>
      </c>
      <c r="C77" s="2054"/>
      <c r="D77" s="2178"/>
      <c r="E77" s="2054"/>
      <c r="F77" s="2054" t="s">
        <v>2332</v>
      </c>
      <c r="G77" s="2054"/>
      <c r="H77" s="2102"/>
      <c r="I77" s="2216">
        <f>INDEX(TEMPLATE_NUMBER_POINT_FHD,B77,MATCH(TEMPLATE_SPHERE,TEMPLATE_SPHERE_LIST_FOR_NOTE,0))</f>
        <v>0</v>
      </c>
      <c r="J77" s="2216">
        <f>INDEX(TEMPLATE_DATA_POINT_FHD,B77,MATCH(TEMPLATE_SPHERE,TEMPLATE_SPHERE_LIST_FOR_NOTE,0))</f>
        <v>0</v>
      </c>
      <c r="K77" s="2216">
        <f>INDEX(TEMPLATE_NOTE_POINT_FHD,B77,MATCH(TEMPLATE_SPHERE,TEMPLATE_SPHERE_LIST_FOR_NOTE,0))</f>
        <v>0</v>
      </c>
      <c r="L77" s="2055" t="str">
        <f>IF(I77=0,"",I77)</f>
        <v/>
      </c>
      <c r="M77" s="2055" t="str">
        <f>IF(J77=0,"",J77)</f>
        <v/>
      </c>
      <c r="N77" s="2055" t="str">
        <f>IF(K77=0,"",K77)</f>
        <v/>
      </c>
      <c r="O77" s="2168"/>
      <c r="P77" s="2168"/>
      <c r="Q77" s="2168"/>
      <c r="R77" s="2168" t="s">
        <v>168</v>
      </c>
      <c r="S77" s="2168"/>
      <c r="T77" s="2054"/>
      <c r="U77" s="2054"/>
      <c r="V77" s="2054"/>
      <c r="W77" s="2054" t="s">
        <v>2352</v>
      </c>
      <c r="X77" s="2054"/>
      <c r="Y77" s="2211"/>
      <c r="Z77" s="2057"/>
      <c r="AA77" s="2060"/>
      <c r="AB77" s="2057"/>
      <c r="AC77" s="2057"/>
      <c r="AD77" s="2057"/>
    </row>
    <row customHeight="1" ht="72">
      <c r="A78" s="2056"/>
      <c r="B78" s="2110">
        <v>61</v>
      </c>
      <c r="C78" s="2054" t="s">
        <v>2328</v>
      </c>
      <c r="D78" s="2178"/>
      <c r="E78" s="2054"/>
      <c r="F78" s="2054"/>
      <c r="G78" s="2054"/>
      <c r="H78" s="2102"/>
      <c r="I78" s="2216" t="str">
        <f>INDEX(TEMPLATE_NUMBER_POINT_FHD,B78,MATCH(TEMPLATE_SPHERE,TEMPLATE_SPHERE_LIST_FOR_NOTE,0))</f>
        <v>7</v>
      </c>
      <c r="J78" s="221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221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2055" t="str">
        <f>IF(I78=0,"",I78)</f>
        <v>7</v>
      </c>
      <c r="M78" s="205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205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2168" t="s">
        <v>93</v>
      </c>
      <c r="P78" s="2168"/>
      <c r="Q78" s="2168"/>
      <c r="R78" s="2168"/>
      <c r="S78" s="2168"/>
      <c r="T78" s="2054" t="s">
        <v>786</v>
      </c>
      <c r="U78" s="2054"/>
      <c r="V78" s="2054"/>
      <c r="W78" s="2054"/>
      <c r="X78" s="2054"/>
      <c r="Y78" s="2211"/>
      <c r="Z78" s="2057" t="s">
        <v>2353</v>
      </c>
      <c r="AA78" s="2060"/>
      <c r="AB78" s="2057"/>
      <c r="AC78" s="2057"/>
      <c r="AD78" s="2057"/>
    </row>
    <row customHeight="1" ht="36">
      <c r="A79" s="2056"/>
      <c r="B79" s="2110">
        <v>62</v>
      </c>
      <c r="C79" s="2054" t="s">
        <v>2330</v>
      </c>
      <c r="D79" s="2178"/>
      <c r="E79" s="2054"/>
      <c r="F79" s="2054"/>
      <c r="G79" s="2054"/>
      <c r="H79" s="2102"/>
      <c r="I79" s="2216" t="str">
        <f>INDEX(TEMPLATE_NUMBER_POINT_FHD,B79,MATCH(TEMPLATE_SPHERE,TEMPLATE_SPHERE_LIST_FOR_NOTE,0))</f>
        <v>8</v>
      </c>
      <c r="J79" s="221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221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2055" t="str">
        <f>IF(I79=0,"",I79)</f>
        <v>8</v>
      </c>
      <c r="M79" s="2055" t="str">
        <f>IF(J79=0,"",J79)</f>
        <v>Тепловая нагрузка по договорам, заключенным в рамках осуществления регулируемых видов деятельности</v>
      </c>
      <c r="N79" s="205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2168" t="s">
        <v>123</v>
      </c>
      <c r="P79" s="2168"/>
      <c r="Q79" s="2168"/>
      <c r="R79" s="2168"/>
      <c r="S79" s="2168"/>
      <c r="T79" s="2054" t="s">
        <v>2354</v>
      </c>
      <c r="U79" s="2054"/>
      <c r="V79" s="2054"/>
      <c r="W79" s="2054"/>
      <c r="X79" s="2054"/>
      <c r="Y79" s="2211"/>
      <c r="Z79" s="2057" t="s">
        <v>2355</v>
      </c>
      <c r="AA79" s="2060"/>
      <c r="AB79" s="2057"/>
      <c r="AC79" s="2057"/>
      <c r="AD79" s="2057"/>
    </row>
    <row customHeight="1" ht="45">
      <c r="A80" s="2056"/>
      <c r="B80" s="2110">
        <v>63</v>
      </c>
      <c r="C80" s="2054" t="s">
        <v>2332</v>
      </c>
      <c r="D80" s="2178"/>
      <c r="E80" s="2054"/>
      <c r="F80" s="2054"/>
      <c r="G80" s="2054"/>
      <c r="H80" s="2102"/>
      <c r="I80" s="2216" t="str">
        <f>INDEX(TEMPLATE_NUMBER_POINT_FHD,B80,MATCH(TEMPLATE_SPHERE,TEMPLATE_SPHERE_LIST_FOR_NOTE,0))</f>
        <v>9</v>
      </c>
      <c r="J80" s="221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221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2055" t="str">
        <f>IF(I80=0,"",I80)</f>
        <v>9</v>
      </c>
      <c r="M80" s="2055" t="str">
        <f>IF(J80=0,"",J80)</f>
        <v>Объем вырабатываемой регулируемой организацией тепловой энергии в рамках осуществления регулируемых видов деятельности</v>
      </c>
      <c r="N80" s="205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2168" t="s">
        <v>168</v>
      </c>
      <c r="P80" s="2168"/>
      <c r="Q80" s="2168"/>
      <c r="R80" s="2168"/>
      <c r="S80" s="2168"/>
      <c r="T80" s="2054" t="s">
        <v>2356</v>
      </c>
      <c r="U80" s="2054"/>
      <c r="V80" s="2054"/>
      <c r="W80" s="2054"/>
      <c r="X80" s="2054"/>
      <c r="Y80" s="2211"/>
      <c r="Z80" s="2057" t="s">
        <v>2357</v>
      </c>
      <c r="AA80" s="2060"/>
      <c r="AB80" s="2057"/>
      <c r="AC80" s="2057"/>
      <c r="AD80" s="2057"/>
    </row>
    <row customHeight="1" ht="36">
      <c r="A81" s="2056"/>
      <c r="B81" s="2110">
        <v>64</v>
      </c>
      <c r="C81" s="2054" t="s">
        <v>2334</v>
      </c>
      <c r="D81" s="2178"/>
      <c r="E81" s="2054"/>
      <c r="F81" s="2054"/>
      <c r="G81" s="2054"/>
      <c r="H81" s="2102"/>
      <c r="I81" s="2216" t="str">
        <f>INDEX(TEMPLATE_NUMBER_POINT_FHD,B81,MATCH(TEMPLATE_SPHERE,TEMPLATE_SPHERE_LIST_FOR_NOTE,0))</f>
        <v>9.1</v>
      </c>
      <c r="J81" s="221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2216" t="str">
        <f>INDEX(TEMPLATE_NOTE_POINT_FHD,B81,MATCH(TEMPLATE_SPHERE,TEMPLATE_SPHERE_LIST_FOR_NOTE,0))</f>
        <v>Информация указывается только едиными теплоснабжающими организациями.</v>
      </c>
      <c r="L81" s="2055" t="str">
        <f>IF(I81=0,"",I81)</f>
        <v>9.1</v>
      </c>
      <c r="M81" s="2055" t="str">
        <f>IF(J81=0,"",J81)</f>
        <v>Объем приобретаемой регулируемой организацией тепловой энергии в рамках осуществления регулируемых видов деятельности</v>
      </c>
      <c r="N81" s="2055" t="str">
        <f>IF(K81=0,"",K81)</f>
        <v>Информация указывается только едиными теплоснабжающими организациями.</v>
      </c>
      <c r="O81" s="2168" t="s">
        <v>2243</v>
      </c>
      <c r="P81" s="2168"/>
      <c r="Q81" s="2168"/>
      <c r="R81" s="2168"/>
      <c r="S81" s="2168"/>
      <c r="T81" s="2054" t="s">
        <v>2358</v>
      </c>
      <c r="U81" s="2054"/>
      <c r="V81" s="2054"/>
      <c r="W81" s="2054"/>
      <c r="X81" s="2054"/>
      <c r="Y81" s="2211"/>
      <c r="Z81" s="2057" t="s">
        <v>2359</v>
      </c>
      <c r="AA81" s="2060"/>
      <c r="AB81" s="2057"/>
      <c r="AC81" s="2057"/>
      <c r="AD81" s="2057"/>
    </row>
    <row customHeight="1" ht="90">
      <c r="A82" s="2056"/>
      <c r="B82" s="2110">
        <v>65</v>
      </c>
      <c r="C82" s="2054" t="s">
        <v>2343</v>
      </c>
      <c r="D82" s="2178"/>
      <c r="E82" s="2054"/>
      <c r="F82" s="2054"/>
      <c r="G82" s="2054"/>
      <c r="H82" s="2102"/>
      <c r="I82" s="2216" t="str">
        <f>INDEX(TEMPLATE_NUMBER_POINT_FHD,B82,MATCH(TEMPLATE_SPHERE,TEMPLATE_SPHERE_LIST_FOR_NOTE,0))</f>
        <v>10</v>
      </c>
      <c r="J82" s="221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221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2055" t="str">
        <f>IF(I82=0,"",I82)</f>
        <v>10</v>
      </c>
      <c r="M82" s="205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205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2168" t="s">
        <v>169</v>
      </c>
      <c r="P82" s="2168"/>
      <c r="Q82" s="2168"/>
      <c r="R82" s="2168"/>
      <c r="S82" s="2168"/>
      <c r="T82" s="2054" t="s">
        <v>2360</v>
      </c>
      <c r="U82" s="2054"/>
      <c r="V82" s="2054"/>
      <c r="W82" s="2054"/>
      <c r="X82" s="2054"/>
      <c r="Y82" s="2211"/>
      <c r="Z82" s="2057" t="s">
        <v>2361</v>
      </c>
      <c r="AA82" s="2060"/>
      <c r="AB82" s="2057"/>
      <c r="AC82" s="2057"/>
      <c r="AD82" s="2057"/>
    </row>
    <row customHeight="1" ht="9">
      <c r="A83" s="2056"/>
      <c r="B83" s="2110">
        <v>66</v>
      </c>
      <c r="C83" s="2054"/>
      <c r="D83" s="2178"/>
      <c r="E83" s="2054"/>
      <c r="F83" s="2054"/>
      <c r="G83" s="2054"/>
      <c r="H83" s="2102"/>
      <c r="I83" s="2216" t="str">
        <f>INDEX(TEMPLATE_NUMBER_POINT_FHD,B83,MATCH(TEMPLATE_SPHERE,TEMPLATE_SPHERE_LIST_FOR_NOTE,0))</f>
        <v>10.1</v>
      </c>
      <c r="J83" s="2216" t="str">
        <f>INDEX(TEMPLATE_DATA_POINT_FHD,B83,MATCH(TEMPLATE_SPHERE,TEMPLATE_SPHERE_LIST_FOR_NOTE,0))</f>
        <v>По приборам учёта </v>
      </c>
      <c r="K83" s="2216">
        <f>INDEX(TEMPLATE_NOTE_POINT_FHD,B83,MATCH(TEMPLATE_SPHERE,TEMPLATE_SPHERE_LIST_FOR_NOTE,0))</f>
        <v>0</v>
      </c>
      <c r="L83" s="2055" t="str">
        <f>IF(I83=0,"",I83)</f>
        <v>10.1</v>
      </c>
      <c r="M83" s="2055" t="str">
        <f>IF(J83=0,"",J83)</f>
        <v>По приборам учёта </v>
      </c>
      <c r="N83" s="2055" t="str">
        <f>IF(K83=0,"",K83)</f>
        <v/>
      </c>
      <c r="O83" s="2168" t="s">
        <v>2252</v>
      </c>
      <c r="P83" s="2168"/>
      <c r="Q83" s="2168"/>
      <c r="R83" s="2168"/>
      <c r="S83" s="2168"/>
      <c r="T83" s="2054" t="s">
        <v>2362</v>
      </c>
      <c r="U83" s="2054"/>
      <c r="V83" s="2054"/>
      <c r="W83" s="2054"/>
      <c r="X83" s="2054"/>
      <c r="Y83" s="2211"/>
      <c r="Z83" s="2057"/>
      <c r="AA83" s="2060"/>
      <c r="AB83" s="2057"/>
      <c r="AC83" s="2057"/>
      <c r="AD83" s="2057"/>
    </row>
    <row customHeight="1" ht="54">
      <c r="A84" s="2056"/>
      <c r="B84" s="2110">
        <v>67</v>
      </c>
      <c r="C84" s="2054"/>
      <c r="D84" s="2178"/>
      <c r="E84" s="2054"/>
      <c r="F84" s="2054"/>
      <c r="G84" s="2054"/>
      <c r="H84" s="2102"/>
      <c r="I84" s="2216" t="str">
        <f>INDEX(TEMPLATE_NUMBER_POINT_FHD,B84,MATCH(TEMPLATE_SPHERE,TEMPLATE_SPHERE_LIST_FOR_NOTE,0))</f>
        <v>10.1.1</v>
      </c>
      <c r="J84" s="221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2216">
        <f>INDEX(TEMPLATE_NOTE_POINT_FHD,B84,MATCH(TEMPLATE_SPHERE,TEMPLATE_SPHERE_LIST_FOR_NOTE,0))</f>
        <v>0</v>
      </c>
      <c r="L84" s="2055" t="str">
        <f>IF(I84=0,"",I84)</f>
        <v>10.1.1</v>
      </c>
      <c r="M84" s="205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2055" t="str">
        <f>IF(K84=0,"",K84)</f>
        <v/>
      </c>
      <c r="O84" s="2168" t="s">
        <v>2363</v>
      </c>
      <c r="P84" s="2168"/>
      <c r="Q84" s="2168"/>
      <c r="R84" s="2168"/>
      <c r="S84" s="2168"/>
      <c r="T84" s="2054" t="s">
        <v>2364</v>
      </c>
      <c r="U84" s="2054"/>
      <c r="V84" s="2054"/>
      <c r="W84" s="2054"/>
      <c r="X84" s="2054"/>
      <c r="Y84" s="2211"/>
      <c r="Z84" s="2057"/>
      <c r="AA84" s="2060"/>
      <c r="AB84" s="2057"/>
      <c r="AC84" s="2057"/>
      <c r="AD84" s="2057"/>
    </row>
    <row customHeight="1" ht="9">
      <c r="A85" s="2056"/>
      <c r="B85" s="2110">
        <v>68</v>
      </c>
      <c r="C85" s="2054"/>
      <c r="D85" s="2178"/>
      <c r="E85" s="2054"/>
      <c r="F85" s="2054"/>
      <c r="G85" s="2054"/>
      <c r="H85" s="2102"/>
      <c r="I85" s="2216" t="str">
        <f>INDEX(TEMPLATE_NUMBER_POINT_FHD,B85,MATCH(TEMPLATE_SPHERE,TEMPLATE_SPHERE_LIST_FOR_NOTE,0))</f>
        <v>10.2</v>
      </c>
      <c r="J85" s="2216" t="str">
        <f>INDEX(TEMPLATE_DATA_POINT_FHD,B85,MATCH(TEMPLATE_SPHERE,TEMPLATE_SPHERE_LIST_FOR_NOTE,0))</f>
        <v>Расчётным путём</v>
      </c>
      <c r="K85" s="2216">
        <f>INDEX(TEMPLATE_NOTE_POINT_FHD,B85,MATCH(TEMPLATE_SPHERE,TEMPLATE_SPHERE_LIST_FOR_NOTE,0))</f>
        <v>0</v>
      </c>
      <c r="L85" s="2055" t="str">
        <f>IF(I85=0,"",I85)</f>
        <v>10.2</v>
      </c>
      <c r="M85" s="2055" t="str">
        <f>IF(J85=0,"",J85)</f>
        <v>Расчётным путём</v>
      </c>
      <c r="N85" s="2055" t="str">
        <f>IF(K85=0,"",K85)</f>
        <v/>
      </c>
      <c r="O85" s="2168" t="s">
        <v>2256</v>
      </c>
      <c r="P85" s="2168"/>
      <c r="Q85" s="2168"/>
      <c r="R85" s="2168"/>
      <c r="S85" s="2168"/>
      <c r="T85" s="2054" t="s">
        <v>2365</v>
      </c>
      <c r="U85" s="2054"/>
      <c r="V85" s="2054"/>
      <c r="W85" s="2054"/>
      <c r="X85" s="2054"/>
      <c r="Y85" s="2211"/>
      <c r="Z85" s="2057"/>
      <c r="AA85" s="2060"/>
      <c r="AB85" s="2057"/>
      <c r="AC85" s="2057"/>
      <c r="AD85" s="2057"/>
    </row>
    <row customHeight="1" ht="27">
      <c r="A86" s="2056"/>
      <c r="B86" s="2110">
        <v>69</v>
      </c>
      <c r="C86" s="2054"/>
      <c r="D86" s="2178"/>
      <c r="E86" s="2054"/>
      <c r="F86" s="2054"/>
      <c r="G86" s="2054"/>
      <c r="H86" s="2102"/>
      <c r="I86" s="2216" t="str">
        <f>INDEX(TEMPLATE_NUMBER_POINT_FHD,B86,MATCH(TEMPLATE_SPHERE,TEMPLATE_SPHERE_LIST_FOR_NOTE,0))</f>
        <v>10.3</v>
      </c>
      <c r="J86" s="2216" t="str">
        <f>INDEX(TEMPLATE_DATA_POINT_FHD,B86,MATCH(TEMPLATE_SPHERE,TEMPLATE_SPHERE_LIST_FOR_NOTE,0))</f>
        <v>По нормативам потребления коммунальных услуг и нормативам потребления коммунальных ресурсов</v>
      </c>
      <c r="K86" s="2216">
        <f>INDEX(TEMPLATE_NOTE_POINT_FHD,B86,MATCH(TEMPLATE_SPHERE,TEMPLATE_SPHERE_LIST_FOR_NOTE,0))</f>
        <v>0</v>
      </c>
      <c r="L86" s="2055" t="str">
        <f>IF(I86=0,"",I86)</f>
        <v>10.3</v>
      </c>
      <c r="M86" s="2055" t="str">
        <f>IF(J86=0,"",J86)</f>
        <v>По нормативам потребления коммунальных услуг и нормативам потребления коммунальных ресурсов</v>
      </c>
      <c r="N86" s="2055" t="str">
        <f>IF(K86=0,"",K86)</f>
        <v/>
      </c>
      <c r="O86" s="2168" t="s">
        <v>2366</v>
      </c>
      <c r="P86" s="2168"/>
      <c r="Q86" s="2168"/>
      <c r="R86" s="2168"/>
      <c r="S86" s="2168"/>
      <c r="T86" s="2054" t="s">
        <v>2367</v>
      </c>
      <c r="U86" s="2054"/>
      <c r="V86" s="2054"/>
      <c r="W86" s="2054"/>
      <c r="X86" s="2054"/>
      <c r="Y86" s="2211"/>
      <c r="Z86" s="2057"/>
      <c r="AA86" s="2060"/>
      <c r="AB86" s="2057"/>
      <c r="AC86" s="2057"/>
      <c r="AD86" s="2057"/>
    </row>
    <row customHeight="1" ht="36">
      <c r="A87" s="2056"/>
      <c r="B87" s="2110">
        <v>70</v>
      </c>
      <c r="C87" s="2054" t="s">
        <v>2368</v>
      </c>
      <c r="D87" s="2178"/>
      <c r="E87" s="2054"/>
      <c r="F87" s="2054"/>
      <c r="G87" s="2054"/>
      <c r="H87" s="2102"/>
      <c r="I87" s="2216" t="str">
        <f>INDEX(TEMPLATE_NUMBER_POINT_FHD,B87,MATCH(TEMPLATE_SPHERE,TEMPLATE_SPHERE_LIST_FOR_NOTE,0))</f>
        <v>11</v>
      </c>
      <c r="J87" s="221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2216">
        <f>INDEX(TEMPLATE_NOTE_POINT_FHD,B87,MATCH(TEMPLATE_SPHERE,TEMPLATE_SPHERE_LIST_FOR_NOTE,0))</f>
        <v>0</v>
      </c>
      <c r="L87" s="2055" t="str">
        <f>IF(I87=0,"",I87)</f>
        <v>11</v>
      </c>
      <c r="M87" s="2055" t="str">
        <f>IF(J87=0,"",J87)</f>
        <v>Нормативы технологических потерь при передаче тепловой энергии, теплоносителя по тепловым сетям, утвержденные уполномоченным органом</v>
      </c>
      <c r="N87" s="2055" t="str">
        <f>IF(K87=0,"",K87)</f>
        <v/>
      </c>
      <c r="O87" s="2168" t="s">
        <v>170</v>
      </c>
      <c r="P87" s="2168"/>
      <c r="Q87" s="2168"/>
      <c r="R87" s="2168"/>
      <c r="S87" s="2168"/>
      <c r="T87" s="2054" t="s">
        <v>2369</v>
      </c>
      <c r="U87" s="2054"/>
      <c r="V87" s="2054"/>
      <c r="W87" s="2054"/>
      <c r="X87" s="2054"/>
      <c r="Y87" s="2211"/>
      <c r="Z87" s="2057"/>
      <c r="AA87" s="2060"/>
      <c r="AB87" s="2057"/>
      <c r="AC87" s="2057"/>
      <c r="AD87" s="2057"/>
    </row>
    <row customHeight="1" ht="18">
      <c r="A88" s="2056"/>
      <c r="B88" s="2110">
        <v>71</v>
      </c>
      <c r="C88" s="2054" t="s">
        <v>2370</v>
      </c>
      <c r="D88" s="2178"/>
      <c r="E88" s="2054"/>
      <c r="F88" s="2054"/>
      <c r="G88" s="2054"/>
      <c r="H88" s="2102"/>
      <c r="I88" s="2216" t="str">
        <f>INDEX(TEMPLATE_NUMBER_POINT_FHD,B88,MATCH(TEMPLATE_SPHERE,TEMPLATE_SPHERE_LIST_FOR_NOTE,0))</f>
        <v>12</v>
      </c>
      <c r="J88" s="2216" t="str">
        <f>INDEX(TEMPLATE_DATA_POINT_FHD,B88,MATCH(TEMPLATE_SPHERE,TEMPLATE_SPHERE_LIST_FOR_NOTE,0))</f>
        <v>Фактический объем потерь при передаче тепловой энергии</v>
      </c>
      <c r="K88" s="2216">
        <f>INDEX(TEMPLATE_NOTE_POINT_FHD,B88,MATCH(TEMPLATE_SPHERE,TEMPLATE_SPHERE_LIST_FOR_NOTE,0))</f>
        <v>0</v>
      </c>
      <c r="L88" s="2055" t="str">
        <f>IF(I88=0,"",I88)</f>
        <v>12</v>
      </c>
      <c r="M88" s="2055" t="str">
        <f>IF(J88=0,"",J88)</f>
        <v>Фактический объем потерь при передаче тепловой энергии</v>
      </c>
      <c r="N88" s="2055" t="str">
        <f>IF(K88=0,"",K88)</f>
        <v/>
      </c>
      <c r="O88" s="2168" t="s">
        <v>171</v>
      </c>
      <c r="P88" s="2168"/>
      <c r="Q88" s="2168"/>
      <c r="R88" s="2168"/>
      <c r="S88" s="2168"/>
      <c r="T88" s="2054" t="s">
        <v>818</v>
      </c>
      <c r="U88" s="2054"/>
      <c r="V88" s="2054"/>
      <c r="W88" s="2054"/>
      <c r="X88" s="2054"/>
      <c r="Y88" s="2211"/>
      <c r="Z88" s="2057"/>
      <c r="AA88" s="2060"/>
      <c r="AB88" s="2057"/>
      <c r="AC88" s="2057"/>
      <c r="AD88" s="2057"/>
    </row>
    <row customHeight="1" ht="18">
      <c r="A89" s="2056"/>
      <c r="B89" s="2110">
        <v>72</v>
      </c>
      <c r="C89" s="2054" t="s">
        <v>2371</v>
      </c>
      <c r="D89" s="2178" t="s">
        <v>2368</v>
      </c>
      <c r="E89" s="2054" t="s">
        <v>2368</v>
      </c>
      <c r="F89" s="2054" t="s">
        <v>2334</v>
      </c>
      <c r="G89" s="2054"/>
      <c r="H89" s="2102"/>
      <c r="I89" s="2216" t="str">
        <f>INDEX(TEMPLATE_NUMBER_POINT_FHD,B89,MATCH(TEMPLATE_SPHERE,TEMPLATE_SPHERE_LIST_FOR_NOTE,0))</f>
        <v>13</v>
      </c>
      <c r="J89" s="2216" t="str">
        <f>INDEX(TEMPLATE_DATA_POINT_FHD,B89,MATCH(TEMPLATE_SPHERE,TEMPLATE_SPHERE_LIST_FOR_NOTE,0))</f>
        <v>Среднесписочная численность основного производственного персонала</v>
      </c>
      <c r="K89" s="2216">
        <f>INDEX(TEMPLATE_NOTE_POINT_FHD,B89,MATCH(TEMPLATE_SPHERE,TEMPLATE_SPHERE_LIST_FOR_NOTE,0))</f>
        <v>0</v>
      </c>
      <c r="L89" s="2055" t="str">
        <f>IF(I89=0,"",I89)</f>
        <v>13</v>
      </c>
      <c r="M89" s="2055" t="str">
        <f>IF(J89=0,"",J89)</f>
        <v>Среднесписочная численность основного производственного персонала</v>
      </c>
      <c r="N89" s="2055" t="str">
        <f>IF(K89=0,"",K89)</f>
        <v/>
      </c>
      <c r="O89" s="2168" t="s">
        <v>172</v>
      </c>
      <c r="P89" s="2168" t="s">
        <v>171</v>
      </c>
      <c r="Q89" s="2168" t="s">
        <v>171</v>
      </c>
      <c r="R89" s="2168" t="s">
        <v>169</v>
      </c>
      <c r="S89" s="2168"/>
      <c r="T89" s="2054" t="s">
        <v>826</v>
      </c>
      <c r="U89" s="2054" t="s">
        <v>826</v>
      </c>
      <c r="V89" s="2054" t="s">
        <v>826</v>
      </c>
      <c r="W89" s="2054" t="s">
        <v>826</v>
      </c>
      <c r="X89" s="2054"/>
      <c r="Y89" s="2211"/>
      <c r="Z89" s="2057"/>
      <c r="AA89" s="2060"/>
      <c r="AB89" s="2057"/>
      <c r="AC89" s="2057"/>
      <c r="AD89" s="2057"/>
    </row>
    <row customHeight="1" ht="27">
      <c r="A90" s="2056"/>
      <c r="B90" s="2110">
        <v>73</v>
      </c>
      <c r="C90" s="2054" t="s">
        <v>2372</v>
      </c>
      <c r="D90" s="2178"/>
      <c r="E90" s="2054"/>
      <c r="F90" s="2054"/>
      <c r="G90" s="2054"/>
      <c r="H90" s="2102"/>
      <c r="I90" s="2216" t="str">
        <f>INDEX(TEMPLATE_NUMBER_POINT_FHD,B90,MATCH(TEMPLATE_SPHERE,TEMPLATE_SPHERE_LIST_FOR_NOTE,0))</f>
        <v>14</v>
      </c>
      <c r="J90" s="2216" t="str">
        <f>INDEX(TEMPLATE_DATA_POINT_FHD,B90,MATCH(TEMPLATE_SPHERE,TEMPLATE_SPHERE_LIST_FOR_NOTE,0))</f>
        <v>Среднесписочная численность административно-управленческого персонала</v>
      </c>
      <c r="K90" s="2216">
        <f>INDEX(TEMPLATE_NOTE_POINT_FHD,B90,MATCH(TEMPLATE_SPHERE,TEMPLATE_SPHERE_LIST_FOR_NOTE,0))</f>
        <v>0</v>
      </c>
      <c r="L90" s="2055" t="str">
        <f>IF(I90=0,"",I90)</f>
        <v>14</v>
      </c>
      <c r="M90" s="2055" t="str">
        <f>IF(J90=0,"",J90)</f>
        <v>Среднесписочная численность административно-управленческого персонала</v>
      </c>
      <c r="N90" s="2055" t="str">
        <f>IF(K90=0,"",K90)</f>
        <v/>
      </c>
      <c r="O90" s="2168" t="s">
        <v>173</v>
      </c>
      <c r="P90" s="2168"/>
      <c r="Q90" s="2168"/>
      <c r="R90" s="2168"/>
      <c r="S90" s="2168"/>
      <c r="T90" s="2054" t="s">
        <v>828</v>
      </c>
      <c r="U90" s="2054"/>
      <c r="V90" s="2054"/>
      <c r="W90" s="2054"/>
      <c r="X90" s="2054"/>
      <c r="Y90" s="2211"/>
      <c r="Z90" s="2057"/>
      <c r="AA90" s="2060"/>
      <c r="AB90" s="2057"/>
      <c r="AC90" s="2057"/>
      <c r="AD90" s="2057"/>
    </row>
    <row customHeight="1" ht="18">
      <c r="A91" s="2056"/>
      <c r="B91" s="2110">
        <v>74</v>
      </c>
      <c r="C91" s="2054"/>
      <c r="D91" s="2178" t="s">
        <v>2370</v>
      </c>
      <c r="E91" s="2054" t="s">
        <v>2370</v>
      </c>
      <c r="F91" s="2054"/>
      <c r="G91" s="2054"/>
      <c r="H91" s="2102"/>
      <c r="I91" s="2216">
        <f>INDEX(TEMPLATE_NUMBER_POINT_FHD,B91,MATCH(TEMPLATE_SPHERE,TEMPLATE_SPHERE_LIST_FOR_NOTE,0))</f>
        <v>0</v>
      </c>
      <c r="J91" s="2216">
        <f>INDEX(TEMPLATE_DATA_POINT_FHD,B91,MATCH(TEMPLATE_SPHERE,TEMPLATE_SPHERE_LIST_FOR_NOTE,0))</f>
        <v>0</v>
      </c>
      <c r="K91" s="2216">
        <f>INDEX(TEMPLATE_NOTE_POINT_FHD,B91,MATCH(TEMPLATE_SPHERE,TEMPLATE_SPHERE_LIST_FOR_NOTE,0))</f>
        <v>0</v>
      </c>
      <c r="L91" s="2055" t="str">
        <f>IF(I91=0,"",I91)</f>
        <v/>
      </c>
      <c r="M91" s="2055" t="str">
        <f>IF(J91=0,"",J91)</f>
        <v/>
      </c>
      <c r="N91" s="2055" t="str">
        <f>IF(K91=0,"",K91)</f>
        <v/>
      </c>
      <c r="O91" s="2168"/>
      <c r="P91" s="2168" t="s">
        <v>172</v>
      </c>
      <c r="Q91" s="2168" t="s">
        <v>172</v>
      </c>
      <c r="R91" s="2168"/>
      <c r="S91" s="2168"/>
      <c r="T91" s="2054"/>
      <c r="U91" s="2054" t="s">
        <v>2373</v>
      </c>
      <c r="V91" s="2054" t="s">
        <v>2373</v>
      </c>
      <c r="W91" s="2054"/>
      <c r="X91" s="2054"/>
      <c r="Y91" s="2211"/>
      <c r="Z91" s="2057"/>
      <c r="AA91" s="2060"/>
      <c r="AB91" s="2057"/>
      <c r="AC91" s="2057"/>
      <c r="AD91" s="2057"/>
    </row>
    <row customHeight="1" ht="27">
      <c r="A92" s="2056"/>
      <c r="B92" s="2110">
        <v>75</v>
      </c>
      <c r="C92" s="2054"/>
      <c r="D92" s="2178" t="s">
        <v>2371</v>
      </c>
      <c r="E92" s="2054"/>
      <c r="F92" s="2054"/>
      <c r="G92" s="2054"/>
      <c r="H92" s="2102"/>
      <c r="I92" s="2216">
        <f>INDEX(TEMPLATE_NUMBER_POINT_FHD,B92,MATCH(TEMPLATE_SPHERE,TEMPLATE_SPHERE_LIST_FOR_NOTE,0))</f>
        <v>0</v>
      </c>
      <c r="J92" s="2216">
        <f>INDEX(TEMPLATE_DATA_POINT_FHD,B92,MATCH(TEMPLATE_SPHERE,TEMPLATE_SPHERE_LIST_FOR_NOTE,0))</f>
        <v>0</v>
      </c>
      <c r="K92" s="2216">
        <f>INDEX(TEMPLATE_NOTE_POINT_FHD,B92,MATCH(TEMPLATE_SPHERE,TEMPLATE_SPHERE_LIST_FOR_NOTE,0))</f>
        <v>0</v>
      </c>
      <c r="L92" s="2055" t="str">
        <f>IF(I92=0,"",I92)</f>
        <v/>
      </c>
      <c r="M92" s="2055" t="str">
        <f>IF(J92=0,"",J92)</f>
        <v/>
      </c>
      <c r="N92" s="2055" t="str">
        <f>IF(K92=0,"",K92)</f>
        <v/>
      </c>
      <c r="O92" s="2168"/>
      <c r="P92" s="2168" t="s">
        <v>173</v>
      </c>
      <c r="Q92" s="2168"/>
      <c r="R92" s="2168"/>
      <c r="S92" s="2168"/>
      <c r="T92" s="2054"/>
      <c r="U92" s="2054" t="s">
        <v>2374</v>
      </c>
      <c r="V92" s="2054"/>
      <c r="W92" s="2054"/>
      <c r="X92" s="2054"/>
      <c r="Y92" s="2211"/>
      <c r="Z92" s="2057"/>
      <c r="AA92" s="2060" t="s">
        <v>2375</v>
      </c>
      <c r="AB92" s="2057"/>
      <c r="AC92" s="2057"/>
      <c r="AD92" s="2057"/>
    </row>
    <row customHeight="1" ht="27">
      <c r="A93" s="2056"/>
      <c r="B93" s="2110">
        <v>76</v>
      </c>
      <c r="C93" s="2054"/>
      <c r="D93" s="2178"/>
      <c r="E93" s="2054"/>
      <c r="F93" s="2054"/>
      <c r="G93" s="2054"/>
      <c r="H93" s="2102"/>
      <c r="I93" s="2216">
        <f>INDEX(TEMPLATE_NUMBER_POINT_FHD,B93,MATCH(TEMPLATE_SPHERE,TEMPLATE_SPHERE_LIST_FOR_NOTE,0))</f>
        <v>0</v>
      </c>
      <c r="J93" s="2216">
        <f>INDEX(TEMPLATE_DATA_POINT_FHD,B93,MATCH(TEMPLATE_SPHERE,TEMPLATE_SPHERE_LIST_FOR_NOTE,0))</f>
        <v>0</v>
      </c>
      <c r="K93" s="2216">
        <f>INDEX(TEMPLATE_NOTE_POINT_FHD,B93,MATCH(TEMPLATE_SPHERE,TEMPLATE_SPHERE_LIST_FOR_NOTE,0))</f>
        <v>0</v>
      </c>
      <c r="L93" s="2055" t="str">
        <f>IF(I93=0,"",I93)</f>
        <v/>
      </c>
      <c r="M93" s="2055" t="str">
        <f>IF(J93=0,"",J93)</f>
        <v/>
      </c>
      <c r="N93" s="2055" t="str">
        <f>IF(K93=0,"",K93)</f>
        <v/>
      </c>
      <c r="O93" s="2168"/>
      <c r="P93" s="2168" t="s">
        <v>2283</v>
      </c>
      <c r="Q93" s="2168"/>
      <c r="R93" s="2168"/>
      <c r="S93" s="2168"/>
      <c r="T93" s="2054"/>
      <c r="U93" s="2054" t="s">
        <v>2376</v>
      </c>
      <c r="V93" s="2054"/>
      <c r="W93" s="2054"/>
      <c r="X93" s="2054"/>
      <c r="Y93" s="2211"/>
      <c r="Z93" s="2057"/>
      <c r="AA93" s="2060" t="s">
        <v>2377</v>
      </c>
      <c r="AB93" s="2057"/>
      <c r="AC93" s="2057"/>
      <c r="AD93" s="2057"/>
    </row>
    <row customHeight="1" ht="45">
      <c r="A94" s="2056"/>
      <c r="B94" s="2110">
        <v>77</v>
      </c>
      <c r="C94" s="2054"/>
      <c r="D94" s="2178" t="s">
        <v>2372</v>
      </c>
      <c r="E94" s="2054"/>
      <c r="F94" s="2054"/>
      <c r="G94" s="2054"/>
      <c r="H94" s="2102"/>
      <c r="I94" s="2216">
        <f>INDEX(TEMPLATE_NUMBER_POINT_FHD,B94,MATCH(TEMPLATE_SPHERE,TEMPLATE_SPHERE_LIST_FOR_NOTE,0))</f>
        <v>0</v>
      </c>
      <c r="J94" s="2216">
        <f>INDEX(TEMPLATE_DATA_POINT_FHD,B94,MATCH(TEMPLATE_SPHERE,TEMPLATE_SPHERE_LIST_FOR_NOTE,0))</f>
        <v>0</v>
      </c>
      <c r="K94" s="2216">
        <f>INDEX(TEMPLATE_NOTE_POINT_FHD,B94,MATCH(TEMPLATE_SPHERE,TEMPLATE_SPHERE_LIST_FOR_NOTE,0))</f>
        <v>0</v>
      </c>
      <c r="L94" s="2055" t="str">
        <f>IF(I94=0,"",I94)</f>
        <v/>
      </c>
      <c r="M94" s="2055" t="str">
        <f>IF(J94=0,"",J94)</f>
        <v/>
      </c>
      <c r="N94" s="2055" t="str">
        <f>IF(K94=0,"",K94)</f>
        <v/>
      </c>
      <c r="O94" s="2168"/>
      <c r="P94" s="2168" t="s">
        <v>1657</v>
      </c>
      <c r="Q94" s="2168"/>
      <c r="R94" s="2168"/>
      <c r="S94" s="2168"/>
      <c r="T94" s="2054"/>
      <c r="U94" s="2054" t="s">
        <v>2378</v>
      </c>
      <c r="V94" s="2054"/>
      <c r="W94" s="2054"/>
      <c r="X94" s="2054"/>
      <c r="Y94" s="2211"/>
      <c r="Z94" s="2057"/>
      <c r="AA94" s="2060" t="s">
        <v>2379</v>
      </c>
      <c r="AB94" s="2057"/>
      <c r="AC94" s="2057"/>
      <c r="AD94" s="2057"/>
    </row>
    <row customHeight="1" ht="99">
      <c r="A95" s="2056"/>
      <c r="B95" s="2110">
        <v>78</v>
      </c>
      <c r="C95" s="2054" t="s">
        <v>2380</v>
      </c>
      <c r="D95" s="2178"/>
      <c r="E95" s="2054"/>
      <c r="F95" s="2054"/>
      <c r="G95" s="2054"/>
      <c r="H95" s="2102"/>
      <c r="I95" s="2216" t="str">
        <f>INDEX(TEMPLATE_NUMBER_POINT_FHD,B95,MATCH(TEMPLATE_SPHERE,TEMPLATE_SPHERE_LIST_FOR_NOTE,0))</f>
        <v>15</v>
      </c>
      <c r="J95" s="221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2216">
        <f>INDEX(TEMPLATE_NOTE_POINT_FHD,B95,MATCH(TEMPLATE_SPHERE,TEMPLATE_SPHERE_LIST_FOR_NOTE,0))</f>
        <v>0</v>
      </c>
      <c r="L95" s="2055" t="str">
        <f>IF(I95=0,"",I95)</f>
        <v>15</v>
      </c>
      <c r="M95" s="205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2055" t="str">
        <f>IF(K95=0,"",K95)</f>
        <v/>
      </c>
      <c r="O95" s="2168" t="s">
        <v>1657</v>
      </c>
      <c r="P95" s="2168"/>
      <c r="Q95" s="2168"/>
      <c r="R95" s="2168"/>
      <c r="S95" s="2168"/>
      <c r="T95" s="2054" t="s">
        <v>2381</v>
      </c>
      <c r="U95" s="2054"/>
      <c r="V95" s="2054"/>
      <c r="W95" s="2054"/>
      <c r="X95" s="2054"/>
      <c r="Y95" s="2211"/>
      <c r="Z95" s="2057"/>
      <c r="AA95" s="2060"/>
      <c r="AB95" s="2057"/>
      <c r="AC95" s="2057"/>
      <c r="AD95" s="2057"/>
    </row>
    <row customHeight="1" ht="99">
      <c r="A96" s="2056"/>
      <c r="B96" s="2110">
        <v>79</v>
      </c>
      <c r="C96" s="2054" t="s">
        <v>1358</v>
      </c>
      <c r="D96" s="2178"/>
      <c r="E96" s="2054"/>
      <c r="F96" s="2054"/>
      <c r="G96" s="2054"/>
      <c r="H96" s="2102"/>
      <c r="I96" s="2216" t="str">
        <f>INDEX(TEMPLATE_NUMBER_POINT_FHD,B96,MATCH(TEMPLATE_SPHERE,TEMPLATE_SPHERE_LIST_FOR_NOTE,0))</f>
        <v>16</v>
      </c>
      <c r="J96" s="221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221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2055" t="str">
        <f>IF(I96=0,"",I96)</f>
        <v>16</v>
      </c>
      <c r="M96" s="205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205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2168" t="s">
        <v>1663</v>
      </c>
      <c r="P96" s="2168"/>
      <c r="Q96" s="2168"/>
      <c r="R96" s="2168"/>
      <c r="S96" s="2168"/>
      <c r="T96" s="2054" t="s">
        <v>2382</v>
      </c>
      <c r="U96" s="2054"/>
      <c r="V96" s="2054"/>
      <c r="W96" s="2054"/>
      <c r="X96" s="2054"/>
      <c r="Y96" s="2211"/>
      <c r="Z96" s="2057" t="s">
        <v>2383</v>
      </c>
      <c r="AA96" s="2060"/>
      <c r="AB96" s="2057"/>
      <c r="AC96" s="2057"/>
      <c r="AD96" s="2057"/>
    </row>
    <row customHeight="1" ht="63">
      <c r="A97" s="2056"/>
      <c r="B97" s="2110">
        <v>80</v>
      </c>
      <c r="C97" s="2054" t="s">
        <v>2384</v>
      </c>
      <c r="D97" s="2178"/>
      <c r="E97" s="2054"/>
      <c r="F97" s="2054"/>
      <c r="G97" s="2054"/>
      <c r="H97" s="2102"/>
      <c r="I97" s="2216" t="str">
        <f>INDEX(TEMPLATE_NUMBER_POINT_FHD,B97,MATCH(TEMPLATE_SPHERE,TEMPLATE_SPHERE_LIST_FOR_NOTE,0))</f>
        <v>17</v>
      </c>
      <c r="J97" s="221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221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2055" t="str">
        <f>IF(I97=0,"",I97)</f>
        <v>17</v>
      </c>
      <c r="M97" s="205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2055" t="str">
        <f>IF(K97=0,"",K97)</f>
        <v>Регулируемыми организациями указывается информация с по договорам, заключенным в рамках осуществления регулируемой деятельности.</v>
      </c>
      <c r="O97" s="2168" t="s">
        <v>1675</v>
      </c>
      <c r="P97" s="2168"/>
      <c r="Q97" s="2168"/>
      <c r="R97" s="2168"/>
      <c r="S97" s="2168"/>
      <c r="T97" s="2054" t="s">
        <v>2385</v>
      </c>
      <c r="U97" s="2054"/>
      <c r="V97" s="2054"/>
      <c r="W97" s="2054"/>
      <c r="X97" s="2054"/>
      <c r="Y97" s="2211"/>
      <c r="Z97" s="2057" t="s">
        <v>2386</v>
      </c>
      <c r="AA97" s="2060"/>
      <c r="AB97" s="2057"/>
      <c r="AC97" s="2057"/>
      <c r="AD97" s="2057"/>
    </row>
    <row customHeight="1" ht="63">
      <c r="A98" s="2056"/>
      <c r="B98" s="2110">
        <v>81</v>
      </c>
      <c r="C98" s="2054" t="s">
        <v>2387</v>
      </c>
      <c r="D98" s="2178"/>
      <c r="E98" s="2054"/>
      <c r="F98" s="2054"/>
      <c r="G98" s="2054"/>
      <c r="H98" s="2102"/>
      <c r="I98" s="2216" t="str">
        <f>INDEX(TEMPLATE_NUMBER_POINT_FHD,B98,MATCH(TEMPLATE_SPHERE,TEMPLATE_SPHERE_LIST_FOR_NOTE,0))</f>
        <v>18</v>
      </c>
      <c r="J98" s="221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221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2055" t="str">
        <f>IF(I98=0,"",I98)</f>
        <v>18</v>
      </c>
      <c r="M98" s="205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2055" t="str">
        <f>IF(K98=0,"",K98)</f>
        <v>Регулируемыми организациями указывается информация с по договорам, заключенным в рамках осуществления регулируемой деятельности.</v>
      </c>
      <c r="O98" s="2168" t="s">
        <v>1689</v>
      </c>
      <c r="P98" s="2168"/>
      <c r="Q98" s="2168"/>
      <c r="R98" s="2168"/>
      <c r="S98" s="2168"/>
      <c r="T98" s="2054" t="s">
        <v>2388</v>
      </c>
      <c r="U98" s="2054"/>
      <c r="V98" s="2054"/>
      <c r="W98" s="2054"/>
      <c r="X98" s="2054"/>
      <c r="Y98" s="2211"/>
      <c r="Z98" s="2057" t="s">
        <v>2386</v>
      </c>
      <c r="AA98" s="2060"/>
      <c r="AB98" s="2057"/>
      <c r="AC98" s="2057"/>
      <c r="AD98" s="2057"/>
    </row>
    <row customHeight="1" ht="90">
      <c r="A99" s="2056"/>
      <c r="B99" s="2110">
        <v>82</v>
      </c>
      <c r="C99" s="2054" t="s">
        <v>2389</v>
      </c>
      <c r="D99" s="2178"/>
      <c r="E99" s="2054"/>
      <c r="F99" s="2054"/>
      <c r="G99" s="2054"/>
      <c r="H99" s="2102"/>
      <c r="I99" s="2216" t="str">
        <f>INDEX(TEMPLATE_NUMBER_POINT_FHD,B99,MATCH(TEMPLATE_SPHERE,TEMPLATE_SPHERE_LIST_FOR_NOTE,0))</f>
        <v>19</v>
      </c>
      <c r="J99" s="221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2216" t="str">
        <f>INDEX(TEMPLATE_NOTE_POINT_FHD,B99,MATCH(TEMPLATE_SPHERE,TEMPLATE_SPHERE_LIST_FOR_NOTE,0))</f>
        <v>Указывается ссылка на документ, предварительно загруженный в хранилище файлов ФГИС ЕИАС.</v>
      </c>
      <c r="L99" s="2055" t="str">
        <f>IF(I99=0,"",I99)</f>
        <v>19</v>
      </c>
      <c r="M99" s="205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2055" t="str">
        <f>IF(K99=0,"",K99)</f>
        <v>Указывается ссылка на документ, предварительно загруженный в хранилище файлов ФГИС ЕИАС.</v>
      </c>
      <c r="O99" s="2168" t="s">
        <v>1701</v>
      </c>
      <c r="P99" s="2168"/>
      <c r="Q99" s="2168"/>
      <c r="R99" s="2168"/>
      <c r="S99" s="2168"/>
      <c r="T99" s="2054" t="s">
        <v>2390</v>
      </c>
      <c r="U99" s="2054"/>
      <c r="V99" s="2054"/>
      <c r="W99" s="2054"/>
      <c r="X99" s="2054"/>
      <c r="Y99" s="2211"/>
      <c r="Z99" s="2057" t="s">
        <v>783</v>
      </c>
      <c r="AA99" s="2060"/>
      <c r="AB99" s="2057"/>
      <c r="AC99" s="2057"/>
      <c r="AD99" s="2057"/>
    </row>
    <row customHeight="1" ht="27">
      <c r="A100" s="2056"/>
      <c r="B100" s="2110">
        <v>83</v>
      </c>
      <c r="C100" s="2054"/>
      <c r="D100" s="2178"/>
      <c r="E100" s="2054"/>
      <c r="F100" s="2054"/>
      <c r="G100" s="2054"/>
      <c r="H100" s="2102"/>
      <c r="I100" s="2216" t="str">
        <f>INDEX(TEMPLATE_NUMBER_POINT_FHD,B100,MATCH(TEMPLATE_SPHERE,TEMPLATE_SPHERE_LIST_FOR_NOTE,0))</f>
        <v>19.1</v>
      </c>
      <c r="J100" s="2216" t="str">
        <f>INDEX(TEMPLATE_DATA_POINT_FHD,B100,MATCH(TEMPLATE_SPHERE,TEMPLATE_SPHERE_LIST_FOR_NOTE,0))</f>
        <v>Информация о показателях физического износа объектов теплоснабжения</v>
      </c>
      <c r="K100" s="2216" t="str">
        <f>INDEX(TEMPLATE_NOTE_POINT_FHD,B100,MATCH(TEMPLATE_SPHERE,TEMPLATE_SPHERE_LIST_FOR_NOTE,0))</f>
        <v>Указывается ссылка на документ, предварительно загруженный в хранилище файлов ФГИС ЕИАС.</v>
      </c>
      <c r="L100" s="2055" t="str">
        <f>IF(I100=0,"",I100)</f>
        <v>19.1</v>
      </c>
      <c r="M100" s="2055" t="str">
        <f>IF(J100=0,"",J100)</f>
        <v>Информация о показателях физического износа объектов теплоснабжения</v>
      </c>
      <c r="N100" s="2055" t="str">
        <f>IF(K100=0,"",K100)</f>
        <v>Указывается ссылка на документ, предварительно загруженный в хранилище файлов ФГИС ЕИАС.</v>
      </c>
      <c r="O100" s="2168" t="s">
        <v>2391</v>
      </c>
      <c r="P100" s="2168"/>
      <c r="Q100" s="2168"/>
      <c r="R100" s="2168"/>
      <c r="S100" s="2168"/>
      <c r="T100" s="2054" t="s">
        <v>2392</v>
      </c>
      <c r="U100" s="2054"/>
      <c r="V100" s="2054"/>
      <c r="W100" s="2054"/>
      <c r="X100" s="2054"/>
      <c r="Y100" s="2211"/>
      <c r="Z100" s="2057" t="s">
        <v>783</v>
      </c>
      <c r="AA100" s="2060"/>
      <c r="AB100" s="2057"/>
      <c r="AC100" s="2057"/>
      <c r="AD100" s="2057"/>
    </row>
    <row customHeight="1" ht="27">
      <c r="A101" s="2056"/>
      <c r="B101" s="2110">
        <v>84</v>
      </c>
      <c r="C101" s="2054"/>
      <c r="D101" s="2178"/>
      <c r="E101" s="2054"/>
      <c r="F101" s="2054"/>
      <c r="G101" s="2054"/>
      <c r="H101" s="2102"/>
      <c r="I101" s="2216" t="str">
        <f>INDEX(TEMPLATE_NUMBER_POINT_FHD,B101,MATCH(TEMPLATE_SPHERE,TEMPLATE_SPHERE_LIST_FOR_NOTE,0))</f>
        <v>19.2</v>
      </c>
      <c r="J101" s="2216" t="str">
        <f>INDEX(TEMPLATE_DATA_POINT_FHD,B101,MATCH(TEMPLATE_SPHERE,TEMPLATE_SPHERE_LIST_FOR_NOTE,0))</f>
        <v>Информация о показателях энергетической эффективности объектов теплоснабжения</v>
      </c>
      <c r="K101" s="2216" t="str">
        <f>INDEX(TEMPLATE_NOTE_POINT_FHD,B101,MATCH(TEMPLATE_SPHERE,TEMPLATE_SPHERE_LIST_FOR_NOTE,0))</f>
        <v>Указывается ссылка на документ, предварительно загруженный в хранилище файлов ФГИС ЕИАС.</v>
      </c>
      <c r="L101" s="2055" t="str">
        <f>IF(I101=0,"",I101)</f>
        <v>19.2</v>
      </c>
      <c r="M101" s="2055" t="str">
        <f>IF(J101=0,"",J101)</f>
        <v>Информация о показателях энергетической эффективности объектов теплоснабжения</v>
      </c>
      <c r="N101" s="2055" t="str">
        <f>IF(K101=0,"",K101)</f>
        <v>Указывается ссылка на документ, предварительно загруженный в хранилище файлов ФГИС ЕИАС.</v>
      </c>
      <c r="O101" s="2168" t="s">
        <v>2393</v>
      </c>
      <c r="P101" s="2168"/>
      <c r="Q101" s="2168"/>
      <c r="R101" s="2168"/>
      <c r="S101" s="2168"/>
      <c r="T101" s="2054" t="s">
        <v>2394</v>
      </c>
      <c r="U101" s="2054"/>
      <c r="V101" s="2054"/>
      <c r="W101" s="2054"/>
      <c r="X101" s="2054"/>
      <c r="Y101" s="2211"/>
      <c r="Z101" s="2057" t="s">
        <v>783</v>
      </c>
      <c r="AA101" s="2060"/>
      <c r="AB101" s="2057"/>
      <c r="AC101" s="2057"/>
      <c r="AD101" s="2057"/>
    </row>
    <row customHeight="1" ht="9">
      <c r="A102" s="2056"/>
      <c r="B102" s="2056"/>
      <c r="C102" s="2054"/>
      <c r="D102" s="2054"/>
      <c r="E102" s="2054"/>
      <c r="F102" s="2054"/>
      <c r="G102" s="2054"/>
      <c r="H102" s="2102"/>
      <c r="I102" s="2102"/>
      <c r="J102" s="2102"/>
      <c r="K102" s="2102"/>
      <c r="L102" s="2102"/>
      <c r="M102" s="2054"/>
      <c r="N102" s="2101"/>
      <c r="O102" s="2168"/>
      <c r="P102" s="2168"/>
      <c r="Q102" s="2168"/>
      <c r="R102" s="2168"/>
      <c r="S102" s="2054"/>
      <c r="T102" s="2054"/>
      <c r="U102" s="2054"/>
      <c r="V102" s="2054"/>
      <c r="W102" s="2054"/>
      <c r="X102" s="2054"/>
      <c r="Y102" s="2211"/>
      <c r="Z102" s="2057"/>
      <c r="AA102" s="2060"/>
      <c r="AB102" s="2057"/>
      <c r="AC102" s="2057"/>
      <c r="AD102" s="2057"/>
    </row>
    <row customHeight="1" ht="9">
      <c r="A103" s="2056"/>
      <c r="B103" s="2056"/>
      <c r="C103" s="2054"/>
      <c r="D103" s="2054"/>
      <c r="E103" s="2054"/>
      <c r="F103" s="2054"/>
      <c r="G103" s="2054"/>
      <c r="H103" s="2102"/>
      <c r="I103" s="2102"/>
      <c r="J103" s="2102"/>
      <c r="K103" s="2102"/>
      <c r="L103" s="2102"/>
      <c r="M103" s="2054"/>
      <c r="N103" s="2101"/>
      <c r="O103" s="2168"/>
      <c r="P103" s="2168"/>
      <c r="Q103" s="2168"/>
      <c r="R103" s="2168"/>
      <c r="S103" s="2054"/>
      <c r="T103" s="2054"/>
      <c r="U103" s="2054"/>
      <c r="V103" s="2054"/>
      <c r="W103" s="2054"/>
      <c r="X103" s="2054"/>
      <c r="Y103" s="2211"/>
      <c r="Z103" s="2057"/>
      <c r="AA103" s="2060"/>
      <c r="AB103" s="2057"/>
      <c r="AC103" s="2057"/>
      <c r="AD103" s="2057"/>
    </row>
    <row customHeight="1" ht="9">
      <c r="A104" s="2056"/>
      <c r="B104" s="2056"/>
      <c r="C104" s="2054"/>
      <c r="D104" s="2054"/>
      <c r="E104" s="2054"/>
      <c r="F104" s="2054"/>
      <c r="G104" s="2054"/>
      <c r="H104" s="2102"/>
      <c r="I104" s="2102"/>
      <c r="J104" s="2102"/>
      <c r="K104" s="2102"/>
      <c r="L104" s="2102"/>
      <c r="M104" s="2054"/>
      <c r="N104" s="2101"/>
      <c r="O104" s="2168"/>
      <c r="P104" s="2168"/>
      <c r="Q104" s="2168"/>
      <c r="R104" s="2168"/>
      <c r="S104" s="2054"/>
      <c r="T104" s="2054"/>
      <c r="U104" s="2054"/>
      <c r="V104" s="2054"/>
      <c r="W104" s="2054"/>
      <c r="X104" s="2054"/>
      <c r="Y104" s="2211"/>
      <c r="Z104" s="2057"/>
      <c r="AA104" s="2060"/>
      <c r="AB104" s="2057"/>
      <c r="AC104" s="2057"/>
      <c r="AD104" s="2057"/>
    </row>
    <row customHeight="1" ht="9">
      <c r="A105" s="2056"/>
      <c r="B105" s="2056"/>
      <c r="C105" s="2054"/>
      <c r="D105" s="2054"/>
      <c r="E105" s="2054"/>
      <c r="F105" s="2054"/>
      <c r="G105" s="2054"/>
      <c r="H105" s="2102"/>
      <c r="I105" s="2102"/>
      <c r="J105" s="2102"/>
      <c r="K105" s="2102"/>
      <c r="L105" s="2102"/>
      <c r="M105" s="2054"/>
      <c r="N105" s="2101"/>
      <c r="O105" s="2168"/>
      <c r="P105" s="2168"/>
      <c r="Q105" s="2168"/>
      <c r="R105" s="2168"/>
      <c r="S105" s="2054"/>
      <c r="T105" s="2054"/>
      <c r="U105" s="2054"/>
      <c r="V105" s="2054"/>
      <c r="W105" s="2054"/>
      <c r="X105" s="2054"/>
      <c r="Y105" s="2211"/>
      <c r="Z105" s="2057"/>
      <c r="AA105" s="2060"/>
      <c r="AB105" s="2057"/>
      <c r="AC105" s="2057"/>
      <c r="AD105" s="2057"/>
    </row>
    <row customHeight="1" ht="9">
      <c r="A106" s="2056"/>
      <c r="B106" s="2056"/>
      <c r="C106" s="2054"/>
      <c r="D106" s="2054"/>
      <c r="E106" s="2054"/>
      <c r="F106" s="2054"/>
      <c r="G106" s="2054"/>
      <c r="H106" s="2102"/>
      <c r="I106" s="2102"/>
      <c r="J106" s="2102"/>
      <c r="K106" s="2102"/>
      <c r="L106" s="2102"/>
      <c r="M106" s="2054"/>
      <c r="N106" s="2101"/>
      <c r="O106" s="2168"/>
      <c r="P106" s="2168"/>
      <c r="Q106" s="2168"/>
      <c r="R106" s="2168"/>
      <c r="S106" s="2054"/>
      <c r="T106" s="2054"/>
      <c r="U106" s="2054"/>
      <c r="V106" s="2054"/>
      <c r="W106" s="2054"/>
      <c r="X106" s="2054"/>
      <c r="Y106" s="2211"/>
      <c r="Z106" s="2057"/>
      <c r="AA106" s="2060"/>
      <c r="AB106" s="2057"/>
      <c r="AC106" s="2057"/>
      <c r="AD106" s="2057"/>
    </row>
    <row customHeight="1" ht="9">
      <c r="A107" s="2056"/>
      <c r="B107" s="2056"/>
      <c r="C107" s="2054"/>
      <c r="D107" s="2054"/>
      <c r="E107" s="2054"/>
      <c r="F107" s="2054"/>
      <c r="G107" s="2054"/>
      <c r="H107" s="2102"/>
      <c r="I107" s="2102"/>
      <c r="J107" s="2102"/>
      <c r="K107" s="2102"/>
      <c r="L107" s="2102"/>
      <c r="M107" s="2054"/>
      <c r="N107" s="2101"/>
      <c r="O107" s="2168"/>
      <c r="P107" s="2168"/>
      <c r="Q107" s="2168"/>
      <c r="R107" s="2168"/>
      <c r="S107" s="2054"/>
      <c r="T107" s="2054"/>
      <c r="U107" s="2054"/>
      <c r="V107" s="2054"/>
      <c r="W107" s="2054"/>
      <c r="X107" s="2054"/>
      <c r="Y107" s="2211"/>
      <c r="Z107" s="2057"/>
      <c r="AA107" s="2060"/>
      <c r="AB107" s="2057"/>
      <c r="AC107" s="2057"/>
      <c r="AD107" s="2057"/>
    </row>
    <row customHeight="1" ht="9">
      <c r="A108" s="2056"/>
      <c r="B108" s="2056"/>
      <c r="C108" s="2054"/>
      <c r="D108" s="2054"/>
      <c r="E108" s="2054"/>
      <c r="F108" s="2054"/>
      <c r="G108" s="2054"/>
      <c r="H108" s="2102"/>
      <c r="I108" s="2102"/>
      <c r="J108" s="2102"/>
      <c r="K108" s="2102"/>
      <c r="L108" s="2102"/>
      <c r="M108" s="2054"/>
      <c r="N108" s="2101"/>
      <c r="O108" s="2168"/>
      <c r="P108" s="2168"/>
      <c r="Q108" s="2168"/>
      <c r="R108" s="2168"/>
      <c r="S108" s="2054"/>
      <c r="T108" s="2054"/>
      <c r="U108" s="2054"/>
      <c r="V108" s="2054"/>
      <c r="W108" s="2054"/>
      <c r="X108" s="2054"/>
      <c r="Y108" s="2211"/>
      <c r="Z108" s="2057"/>
      <c r="AA108" s="2060"/>
      <c r="AB108" s="2057"/>
      <c r="AC108" s="2057"/>
      <c r="AD108" s="2057"/>
    </row>
    <row customHeight="1" ht="9">
      <c r="A109" s="2056"/>
      <c r="B109" s="2056"/>
      <c r="C109" s="2054"/>
      <c r="D109" s="2054"/>
      <c r="E109" s="2054"/>
      <c r="F109" s="2054"/>
      <c r="G109" s="2054"/>
      <c r="H109" s="2102"/>
      <c r="I109" s="2102"/>
      <c r="J109" s="2102"/>
      <c r="K109" s="2102"/>
      <c r="L109" s="2102"/>
      <c r="M109" s="2054"/>
      <c r="N109" s="2101"/>
      <c r="O109" s="2168"/>
      <c r="P109" s="2168"/>
      <c r="Q109" s="2168"/>
      <c r="R109" s="2168"/>
      <c r="S109" s="2054"/>
      <c r="T109" s="2054"/>
      <c r="U109" s="2054"/>
      <c r="V109" s="2054"/>
      <c r="W109" s="2054"/>
      <c r="X109" s="2054"/>
      <c r="Y109" s="2211"/>
      <c r="Z109" s="2057"/>
      <c r="AA109" s="2060"/>
      <c r="AB109" s="2057"/>
      <c r="AC109" s="2057"/>
      <c r="AD109" s="2057"/>
    </row>
    <row customHeight="1" ht="9">
      <c r="A110" s="2056"/>
      <c r="B110" s="2056"/>
      <c r="C110" s="2054"/>
      <c r="D110" s="2054"/>
      <c r="E110" s="2054"/>
      <c r="F110" s="2054"/>
      <c r="G110" s="2054"/>
      <c r="H110" s="2102"/>
      <c r="I110" s="2102"/>
      <c r="J110" s="2102"/>
      <c r="K110" s="2102"/>
      <c r="L110" s="2102"/>
      <c r="M110" s="2054"/>
      <c r="N110" s="2101"/>
      <c r="O110" s="2168"/>
      <c r="P110" s="2168"/>
      <c r="Q110" s="2168"/>
      <c r="R110" s="2168"/>
      <c r="S110" s="2054"/>
      <c r="T110" s="2054"/>
      <c r="U110" s="2054"/>
      <c r="V110" s="2054"/>
      <c r="W110" s="2054"/>
      <c r="X110" s="2054"/>
      <c r="Y110" s="2211"/>
      <c r="Z110" s="2057"/>
      <c r="AA110" s="2060"/>
      <c r="AB110" s="2057"/>
      <c r="AC110" s="2057"/>
      <c r="AD110" s="2057"/>
    </row>
    <row customHeight="1" ht="9">
      <c r="A111" s="2056"/>
      <c r="B111" s="2056"/>
      <c r="C111" s="2054"/>
      <c r="D111" s="2054"/>
      <c r="E111" s="2054"/>
      <c r="F111" s="2054"/>
      <c r="G111" s="2054"/>
      <c r="H111" s="2102"/>
      <c r="I111" s="2102"/>
      <c r="J111" s="2102"/>
      <c r="K111" s="2102"/>
      <c r="L111" s="2102"/>
      <c r="M111" s="2054"/>
      <c r="N111" s="2101"/>
      <c r="O111" s="2168"/>
      <c r="P111" s="2168"/>
      <c r="Q111" s="2168"/>
      <c r="R111" s="2168"/>
      <c r="S111" s="2054"/>
      <c r="T111" s="2054"/>
      <c r="U111" s="2054"/>
      <c r="V111" s="2054"/>
      <c r="W111" s="2054"/>
      <c r="X111" s="2054"/>
      <c r="Y111" s="2211"/>
      <c r="Z111" s="2057"/>
      <c r="AA111" s="2060"/>
      <c r="AB111" s="2057"/>
      <c r="AC111" s="2057"/>
      <c r="AD111" s="2057"/>
    </row>
    <row customHeight="1" ht="9">
      <c r="A112" s="2056"/>
      <c r="B112" s="2056"/>
      <c r="C112" s="2054"/>
      <c r="D112" s="2054"/>
      <c r="E112" s="2054"/>
      <c r="F112" s="2054"/>
      <c r="G112" s="2054"/>
      <c r="H112" s="2102"/>
      <c r="I112" s="2102"/>
      <c r="J112" s="2102"/>
      <c r="K112" s="2102"/>
      <c r="L112" s="2102"/>
      <c r="M112" s="2054"/>
      <c r="N112" s="2101"/>
      <c r="O112" s="2168"/>
      <c r="P112" s="2168"/>
      <c r="Q112" s="2168"/>
      <c r="R112" s="2168"/>
      <c r="S112" s="2054"/>
      <c r="T112" s="2054"/>
      <c r="U112" s="2054"/>
      <c r="V112" s="2054"/>
      <c r="W112" s="2054"/>
      <c r="X112" s="2054"/>
      <c r="Y112" s="2211"/>
      <c r="Z112" s="2057"/>
      <c r="AA112" s="2060"/>
      <c r="AB112" s="2057"/>
      <c r="AC112" s="2057"/>
      <c r="AD112" s="2057"/>
    </row>
    <row customHeight="1" ht="9">
      <c r="A113" s="2056"/>
      <c r="B113" s="2056"/>
      <c r="C113" s="2054"/>
      <c r="D113" s="2054"/>
      <c r="E113" s="2054"/>
      <c r="F113" s="2054"/>
      <c r="G113" s="2054"/>
      <c r="H113" s="2102"/>
      <c r="I113" s="2102"/>
      <c r="J113" s="2102"/>
      <c r="K113" s="2102"/>
      <c r="L113" s="2102"/>
      <c r="M113" s="2054"/>
      <c r="N113" s="2101"/>
      <c r="O113" s="2168"/>
      <c r="P113" s="2168"/>
      <c r="Q113" s="2168"/>
      <c r="R113" s="2168"/>
      <c r="S113" s="2054"/>
      <c r="T113" s="2054"/>
      <c r="U113" s="2054"/>
      <c r="V113" s="2054"/>
      <c r="W113" s="2054"/>
      <c r="X113" s="2054"/>
      <c r="Y113" s="2211"/>
      <c r="Z113" s="2057"/>
      <c r="AA113" s="2060"/>
      <c r="AB113" s="2057"/>
      <c r="AC113" s="2057"/>
      <c r="AD113" s="2057"/>
    </row>
    <row customHeight="1" ht="9">
      <c r="A114" s="2056"/>
      <c r="B114" s="2056"/>
      <c r="C114" s="2054"/>
      <c r="D114" s="2054"/>
      <c r="E114" s="2054"/>
      <c r="F114" s="2054"/>
      <c r="G114" s="2054"/>
      <c r="H114" s="2102"/>
      <c r="I114" s="2102"/>
      <c r="J114" s="2102"/>
      <c r="K114" s="2102"/>
      <c r="L114" s="2102"/>
      <c r="M114" s="2054"/>
      <c r="N114" s="2101"/>
      <c r="O114" s="2168"/>
      <c r="P114" s="2168"/>
      <c r="Q114" s="2168"/>
      <c r="R114" s="2168"/>
      <c r="S114" s="2054"/>
      <c r="T114" s="2054"/>
      <c r="U114" s="2054"/>
      <c r="V114" s="2054"/>
      <c r="W114" s="2054"/>
      <c r="X114" s="2054"/>
      <c r="Y114" s="2211"/>
      <c r="Z114" s="2057"/>
      <c r="AA114" s="2060"/>
      <c r="AB114" s="2057"/>
      <c r="AC114" s="2057"/>
      <c r="AD114" s="2057"/>
    </row>
    <row customHeight="1" ht="9">
      <c r="A115" s="2056"/>
      <c r="B115" s="2056"/>
      <c r="C115" s="2054"/>
      <c r="D115" s="2054"/>
      <c r="E115" s="2054"/>
      <c r="F115" s="2054"/>
      <c r="G115" s="2054"/>
      <c r="H115" s="2102"/>
      <c r="I115" s="2102"/>
      <c r="J115" s="2102"/>
      <c r="K115" s="2102"/>
      <c r="L115" s="2102"/>
      <c r="M115" s="2054"/>
      <c r="N115" s="2101"/>
      <c r="O115" s="2168"/>
      <c r="P115" s="2168"/>
      <c r="Q115" s="2168"/>
      <c r="R115" s="2168"/>
      <c r="S115" s="2054"/>
      <c r="T115" s="2054"/>
      <c r="U115" s="2054"/>
      <c r="V115" s="2054"/>
      <c r="W115" s="2054"/>
      <c r="X115" s="2054"/>
      <c r="Y115" s="2211"/>
      <c r="Z115" s="2057"/>
      <c r="AA115" s="2060"/>
      <c r="AB115" s="2057"/>
      <c r="AC115" s="2057"/>
      <c r="AD115" s="2057"/>
    </row>
    <row customHeight="1" ht="9">
      <c r="A116" s="2056"/>
      <c r="B116" s="2056"/>
      <c r="C116" s="2054"/>
      <c r="D116" s="2054"/>
      <c r="E116" s="2054"/>
      <c r="F116" s="2054"/>
      <c r="G116" s="2054"/>
      <c r="H116" s="2102"/>
      <c r="I116" s="2102"/>
      <c r="J116" s="2102"/>
      <c r="K116" s="2102"/>
      <c r="L116" s="2102"/>
      <c r="M116" s="2054"/>
      <c r="N116" s="2101"/>
      <c r="O116" s="2168"/>
      <c r="P116" s="2168"/>
      <c r="Q116" s="2168"/>
      <c r="R116" s="2168"/>
      <c r="S116" s="2054"/>
      <c r="T116" s="2054"/>
      <c r="U116" s="2054"/>
      <c r="V116" s="2054"/>
      <c r="W116" s="2054"/>
      <c r="X116" s="2054"/>
      <c r="Y116" s="2211"/>
      <c r="Z116" s="2057"/>
      <c r="AA116" s="2060"/>
      <c r="AB116" s="2057"/>
      <c r="AC116" s="2057"/>
      <c r="AD116" s="2057"/>
    </row>
    <row customHeight="1" ht="9">
      <c r="A117" s="2056"/>
      <c r="B117" s="2056"/>
      <c r="C117" s="2054"/>
      <c r="D117" s="2054"/>
      <c r="E117" s="2054"/>
      <c r="F117" s="2054"/>
      <c r="G117" s="2054"/>
      <c r="H117" s="2102"/>
      <c r="I117" s="2102"/>
      <c r="J117" s="2102"/>
      <c r="K117" s="2102"/>
      <c r="L117" s="2102"/>
      <c r="M117" s="2054"/>
      <c r="N117" s="2101"/>
      <c r="O117" s="2168"/>
      <c r="P117" s="2168"/>
      <c r="Q117" s="2168"/>
      <c r="R117" s="2168"/>
      <c r="S117" s="2054"/>
      <c r="T117" s="2054"/>
      <c r="U117" s="2054"/>
      <c r="V117" s="2054"/>
      <c r="W117" s="2054"/>
      <c r="X117" s="2054"/>
      <c r="Y117" s="2211"/>
      <c r="Z117" s="2057"/>
      <c r="AA117" s="2060"/>
      <c r="AB117" s="2057"/>
      <c r="AC117" s="2057"/>
      <c r="AD117" s="2057"/>
    </row>
    <row customHeight="1" ht="9">
      <c r="A118" s="2056"/>
      <c r="B118" s="2056"/>
      <c r="C118" s="2054"/>
      <c r="D118" s="2054"/>
      <c r="E118" s="2054"/>
      <c r="F118" s="2054"/>
      <c r="G118" s="2054"/>
      <c r="H118" s="2102"/>
      <c r="I118" s="2102"/>
      <c r="J118" s="2102"/>
      <c r="K118" s="2102"/>
      <c r="L118" s="2102"/>
      <c r="M118" s="2054"/>
      <c r="N118" s="2101"/>
      <c r="O118" s="2168"/>
      <c r="P118" s="2168"/>
      <c r="Q118" s="2168"/>
      <c r="R118" s="2168"/>
      <c r="S118" s="2054"/>
      <c r="T118" s="2054"/>
      <c r="U118" s="2054"/>
      <c r="V118" s="2054"/>
      <c r="W118" s="2054"/>
      <c r="X118" s="2054"/>
      <c r="Y118" s="2211"/>
      <c r="Z118" s="2057"/>
      <c r="AA118" s="2060"/>
      <c r="AB118" s="2057"/>
      <c r="AC118" s="2057"/>
      <c r="AD118" s="2057"/>
    </row>
    <row customHeight="1" ht="9">
      <c r="A119" s="2056"/>
      <c r="B119" s="2056"/>
      <c r="C119" s="2054"/>
      <c r="D119" s="2054"/>
      <c r="E119" s="2054"/>
      <c r="F119" s="2054"/>
      <c r="G119" s="2054"/>
      <c r="H119" s="2102"/>
      <c r="I119" s="2102"/>
      <c r="J119" s="2102"/>
      <c r="K119" s="2102"/>
      <c r="L119" s="2102"/>
      <c r="M119" s="2054"/>
      <c r="N119" s="2101"/>
      <c r="O119" s="2168"/>
      <c r="P119" s="2168"/>
      <c r="Q119" s="2168"/>
      <c r="R119" s="2168"/>
      <c r="S119" s="2054"/>
      <c r="T119" s="2054"/>
      <c r="U119" s="2054"/>
      <c r="V119" s="2054"/>
      <c r="W119" s="2054"/>
      <c r="X119" s="2054"/>
      <c r="Y119" s="2211"/>
      <c r="Z119" s="2057"/>
      <c r="AA119" s="2060"/>
      <c r="AB119" s="2057"/>
      <c r="AC119" s="2057"/>
      <c r="AD119" s="2057"/>
    </row>
    <row customHeight="1" ht="9">
      <c r="A120" s="2056"/>
      <c r="B120" s="2056"/>
      <c r="C120" s="2054"/>
      <c r="D120" s="2054"/>
      <c r="E120" s="2054"/>
      <c r="F120" s="2054"/>
      <c r="G120" s="2054"/>
      <c r="H120" s="2102"/>
      <c r="I120" s="2102"/>
      <c r="J120" s="2102"/>
      <c r="K120" s="2102"/>
      <c r="L120" s="2102"/>
      <c r="M120" s="2054"/>
      <c r="N120" s="2101"/>
      <c r="O120" s="2168"/>
      <c r="P120" s="2168"/>
      <c r="Q120" s="2168"/>
      <c r="R120" s="2168"/>
      <c r="S120" s="2054"/>
      <c r="T120" s="2054"/>
      <c r="U120" s="2054"/>
      <c r="V120" s="2054"/>
      <c r="W120" s="2054"/>
      <c r="X120" s="2054"/>
      <c r="Y120" s="2211"/>
      <c r="Z120" s="2057"/>
      <c r="AA120" s="2060"/>
      <c r="AB120" s="2057"/>
      <c r="AC120" s="2057"/>
      <c r="AD120" s="2057"/>
    </row>
    <row customHeight="1" ht="9">
      <c r="A121" s="2056"/>
      <c r="B121" s="2056"/>
      <c r="C121" s="2054"/>
      <c r="D121" s="2054"/>
      <c r="E121" s="2054"/>
      <c r="F121" s="2054"/>
      <c r="G121" s="2054"/>
      <c r="H121" s="2102"/>
      <c r="I121" s="2102"/>
      <c r="J121" s="2102"/>
      <c r="K121" s="2102"/>
      <c r="L121" s="2102"/>
      <c r="M121" s="2054"/>
      <c r="N121" s="2101"/>
      <c r="O121" s="2168"/>
      <c r="P121" s="2168"/>
      <c r="Q121" s="2168"/>
      <c r="R121" s="2168"/>
      <c r="S121" s="2054"/>
      <c r="T121" s="2054"/>
      <c r="U121" s="2054"/>
      <c r="V121" s="2054"/>
      <c r="W121" s="2054"/>
      <c r="X121" s="2054"/>
      <c r="Y121" s="2211"/>
      <c r="Z121" s="2057"/>
      <c r="AA121" s="2060"/>
      <c r="AB121" s="2057"/>
      <c r="AC121" s="2057"/>
      <c r="AD121" s="2057"/>
    </row>
    <row customHeight="1" ht="9">
      <c r="A122" s="2056"/>
      <c r="B122" s="2056"/>
      <c r="C122" s="2054"/>
      <c r="D122" s="2054"/>
      <c r="E122" s="2054"/>
      <c r="F122" s="2054"/>
      <c r="G122" s="2054"/>
      <c r="H122" s="2102"/>
      <c r="I122" s="2102"/>
      <c r="J122" s="2102"/>
      <c r="K122" s="2102"/>
      <c r="L122" s="2102"/>
      <c r="M122" s="2054"/>
      <c r="N122" s="2101"/>
      <c r="O122" s="2168"/>
      <c r="P122" s="2168"/>
      <c r="Q122" s="2168"/>
      <c r="R122" s="2168"/>
      <c r="S122" s="2054"/>
      <c r="T122" s="2054"/>
      <c r="U122" s="2054"/>
      <c r="V122" s="2054"/>
      <c r="W122" s="2054"/>
      <c r="X122" s="2054"/>
      <c r="Y122" s="2211"/>
      <c r="Z122" s="2057"/>
      <c r="AA122" s="2060"/>
      <c r="AB122" s="2057"/>
      <c r="AC122" s="2057"/>
      <c r="AD122" s="2057"/>
    </row>
    <row customHeight="1" ht="9">
      <c r="A123" s="2056"/>
      <c r="B123" s="2056"/>
      <c r="C123" s="2054"/>
      <c r="D123" s="2054"/>
      <c r="E123" s="2054"/>
      <c r="F123" s="2054"/>
      <c r="G123" s="2054"/>
      <c r="H123" s="2102"/>
      <c r="I123" s="2102"/>
      <c r="J123" s="2102"/>
      <c r="K123" s="2102"/>
      <c r="L123" s="2102"/>
      <c r="M123" s="2054"/>
      <c r="N123" s="2101"/>
      <c r="O123" s="2168"/>
      <c r="P123" s="2168"/>
      <c r="Q123" s="2168"/>
      <c r="R123" s="2168"/>
      <c r="S123" s="2054"/>
      <c r="T123" s="2054"/>
      <c r="U123" s="2054"/>
      <c r="V123" s="2054"/>
      <c r="W123" s="2054"/>
      <c r="X123" s="2054"/>
      <c r="Y123" s="2211"/>
      <c r="Z123" s="2057"/>
      <c r="AA123" s="2060"/>
      <c r="AB123" s="2057"/>
      <c r="AC123" s="2057"/>
      <c r="AD123" s="2057"/>
    </row>
    <row customHeight="1" ht="9">
      <c r="A124" s="2056"/>
      <c r="B124" s="2056"/>
      <c r="C124" s="2054"/>
      <c r="D124" s="2054"/>
      <c r="E124" s="2054"/>
      <c r="F124" s="2054"/>
      <c r="G124" s="2054"/>
      <c r="H124" s="2102"/>
      <c r="I124" s="2102"/>
      <c r="J124" s="2102"/>
      <c r="K124" s="2102"/>
      <c r="L124" s="2102"/>
      <c r="M124" s="2054"/>
      <c r="N124" s="2101"/>
      <c r="O124" s="2168"/>
      <c r="P124" s="2168"/>
      <c r="Q124" s="2168"/>
      <c r="R124" s="2168"/>
      <c r="S124" s="2054"/>
      <c r="T124" s="2054"/>
      <c r="U124" s="2054"/>
      <c r="V124" s="2054"/>
      <c r="W124" s="2054"/>
      <c r="X124" s="2054"/>
      <c r="Y124" s="2211"/>
      <c r="Z124" s="2057"/>
      <c r="AA124" s="2060"/>
      <c r="AB124" s="2057"/>
      <c r="AC124" s="2057"/>
      <c r="AD124" s="2057"/>
    </row>
    <row customHeight="1" ht="9">
      <c r="A125" s="2056"/>
      <c r="B125" s="2056"/>
      <c r="C125" s="2054"/>
      <c r="D125" s="2054"/>
      <c r="E125" s="2054"/>
      <c r="F125" s="2054"/>
      <c r="G125" s="2054"/>
      <c r="H125" s="2102"/>
      <c r="I125" s="2102"/>
      <c r="J125" s="2102"/>
      <c r="K125" s="2102"/>
      <c r="L125" s="2102"/>
      <c r="M125" s="2054"/>
      <c r="N125" s="2101"/>
      <c r="O125" s="2168"/>
      <c r="P125" s="2168"/>
      <c r="Q125" s="2168"/>
      <c r="R125" s="2168"/>
      <c r="S125" s="2054"/>
      <c r="T125" s="2054"/>
      <c r="U125" s="2054"/>
      <c r="V125" s="2054"/>
      <c r="W125" s="2054"/>
      <c r="X125" s="2054"/>
      <c r="Y125" s="2211"/>
      <c r="Z125" s="2057"/>
      <c r="AA125" s="2060"/>
      <c r="AB125" s="2057"/>
      <c r="AC125" s="2057"/>
      <c r="AD125" s="2057"/>
    </row>
    <row customHeight="1" ht="9">
      <c r="A126" s="2056"/>
      <c r="B126" s="2056"/>
      <c r="C126" s="2054"/>
      <c r="D126" s="2054"/>
      <c r="E126" s="2054"/>
      <c r="F126" s="2054"/>
      <c r="G126" s="2054"/>
      <c r="H126" s="2102"/>
      <c r="I126" s="2102"/>
      <c r="J126" s="2102"/>
      <c r="K126" s="2102"/>
      <c r="L126" s="2102"/>
      <c r="M126" s="2054"/>
      <c r="N126" s="2101"/>
      <c r="O126" s="2168"/>
      <c r="P126" s="2168"/>
      <c r="Q126" s="2168"/>
      <c r="R126" s="2168"/>
      <c r="S126" s="2054"/>
      <c r="T126" s="2054"/>
      <c r="U126" s="2054"/>
      <c r="V126" s="2054"/>
      <c r="W126" s="2054"/>
      <c r="X126" s="2054"/>
      <c r="Y126" s="2211"/>
      <c r="Z126" s="2057"/>
      <c r="AA126" s="2060"/>
      <c r="AB126" s="2057"/>
      <c r="AC126" s="2057"/>
      <c r="AD126" s="2057"/>
    </row>
    <row customHeight="1" ht="9">
      <c r="A127" s="2056"/>
      <c r="B127" s="2056"/>
      <c r="C127" s="2054"/>
      <c r="D127" s="2054"/>
      <c r="E127" s="2054"/>
      <c r="F127" s="2054"/>
      <c r="G127" s="2054"/>
      <c r="H127" s="2102"/>
      <c r="I127" s="2102"/>
      <c r="J127" s="2102"/>
      <c r="K127" s="2102"/>
      <c r="L127" s="2102"/>
      <c r="M127" s="2054"/>
      <c r="N127" s="2101"/>
      <c r="O127" s="2168"/>
      <c r="P127" s="2168"/>
      <c r="Q127" s="2168"/>
      <c r="R127" s="2168"/>
      <c r="S127" s="2054"/>
      <c r="T127" s="2054"/>
      <c r="U127" s="2054"/>
      <c r="V127" s="2054"/>
      <c r="W127" s="2054"/>
      <c r="X127" s="2054"/>
      <c r="Y127" s="2211"/>
      <c r="Z127" s="2057"/>
      <c r="AA127" s="2060"/>
      <c r="AB127" s="2057"/>
      <c r="AC127" s="2057"/>
      <c r="AD127" s="2057"/>
    </row>
    <row customHeight="1" ht="9">
      <c r="A128" s="2056"/>
      <c r="B128" s="2056"/>
      <c r="C128" s="2054"/>
      <c r="D128" s="2054"/>
      <c r="E128" s="2054"/>
      <c r="F128" s="2054"/>
      <c r="G128" s="2054"/>
      <c r="H128" s="2102"/>
      <c r="I128" s="2102"/>
      <c r="J128" s="2102"/>
      <c r="K128" s="2102"/>
      <c r="L128" s="2102"/>
      <c r="M128" s="2054"/>
      <c r="N128" s="2101"/>
      <c r="O128" s="2168"/>
      <c r="P128" s="2168"/>
      <c r="Q128" s="2168"/>
      <c r="R128" s="2168"/>
      <c r="S128" s="2054"/>
      <c r="T128" s="2054"/>
      <c r="U128" s="2054"/>
      <c r="V128" s="2054"/>
      <c r="W128" s="2054"/>
      <c r="X128" s="2054"/>
      <c r="Y128" s="2211"/>
      <c r="Z128" s="2057"/>
      <c r="AA128" s="2060"/>
      <c r="AB128" s="2057"/>
      <c r="AC128" s="2057"/>
      <c r="AD128" s="2057"/>
    </row>
    <row customHeight="1" ht="9">
      <c r="A129" s="2056"/>
      <c r="B129" s="2056"/>
      <c r="C129" s="2054"/>
      <c r="D129" s="2054"/>
      <c r="E129" s="2054"/>
      <c r="F129" s="2054"/>
      <c r="G129" s="2054"/>
      <c r="H129" s="2102"/>
      <c r="I129" s="2102"/>
      <c r="J129" s="2102"/>
      <c r="K129" s="2102"/>
      <c r="L129" s="2102"/>
      <c r="M129" s="2054"/>
      <c r="N129" s="2101"/>
      <c r="O129" s="2168"/>
      <c r="P129" s="2168"/>
      <c r="Q129" s="2168"/>
      <c r="R129" s="2168"/>
      <c r="S129" s="2054"/>
      <c r="T129" s="2054"/>
      <c r="U129" s="2054"/>
      <c r="V129" s="2054"/>
      <c r="W129" s="2054"/>
      <c r="X129" s="2054"/>
      <c r="Y129" s="2211"/>
      <c r="Z129" s="2057"/>
      <c r="AA129" s="2060"/>
      <c r="AB129" s="2057"/>
      <c r="AC129" s="2057"/>
      <c r="AD129" s="2057"/>
    </row>
    <row customHeight="1" ht="9">
      <c r="A130" s="2056"/>
      <c r="B130" s="2056"/>
      <c r="C130" s="2054"/>
      <c r="D130" s="2054"/>
      <c r="E130" s="2054"/>
      <c r="F130" s="2054"/>
      <c r="G130" s="2054"/>
      <c r="H130" s="2102"/>
      <c r="I130" s="2102"/>
      <c r="J130" s="2102"/>
      <c r="K130" s="2102"/>
      <c r="L130" s="2102"/>
      <c r="M130" s="2054"/>
      <c r="N130" s="2101"/>
      <c r="O130" s="2170"/>
      <c r="P130" s="2170"/>
      <c r="Q130" s="2170"/>
      <c r="R130" s="2170"/>
      <c r="S130" s="2054"/>
      <c r="T130" s="2054"/>
      <c r="U130" s="2054"/>
      <c r="V130" s="2054"/>
      <c r="W130" s="2054"/>
      <c r="X130" s="2054"/>
      <c r="Y130" s="2211"/>
      <c r="Z130" s="2057"/>
      <c r="AA130" s="2060"/>
      <c r="AB130" s="2057"/>
      <c r="AC130" s="2057"/>
      <c r="AD130" s="2057"/>
    </row>
    <row customHeight="1" ht="9">
      <c r="A131" s="2056"/>
      <c r="B131" s="2056"/>
      <c r="C131" s="2054"/>
      <c r="D131" s="2054"/>
      <c r="E131" s="2054"/>
      <c r="F131" s="2054"/>
      <c r="G131" s="2054"/>
      <c r="H131" s="2102"/>
      <c r="I131" s="2102"/>
      <c r="J131" s="2102"/>
      <c r="K131" s="2102"/>
      <c r="L131" s="2102"/>
      <c r="M131" s="2054"/>
      <c r="N131" s="2101"/>
      <c r="O131" s="2171"/>
      <c r="P131" s="2171"/>
      <c r="Q131" s="2171"/>
      <c r="R131" s="2171"/>
      <c r="S131" s="2054"/>
      <c r="T131" s="2054"/>
      <c r="U131" s="2054"/>
      <c r="V131" s="2054"/>
      <c r="W131" s="2054"/>
      <c r="X131" s="2054"/>
      <c r="Y131" s="2211"/>
      <c r="Z131" s="2057"/>
      <c r="AA131" s="2060"/>
      <c r="AB131" s="2057"/>
      <c r="AC131" s="2057"/>
      <c r="AD131" s="2057"/>
    </row>
    <row customHeight="1" ht="9">
      <c r="A132" s="2056"/>
      <c r="B132" s="2056"/>
      <c r="C132" s="2054"/>
      <c r="D132" s="2054"/>
      <c r="E132" s="2054"/>
      <c r="F132" s="2054"/>
      <c r="G132" s="2054"/>
      <c r="H132" s="2102"/>
      <c r="I132" s="2102"/>
      <c r="J132" s="2102"/>
      <c r="K132" s="2102"/>
      <c r="L132" s="2102"/>
      <c r="M132" s="2054"/>
      <c r="N132" s="2101"/>
      <c r="O132" s="2170"/>
      <c r="P132" s="2170"/>
      <c r="Q132" s="2170"/>
      <c r="R132" s="2170"/>
      <c r="S132" s="2054"/>
      <c r="T132" s="2054"/>
      <c r="U132" s="2054"/>
      <c r="V132" s="2054"/>
      <c r="W132" s="2054"/>
      <c r="X132" s="2054"/>
      <c r="Y132" s="2211"/>
      <c r="Z132" s="2057"/>
      <c r="AA132" s="2060"/>
      <c r="AB132" s="2057"/>
      <c r="AC132" s="2057"/>
      <c r="AD132" s="2057"/>
    </row>
    <row customHeight="1" ht="9">
      <c r="A133" s="2056"/>
      <c r="B133" s="2056"/>
      <c r="C133" s="2054"/>
      <c r="D133" s="2054"/>
      <c r="E133" s="2054"/>
      <c r="F133" s="2054"/>
      <c r="G133" s="2054"/>
      <c r="H133" s="2102"/>
      <c r="I133" s="2102"/>
      <c r="J133" s="2102"/>
      <c r="K133" s="2102"/>
      <c r="L133" s="2102"/>
      <c r="M133" s="2054"/>
      <c r="N133" s="2101"/>
      <c r="O133" s="2171"/>
      <c r="P133" s="2171"/>
      <c r="Q133" s="2171"/>
      <c r="R133" s="2171"/>
      <c r="S133" s="2054"/>
      <c r="T133" s="2054"/>
      <c r="U133" s="2054"/>
      <c r="V133" s="2054"/>
      <c r="W133" s="2054"/>
      <c r="X133" s="2054"/>
      <c r="Y133" s="2211"/>
      <c r="Z133" s="2057"/>
      <c r="AA133" s="2060"/>
      <c r="AB133" s="2057"/>
      <c r="AC133" s="2057"/>
      <c r="AD133" s="2057"/>
    </row>
    <row customHeight="1" ht="9">
      <c r="A134" s="2056"/>
      <c r="B134" s="2056"/>
      <c r="C134" s="2054"/>
      <c r="D134" s="2054"/>
      <c r="E134" s="2054"/>
      <c r="F134" s="2054"/>
      <c r="G134" s="2054"/>
      <c r="H134" s="2102"/>
      <c r="I134" s="2102"/>
      <c r="J134" s="2102"/>
      <c r="K134" s="2102"/>
      <c r="L134" s="2102"/>
      <c r="M134" s="2054"/>
      <c r="N134" s="2101"/>
      <c r="O134" s="2168"/>
      <c r="P134" s="2168"/>
      <c r="Q134" s="2168"/>
      <c r="R134" s="2168"/>
      <c r="S134" s="2054"/>
      <c r="T134" s="2054"/>
      <c r="U134" s="2054"/>
      <c r="V134" s="2054"/>
      <c r="W134" s="2054"/>
      <c r="X134" s="2054"/>
      <c r="Y134" s="2211"/>
      <c r="Z134" s="2057"/>
      <c r="AA134" s="2060"/>
      <c r="AB134" s="2057"/>
      <c r="AC134" s="2057"/>
      <c r="AD134" s="2057"/>
    </row>
    <row customHeight="1" ht="9">
      <c r="A135" s="2056"/>
      <c r="B135" s="2056"/>
      <c r="C135" s="2054"/>
      <c r="D135" s="2054"/>
      <c r="E135" s="2054"/>
      <c r="F135" s="2054"/>
      <c r="G135" s="2054"/>
      <c r="H135" s="2102"/>
      <c r="I135" s="2102"/>
      <c r="J135" s="2102"/>
      <c r="K135" s="2102"/>
      <c r="L135" s="2102"/>
      <c r="M135" s="2054"/>
      <c r="N135" s="2101"/>
      <c r="O135" s="2168"/>
      <c r="P135" s="2168"/>
      <c r="Q135" s="2168"/>
      <c r="R135" s="2168"/>
      <c r="S135" s="2054"/>
      <c r="T135" s="2054"/>
      <c r="U135" s="2054"/>
      <c r="V135" s="2054"/>
      <c r="W135" s="2054"/>
      <c r="X135" s="2054"/>
      <c r="Y135" s="2211"/>
      <c r="Z135" s="2057"/>
      <c r="AA135" s="2060"/>
      <c r="AB135" s="2057"/>
      <c r="AC135" s="2057"/>
      <c r="AD135" s="2057"/>
    </row>
    <row customHeight="1" ht="9">
      <c r="A136" s="2056"/>
      <c r="B136" s="2056"/>
      <c r="C136" s="2054"/>
      <c r="D136" s="2054"/>
      <c r="E136" s="2054"/>
      <c r="F136" s="2054"/>
      <c r="G136" s="2054"/>
      <c r="H136" s="2102"/>
      <c r="I136" s="2102"/>
      <c r="J136" s="2102"/>
      <c r="K136" s="2102"/>
      <c r="L136" s="2102"/>
      <c r="M136" s="2054"/>
      <c r="N136" s="2101"/>
      <c r="O136" s="2168"/>
      <c r="P136" s="2168"/>
      <c r="Q136" s="2168"/>
      <c r="R136" s="2168"/>
      <c r="S136" s="2054"/>
      <c r="T136" s="2054"/>
      <c r="U136" s="2054"/>
      <c r="V136" s="2054"/>
      <c r="W136" s="2054"/>
      <c r="X136" s="2054"/>
      <c r="Y136" s="2211"/>
      <c r="Z136" s="2057"/>
      <c r="AA136" s="2060"/>
      <c r="AB136" s="2057"/>
      <c r="AC136" s="2057"/>
      <c r="AD136" s="2057"/>
    </row>
    <row customHeight="1" ht="9">
      <c r="A137" s="2056"/>
      <c r="B137" s="2056"/>
      <c r="C137" s="2054"/>
      <c r="D137" s="2054"/>
      <c r="E137" s="2054"/>
      <c r="F137" s="2054"/>
      <c r="G137" s="2054"/>
      <c r="H137" s="2102"/>
      <c r="I137" s="2102"/>
      <c r="J137" s="2102"/>
      <c r="K137" s="2102"/>
      <c r="L137" s="2102"/>
      <c r="M137" s="2054"/>
      <c r="N137" s="2101"/>
      <c r="O137" s="2172"/>
      <c r="P137" s="2172"/>
      <c r="Q137" s="2172"/>
      <c r="R137" s="2172"/>
      <c r="S137" s="2054"/>
      <c r="T137" s="2054"/>
      <c r="U137" s="2054"/>
      <c r="V137" s="2054"/>
      <c r="W137" s="2054"/>
      <c r="X137" s="2054"/>
      <c r="Y137" s="2211"/>
      <c r="Z137" s="2057"/>
      <c r="AA137" s="2060"/>
      <c r="AB137" s="2057"/>
      <c r="AC137" s="2057"/>
      <c r="AD137" s="2057"/>
    </row>
    <row customHeight="1" ht="9">
      <c r="A138" s="2056"/>
      <c r="B138" s="2056"/>
      <c r="C138" s="2054"/>
      <c r="D138" s="2054"/>
      <c r="E138" s="2054"/>
      <c r="F138" s="2054"/>
      <c r="G138" s="2054"/>
      <c r="H138" s="2102"/>
      <c r="I138" s="2102"/>
      <c r="J138" s="2102"/>
      <c r="K138" s="2102"/>
      <c r="L138" s="2102"/>
      <c r="M138" s="2054"/>
      <c r="N138" s="2101"/>
      <c r="O138" s="2169"/>
      <c r="P138" s="2169"/>
      <c r="Q138" s="2169"/>
      <c r="R138" s="2169"/>
      <c r="S138" s="2054"/>
      <c r="T138" s="2054"/>
      <c r="U138" s="2054"/>
      <c r="V138" s="2054"/>
      <c r="W138" s="2054"/>
      <c r="X138" s="2054"/>
      <c r="Y138" s="2211"/>
      <c r="Z138" s="2057"/>
      <c r="AA138" s="2060"/>
      <c r="AB138" s="2057"/>
      <c r="AC138" s="2057"/>
      <c r="AD138" s="2057"/>
    </row>
    <row customHeight="1" ht="9">
      <c r="A139" s="2056"/>
      <c r="B139" s="2056"/>
      <c r="C139" s="2054"/>
      <c r="D139" s="2054"/>
      <c r="E139" s="2054"/>
      <c r="F139" s="2054"/>
      <c r="G139" s="2054"/>
      <c r="H139" s="2102"/>
      <c r="I139" s="2102"/>
      <c r="J139" s="2102"/>
      <c r="K139" s="2102"/>
      <c r="L139" s="2102"/>
      <c r="M139" s="2054"/>
      <c r="N139" s="2101"/>
      <c r="O139" s="2054"/>
      <c r="P139" s="2054"/>
      <c r="Q139" s="2054"/>
      <c r="R139" s="2054"/>
      <c r="S139" s="2054"/>
      <c r="T139" s="2054"/>
      <c r="U139" s="2054"/>
      <c r="V139" s="2054"/>
      <c r="W139" s="2054"/>
      <c r="X139" s="2054"/>
      <c r="Y139" s="2211"/>
      <c r="Z139" s="2057"/>
      <c r="AA139" s="2060"/>
      <c r="AB139" s="2057"/>
      <c r="AC139" s="2057"/>
      <c r="AD139" s="2057"/>
    </row>
    <row customHeight="1" ht="9">
      <c r="A140" s="2056"/>
      <c r="B140" s="2056"/>
      <c r="C140" s="2054"/>
      <c r="D140" s="2054"/>
      <c r="E140" s="2054"/>
      <c r="F140" s="2054"/>
      <c r="G140" s="2054"/>
      <c r="H140" s="2102"/>
      <c r="I140" s="2102"/>
      <c r="J140" s="2102"/>
      <c r="K140" s="2102"/>
      <c r="L140" s="2102"/>
      <c r="M140" s="2054"/>
      <c r="N140" s="2101"/>
      <c r="O140" s="2054"/>
      <c r="P140" s="2054"/>
      <c r="Q140" s="2054"/>
      <c r="R140" s="2054"/>
      <c r="S140" s="2054"/>
      <c r="T140" s="2054"/>
      <c r="U140" s="2054"/>
      <c r="V140" s="2054"/>
      <c r="W140" s="2054"/>
      <c r="X140" s="2054"/>
      <c r="Y140" s="2211"/>
      <c r="Z140" s="2057"/>
      <c r="AA140" s="2060"/>
      <c r="AB140" s="2057"/>
      <c r="AC140" s="2057"/>
      <c r="AD140" s="2057"/>
    </row>
    <row customHeight="1" ht="9">
      <c r="A141" s="2056"/>
      <c r="B141" s="2056"/>
      <c r="C141" s="2054"/>
      <c r="D141" s="2054"/>
      <c r="E141" s="2054"/>
      <c r="F141" s="2054"/>
      <c r="G141" s="2054"/>
      <c r="H141" s="2102"/>
      <c r="I141" s="2102"/>
      <c r="J141" s="2102"/>
      <c r="K141" s="2102"/>
      <c r="L141" s="2102"/>
      <c r="M141" s="2054"/>
      <c r="N141" s="2101"/>
      <c r="O141" s="2054"/>
      <c r="P141" s="2054"/>
      <c r="Q141" s="2054"/>
      <c r="R141" s="2054"/>
      <c r="S141" s="2054"/>
      <c r="T141" s="2054"/>
      <c r="U141" s="2054"/>
      <c r="V141" s="2054"/>
      <c r="W141" s="2054"/>
      <c r="X141" s="2054"/>
      <c r="Y141" s="2211"/>
      <c r="Z141" s="2057"/>
      <c r="AA141" s="2060"/>
      <c r="AB141" s="2057"/>
      <c r="AC141" s="2057"/>
      <c r="AD141" s="2057"/>
    </row>
    <row customHeight="1" ht="9">
      <c r="A142" s="2056"/>
      <c r="B142" s="2056"/>
      <c r="C142" s="2054"/>
      <c r="D142" s="2054"/>
      <c r="E142" s="2054"/>
      <c r="F142" s="2054"/>
      <c r="G142" s="2054"/>
      <c r="H142" s="2102"/>
      <c r="I142" s="2102"/>
      <c r="J142" s="2102"/>
      <c r="K142" s="2102"/>
      <c r="L142" s="2102"/>
      <c r="M142" s="2054"/>
      <c r="N142" s="2101"/>
      <c r="O142" s="2054"/>
      <c r="P142" s="2054"/>
      <c r="Q142" s="2054"/>
      <c r="R142" s="2054"/>
      <c r="S142" s="2054"/>
      <c r="T142" s="2054"/>
      <c r="U142" s="2054"/>
      <c r="V142" s="2054"/>
      <c r="W142" s="2054"/>
      <c r="X142" s="2054"/>
      <c r="Y142" s="2211"/>
      <c r="Z142" s="2057"/>
      <c r="AA142" s="2060"/>
      <c r="AB142" s="2057"/>
      <c r="AC142" s="2057"/>
      <c r="AD142" s="2057"/>
    </row>
    <row customHeight="1" ht="9">
      <c r="A143" s="2056"/>
      <c r="B143" s="2056"/>
      <c r="C143" s="2054"/>
      <c r="D143" s="2054"/>
      <c r="E143" s="2054"/>
      <c r="F143" s="2054"/>
      <c r="G143" s="2054"/>
      <c r="H143" s="2102"/>
      <c r="I143" s="2102"/>
      <c r="J143" s="2102"/>
      <c r="K143" s="2102"/>
      <c r="L143" s="2102"/>
      <c r="M143" s="2054"/>
      <c r="N143" s="2101"/>
      <c r="O143" s="2054"/>
      <c r="P143" s="2054"/>
      <c r="Q143" s="2054"/>
      <c r="R143" s="2054"/>
      <c r="S143" s="2054"/>
      <c r="T143" s="2054"/>
      <c r="U143" s="2054"/>
      <c r="V143" s="2054"/>
      <c r="W143" s="2054"/>
      <c r="X143" s="2054"/>
      <c r="Y143" s="2211"/>
      <c r="Z143" s="2057"/>
      <c r="AA143" s="2060"/>
      <c r="AB143" s="2057"/>
      <c r="AC143" s="2057"/>
      <c r="AD143" s="2057"/>
    </row>
    <row customHeight="1" ht="9">
      <c r="A144" s="2056"/>
      <c r="B144" s="2056"/>
      <c r="C144" s="2054"/>
      <c r="D144" s="2054"/>
      <c r="E144" s="2054"/>
      <c r="F144" s="2054"/>
      <c r="G144" s="2054"/>
      <c r="H144" s="2102"/>
      <c r="I144" s="2102"/>
      <c r="J144" s="2102"/>
      <c r="K144" s="2102"/>
      <c r="L144" s="2102"/>
      <c r="M144" s="2054"/>
      <c r="N144" s="2101"/>
      <c r="O144" s="2054"/>
      <c r="P144" s="2054"/>
      <c r="Q144" s="2054"/>
      <c r="R144" s="2054"/>
      <c r="S144" s="2054"/>
      <c r="T144" s="2054"/>
      <c r="U144" s="2054"/>
      <c r="V144" s="2054"/>
      <c r="W144" s="2054"/>
      <c r="X144" s="2054"/>
      <c r="Y144" s="2211"/>
      <c r="Z144" s="2057"/>
      <c r="AA144" s="2060"/>
      <c r="AB144" s="2057"/>
      <c r="AC144" s="2057"/>
      <c r="AD144" s="2057"/>
    </row>
    <row customHeight="1" ht="9">
      <c r="A145" s="2056"/>
      <c r="B145" s="2056"/>
      <c r="C145" s="2054"/>
      <c r="D145" s="2054"/>
      <c r="E145" s="2054"/>
      <c r="F145" s="2054"/>
      <c r="G145" s="2054"/>
      <c r="H145" s="2102"/>
      <c r="I145" s="2102"/>
      <c r="J145" s="2102"/>
      <c r="K145" s="2102"/>
      <c r="L145" s="2102"/>
      <c r="M145" s="2054"/>
      <c r="N145" s="2101"/>
      <c r="O145" s="2054"/>
      <c r="P145" s="2054"/>
      <c r="Q145" s="2054"/>
      <c r="R145" s="2054"/>
      <c r="S145" s="2054"/>
      <c r="T145" s="2054"/>
      <c r="U145" s="2054"/>
      <c r="V145" s="2054"/>
      <c r="W145" s="2054"/>
      <c r="X145" s="2054"/>
      <c r="Y145" s="2211"/>
      <c r="Z145" s="2057"/>
      <c r="AA145" s="2060"/>
      <c r="AB145" s="2057"/>
      <c r="AC145" s="2057"/>
      <c r="AD145" s="2057"/>
    </row>
    <row customHeight="1" ht="9">
      <c r="A146" s="2056"/>
      <c r="B146" s="2056"/>
      <c r="C146" s="2054"/>
      <c r="D146" s="2054"/>
      <c r="E146" s="2054"/>
      <c r="F146" s="2054"/>
      <c r="G146" s="2054"/>
      <c r="H146" s="2102"/>
      <c r="I146" s="2102"/>
      <c r="J146" s="2102"/>
      <c r="K146" s="2102"/>
      <c r="L146" s="2102"/>
      <c r="M146" s="2054"/>
      <c r="N146" s="2101"/>
      <c r="O146" s="2054"/>
      <c r="P146" s="2054"/>
      <c r="Q146" s="2054"/>
      <c r="R146" s="2054"/>
      <c r="S146" s="2054"/>
      <c r="T146" s="2054"/>
      <c r="U146" s="2054"/>
      <c r="V146" s="2054"/>
      <c r="W146" s="2054"/>
      <c r="X146" s="2054"/>
      <c r="Y146" s="2211"/>
      <c r="Z146" s="2057"/>
      <c r="AA146" s="2060"/>
      <c r="AB146" s="2057"/>
      <c r="AC146" s="2057"/>
      <c r="AD146" s="2057"/>
    </row>
    <row customHeight="1" ht="9">
      <c r="A147" s="2056"/>
      <c r="B147" s="2056"/>
      <c r="C147" s="2056"/>
      <c r="D147" s="2056"/>
      <c r="E147" s="2056"/>
      <c r="F147" s="2056"/>
      <c r="G147" s="2056"/>
      <c r="H147" s="2056"/>
      <c r="I147" s="2056"/>
      <c r="J147" s="2056"/>
      <c r="K147" s="2056"/>
      <c r="L147" s="2056"/>
      <c r="M147" s="2056"/>
      <c r="N147" s="2056"/>
      <c r="O147" s="2056"/>
      <c r="P147" s="2056"/>
      <c r="Q147" s="2056"/>
      <c r="R147" s="2056"/>
      <c r="S147" s="2056"/>
      <c r="T147" s="2056"/>
      <c r="U147" s="2056"/>
      <c r="V147" s="2056"/>
      <c r="W147" s="2056"/>
      <c r="X147" s="2056"/>
      <c r="Y147" s="2056"/>
      <c r="Z147" s="2056"/>
      <c r="AA147" s="2056"/>
      <c r="AB147" s="2056"/>
      <c r="AC147" s="2056"/>
      <c r="AD147" s="2056"/>
    </row>
    <row customHeight="1" ht="90">
      <c r="A148" s="2056" t="s">
        <v>1854</v>
      </c>
      <c r="B148" s="2056"/>
      <c r="C148" s="2054" t="s">
        <v>2395</v>
      </c>
      <c r="D148" s="2054" t="s">
        <v>1756</v>
      </c>
      <c r="E148" s="2054" t="s">
        <v>1856</v>
      </c>
      <c r="F148" s="2054" t="s">
        <v>2396</v>
      </c>
      <c r="G148" s="2054"/>
      <c r="H148" s="2054"/>
      <c r="I148" s="2174"/>
      <c r="J148" s="2174"/>
      <c r="K148" s="2174"/>
      <c r="L148" s="2174"/>
      <c r="M148" s="210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2059"/>
      <c r="O148" s="2054"/>
      <c r="P148" s="2055"/>
      <c r="Q148" s="2055"/>
      <c r="R148" s="2055"/>
      <c r="S148" s="2054"/>
      <c r="T148" s="2054" t="s">
        <v>2397</v>
      </c>
      <c r="U148" s="205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2055"/>
      <c r="W148" s="2055"/>
      <c r="X148" s="2054" t="s">
        <v>2398</v>
      </c>
      <c r="Y148" s="2211"/>
      <c r="Z148" s="2057"/>
      <c r="AA148" s="2060"/>
      <c r="AB148" s="2057"/>
      <c r="AC148" s="2057"/>
      <c r="AD148" s="2057"/>
    </row>
    <row customHeight="1" ht="9">
      <c r="A149" s="2056"/>
      <c r="B149" s="2056"/>
      <c r="C149" s="2056"/>
      <c r="D149" s="2056"/>
      <c r="E149" s="2056"/>
      <c r="F149" s="2056"/>
      <c r="G149" s="2056"/>
      <c r="H149" s="2056"/>
      <c r="I149" s="2056"/>
      <c r="J149" s="2056"/>
      <c r="K149" s="2056"/>
      <c r="L149" s="2056"/>
      <c r="M149" s="2056"/>
      <c r="N149" s="2056"/>
      <c r="O149" s="2056"/>
      <c r="P149" s="2056"/>
      <c r="Q149" s="2056"/>
      <c r="R149" s="2056"/>
      <c r="S149" s="2056"/>
      <c r="T149" s="2056"/>
      <c r="U149" s="2056"/>
      <c r="V149" s="2056"/>
      <c r="W149" s="2056"/>
      <c r="X149" s="2056"/>
      <c r="Y149" s="2056"/>
      <c r="Z149" s="2056"/>
      <c r="AA149" s="2056"/>
      <c r="AB149" s="2056"/>
      <c r="AC149" s="2056"/>
      <c r="AD149" s="2056"/>
    </row>
    <row customHeight="1" ht="9">
      <c r="A150" s="2056" t="s">
        <v>1858</v>
      </c>
      <c r="B150" s="2056"/>
      <c r="C150" s="2054"/>
      <c r="D150" s="2054"/>
      <c r="E150" s="2054"/>
      <c r="F150" s="2054"/>
      <c r="G150" s="2054"/>
      <c r="H150" s="2054"/>
      <c r="I150" s="2054"/>
      <c r="J150" s="2054"/>
      <c r="K150" s="2054"/>
      <c r="L150" s="2054"/>
      <c r="M150" s="2054"/>
      <c r="N150" s="2054"/>
      <c r="O150" s="2054"/>
      <c r="P150" s="2054"/>
      <c r="Q150" s="2054"/>
      <c r="R150" s="2054"/>
      <c r="S150" s="2054"/>
      <c r="T150" s="2054"/>
      <c r="U150" s="2054"/>
      <c r="V150" s="2054"/>
      <c r="W150" s="2054"/>
      <c r="X150" s="2054"/>
      <c r="Y150" s="2211"/>
      <c r="Z150" s="2057"/>
      <c r="AA150" s="2060"/>
      <c r="AB150" s="2057"/>
      <c r="AC150" s="2057"/>
      <c r="AD150" s="2057"/>
    </row>
    <row customHeight="1" ht="9">
      <c r="A151" s="2056"/>
      <c r="B151" s="2056"/>
      <c r="C151" s="2056"/>
      <c r="D151" s="2056"/>
      <c r="E151" s="2056"/>
      <c r="F151" s="2056"/>
      <c r="G151" s="2056"/>
      <c r="H151" s="2056"/>
      <c r="I151" s="2056"/>
      <c r="J151" s="2056"/>
      <c r="K151" s="2056"/>
      <c r="L151" s="2056"/>
      <c r="M151" s="2056"/>
      <c r="N151" s="2056"/>
      <c r="O151" s="2056"/>
      <c r="P151" s="2056"/>
      <c r="Q151" s="2056"/>
      <c r="R151" s="2056"/>
      <c r="S151" s="2056"/>
      <c r="T151" s="2056"/>
      <c r="U151" s="2056"/>
      <c r="V151" s="2056"/>
      <c r="W151" s="2056"/>
      <c r="X151" s="2056"/>
      <c r="Y151" s="2056"/>
      <c r="Z151" s="2056"/>
      <c r="AA151" s="2056"/>
      <c r="AB151" s="2056"/>
      <c r="AC151" s="2056"/>
      <c r="AD151" s="2056"/>
    </row>
    <row customHeight="1" ht="9">
      <c r="A152" s="2056" t="s">
        <v>1861</v>
      </c>
      <c r="B152" s="2056"/>
      <c r="C152" s="2054"/>
      <c r="D152" s="2054"/>
      <c r="E152" s="2054"/>
      <c r="F152" s="2054"/>
      <c r="G152" s="2054"/>
      <c r="H152" s="2054"/>
      <c r="I152" s="2054"/>
      <c r="J152" s="2054"/>
      <c r="K152" s="2054"/>
      <c r="L152" s="2054"/>
      <c r="M152" s="2054"/>
      <c r="N152" s="2054"/>
      <c r="O152" s="2054"/>
      <c r="P152" s="2054"/>
      <c r="Q152" s="2054"/>
      <c r="R152" s="2054"/>
      <c r="S152" s="2054"/>
      <c r="T152" s="2054"/>
      <c r="U152" s="2054"/>
      <c r="V152" s="2054"/>
      <c r="W152" s="2054"/>
      <c r="X152" s="2054"/>
      <c r="Y152" s="2211"/>
      <c r="Z152" s="2057"/>
      <c r="AA152" s="2060"/>
      <c r="AB152" s="2057"/>
      <c r="AC152" s="2057"/>
      <c r="AD152" s="2057"/>
    </row>
    <row customHeight="1" ht="9">
      <c r="A153" s="2056"/>
      <c r="B153" s="2056"/>
      <c r="C153" s="2056"/>
      <c r="D153" s="2056"/>
      <c r="E153" s="2056"/>
      <c r="F153" s="2056"/>
      <c r="G153" s="2056"/>
      <c r="H153" s="2056"/>
      <c r="I153" s="2056"/>
      <c r="J153" s="2056"/>
      <c r="K153" s="2056"/>
      <c r="L153" s="2056"/>
      <c r="M153" s="2056"/>
      <c r="N153" s="2056"/>
      <c r="O153" s="2056"/>
      <c r="P153" s="2056"/>
      <c r="Q153" s="2056"/>
      <c r="R153" s="2056"/>
      <c r="S153" s="2056"/>
      <c r="T153" s="2056"/>
      <c r="U153" s="2056"/>
      <c r="V153" s="2056"/>
      <c r="W153" s="2056"/>
      <c r="X153" s="2056"/>
      <c r="Y153" s="2056"/>
      <c r="Z153" s="2056"/>
      <c r="AA153" s="2056"/>
      <c r="AB153" s="2056"/>
      <c r="AC153" s="2056"/>
      <c r="AD153" s="2056"/>
    </row>
    <row customHeight="1" ht="9">
      <c r="A154" s="2056" t="s">
        <v>1866</v>
      </c>
      <c r="B154" s="2056"/>
      <c r="C154" s="2054"/>
      <c r="D154" s="2054"/>
      <c r="E154" s="2054"/>
      <c r="F154" s="2054"/>
      <c r="G154" s="2054"/>
      <c r="H154" s="2054"/>
      <c r="I154" s="2054"/>
      <c r="J154" s="2054"/>
      <c r="K154" s="2054"/>
      <c r="L154" s="2054"/>
      <c r="M154" s="2054"/>
      <c r="N154" s="2054"/>
      <c r="O154" s="2054"/>
      <c r="P154" s="2054"/>
      <c r="Q154" s="2054"/>
      <c r="R154" s="2054"/>
      <c r="S154" s="2054"/>
      <c r="T154" s="2054"/>
      <c r="U154" s="2054"/>
      <c r="V154" s="2054"/>
      <c r="W154" s="2054"/>
      <c r="X154" s="2054"/>
      <c r="Y154" s="2211"/>
      <c r="Z154" s="2057"/>
      <c r="AA154" s="2060"/>
      <c r="AB154" s="2057"/>
      <c r="AC154" s="2057"/>
      <c r="AD154" s="205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ABDE4-E5FF-25A4-8D67-9B60459C647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66852" width="10.57421875" hidden="1"/>
    <col min="2" max="2" style="66852" width="11.00390625" hidden="1" customWidth="1"/>
    <col min="3" max="3" style="66852" width="10.57421875" hidden="1"/>
    <col min="4" max="4" style="66852" width="11.8515625" hidden="1" customWidth="1"/>
    <col min="5" max="5" style="66852" width="12.28125" hidden="1" customWidth="1"/>
    <col min="6" max="8" style="65490" width="12.28125" hidden="1" customWidth="1"/>
    <col min="9" max="9" style="67462" width="3.00390625" customWidth="1"/>
    <col min="10" max="11" style="66873" width="3.00390625" customWidth="1"/>
    <col min="12" max="12" style="67434" width="12.00390625" customWidth="1"/>
    <col min="13" max="13" style="66903" width="31.00390625" customWidth="1"/>
    <col min="14" max="14" style="66903" width="1.00390625" customWidth="1"/>
    <col min="15" max="18" style="66903" width="24.00390625" customWidth="1"/>
    <col min="19" max="19" style="66903" width="11.00390625" customWidth="1"/>
    <col min="20" max="20" style="66903" width="3.7109375" customWidth="1"/>
    <col min="21" max="21" style="66903" width="11.00390625" customWidth="1"/>
    <col min="22" max="22" style="66903" width="8.57421875" customWidth="1"/>
    <col min="23" max="23" style="66903" width="4.00390625" customWidth="1"/>
    <col min="24" max="24" style="66903" width="115.00390625" customWidth="1"/>
    <col min="25" max="29" style="65923" width="10.00390625" customWidth="1"/>
    <col min="30" max="30" style="66903" width="10.57421875" hidden="1"/>
  </cols>
  <sheetData>
    <row customHeight="1" ht="22.5" hidden="1">
      <c r="R1" s="1538"/>
      <c r="S1" s="1538"/>
      <c r="AD1" s="2366" t="s">
        <v>14</v>
      </c>
    </row>
    <row customHeight="1" ht="14.25" hidden="1">
      <c r="V2" s="1538"/>
      <c r="AD2" s="2366">
        <v>0</v>
      </c>
    </row>
    <row customHeight="1" ht="14.25" hidden="1">
      <c r="AD3" s="2366">
        <v>0</v>
      </c>
    </row>
    <row customHeight="1" ht="14.699999999999998">
      <c r="J4" s="1587"/>
      <c r="K4" s="1587"/>
      <c r="L4" s="2486"/>
      <c r="M4" s="1574"/>
      <c r="N4" s="1574"/>
      <c r="O4" s="1720"/>
      <c r="P4" s="1720"/>
      <c r="Q4" s="1720"/>
      <c r="R4" s="1720"/>
      <c r="S4" s="1720"/>
      <c r="T4" s="1720"/>
      <c r="U4" s="1720"/>
      <c r="V4" s="1720"/>
      <c r="AD4" s="2366">
        <v>14</v>
      </c>
    </row>
    <row customHeight="1" ht="67.2">
      <c r="J5" s="1587"/>
      <c r="K5" s="1587"/>
      <c r="L5" s="3814" t="s">
        <v>2399</v>
      </c>
      <c r="M5" s="3814"/>
      <c r="N5" s="3814"/>
      <c r="O5" s="3814"/>
      <c r="P5" s="3814"/>
      <c r="Q5" s="3814"/>
      <c r="R5" s="3814"/>
      <c r="S5" s="3814"/>
      <c r="T5" s="3814"/>
      <c r="U5" s="3814"/>
      <c r="V5" s="2454"/>
      <c r="AD5" s="2366">
        <v>64</v>
      </c>
    </row>
    <row customHeight="1" ht="14.699999999999998">
      <c r="J6" s="1587"/>
      <c r="K6" s="1587"/>
      <c r="L6" s="3815" t="str">
        <f>IF(org=0,"Не определено",org)</f>
        <v>ПАО "ТГК-2"</v>
      </c>
      <c r="M6" s="3815"/>
      <c r="N6" s="3815"/>
      <c r="O6" s="3815"/>
      <c r="P6" s="3815"/>
      <c r="Q6" s="3815"/>
      <c r="R6" s="3815"/>
      <c r="S6" s="3815"/>
      <c r="T6" s="3815"/>
      <c r="U6" s="3815"/>
      <c r="V6" s="2454"/>
      <c r="AD6" s="2366">
        <v>14</v>
      </c>
    </row>
    <row customHeight="1" ht="14.699999999999998">
      <c r="J7" s="1587"/>
      <c r="K7" s="1587"/>
      <c r="L7" s="2486"/>
      <c r="M7" s="1574"/>
      <c r="N7" s="1574"/>
      <c r="O7" s="1533"/>
      <c r="P7" s="1533"/>
      <c r="Q7" s="1533"/>
      <c r="R7" s="1533"/>
      <c r="S7" s="1533"/>
      <c r="T7" s="1533"/>
      <c r="U7" s="1533"/>
      <c r="V7" s="1533"/>
      <c r="W7" s="1720"/>
      <c r="AD7" s="2366">
        <v>14</v>
      </c>
    </row>
    <row s="67333" customFormat="1" customHeight="1" ht="48.29999999999999">
      <c r="A8" s="2579"/>
      <c r="B8" s="2579"/>
      <c r="C8" s="2579"/>
      <c r="D8" s="2579"/>
      <c r="E8" s="2579"/>
      <c r="F8" s="2579"/>
      <c r="G8" s="2579"/>
      <c r="H8" s="2579"/>
      <c r="L8" s="2487"/>
      <c r="M8" s="1506" t="s">
        <v>41</v>
      </c>
      <c r="N8" s="1515"/>
      <c r="O8" s="3462" t="str">
        <f>IF(TITLE_NAME_OR_PR_CHANGE="",IF(TITLE_NAME_OR_PR="","",TITLE_NAME_OR_PR),TITLE_NAME_OR_PR_CHANGE)</f>
        <v/>
      </c>
      <c r="P8" s="3462"/>
      <c r="Q8" s="3462"/>
      <c r="R8" s="3462"/>
      <c r="S8" s="3462"/>
      <c r="T8" s="3462"/>
      <c r="U8" s="3462"/>
      <c r="V8" s="1537"/>
      <c r="W8" s="1537"/>
      <c r="X8" s="1491"/>
      <c r="Y8" s="1579"/>
      <c r="Z8" s="1579"/>
      <c r="AA8" s="1579"/>
      <c r="AB8" s="1579"/>
      <c r="AC8" s="1579"/>
      <c r="AD8" s="1629">
        <v>46</v>
      </c>
    </row>
    <row s="67333" customFormat="1" customHeight="1" ht="24">
      <c r="A9" s="2579"/>
      <c r="B9" s="2579"/>
      <c r="C9" s="2579"/>
      <c r="D9" s="2579"/>
      <c r="E9" s="2579"/>
      <c r="F9" s="2579"/>
      <c r="G9" s="2579"/>
      <c r="H9" s="2579"/>
      <c r="L9" s="2487"/>
      <c r="M9" s="1506" t="s">
        <v>441</v>
      </c>
      <c r="N9" s="1515"/>
      <c r="O9" s="3462" t="str">
        <f>IF(TITLE_DATE_CHANGE_PERIOD="",IF(TITLE_DATE_PR="","",TITLE_DATE_PR),TITLE_DATE_CHANGE_PERIOD)</f>
        <v/>
      </c>
      <c r="P9" s="3462"/>
      <c r="Q9" s="3462"/>
      <c r="R9" s="3462"/>
      <c r="S9" s="3462"/>
      <c r="T9" s="3462"/>
      <c r="U9" s="3462"/>
      <c r="V9" s="1537"/>
      <c r="W9" s="1537"/>
      <c r="X9" s="1491"/>
      <c r="Y9" s="1579"/>
      <c r="Z9" s="1579"/>
      <c r="AA9" s="1579"/>
      <c r="AB9" s="1579"/>
      <c r="AC9" s="1579"/>
      <c r="AD9" s="1629">
        <v>23</v>
      </c>
    </row>
    <row s="67333" customFormat="1" customHeight="1" ht="24">
      <c r="A10" s="2579"/>
      <c r="B10" s="2579"/>
      <c r="C10" s="2579"/>
      <c r="D10" s="2579"/>
      <c r="E10" s="2579"/>
      <c r="F10" s="2579"/>
      <c r="G10" s="2579"/>
      <c r="H10" s="2579"/>
      <c r="L10" s="2461"/>
      <c r="M10" s="1506" t="s">
        <v>442</v>
      </c>
      <c r="N10" s="1515"/>
      <c r="O10" s="3462" t="str">
        <f>IF(TITLE_NUMBER_PR_CHANGE="",IF(TITLE_NUMBER_PR="","",TITLE_NUMBER_PR),TITLE_NUMBER_PR_CHANGE)</f>
        <v/>
      </c>
      <c r="P10" s="3462"/>
      <c r="Q10" s="3462"/>
      <c r="R10" s="3462"/>
      <c r="S10" s="3462"/>
      <c r="T10" s="3462"/>
      <c r="U10" s="3462"/>
      <c r="V10" s="1537"/>
      <c r="W10" s="1537"/>
      <c r="X10" s="1491"/>
      <c r="Y10" s="1579"/>
      <c r="Z10" s="1579"/>
      <c r="AA10" s="1579"/>
      <c r="AB10" s="1579"/>
      <c r="AC10" s="1579"/>
      <c r="AD10" s="1629">
        <v>23</v>
      </c>
    </row>
    <row s="67333" customFormat="1" customHeight="1" ht="24">
      <c r="A11" s="2579"/>
      <c r="B11" s="2579"/>
      <c r="C11" s="2579"/>
      <c r="D11" s="2579"/>
      <c r="E11" s="2579"/>
      <c r="F11" s="2579"/>
      <c r="G11" s="2579"/>
      <c r="H11" s="2579"/>
      <c r="L11" s="2461"/>
      <c r="M11" s="1506" t="s">
        <v>42</v>
      </c>
      <c r="N11" s="1515"/>
      <c r="O11" s="3462" t="str">
        <f>IF(TITLE_IST_PUB_CHANGE="",IF(TITLE_IST_PUB="","",TITLE_IST_PUB),TITLE_IST_PUB_CHANGE)</f>
        <v/>
      </c>
      <c r="P11" s="3462"/>
      <c r="Q11" s="3462"/>
      <c r="R11" s="3462"/>
      <c r="S11" s="3462"/>
      <c r="T11" s="3462"/>
      <c r="U11" s="3462"/>
      <c r="V11" s="1537"/>
      <c r="W11" s="1537"/>
      <c r="X11" s="1491"/>
      <c r="Y11" s="1579"/>
      <c r="Z11" s="1579"/>
      <c r="AA11" s="1579"/>
      <c r="AB11" s="1579"/>
      <c r="AC11" s="1579"/>
      <c r="AD11" s="1629">
        <v>23</v>
      </c>
    </row>
    <row s="67333" customFormat="1" customHeight="1" ht="11.25" hidden="1">
      <c r="A12" s="2579"/>
      <c r="B12" s="2579"/>
      <c r="C12" s="2579"/>
      <c r="D12" s="2579"/>
      <c r="E12" s="2579"/>
      <c r="F12" s="2579"/>
      <c r="G12" s="2579"/>
      <c r="H12" s="2579"/>
      <c r="L12" s="3816"/>
      <c r="M12" s="3816"/>
      <c r="N12" s="2498"/>
      <c r="O12" s="1537"/>
      <c r="P12" s="1537"/>
      <c r="Q12" s="1537"/>
      <c r="R12" s="1537"/>
      <c r="S12" s="1537"/>
      <c r="T12" s="1537"/>
      <c r="U12" s="1537"/>
      <c r="V12" s="1489" t="s">
        <v>445</v>
      </c>
      <c r="Y12" s="1579"/>
      <c r="Z12" s="1579"/>
      <c r="AA12" s="1579"/>
      <c r="AB12" s="1579"/>
      <c r="AC12" s="1579"/>
      <c r="AD12" s="1629">
        <v>0</v>
      </c>
    </row>
    <row customHeight="1" ht="14.699999999999998">
      <c r="J13" s="1587"/>
      <c r="K13" s="1587"/>
      <c r="L13" s="2486"/>
      <c r="M13" s="1574"/>
      <c r="N13" s="2455"/>
      <c r="O13" s="3463"/>
      <c r="P13" s="3463"/>
      <c r="Q13" s="3463"/>
      <c r="R13" s="3463"/>
      <c r="S13" s="3463"/>
      <c r="T13" s="3463"/>
      <c r="U13" s="3463"/>
      <c r="V13" s="3463"/>
      <c r="AD13" s="2366">
        <v>14</v>
      </c>
    </row>
    <row customHeight="1" ht="14.699999999999998">
      <c r="J14" s="1587"/>
      <c r="K14" s="1587"/>
      <c r="L14" s="3338" t="s">
        <v>318</v>
      </c>
      <c r="M14" s="3338"/>
      <c r="N14" s="3338"/>
      <c r="O14" s="3338"/>
      <c r="P14" s="3338"/>
      <c r="Q14" s="3338"/>
      <c r="R14" s="3338"/>
      <c r="S14" s="3338"/>
      <c r="T14" s="3338"/>
      <c r="U14" s="3338"/>
      <c r="V14" s="3338"/>
      <c r="W14" s="3338"/>
      <c r="X14" s="3338" t="s">
        <v>319</v>
      </c>
      <c r="AD14" s="2366">
        <v>14</v>
      </c>
    </row>
    <row customHeight="1" ht="14.699999999999998">
      <c r="J15" s="1587"/>
      <c r="K15" s="1587"/>
      <c r="L15" s="3484" t="s">
        <v>88</v>
      </c>
      <c r="M15" s="3420" t="s">
        <v>446</v>
      </c>
      <c r="N15" s="1512"/>
      <c r="O15" s="3485" t="s">
        <v>2400</v>
      </c>
      <c r="P15" s="3486"/>
      <c r="Q15" s="3486"/>
      <c r="R15" s="3486"/>
      <c r="S15" s="3486"/>
      <c r="T15" s="3486"/>
      <c r="U15" s="3487"/>
      <c r="V15" s="3488" t="s">
        <v>448</v>
      </c>
      <c r="W15" s="3491" t="s">
        <v>1355</v>
      </c>
      <c r="X15" s="3338"/>
      <c r="AD15" s="2366">
        <v>14</v>
      </c>
    </row>
    <row customHeight="1" ht="35.699999999999996">
      <c r="J16" s="1587"/>
      <c r="K16" s="1587"/>
      <c r="L16" s="3484"/>
      <c r="M16" s="3420"/>
      <c r="N16" s="2242"/>
      <c r="O16" s="3471" t="s">
        <v>451</v>
      </c>
      <c r="P16" s="3471" t="s">
        <v>452</v>
      </c>
      <c r="Q16" s="3473" t="s">
        <v>453</v>
      </c>
      <c r="R16" s="3474"/>
      <c r="S16" s="3473" t="s">
        <v>467</v>
      </c>
      <c r="T16" s="3480"/>
      <c r="U16" s="3474"/>
      <c r="V16" s="3489"/>
      <c r="W16" s="3492"/>
      <c r="X16" s="3338"/>
      <c r="AD16" s="2366">
        <v>34</v>
      </c>
    </row>
    <row customHeight="1" ht="35.699999999999996">
      <c r="A17" s="2581" t="s">
        <v>154</v>
      </c>
      <c r="B17" s="2581" t="s">
        <v>155</v>
      </c>
      <c r="C17" s="2581" t="s">
        <v>156</v>
      </c>
      <c r="D17" s="2581" t="s">
        <v>157</v>
      </c>
      <c r="E17" s="2581"/>
      <c r="J17" s="1587"/>
      <c r="K17" s="1587"/>
      <c r="L17" s="3484"/>
      <c r="M17" s="3420"/>
      <c r="N17" s="1513"/>
      <c r="O17" s="3472"/>
      <c r="P17" s="3472"/>
      <c r="Q17" s="2433" t="s">
        <v>462</v>
      </c>
      <c r="R17" s="2433" t="s">
        <v>463</v>
      </c>
      <c r="S17" s="2503" t="s">
        <v>464</v>
      </c>
      <c r="T17" s="3481" t="s">
        <v>465</v>
      </c>
      <c r="U17" s="3482"/>
      <c r="V17" s="3490"/>
      <c r="W17" s="3493"/>
      <c r="X17" s="3338"/>
      <c r="AD17" s="2366">
        <v>34</v>
      </c>
    </row>
    <row s="65897" customFormat="1" customHeight="1" ht="11.549999999999999">
      <c r="A18" s="2581"/>
      <c r="B18" s="2581"/>
      <c r="C18" s="2581"/>
      <c r="D18" s="2581"/>
      <c r="E18" s="2581"/>
      <c r="F18" s="2573"/>
      <c r="G18" s="2573"/>
      <c r="H18" s="2573"/>
      <c r="I18" s="2457"/>
      <c r="J18" s="2458"/>
      <c r="K18" s="2465">
        <v>1</v>
      </c>
      <c r="L18" s="2488" t="s">
        <v>99</v>
      </c>
      <c r="M18" s="2466" t="s">
        <v>102</v>
      </c>
      <c r="N18" s="2456" t="str">
        <f>OFFSET(N18,0,-1)</f>
        <v>2</v>
      </c>
      <c r="O18" s="2500">
        <f>OFFSET(O18,0,-1)+1</f>
        <v>3</v>
      </c>
      <c r="P18" s="2500"/>
      <c r="Q18" s="2500">
        <f>OFFSET(Q18,0,-1)+1</f>
        <v>1</v>
      </c>
      <c r="R18" s="2500">
        <f>OFFSET(R18,0,-1)+1</f>
        <v>2</v>
      </c>
      <c r="S18" s="2500">
        <f>OFFSET(S18,0,-1)+1</f>
        <v>3</v>
      </c>
      <c r="T18" s="3483">
        <f>OFFSET(T18,0,-1)+1</f>
        <v>4</v>
      </c>
      <c r="U18" s="3483"/>
      <c r="V18" s="2500">
        <f>OFFSET(V18,0,-2)+1</f>
        <v>5</v>
      </c>
      <c r="W18" s="2456">
        <f>OFFSET(W18,0,-1)</f>
        <v>5</v>
      </c>
      <c r="X18" s="2500">
        <f>OFFSET(X18,0,-1)+1</f>
        <v>6</v>
      </c>
      <c r="Y18" s="1722"/>
      <c r="Z18" s="1722"/>
      <c r="AA18" s="1722"/>
      <c r="AB18" s="1722"/>
      <c r="AC18" s="1722"/>
      <c r="AD18" s="1707">
        <v>11</v>
      </c>
    </row>
    <row customHeight="1" ht="21">
      <c r="A19" s="2574" t="s">
        <v>188</v>
      </c>
      <c r="B19" s="2574" t="s">
        <v>189</v>
      </c>
      <c r="C19" s="2574" t="s">
        <v>190</v>
      </c>
      <c r="D19" s="2574" t="s">
        <v>191</v>
      </c>
      <c r="E19" s="2574"/>
      <c r="F19" s="2576"/>
      <c r="G19" s="2576"/>
      <c r="H19" s="2576"/>
      <c r="I19" s="1572"/>
      <c r="J19" s="1571"/>
      <c r="K19" s="1566"/>
      <c r="L19" s="2504">
        <f>INDEX(PT_DIFFERENTIATION_NUM_NTAR,MATCH(A19,PT_DIFFERENTIATION_NTAR_ID,0))</f>
        <v>0</v>
      </c>
      <c r="M19" s="1509" t="s">
        <v>143</v>
      </c>
      <c r="N19" s="1511"/>
      <c r="O19" s="3817" t="str">
        <f>INDEX(PT_DIFFERENTIATION_NTAR,MATCH(A19,PT_DIFFERENTIATION_NTAR_ID,0))</f>
        <v/>
      </c>
      <c r="P19" s="3817"/>
      <c r="Q19" s="3817"/>
      <c r="R19" s="3817"/>
      <c r="S19" s="3817"/>
      <c r="T19" s="3817"/>
      <c r="U19" s="3817"/>
      <c r="V19" s="3817"/>
      <c r="W19" s="3817"/>
      <c r="X19" s="2469" t="s">
        <v>414</v>
      </c>
      <c r="Z19" s="1711"/>
      <c r="AA19" s="1711" t="str">
        <f>IF(M19="","",M19)</f>
        <v>Наименование тарифа</v>
      </c>
      <c r="AB19" s="1711"/>
      <c r="AC19" s="1711"/>
      <c r="AD19" s="2366">
        <v>20</v>
      </c>
    </row>
    <row customHeight="1" ht="21">
      <c r="A20" s="2574" t="s">
        <v>188</v>
      </c>
      <c r="B20" s="2574" t="s">
        <v>189</v>
      </c>
      <c r="C20" s="2574" t="s">
        <v>190</v>
      </c>
      <c r="D20" s="2574" t="s">
        <v>191</v>
      </c>
      <c r="E20" s="2574"/>
      <c r="F20" s="2576"/>
      <c r="G20" s="2576"/>
      <c r="H20" s="2576"/>
      <c r="I20" s="2501"/>
      <c r="J20" s="1563"/>
      <c r="K20" s="1564"/>
      <c r="L20" s="2504" t="str">
        <f>INDEX(PT_DIFFERENTIATION_NUM_TER,MATCH(B19,PT_DIFFERENTIATION_TER_ID,0))</f>
        <v>.</v>
      </c>
      <c r="M20" s="1519" t="s">
        <v>415</v>
      </c>
      <c r="N20" s="1511"/>
      <c r="O20" s="3817" t="str">
        <f>INDEX(PT_DIFFERENTIATION_TER,MATCH(B19,PT_DIFFERENTIATION_TER_ID,0))</f>
        <v/>
      </c>
      <c r="P20" s="3817"/>
      <c r="Q20" s="3817"/>
      <c r="R20" s="3817"/>
      <c r="S20" s="3817"/>
      <c r="T20" s="3817"/>
      <c r="U20" s="3817"/>
      <c r="V20" s="3817"/>
      <c r="W20" s="3817"/>
      <c r="X20" s="2469" t="s">
        <v>416</v>
      </c>
      <c r="Z20" s="1711"/>
      <c r="AA20" s="1711" t="str">
        <f>IF(M20="","",M20)</f>
        <v>Территория действия тарифа</v>
      </c>
      <c r="AB20" s="1711"/>
      <c r="AC20" s="1711"/>
      <c r="AD20" s="2366">
        <v>20</v>
      </c>
    </row>
    <row customHeight="1" ht="24">
      <c r="A21" s="2574" t="s">
        <v>188</v>
      </c>
      <c r="B21" s="2574" t="s">
        <v>189</v>
      </c>
      <c r="C21" s="2574" t="s">
        <v>190</v>
      </c>
      <c r="D21" s="2574" t="s">
        <v>191</v>
      </c>
      <c r="E21" s="2574"/>
      <c r="F21" s="2576"/>
      <c r="G21" s="2576"/>
      <c r="H21" s="2576"/>
      <c r="I21" s="1565"/>
      <c r="J21" s="1563"/>
      <c r="K21" s="1564"/>
      <c r="L21" s="2504" t="str">
        <f>INDEX(PT_DIFFERENTIATION_NUM_CS,MATCH(C19,PT_DIFFERENTIATION_CS_ID,0))</f>
        <v>..</v>
      </c>
      <c r="M21" s="1520" t="s">
        <v>417</v>
      </c>
      <c r="N21" s="1511"/>
      <c r="O21" s="3817" t="str">
        <f>INDEX(PT_DIFFERENTIATION_CS,MATCH(C19,PT_DIFFERENTIATION_CS_ID,0))</f>
        <v/>
      </c>
      <c r="P21" s="3817"/>
      <c r="Q21" s="3817"/>
      <c r="R21" s="3817"/>
      <c r="S21" s="3817"/>
      <c r="T21" s="3817"/>
      <c r="U21" s="3817"/>
      <c r="V21" s="3817"/>
      <c r="W21" s="3817"/>
      <c r="X21" s="2469" t="s">
        <v>418</v>
      </c>
      <c r="Z21" s="1711"/>
      <c r="AA21" s="1711" t="str">
        <f>IF(M21="","",M21)</f>
        <v>Наименование системы теплоснабжения </v>
      </c>
      <c r="AB21" s="1711"/>
      <c r="AC21" s="1711"/>
      <c r="AD21" s="2366">
        <v>23</v>
      </c>
    </row>
    <row customHeight="1" ht="21">
      <c r="A22" s="2574" t="s">
        <v>188</v>
      </c>
      <c r="B22" s="2574" t="s">
        <v>189</v>
      </c>
      <c r="C22" s="2574" t="s">
        <v>190</v>
      </c>
      <c r="D22" s="2574" t="s">
        <v>191</v>
      </c>
      <c r="E22" s="2574"/>
      <c r="F22" s="2576"/>
      <c r="G22" s="2576"/>
      <c r="H22" s="2576"/>
      <c r="I22" s="1565"/>
      <c r="J22" s="1563"/>
      <c r="K22" s="1564"/>
      <c r="L22" s="2504" t="str">
        <f>INDEX(PT_DIFFERENTIATION_NUM_IST_TE,MATCH(D19,PT_DIFFERENTIATION_IST_TE_ID,0))</f>
        <v>...</v>
      </c>
      <c r="M22" s="1521" t="s">
        <v>419</v>
      </c>
      <c r="N22" s="1511"/>
      <c r="O22" s="3817" t="str">
        <f>INDEX(PT_DIFFERENTIATION_IST_TE,MATCH(D19,PT_DIFFERENTIATION_IST_TE_ID,0))</f>
        <v/>
      </c>
      <c r="P22" s="3817"/>
      <c r="Q22" s="3817"/>
      <c r="R22" s="3817"/>
      <c r="S22" s="3817"/>
      <c r="T22" s="3817"/>
      <c r="U22" s="3817"/>
      <c r="V22" s="3817"/>
      <c r="W22" s="3817"/>
      <c r="X22" s="2469" t="s">
        <v>420</v>
      </c>
      <c r="Z22" s="1711"/>
      <c r="AA22" s="1711" t="str">
        <f>IF(M22="","",M22)</f>
        <v>Источник тепловой энергии  </v>
      </c>
      <c r="AB22" s="1711"/>
      <c r="AC22" s="1711"/>
      <c r="AD22" s="2366">
        <v>20</v>
      </c>
    </row>
    <row customHeight="1" ht="96.75">
      <c r="A23" s="2574" t="s">
        <v>188</v>
      </c>
      <c r="B23" s="2574" t="s">
        <v>189</v>
      </c>
      <c r="C23" s="2574" t="s">
        <v>190</v>
      </c>
      <c r="D23" s="2574" t="s">
        <v>191</v>
      </c>
      <c r="E23" s="2574"/>
      <c r="F23" s="3818" t="str">
        <f>L22&amp;".1"</f>
        <v>....1</v>
      </c>
      <c r="I23" s="3468">
        <v>1</v>
      </c>
      <c r="J23" s="2502"/>
      <c r="K23" s="1567"/>
      <c r="L23" s="2504" t="str">
        <f>$F$23</f>
        <v>....1</v>
      </c>
      <c r="M23" s="1496" t="s">
        <v>422</v>
      </c>
      <c r="N23" s="1511"/>
      <c r="O23" s="3516"/>
      <c r="P23" s="3516"/>
      <c r="Q23" s="3516"/>
      <c r="R23" s="3516"/>
      <c r="S23" s="3516"/>
      <c r="T23" s="3516"/>
      <c r="U23" s="3516"/>
      <c r="V23" s="3516"/>
      <c r="W23" s="3516"/>
      <c r="X23" s="2469" t="s">
        <v>423</v>
      </c>
      <c r="Z23" s="1711"/>
      <c r="AA23" s="1711" t="str">
        <f>IF(M23="","",M23)</f>
        <v>Схема подключения теплопотребляющей установки к коллектору источника тепловой энергии</v>
      </c>
      <c r="AB23" s="1711"/>
      <c r="AC23" s="1711"/>
      <c r="AD23" s="2366">
        <v>92</v>
      </c>
    </row>
    <row customHeight="1" ht="86.25">
      <c r="A24" s="2574" t="s">
        <v>188</v>
      </c>
      <c r="B24" s="2574" t="s">
        <v>189</v>
      </c>
      <c r="C24" s="2574" t="s">
        <v>190</v>
      </c>
      <c r="D24" s="2574" t="s">
        <v>191</v>
      </c>
      <c r="E24" s="2574"/>
      <c r="F24" s="3818"/>
      <c r="G24" s="3428" t="str">
        <f>F23&amp;".1"</f>
        <v>....1.1</v>
      </c>
      <c r="I24" s="3468"/>
      <c r="J24" s="3468">
        <v>1</v>
      </c>
      <c r="K24" s="1568"/>
      <c r="L24" s="2504" t="str">
        <f>$G$24</f>
        <v>....1.1</v>
      </c>
      <c r="M24" s="1497" t="s">
        <v>425</v>
      </c>
      <c r="N24" s="1511"/>
      <c r="O24" s="3456"/>
      <c r="P24" s="3457"/>
      <c r="Q24" s="3457"/>
      <c r="R24" s="3457"/>
      <c r="S24" s="3457"/>
      <c r="T24" s="3457"/>
      <c r="U24" s="3457"/>
      <c r="V24" s="3457"/>
      <c r="W24" s="3458"/>
      <c r="X24" s="2469" t="s">
        <v>426</v>
      </c>
      <c r="Z24" s="1711"/>
      <c r="AA24" s="1711" t="str">
        <f>IF(M24="","",M24)</f>
        <v>Группа потребителей</v>
      </c>
      <c r="AB24" s="1711"/>
      <c r="AC24" s="1711"/>
      <c r="AD24" s="2366">
        <v>82</v>
      </c>
    </row>
    <row customHeight="1" ht="11.549999999999999">
      <c r="A25" s="2574" t="s">
        <v>188</v>
      </c>
      <c r="B25" s="2574" t="s">
        <v>189</v>
      </c>
      <c r="C25" s="2574" t="s">
        <v>190</v>
      </c>
      <c r="D25" s="2574" t="s">
        <v>191</v>
      </c>
      <c r="E25" s="2574"/>
      <c r="F25" s="3818"/>
      <c r="G25" s="3428"/>
      <c r="H25" s="3428" t="str">
        <f>G24&amp;".1"</f>
        <v>....1.1.1</v>
      </c>
      <c r="I25" s="3468"/>
      <c r="J25" s="3468"/>
      <c r="K25" s="1568">
        <v>1</v>
      </c>
      <c r="L25" s="2504" t="str">
        <f>$H$25</f>
        <v>....1.1.1</v>
      </c>
      <c r="M25" s="2558"/>
      <c r="N25" s="1511"/>
      <c r="O25" s="1962"/>
      <c r="P25" s="1536"/>
      <c r="Q25" s="1962"/>
      <c r="R25" s="2468"/>
      <c r="S25" s="3813"/>
      <c r="T25" s="3318" t="s">
        <v>62</v>
      </c>
      <c r="U25" s="3813"/>
      <c r="V25" s="3318" t="s">
        <v>19</v>
      </c>
      <c r="W25" s="1536"/>
      <c r="X25" s="3464" t="s">
        <v>428</v>
      </c>
      <c r="Y25" s="1722">
        <f>STRCHECKDATE(O26:W26)</f>
      </c>
      <c r="Z25" s="1711"/>
      <c r="AA25" s="1711" t="str">
        <f>IF(M25="","",M25)</f>
        <v/>
      </c>
      <c r="AB25" s="1711"/>
      <c r="AC25" s="1711"/>
      <c r="AD25" s="2366">
        <v>11</v>
      </c>
    </row>
    <row customHeight="1" ht="11.549999999999999">
      <c r="A26" s="2574" t="s">
        <v>188</v>
      </c>
      <c r="B26" s="2574" t="s">
        <v>189</v>
      </c>
      <c r="C26" s="2574" t="s">
        <v>190</v>
      </c>
      <c r="D26" s="2574" t="s">
        <v>191</v>
      </c>
      <c r="E26" s="2574"/>
      <c r="F26" s="3818"/>
      <c r="G26" s="3428"/>
      <c r="H26" s="3428"/>
      <c r="I26" s="3468"/>
      <c r="J26" s="3468"/>
      <c r="K26" s="1568"/>
      <c r="L26" s="2505"/>
      <c r="M26" s="1511"/>
      <c r="N26" s="1511"/>
      <c r="O26" s="1536"/>
      <c r="P26" s="1536"/>
      <c r="Q26" s="1536"/>
      <c r="R26" s="1539" t="str">
        <f>S25&amp;"-"&amp;U25</f>
        <v>-</v>
      </c>
      <c r="S26" s="3477"/>
      <c r="T26" s="3318"/>
      <c r="U26" s="3477"/>
      <c r="V26" s="3318"/>
      <c r="W26" s="1536"/>
      <c r="X26" s="3465"/>
      <c r="Z26" s="1711"/>
      <c r="AA26" s="1711" t="str">
        <f>IF(M26="","",M26)</f>
        <v/>
      </c>
      <c r="AB26" s="1711"/>
      <c r="AC26" s="1711"/>
      <c r="AD26" s="2366">
        <v>11</v>
      </c>
    </row>
    <row customHeight="1" ht="15.75">
      <c r="A27" s="2574" t="s">
        <v>188</v>
      </c>
      <c r="B27" s="2574" t="s">
        <v>189</v>
      </c>
      <c r="C27" s="2574" t="s">
        <v>190</v>
      </c>
      <c r="D27" s="2574" t="s">
        <v>191</v>
      </c>
      <c r="E27" s="2574"/>
      <c r="F27" s="3818"/>
      <c r="G27" s="3428"/>
      <c r="I27" s="3468"/>
      <c r="J27" s="3468"/>
      <c r="K27" s="1567"/>
      <c r="L27" s="2489"/>
      <c r="M27" s="1499" t="s">
        <v>429</v>
      </c>
      <c r="N27" s="1578"/>
      <c r="O27" s="1578"/>
      <c r="P27" s="1578"/>
      <c r="Q27" s="1578"/>
      <c r="R27" s="1578"/>
      <c r="S27" s="1578"/>
      <c r="T27" s="1578"/>
      <c r="U27" s="1578"/>
      <c r="V27" s="1578"/>
      <c r="W27" s="1535"/>
      <c r="X27" s="3466"/>
      <c r="Z27" s="1711"/>
      <c r="AA27" s="1711" t="str">
        <f>IF(M27="","",M27)</f>
        <v>Добавить вид теплоносителя (параметры теплоносителя)</v>
      </c>
      <c r="AB27" s="1711"/>
      <c r="AC27" s="1711"/>
      <c r="AD27" s="2366">
        <v>15</v>
      </c>
    </row>
    <row customHeight="1" ht="15.75">
      <c r="A28" s="2574" t="s">
        <v>188</v>
      </c>
      <c r="B28" s="2574" t="s">
        <v>189</v>
      </c>
      <c r="C28" s="2574" t="s">
        <v>190</v>
      </c>
      <c r="D28" s="2574" t="s">
        <v>191</v>
      </c>
      <c r="E28" s="2574"/>
      <c r="F28" s="3818"/>
      <c r="I28" s="3468"/>
      <c r="J28" s="2502"/>
      <c r="K28" s="1567"/>
      <c r="L28" s="2489"/>
      <c r="M28" s="1498" t="s">
        <v>430</v>
      </c>
      <c r="N28" s="1578"/>
      <c r="O28" s="1578"/>
      <c r="P28" s="1578"/>
      <c r="Q28" s="1578"/>
      <c r="R28" s="1578"/>
      <c r="S28" s="1578"/>
      <c r="T28" s="1578"/>
      <c r="U28" s="1578"/>
      <c r="V28" s="1577"/>
      <c r="W28" s="1578"/>
      <c r="X28" s="1514"/>
      <c r="Z28" s="1711"/>
      <c r="AA28" s="1711" t="str">
        <f>IF(M28="","",M28)</f>
        <v>Добавить группу потребителей</v>
      </c>
      <c r="AB28" s="1711"/>
      <c r="AC28" s="1711"/>
      <c r="AD28" s="2366">
        <v>15</v>
      </c>
    </row>
    <row customHeight="1" ht="14.699999999999998">
      <c r="A29" s="2574" t="s">
        <v>188</v>
      </c>
      <c r="B29" s="2574" t="s">
        <v>189</v>
      </c>
      <c r="C29" s="2574" t="s">
        <v>190</v>
      </c>
      <c r="D29" s="2574" t="s">
        <v>191</v>
      </c>
      <c r="E29" s="2574"/>
      <c r="F29" s="2576"/>
      <c r="G29" s="2576"/>
      <c r="H29" s="1748"/>
      <c r="I29" s="1571"/>
      <c r="J29" s="1586"/>
      <c r="K29" s="1566"/>
      <c r="L29" s="2489"/>
      <c r="M29" s="1576" t="s">
        <v>431</v>
      </c>
      <c r="N29" s="1578"/>
      <c r="O29" s="1578"/>
      <c r="P29" s="1578"/>
      <c r="Q29" s="1578"/>
      <c r="R29" s="1578"/>
      <c r="S29" s="1578"/>
      <c r="T29" s="1578"/>
      <c r="U29" s="1578"/>
      <c r="V29" s="1577"/>
      <c r="W29" s="1578"/>
      <c r="X29" s="1514"/>
      <c r="Z29" s="1711"/>
      <c r="AA29" s="1711" t="str">
        <f>IF(M29="","",M29)</f>
        <v>Добавить схему подключения</v>
      </c>
      <c r="AB29" s="1711"/>
      <c r="AC29" s="1711"/>
      <c r="AD29" s="2366">
        <v>14</v>
      </c>
    </row>
    <row customHeight="1" ht="14.699999999999998">
      <c r="A30" s="2574" t="s">
        <v>188</v>
      </c>
      <c r="B30" s="2574" t="s">
        <v>189</v>
      </c>
      <c r="C30" s="2574" t="s">
        <v>190</v>
      </c>
      <c r="D30" s="2574"/>
      <c r="E30" s="2574" t="s">
        <v>614</v>
      </c>
      <c r="F30" s="2576"/>
      <c r="G30" s="2576"/>
      <c r="H30" s="1748"/>
      <c r="I30" s="1571"/>
      <c r="J30" s="1586"/>
      <c r="K30" s="1566"/>
      <c r="L30" s="2490"/>
      <c r="M30" s="2479"/>
      <c r="N30" s="2480"/>
      <c r="O30" s="2480"/>
      <c r="P30" s="2480"/>
      <c r="Q30" s="2480"/>
      <c r="R30" s="2480"/>
      <c r="S30" s="2480"/>
      <c r="T30" s="2480"/>
      <c r="U30" s="2480"/>
      <c r="V30" s="2481"/>
      <c r="W30" s="2480"/>
      <c r="X30" s="2482"/>
      <c r="Z30" s="1711"/>
      <c r="AA30" s="1711" t="str">
        <f>IF(M30="","",M30)</f>
        <v/>
      </c>
      <c r="AB30" s="1711"/>
      <c r="AC30" s="1711"/>
      <c r="AD30" s="2366">
        <v>14</v>
      </c>
    </row>
    <row customHeight="1" ht="14.699999999999998">
      <c r="A31" s="2574" t="s">
        <v>188</v>
      </c>
      <c r="B31" s="2574" t="s">
        <v>189</v>
      </c>
      <c r="C31" s="2574"/>
      <c r="D31" s="2574"/>
      <c r="E31" s="2574" t="s">
        <v>2401</v>
      </c>
      <c r="F31" s="2728"/>
      <c r="G31" s="2728"/>
      <c r="H31" s="1748"/>
      <c r="I31" s="1569"/>
      <c r="J31" s="1586"/>
      <c r="K31" s="1570"/>
      <c r="L31" s="2490"/>
      <c r="M31" s="2483"/>
      <c r="N31" s="2480"/>
      <c r="O31" s="2480"/>
      <c r="P31" s="2480"/>
      <c r="Q31" s="2480"/>
      <c r="R31" s="2480"/>
      <c r="S31" s="2480"/>
      <c r="T31" s="2480"/>
      <c r="U31" s="2480"/>
      <c r="V31" s="2481"/>
      <c r="W31" s="2480"/>
      <c r="X31" s="2482"/>
      <c r="Z31" s="1711"/>
      <c r="AA31" s="1711" t="str">
        <f>IF(M31="","",M31)</f>
        <v/>
      </c>
      <c r="AB31" s="1711"/>
      <c r="AC31" s="1711"/>
      <c r="AD31" s="2366">
        <v>14</v>
      </c>
    </row>
    <row customHeight="1" ht="14.699999999999998">
      <c r="A32" s="2574" t="s">
        <v>2402</v>
      </c>
      <c r="B32" s="2574"/>
      <c r="C32" s="2574"/>
      <c r="D32" s="2574"/>
      <c r="E32" s="2574" t="s">
        <v>117</v>
      </c>
      <c r="F32" s="2728"/>
      <c r="G32" s="2728"/>
      <c r="H32" s="1748"/>
      <c r="I32" s="1571"/>
      <c r="J32" s="1586"/>
      <c r="K32" s="1566"/>
      <c r="L32" s="2490"/>
      <c r="M32" s="2484"/>
      <c r="N32" s="2480"/>
      <c r="O32" s="2480"/>
      <c r="P32" s="2480"/>
      <c r="Q32" s="2480"/>
      <c r="R32" s="2480"/>
      <c r="S32" s="2480"/>
      <c r="T32" s="2480"/>
      <c r="U32" s="2480"/>
      <c r="V32" s="2481"/>
      <c r="W32" s="2480"/>
      <c r="X32" s="2482"/>
      <c r="Z32" s="1711"/>
      <c r="AA32" s="1711" t="str">
        <f>IF(M32="","",M32)</f>
        <v/>
      </c>
      <c r="AB32" s="1711"/>
      <c r="AC32" s="1711"/>
      <c r="AD32" s="2366">
        <v>14</v>
      </c>
    </row>
    <row s="67502" customFormat="1" customHeight="1" ht="11.549999999999999">
      <c r="A33" s="2574"/>
      <c r="B33" s="2574"/>
      <c r="C33" s="2574"/>
      <c r="D33" s="2574"/>
      <c r="E33" s="2574" t="s">
        <v>466</v>
      </c>
      <c r="F33" s="2729"/>
      <c r="G33" s="2730"/>
      <c r="H33" s="1748"/>
      <c r="L33" s="2491"/>
      <c r="M33" s="2485"/>
      <c r="N33" s="2480"/>
      <c r="O33" s="2480"/>
      <c r="P33" s="2480"/>
      <c r="Q33" s="2480"/>
      <c r="R33" s="2480"/>
      <c r="S33" s="2480"/>
      <c r="T33" s="2480"/>
      <c r="U33" s="2480"/>
      <c r="V33" s="2481"/>
      <c r="W33" s="2480"/>
      <c r="X33" s="2482"/>
      <c r="Y33" s="1590"/>
      <c r="Z33" s="1590"/>
      <c r="AA33" s="1590"/>
      <c r="AB33" s="1590"/>
      <c r="AC33" s="1590"/>
      <c r="AD33" s="1584">
        <v>11</v>
      </c>
    </row>
    <row customHeight="1" ht="11.549999999999999">
      <c r="F34" s="2371"/>
      <c r="G34" s="2371"/>
      <c r="H34" s="1748"/>
      <c r="I34" s="2366"/>
      <c r="J34" s="2366"/>
      <c r="K34" s="2366"/>
      <c r="Y34" s="2366"/>
      <c r="Z34" s="2366"/>
      <c r="AA34" s="2366"/>
      <c r="AB34" s="2366"/>
      <c r="AC34" s="2366"/>
      <c r="AD34" s="2366">
        <v>11</v>
      </c>
    </row>
    <row customHeight="1" ht="28.5">
      <c r="H35" s="1748"/>
      <c r="L35" s="2499" t="s">
        <v>974</v>
      </c>
      <c r="M35" s="3496" t="s">
        <v>2403</v>
      </c>
      <c r="N35" s="3496"/>
      <c r="O35" s="3496"/>
      <c r="P35" s="3496"/>
      <c r="Q35" s="3496"/>
      <c r="R35" s="3496"/>
      <c r="S35" s="3496"/>
      <c r="T35" s="3496"/>
      <c r="U35" s="3496"/>
      <c r="V35" s="3496"/>
      <c r="W35" s="3496"/>
      <c r="X35" s="3496"/>
      <c r="AD35" s="2366">
        <v>27</v>
      </c>
    </row>
    <row customHeight="1" ht="109.19999999999999">
      <c r="H36" s="1748"/>
      <c r="I36" s="2514"/>
      <c r="M36" s="3496" t="s">
        <v>2404</v>
      </c>
      <c r="N36" s="3496"/>
      <c r="O36" s="3496"/>
      <c r="P36" s="3496"/>
      <c r="Q36" s="3496"/>
      <c r="R36" s="3496"/>
      <c r="S36" s="3496"/>
      <c r="T36" s="3496"/>
      <c r="U36" s="3496"/>
      <c r="V36" s="3496"/>
      <c r="W36" s="3496"/>
      <c r="X36" s="3496"/>
      <c r="AD36" s="2366">
        <v>104</v>
      </c>
    </row>
    <row customHeight="1" ht="14.699999999999998">
      <c r="H37" s="1748"/>
      <c r="AD37" s="2366">
        <v>14</v>
      </c>
    </row>
    <row customHeight="1" ht="14.699999999999998">
      <c r="H38" s="1748"/>
      <c r="AD38" s="2366">
        <v>14</v>
      </c>
    </row>
    <row customHeight="1" ht="14.699999999999998">
      <c r="H39" s="1748"/>
      <c r="AD39" s="2366">
        <v>14</v>
      </c>
    </row>
    <row customHeight="1" ht="14.699999999999998">
      <c r="H40" s="1748"/>
      <c r="AD40" s="2366">
        <v>14</v>
      </c>
    </row>
    <row customHeight="1" ht="22.5" hidden="1">
      <c r="A41" s="2371" t="s">
        <v>82</v>
      </c>
      <c r="B41" s="2371">
        <v>0</v>
      </c>
      <c r="C41" s="2371">
        <v>0</v>
      </c>
      <c r="D41" s="2371">
        <v>0</v>
      </c>
      <c r="E41" s="2371">
        <v>0</v>
      </c>
      <c r="F41" s="2573">
        <v>0</v>
      </c>
      <c r="G41" s="2573">
        <v>0</v>
      </c>
      <c r="H41" s="2573">
        <v>0</v>
      </c>
      <c r="I41" s="2497">
        <v>3</v>
      </c>
      <c r="J41" s="1555">
        <v>3</v>
      </c>
      <c r="K41" s="1555">
        <v>3</v>
      </c>
      <c r="L41" s="1792">
        <v>12</v>
      </c>
      <c r="M41" s="2366">
        <v>31</v>
      </c>
      <c r="N41" s="2366">
        <v>1</v>
      </c>
      <c r="O41" s="2366">
        <v>24</v>
      </c>
      <c r="P41" s="2366">
        <v>24</v>
      </c>
      <c r="Q41" s="2366">
        <v>24</v>
      </c>
      <c r="R41" s="2366">
        <v>24</v>
      </c>
      <c r="S41" s="2366">
        <v>11</v>
      </c>
      <c r="T41" s="2366">
        <v>3</v>
      </c>
      <c r="U41" s="2366">
        <v>11</v>
      </c>
      <c r="V41" s="2366">
        <v>8</v>
      </c>
      <c r="W41" s="2366">
        <v>4</v>
      </c>
      <c r="X41" s="2366">
        <v>115</v>
      </c>
      <c r="Y41" s="1722">
        <v>10</v>
      </c>
      <c r="Z41" s="1722">
        <v>10</v>
      </c>
      <c r="AA41" s="1722">
        <v>10</v>
      </c>
      <c r="AB41" s="1722">
        <v>10</v>
      </c>
      <c r="AC41" s="1722">
        <v>10</v>
      </c>
      <c r="AD41" s="236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11B1FD-39EA-2159-0E92-DCD01BD4E7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476755-E033-3522-4011-5107CEF954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BC9E9-89E5-355A-0C8A-95DD6C77CA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2C7929-6AF7-2183-17BB-A22E86131D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A620F-3371-26FC-F64F-C723E10C1F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A94021-AE7E-7C62-E4A2-7965B7F380BA}"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67179" width="15.00390625" hidden="1" customWidth="1"/>
    <col min="2" max="2" style="65041" width="15.00390625" hidden="1" customWidth="1"/>
    <col min="3" max="3" style="65085" width="3.00390625" customWidth="1"/>
    <col min="4" max="4" style="65086" width="6.00390625" customWidth="1"/>
    <col min="5" max="5" style="65085" width="52.00390625" customWidth="1"/>
    <col min="6" max="6" style="65085" width="48.00390625" customWidth="1"/>
    <col min="7" max="7" style="65085" width="121.00390625" customWidth="1"/>
    <col min="8" max="8" style="65085" width="8.00390625" customWidth="1"/>
    <col min="9" max="9" style="65085" width="64.00390625" customWidth="1"/>
    <col min="10" max="10" style="65085" width="9.140625" hidden="1"/>
  </cols>
  <sheetData>
    <row customHeight="1" ht="11.25" hidden="1">
      <c r="A1" s="2897" t="s">
        <v>317</v>
      </c>
      <c r="J1" s="1666" t="s">
        <v>14</v>
      </c>
    </row>
    <row customHeight="1" ht="11.25" hidden="1">
      <c r="J2" s="1666">
        <v>0</v>
      </c>
    </row>
    <row s="65003" customFormat="1" customHeight="1" ht="11.549999999999999">
      <c r="A3" s="2897"/>
      <c r="B3" s="1712"/>
      <c r="D3" s="1689"/>
      <c r="J3" s="1688">
        <v>11</v>
      </c>
    </row>
    <row customHeight="1" ht="27.299999999999997">
      <c r="D4" s="336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3369"/>
      <c r="F4" s="3370"/>
      <c r="I4" s="1926"/>
      <c r="J4" s="1666">
        <v>26</v>
      </c>
    </row>
    <row customHeight="1" ht="18">
      <c r="D5" s="3387" t="str">
        <f>IF(org=0,"Не определено",org)</f>
        <v>ПАО "ТГК-2"</v>
      </c>
      <c r="E5" s="3387"/>
      <c r="F5" s="3387"/>
      <c r="I5" s="1926"/>
      <c r="J5" s="1666">
        <v>17</v>
      </c>
    </row>
    <row s="65003" customFormat="1" customHeight="1" ht="11.549999999999999">
      <c r="A6" s="2897"/>
      <c r="B6" s="1712"/>
      <c r="D6" s="1925"/>
      <c r="E6" s="1925"/>
      <c r="F6" s="1963"/>
      <c r="G6" s="1925"/>
      <c r="J6" s="1688">
        <v>11</v>
      </c>
    </row>
    <row customHeight="1" ht="11.25" hidden="1">
      <c r="A7" s="1668"/>
      <c r="B7" s="1713"/>
      <c r="C7" s="1668"/>
      <c r="D7" s="1674"/>
      <c r="E7" s="3418"/>
      <c r="F7" s="3418"/>
      <c r="J7" s="1666">
        <v>0</v>
      </c>
    </row>
    <row customHeight="1" ht="11.549999999999999">
      <c r="A8" s="1668"/>
      <c r="B8" s="1713"/>
      <c r="C8" s="1668"/>
      <c r="D8" s="3415" t="s">
        <v>318</v>
      </c>
      <c r="E8" s="3416"/>
      <c r="F8" s="3416"/>
      <c r="G8" s="3419" t="s">
        <v>319</v>
      </c>
      <c r="J8" s="1666">
        <v>11</v>
      </c>
    </row>
    <row customHeight="1" ht="11.549999999999999">
      <c r="A9" s="1668"/>
      <c r="B9" s="1713"/>
      <c r="C9" s="1668"/>
      <c r="D9" s="1683" t="s">
        <v>88</v>
      </c>
      <c r="E9" s="1657" t="s">
        <v>320</v>
      </c>
      <c r="F9" s="1657" t="s">
        <v>321</v>
      </c>
      <c r="G9" s="3420"/>
      <c r="J9" s="1666">
        <v>11</v>
      </c>
    </row>
    <row customHeight="1" ht="12" hidden="1">
      <c r="A10" s="1668"/>
      <c r="B10" s="1713"/>
      <c r="C10" s="1668"/>
      <c r="D10" s="1675"/>
      <c r="E10" s="1675"/>
      <c r="F10" s="1675"/>
      <c r="G10" s="1675"/>
      <c r="J10" s="1666">
        <v>0</v>
      </c>
    </row>
    <row customHeight="1" ht="22.5" hidden="1">
      <c r="A11" s="1668"/>
      <c r="B11" s="1713"/>
      <c r="C11" s="1668"/>
      <c r="D11" s="2220" t="s">
        <v>99</v>
      </c>
      <c r="E11" s="2223" t="s">
        <v>322</v>
      </c>
      <c r="F11" s="2222" t="str">
        <f>IF(region_name="","",region_name)</f>
        <v>Архангельская область</v>
      </c>
      <c r="G11" s="2223" t="s">
        <v>323</v>
      </c>
      <c r="H11" s="1686"/>
      <c r="J11" s="1666">
        <v>0</v>
      </c>
    </row>
    <row customHeight="1" ht="22.5" hidden="1">
      <c r="A12" s="1668"/>
      <c r="B12" s="1713"/>
      <c r="C12" s="1668"/>
      <c r="D12" s="1656" t="s">
        <v>99</v>
      </c>
      <c r="E12" s="165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1654" t="s">
        <v>324</v>
      </c>
      <c r="G12" s="1685"/>
      <c r="H12" s="1686"/>
      <c r="J12" s="1666">
        <v>0</v>
      </c>
    </row>
    <row customHeight="1" ht="23.25">
      <c r="A13" s="1668"/>
      <c r="B13" s="1713"/>
      <c r="C13" s="1668"/>
      <c r="D13" s="1656" t="s">
        <v>99</v>
      </c>
      <c r="E13" s="1653" t="str">
        <f>"Наименование юридического лица"&amp;IF(TEMPLATE_SPHERE="TKO"," (индивидуального предпринимателя)","")</f>
        <v>Наименование юридического лица</v>
      </c>
      <c r="F13" s="1652"/>
      <c r="G13" s="165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1686"/>
      <c r="J13" s="1666">
        <v>22</v>
      </c>
    </row>
    <row customHeight="1" ht="22.5" hidden="1">
      <c r="A14" s="1668"/>
      <c r="B14" s="1713"/>
      <c r="C14" s="1668"/>
      <c r="D14" s="2220" t="s">
        <v>325</v>
      </c>
      <c r="E14" s="2221" t="s">
        <v>326</v>
      </c>
      <c r="F14" s="2222" t="str">
        <f>IF(inn="","",inn)</f>
        <v>7606053324</v>
      </c>
      <c r="G14" s="2223" t="s">
        <v>327</v>
      </c>
      <c r="H14" s="1686"/>
      <c r="J14" s="1666">
        <v>0</v>
      </c>
    </row>
    <row customHeight="1" ht="22.5" hidden="1">
      <c r="A15" s="1668"/>
      <c r="B15" s="1713"/>
      <c r="C15" s="1668"/>
      <c r="D15" s="2220" t="s">
        <v>328</v>
      </c>
      <c r="E15" s="2221" t="s">
        <v>329</v>
      </c>
      <c r="F15" s="2222" t="str">
        <f>IF(kpp="","",kpp)</f>
        <v>760601001</v>
      </c>
      <c r="G15" s="2223" t="s">
        <v>330</v>
      </c>
      <c r="H15" s="1686"/>
      <c r="J15" s="1666">
        <v>0</v>
      </c>
    </row>
    <row customHeight="1" ht="39">
      <c r="A16" s="1668"/>
      <c r="B16" s="1713"/>
      <c r="C16" s="1668"/>
      <c r="D16" s="1656" t="s">
        <v>102</v>
      </c>
      <c r="E16" s="165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1652"/>
      <c r="G16" s="165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1686"/>
      <c r="J16" s="1666">
        <v>37</v>
      </c>
    </row>
    <row customHeight="1" ht="23.25">
      <c r="A17" s="1668"/>
      <c r="B17" s="1713"/>
      <c r="C17" s="1668"/>
      <c r="D17" s="1656" t="s">
        <v>90</v>
      </c>
      <c r="E17" s="1653" t="str">
        <f>"Дата присвоения ОГРН"&amp;IF(TEMPLATE_SPHERE="TKO",""," (ОГРНИП)")</f>
        <v>Дата присвоения ОГРН (ОГРНИП)</v>
      </c>
      <c r="F17" s="2943" t="s">
        <v>22</v>
      </c>
      <c r="G17" s="1655" t="str">
        <f>"Дата присвоения ОГРН"&amp;IF(TEMPLATE_SPHERE="TKO",""," (ОГРНИП)")&amp;" указывается в виде «ДД.ММ.ГГГГ»."</f>
        <v>Дата присвоения ОГРН (ОГРНИП) указывается в виде «ДД.ММ.ГГГГ».</v>
      </c>
      <c r="H17" s="1686"/>
      <c r="J17" s="1666">
        <v>22</v>
      </c>
    </row>
    <row customHeight="1" ht="71.25">
      <c r="A18" s="1668"/>
      <c r="B18" s="1713"/>
      <c r="C18" s="1668"/>
      <c r="D18" s="1656" t="s">
        <v>91</v>
      </c>
      <c r="E18" s="165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1652"/>
      <c r="G18" s="1685"/>
      <c r="H18" s="1686"/>
      <c r="J18" s="1666">
        <v>68</v>
      </c>
    </row>
    <row customHeight="1" ht="22.5" hidden="1">
      <c r="A19" s="3413" t="s">
        <v>331</v>
      </c>
      <c r="B19" s="1713"/>
      <c r="C19" s="3424"/>
      <c r="D19" s="1656" t="str">
        <f>A19</f>
        <v>5.1</v>
      </c>
      <c r="E19" s="1653" t="s">
        <v>332</v>
      </c>
      <c r="F19" s="1654" t="s">
        <v>324</v>
      </c>
      <c r="G19" s="1655" t="s">
        <v>333</v>
      </c>
      <c r="H19" s="1686"/>
      <c r="I19" s="2063"/>
      <c r="J19" s="1666">
        <v>0</v>
      </c>
    </row>
    <row customHeight="1" ht="24" hidden="1">
      <c r="A20" s="3413"/>
      <c r="B20" s="1713"/>
      <c r="C20" s="3424"/>
      <c r="D20" s="1651" t="str">
        <f>D19&amp;".1"</f>
        <v>5.1.1</v>
      </c>
      <c r="E20" s="1650" t="s">
        <v>334</v>
      </c>
      <c r="F20" s="2092" t="s">
        <v>22</v>
      </c>
      <c r="G20" s="1685"/>
      <c r="H20" s="1686"/>
      <c r="I20" s="2063"/>
      <c r="J20" s="1666">
        <v>0</v>
      </c>
    </row>
    <row customHeight="1" ht="22.5" hidden="1">
      <c r="A21" s="3413"/>
      <c r="B21" s="1713"/>
      <c r="C21" s="3424"/>
      <c r="D21" s="1651" t="str">
        <f>D19&amp;".2"</f>
        <v>5.1.2</v>
      </c>
      <c r="E21" s="1650" t="s">
        <v>335</v>
      </c>
      <c r="F21" s="2944" t="s">
        <v>22</v>
      </c>
      <c r="G21" s="1655" t="s">
        <v>336</v>
      </c>
      <c r="H21" s="1686"/>
      <c r="I21" s="2063"/>
      <c r="J21" s="1666">
        <v>0</v>
      </c>
    </row>
    <row customHeight="1" ht="22.5" hidden="1">
      <c r="A22" s="3413"/>
      <c r="B22" s="1713"/>
      <c r="C22" s="3424"/>
      <c r="D22" s="1651" t="str">
        <f>D19&amp;".3"</f>
        <v>5.1.3</v>
      </c>
      <c r="E22" s="1650" t="s">
        <v>337</v>
      </c>
      <c r="F22" s="2092" t="s">
        <v>22</v>
      </c>
      <c r="G22" s="1685"/>
      <c r="H22" s="1686"/>
      <c r="I22" s="2063"/>
      <c r="J22" s="1666">
        <v>0</v>
      </c>
    </row>
    <row customHeight="1" ht="22.5" hidden="1">
      <c r="A23" s="3413"/>
      <c r="B23" s="1713"/>
      <c r="C23" s="3424"/>
      <c r="D23" s="1651" t="str">
        <f>D19&amp;".4"</f>
        <v>5.1.4</v>
      </c>
      <c r="E23" s="1650" t="s">
        <v>338</v>
      </c>
      <c r="F23" s="2092" t="s">
        <v>22</v>
      </c>
      <c r="G23" s="1655" t="s">
        <v>339</v>
      </c>
      <c r="H23" s="1686"/>
      <c r="I23" s="2063"/>
      <c r="J23" s="1666">
        <v>0</v>
      </c>
    </row>
    <row customHeight="1" ht="22.5" hidden="1">
      <c r="A24" s="3189"/>
      <c r="B24" s="1713"/>
      <c r="C24" s="1703"/>
      <c r="D24" s="1678"/>
      <c r="E24" s="2379" t="s">
        <v>340</v>
      </c>
      <c r="F24" s="1679"/>
      <c r="G24" s="1680"/>
      <c r="H24" s="1686"/>
      <c r="I24" s="2063"/>
      <c r="J24" s="1666">
        <v>0</v>
      </c>
    </row>
    <row s="65041" customFormat="1" customHeight="1" ht="24.75" hidden="1">
      <c r="A25" s="1668"/>
      <c r="B25" s="1713"/>
      <c r="C25" s="1713"/>
      <c r="D25" s="2217" t="s">
        <v>90</v>
      </c>
      <c r="E25" s="2219" t="s">
        <v>341</v>
      </c>
      <c r="F25" s="2224" t="s">
        <v>324</v>
      </c>
      <c r="G25" s="2219"/>
      <c r="J25" s="1712">
        <v>0</v>
      </c>
    </row>
    <row s="65041" customFormat="1" customHeight="1" ht="11.25" hidden="1">
      <c r="A26" s="1668"/>
      <c r="B26" s="1713"/>
      <c r="C26" s="1713"/>
      <c r="D26" s="2217" t="s">
        <v>342</v>
      </c>
      <c r="E26" s="2218" t="s">
        <v>343</v>
      </c>
      <c r="F26" s="2224" t="s">
        <v>324</v>
      </c>
      <c r="G26" s="2219"/>
      <c r="J26" s="1712">
        <v>0</v>
      </c>
    </row>
    <row s="65041" customFormat="1" customHeight="1" ht="11.25" hidden="1">
      <c r="A27" s="1668"/>
      <c r="B27" s="1713"/>
      <c r="C27" s="1713"/>
      <c r="D27" s="2217" t="s">
        <v>344</v>
      </c>
      <c r="E27" s="2225" t="s">
        <v>345</v>
      </c>
      <c r="F27" s="2226"/>
      <c r="G27" s="221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1712">
        <v>0</v>
      </c>
    </row>
    <row s="65041" customFormat="1" customHeight="1" ht="11.25" hidden="1">
      <c r="A28" s="1668"/>
      <c r="B28" s="1713"/>
      <c r="C28" s="1713"/>
      <c r="D28" s="2217" t="s">
        <v>346</v>
      </c>
      <c r="E28" s="2225" t="s">
        <v>347</v>
      </c>
      <c r="F28" s="2226"/>
      <c r="G28" s="221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1712">
        <v>0</v>
      </c>
    </row>
    <row s="65041" customFormat="1" customHeight="1" ht="11.25" hidden="1">
      <c r="A29" s="1668"/>
      <c r="B29" s="1713"/>
      <c r="C29" s="1713"/>
      <c r="D29" s="2217" t="s">
        <v>348</v>
      </c>
      <c r="E29" s="2225" t="s">
        <v>349</v>
      </c>
      <c r="F29" s="2226"/>
      <c r="G29" s="221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1712">
        <v>0</v>
      </c>
    </row>
    <row s="65041" customFormat="1" customHeight="1" ht="11.25" hidden="1">
      <c r="A30" s="1668"/>
      <c r="B30" s="1713"/>
      <c r="C30" s="1713"/>
      <c r="D30" s="2217" t="s">
        <v>350</v>
      </c>
      <c r="E30" s="2218" t="s">
        <v>351</v>
      </c>
      <c r="F30" s="2226"/>
      <c r="G30" s="2219"/>
      <c r="J30" s="1712">
        <v>0</v>
      </c>
    </row>
    <row s="65041" customFormat="1" customHeight="1" ht="11.25" hidden="1">
      <c r="A31" s="1668"/>
      <c r="B31" s="1713"/>
      <c r="C31" s="1713"/>
      <c r="D31" s="2217" t="s">
        <v>352</v>
      </c>
      <c r="E31" s="2218" t="s">
        <v>353</v>
      </c>
      <c r="F31" s="2226"/>
      <c r="G31" s="2219"/>
      <c r="J31" s="1712">
        <v>0</v>
      </c>
    </row>
    <row s="65041" customFormat="1" customHeight="1" ht="11.25" hidden="1">
      <c r="A32" s="1668"/>
      <c r="B32" s="1713"/>
      <c r="C32" s="1713"/>
      <c r="D32" s="2217" t="s">
        <v>354</v>
      </c>
      <c r="E32" s="2218" t="s">
        <v>355</v>
      </c>
      <c r="F32" s="2227"/>
      <c r="G32" s="2219"/>
      <c r="J32" s="1712">
        <v>0</v>
      </c>
    </row>
    <row customHeight="1" ht="24">
      <c r="A33" s="1668" t="str">
        <f>IF(TEMPLATE_SPHERE="HEAT","6","5")</f>
        <v>6</v>
      </c>
      <c r="B33" s="1713"/>
      <c r="C33" s="1668"/>
      <c r="D33" s="1651" t="str">
        <f>A33</f>
        <v>6</v>
      </c>
      <c r="E33" s="164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1654" t="s">
        <v>324</v>
      </c>
      <c r="G33" s="1685"/>
      <c r="H33" s="1686"/>
      <c r="J33" s="1666">
        <v>23</v>
      </c>
    </row>
    <row customHeight="1" ht="23.25">
      <c r="A34" s="1668"/>
      <c r="B34" s="1713"/>
      <c r="C34" s="1668"/>
      <c r="D34" s="1651" t="str">
        <f>D33&amp;".1"</f>
        <v>6.1</v>
      </c>
      <c r="E34" s="1653" t="str">
        <f>"фамилия"&amp;IF(TEMPLATE_SPHERE&lt;&gt;"HEAT"," руководителя","")</f>
        <v>фамилия</v>
      </c>
      <c r="F34" s="1652"/>
      <c r="G34" s="165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1686"/>
      <c r="J34" s="1666">
        <v>22</v>
      </c>
    </row>
    <row customHeight="1" ht="23.25">
      <c r="A35" s="1668"/>
      <c r="B35" s="1713"/>
      <c r="C35" s="1668"/>
      <c r="D35" s="1651" t="str">
        <f>D33&amp;".2"</f>
        <v>6.2</v>
      </c>
      <c r="E35" s="1653" t="str">
        <f>"имя"&amp;IF(TEMPLATE_SPHERE&lt;&gt;"HEAT"," руководителя","")</f>
        <v>имя</v>
      </c>
      <c r="F35" s="1652"/>
      <c r="G35" s="165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1686"/>
      <c r="J35" s="1666">
        <v>22</v>
      </c>
    </row>
    <row customHeight="1" ht="24">
      <c r="A36" s="1668"/>
      <c r="B36" s="1713"/>
      <c r="C36" s="1668"/>
      <c r="D36" s="1651" t="str">
        <f>D33&amp;".3"</f>
        <v>6.3</v>
      </c>
      <c r="E36" s="1653" t="str">
        <f>"отчество"&amp;IF(TEMPLATE_SPHERE&lt;&gt;"HEAT"," руководителя","")</f>
        <v>отчество</v>
      </c>
      <c r="F36" s="1909"/>
      <c r="G36" s="165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1686"/>
      <c r="J36" s="1666">
        <v>23</v>
      </c>
    </row>
    <row customHeight="1" ht="35.699999999999996">
      <c r="A37" s="1668"/>
      <c r="B37" s="1713"/>
      <c r="C37" s="1668"/>
      <c r="D37" s="1651">
        <f>D33+1</f>
        <v>7</v>
      </c>
      <c r="E37" s="164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1652"/>
      <c r="G37" s="1655" t="s">
        <v>356</v>
      </c>
      <c r="H37" s="1686"/>
      <c r="J37" s="1666">
        <v>34</v>
      </c>
    </row>
    <row customHeight="1" ht="35.699999999999996">
      <c r="A38" s="1668"/>
      <c r="B38" s="1713"/>
      <c r="C38" s="1668"/>
      <c r="D38" s="1651">
        <f>D37+1</f>
        <v>8</v>
      </c>
      <c r="E38" s="164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1652"/>
      <c r="G38" s="1655" t="s">
        <v>356</v>
      </c>
      <c r="H38" s="1686"/>
      <c r="J38" s="1666">
        <v>34</v>
      </c>
    </row>
    <row customHeight="1" ht="23.25">
      <c r="A39" s="1668"/>
      <c r="B39" s="1713"/>
      <c r="C39" s="1668"/>
      <c r="D39" s="1651">
        <f>D38+1</f>
        <v>9</v>
      </c>
      <c r="E39" s="164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1654" t="s">
        <v>324</v>
      </c>
      <c r="G39" s="342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1686"/>
      <c r="J39" s="1666">
        <v>22</v>
      </c>
    </row>
    <row customHeight="1" ht="22.5" hidden="1">
      <c r="A40" s="1668"/>
      <c r="B40" s="1713"/>
      <c r="C40" s="1668"/>
      <c r="D40" s="1651" t="str">
        <f>D39&amp;".0"</f>
        <v>9.0</v>
      </c>
      <c r="E40" s="2816"/>
      <c r="F40" s="2092"/>
      <c r="G40" s="3422"/>
      <c r="H40" s="1686"/>
      <c r="J40" s="1666">
        <v>0</v>
      </c>
    </row>
    <row customHeight="1" ht="23.25">
      <c r="A41" s="1668"/>
      <c r="B41" s="1668"/>
      <c r="C41" s="2899"/>
      <c r="D41" s="1651" t="str">
        <f>D39&amp;".1"</f>
        <v>9.1</v>
      </c>
      <c r="E41" s="2071"/>
      <c r="F41" s="2072"/>
      <c r="G41" s="3422"/>
      <c r="H41" s="1686"/>
      <c r="J41" s="1666">
        <v>22</v>
      </c>
    </row>
    <row customHeight="1" ht="15.75">
      <c r="A42" s="1668"/>
      <c r="B42" s="1713"/>
      <c r="C42" s="1668"/>
      <c r="D42" s="1678"/>
      <c r="E42" s="1626" t="s">
        <v>357</v>
      </c>
      <c r="F42" s="1680"/>
      <c r="G42" s="3423"/>
      <c r="H42" s="1687"/>
      <c r="J42" s="1666">
        <v>15</v>
      </c>
    </row>
    <row customHeight="1" ht="27.299999999999997">
      <c r="A43" s="1668"/>
      <c r="B43" s="1713"/>
      <c r="C43" s="1668"/>
      <c r="D43" s="1651">
        <f>D39+1</f>
        <v>10</v>
      </c>
      <c r="E43" s="164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2073"/>
      <c r="G43" s="165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1686"/>
      <c r="J43" s="1666">
        <v>26</v>
      </c>
    </row>
    <row customHeight="1" ht="23.25">
      <c r="A44" s="1668"/>
      <c r="B44" s="1713"/>
      <c r="C44" s="1668"/>
      <c r="D44" s="1651">
        <f>D43+1</f>
        <v>11</v>
      </c>
      <c r="E44" s="164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1589"/>
      <c r="G44" s="1685" t="s">
        <v>358</v>
      </c>
      <c r="H44" s="1686"/>
      <c r="J44" s="1666">
        <v>22</v>
      </c>
    </row>
    <row customHeight="1" ht="23.25">
      <c r="A45" s="1668"/>
      <c r="B45" s="1713"/>
      <c r="C45" s="1668"/>
      <c r="D45" s="1651">
        <f>D44+1</f>
        <v>12</v>
      </c>
      <c r="E45" s="1649" t="s">
        <v>359</v>
      </c>
      <c r="F45" s="1654" t="s">
        <v>324</v>
      </c>
      <c r="G45" s="1648" t="str">
        <f>IF(TEMPLATE_SPHERE="TKO","Указывается режим работы организации.","")</f>
        <v/>
      </c>
      <c r="H45" s="1686"/>
      <c r="J45" s="1666">
        <v>22</v>
      </c>
    </row>
    <row customHeight="1" ht="24">
      <c r="A46" s="1668"/>
      <c r="B46" s="1713"/>
      <c r="C46" s="1668"/>
      <c r="D46" s="1651" t="str">
        <f>D45&amp;".1"</f>
        <v>12.1</v>
      </c>
      <c r="E46" s="1653" t="str">
        <f>"режим работы регулируемой организации"&amp;IF(TEMPLATE_SPHERE="HEAT",", ЕТО, ТО","")</f>
        <v>режим работы регулируемой организации, ЕТО, ТО</v>
      </c>
      <c r="F46" s="2895"/>
      <c r="G46" s="1648" t="s">
        <v>360</v>
      </c>
      <c r="H46" s="1686"/>
      <c r="J46" s="1666">
        <v>23</v>
      </c>
    </row>
    <row customHeight="1" ht="24">
      <c r="A47" s="3413"/>
      <c r="B47" s="1713"/>
      <c r="C47" s="1703"/>
      <c r="D47" s="1651" t="str">
        <f>D45&amp;".2"</f>
        <v>12.2</v>
      </c>
      <c r="E47" s="1653" t="s">
        <v>361</v>
      </c>
      <c r="F47" s="1701"/>
      <c r="G47" s="1648" t="s">
        <v>362</v>
      </c>
      <c r="H47" s="1686"/>
      <c r="J47" s="1666">
        <v>23</v>
      </c>
    </row>
    <row customHeight="1" ht="24">
      <c r="A48" s="3413"/>
      <c r="B48" s="1713"/>
      <c r="C48" s="1703"/>
      <c r="D48" s="1651" t="str">
        <f>D45&amp;".3"</f>
        <v>12.3</v>
      </c>
      <c r="E48" s="1653" t="s">
        <v>363</v>
      </c>
      <c r="F48" s="1701"/>
      <c r="G48" s="1648" t="s">
        <v>364</v>
      </c>
      <c r="H48" s="1686"/>
      <c r="J48" s="1666">
        <v>23</v>
      </c>
    </row>
    <row customHeight="1" ht="24">
      <c r="A49" s="3413"/>
      <c r="B49" s="1713"/>
      <c r="C49" s="1703"/>
      <c r="D49" s="1651" t="str">
        <f>IF(TEMPLATE_SPHERE="TKO",D45&amp;".0",D45&amp;".4")</f>
        <v>12.4</v>
      </c>
      <c r="E49" s="1647" t="s">
        <v>365</v>
      </c>
      <c r="F49" s="2896"/>
      <c r="G49" s="2973" t="s">
        <v>366</v>
      </c>
      <c r="H49" s="1686"/>
      <c r="J49" s="1666">
        <v>23</v>
      </c>
    </row>
    <row customHeight="1" ht="24">
      <c r="A50" s="1668"/>
      <c r="B50" s="1713"/>
      <c r="C50" s="1668"/>
      <c r="D50" s="1678"/>
      <c r="E50" s="1626" t="s">
        <v>367</v>
      </c>
      <c r="F50" s="1679"/>
      <c r="G50" s="2973" t="s">
        <v>368</v>
      </c>
      <c r="H50" s="1687"/>
      <c r="J50" s="1666">
        <v>23</v>
      </c>
    </row>
    <row customHeight="1" ht="24">
      <c r="A51" s="2069"/>
      <c r="B51" s="1713"/>
      <c r="C51" s="1703"/>
      <c r="D51" s="1651">
        <f>D45+1</f>
        <v>13</v>
      </c>
      <c r="E51" s="1739" t="s">
        <v>369</v>
      </c>
      <c r="F51" s="1701"/>
      <c r="G51" s="290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1686"/>
      <c r="J51" s="1666">
        <v>23</v>
      </c>
    </row>
    <row customHeight="1" ht="11.549999999999999">
      <c r="A52" s="1668"/>
      <c r="B52" s="1713"/>
      <c r="C52" s="1668"/>
      <c r="J52" s="1666">
        <v>11</v>
      </c>
    </row>
    <row s="65076" customFormat="1" customHeight="1" ht="31.5">
      <c r="A53" s="2898"/>
      <c r="B53" s="1714"/>
      <c r="C53" s="3414"/>
      <c r="D53" s="341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3417"/>
      <c r="F53" s="3417"/>
      <c r="G53" s="3417"/>
      <c r="H53" s="1665"/>
      <c r="I53" s="1665"/>
      <c r="J53" s="1671">
        <v>30</v>
      </c>
    </row>
    <row s="65076" customFormat="1" customHeight="1" ht="42">
      <c r="A54" s="1668"/>
      <c r="B54" s="1713"/>
      <c r="C54" s="3414"/>
      <c r="D54" s="341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3417"/>
      <c r="F54" s="3417"/>
      <c r="G54" s="3417"/>
      <c r="J54" s="1671">
        <v>40</v>
      </c>
    </row>
    <row customHeight="1" ht="11.549999999999999">
      <c r="D55" s="1669"/>
      <c r="E55" s="1670"/>
      <c r="F55" s="1670"/>
      <c r="G55" s="1670"/>
      <c r="J55" s="1666">
        <v>11</v>
      </c>
    </row>
    <row customHeight="1" ht="28.5">
      <c r="D56" s="1672"/>
      <c r="E56" s="1669"/>
      <c r="F56" s="1681"/>
      <c r="G56" s="1681"/>
      <c r="J56" s="1666">
        <v>27</v>
      </c>
    </row>
    <row customHeight="1" ht="11.549999999999999">
      <c r="D57" s="1669"/>
      <c r="E57" s="1669"/>
      <c r="F57" s="1670"/>
      <c r="G57" s="1670"/>
      <c r="J57" s="1666">
        <v>11</v>
      </c>
    </row>
    <row customHeight="1" ht="40.949999999999996">
      <c r="D58" s="1673"/>
      <c r="E58" s="1682"/>
      <c r="F58" s="1682"/>
      <c r="G58" s="1682"/>
      <c r="J58" s="1666">
        <v>39</v>
      </c>
    </row>
    <row customHeight="1" ht="28.5">
      <c r="D59" s="1673"/>
      <c r="E59" s="1682"/>
      <c r="F59" s="1682"/>
      <c r="G59" s="1682"/>
      <c r="J59" s="1666">
        <v>27</v>
      </c>
    </row>
    <row customHeight="1" ht="11.25" hidden="1">
      <c r="A60" s="2897" t="s">
        <v>82</v>
      </c>
      <c r="B60" s="1712">
        <v>0</v>
      </c>
      <c r="C60" s="1666">
        <v>3</v>
      </c>
      <c r="D60" s="1667">
        <v>6</v>
      </c>
      <c r="E60" s="1666">
        <v>52</v>
      </c>
      <c r="F60" s="1666">
        <v>48</v>
      </c>
      <c r="G60" s="1666">
        <v>121</v>
      </c>
      <c r="H60" s="1666">
        <v>8</v>
      </c>
      <c r="I60" s="1666">
        <v>64</v>
      </c>
      <c r="J60" s="166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EE222-ADD2-E902-236D-CACD8A2EFF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AF879-9BC7-613B-3071-4B46D86BB2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5B868-7E77-C93C-3A2D-33BD5353A4C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27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CF6F5-5F28-EB8D-77B2-7800A1F5341D}" mc:Ignorable="x14ac xr xr2 xr3">
  <dimension ref="A1:E8"/>
  <sheetViews>
    <sheetView topLeftCell="A1" showGridLines="0" workbookViewId="0">
      <selection activeCell="A1" sqref="A1"/>
    </sheetView>
  </sheetViews>
  <sheetFormatPr customHeight="1" defaultRowHeight="11.25"/>
  <cols>
    <col min="1" max="1" style="67502" width="10.57421875" customWidth="1"/>
    <col min="2" max="2" style="67502" width="8.7109375" customWidth="1"/>
    <col min="3" max="3" style="67502" width="18.140625" customWidth="1"/>
    <col min="4" max="4" style="67502" width="12.57421875" customWidth="1"/>
  </cols>
  <sheetData>
    <row customHeight="1" ht="11.25">
      <c r="A1" s="3826" t="s">
        <v>2405</v>
      </c>
      <c r="B1" s="3827" t="s">
        <v>2406</v>
      </c>
      <c r="C1" s="3828" t="s">
        <v>2407</v>
      </c>
      <c r="D1" s="3829"/>
      <c r="E1" s="2047" t="s">
        <v>2408</v>
      </c>
    </row>
    <row customHeight="1" ht="11.25">
      <c r="A2" s="3830"/>
      <c r="B2" s="1976" t="s">
        <v>27</v>
      </c>
      <c r="C2" s="1964"/>
      <c r="D2" s="1975"/>
      <c r="E2" s="2047"/>
    </row>
    <row customHeight="1" ht="11.25">
      <c r="A3" s="3831"/>
      <c r="B3" s="3832" t="s">
        <v>33</v>
      </c>
      <c r="C3" s="1964"/>
      <c r="D3" s="1975"/>
      <c r="E3" s="2047"/>
    </row>
    <row customHeight="1" ht="11.25">
      <c r="A4" s="3833"/>
      <c r="B4" s="1977" t="s">
        <v>1854</v>
      </c>
      <c r="C4" s="1964"/>
      <c r="D4" s="1975"/>
      <c r="E4" s="2047"/>
    </row>
    <row customHeight="1" ht="11.25">
      <c r="A5" s="3834"/>
      <c r="B5" s="1977" t="s">
        <v>1849</v>
      </c>
      <c r="C5" s="3835" t="s">
        <v>2175</v>
      </c>
      <c r="D5" s="3836" t="s">
        <v>2409</v>
      </c>
      <c r="E5" s="2047"/>
    </row>
    <row s="67502" customFormat="1" customHeight="1" ht="11.25">
      <c r="A6" s="3837"/>
      <c r="B6" s="1977" t="s">
        <v>1858</v>
      </c>
      <c r="C6" s="1964"/>
      <c r="D6" s="1975"/>
      <c r="E6" s="2047"/>
    </row>
    <row customHeight="1" ht="11.25">
      <c r="A7" s="3838"/>
      <c r="B7" s="1977" t="s">
        <v>1866</v>
      </c>
      <c r="C7" s="1964"/>
      <c r="D7" s="1975"/>
      <c r="E7" s="2047"/>
    </row>
    <row customHeight="1" ht="11.25">
      <c r="A8" s="1967"/>
      <c r="B8" s="1977" t="s">
        <v>1861</v>
      </c>
      <c r="C8" s="1964"/>
      <c r="D8" s="1975"/>
      <c r="E8" s="204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F596B9-B7E2-4B51-899B-D71F071368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600BAC-E723-0EFE-7291-8963FDAFFE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624A6-50C2-70C2-E0DF-AE0FC1A3688D}" mc:Ignorable="x14ac xr xr2 xr3">
  <sheetPr>
    <tabColor rgb="FFFFCC99"/>
  </sheetPr>
  <dimension ref="A1:I620"/>
  <sheetViews>
    <sheetView topLeftCell="A1" showGridLines="0" workbookViewId="0">
      <selection activeCell="A1" sqref="A1"/>
    </sheetView>
  </sheetViews>
  <sheetFormatPr defaultColWidth="9.140625" customHeight="1" defaultRowHeight="11.25"/>
  <cols>
    <col min="1" max="2" style="67502" width="9.140625"/>
    <col min="3" max="3" style="67502" width="20.7109375" customWidth="1"/>
    <col min="4" max="4" style="67502" width="25.140625" customWidth="1"/>
    <col min="5" max="9" style="67502" width="9.140625"/>
  </cols>
  <sheetData>
    <row customHeight="1" ht="11.25">
      <c r="A1" s="1279" t="s">
        <v>2410</v>
      </c>
      <c r="B1" s="1279" t="s">
        <v>2411</v>
      </c>
      <c r="C1" s="1279" t="s">
        <v>2412</v>
      </c>
      <c r="D1" s="1279" t="s">
        <v>2413</v>
      </c>
      <c r="E1" s="1279" t="s">
        <v>2414</v>
      </c>
      <c r="F1" s="1279" t="s">
        <v>2415</v>
      </c>
      <c r="G1" s="1279" t="s">
        <v>2416</v>
      </c>
      <c r="H1" s="1279" t="s">
        <v>2417</v>
      </c>
      <c r="I1" s="1279" t="s">
        <v>2418</v>
      </c>
    </row>
    <row customHeight="1" ht="11.25">
      <c r="A2" s="8299" t="s">
        <v>2419</v>
      </c>
      <c r="B2" s="8299" t="s">
        <v>16</v>
      </c>
      <c r="C2" s="8299" t="s">
        <v>22</v>
      </c>
      <c r="D2" s="8299" t="s">
        <v>2420</v>
      </c>
      <c r="E2" s="8299" t="s">
        <v>2421</v>
      </c>
      <c r="F2" s="8299" t="s">
        <v>2422</v>
      </c>
      <c r="G2" s="8299" t="s">
        <v>22</v>
      </c>
      <c r="H2" s="8299" t="s">
        <v>22</v>
      </c>
      <c r="I2" s="8299" t="s">
        <v>978</v>
      </c>
    </row>
    <row customHeight="1" ht="11.25">
      <c r="A3" s="8299" t="s">
        <v>2419</v>
      </c>
      <c r="B3" s="8299" t="s">
        <v>16</v>
      </c>
      <c r="C3" s="8299" t="s">
        <v>2423</v>
      </c>
      <c r="D3" s="8299" t="s">
        <v>2424</v>
      </c>
      <c r="E3" s="8299" t="s">
        <v>2425</v>
      </c>
      <c r="F3" s="8299" t="s">
        <v>2426</v>
      </c>
      <c r="G3" s="8299" t="s">
        <v>2427</v>
      </c>
      <c r="H3" s="8299" t="s">
        <v>22</v>
      </c>
      <c r="I3" s="8299" t="s">
        <v>978</v>
      </c>
    </row>
    <row customHeight="1" ht="11.25">
      <c r="A4" s="8299" t="s">
        <v>2419</v>
      </c>
      <c r="B4" s="8299" t="s">
        <v>16</v>
      </c>
      <c r="C4" s="8299" t="s">
        <v>2428</v>
      </c>
      <c r="D4" s="8299" t="s">
        <v>2429</v>
      </c>
      <c r="E4" s="8299" t="s">
        <v>2430</v>
      </c>
      <c r="F4" s="8299" t="s">
        <v>2422</v>
      </c>
      <c r="G4" s="8299" t="s">
        <v>2431</v>
      </c>
      <c r="H4" s="8299" t="s">
        <v>22</v>
      </c>
      <c r="I4" s="8299" t="s">
        <v>978</v>
      </c>
    </row>
    <row customHeight="1" ht="11.25">
      <c r="A5" s="8299" t="s">
        <v>2419</v>
      </c>
      <c r="B5" s="8299" t="s">
        <v>16</v>
      </c>
      <c r="C5" s="8299" t="s">
        <v>2432</v>
      </c>
      <c r="D5" s="8299" t="s">
        <v>2433</v>
      </c>
      <c r="E5" s="8299" t="s">
        <v>2434</v>
      </c>
      <c r="F5" s="8299" t="s">
        <v>2435</v>
      </c>
      <c r="G5" s="8299" t="s">
        <v>2436</v>
      </c>
      <c r="H5" s="8299" t="s">
        <v>22</v>
      </c>
      <c r="I5" s="8299" t="s">
        <v>978</v>
      </c>
    </row>
    <row customHeight="1" ht="11.25">
      <c r="A6" s="8299" t="s">
        <v>2419</v>
      </c>
      <c r="B6" s="8299" t="s">
        <v>16</v>
      </c>
      <c r="C6" s="8299" t="s">
        <v>2437</v>
      </c>
      <c r="D6" s="8299" t="s">
        <v>2438</v>
      </c>
      <c r="E6" s="8299" t="s">
        <v>2439</v>
      </c>
      <c r="F6" s="8299" t="s">
        <v>2440</v>
      </c>
      <c r="G6" s="8299" t="s">
        <v>2441</v>
      </c>
      <c r="H6" s="8299" t="s">
        <v>22</v>
      </c>
      <c r="I6" s="8299" t="s">
        <v>978</v>
      </c>
    </row>
    <row customHeight="1" ht="11.25">
      <c r="A7" s="8299" t="s">
        <v>2419</v>
      </c>
      <c r="B7" s="8299" t="s">
        <v>16</v>
      </c>
      <c r="C7" s="8299" t="s">
        <v>2442</v>
      </c>
      <c r="D7" s="8299" t="s">
        <v>2443</v>
      </c>
      <c r="E7" s="8299" t="s">
        <v>2444</v>
      </c>
      <c r="F7" s="8299" t="s">
        <v>2422</v>
      </c>
      <c r="G7" s="8299" t="s">
        <v>2445</v>
      </c>
      <c r="H7" s="8299" t="s">
        <v>22</v>
      </c>
      <c r="I7" s="8299" t="s">
        <v>978</v>
      </c>
    </row>
    <row customHeight="1" ht="11.25">
      <c r="A8" s="8299" t="s">
        <v>2419</v>
      </c>
      <c r="B8" s="8299" t="s">
        <v>16</v>
      </c>
      <c r="C8" s="8299" t="s">
        <v>2446</v>
      </c>
      <c r="D8" s="8299" t="s">
        <v>2447</v>
      </c>
      <c r="E8" s="8299" t="s">
        <v>2448</v>
      </c>
      <c r="F8" s="8299" t="s">
        <v>2422</v>
      </c>
      <c r="G8" s="8299" t="s">
        <v>2449</v>
      </c>
      <c r="H8" s="8299" t="s">
        <v>22</v>
      </c>
      <c r="I8" s="8299" t="s">
        <v>978</v>
      </c>
    </row>
    <row customHeight="1" ht="11.25">
      <c r="A9" s="8299" t="s">
        <v>2419</v>
      </c>
      <c r="B9" s="8299" t="s">
        <v>16</v>
      </c>
      <c r="C9" s="8299" t="s">
        <v>2450</v>
      </c>
      <c r="D9" s="8299" t="s">
        <v>2451</v>
      </c>
      <c r="E9" s="8299" t="s">
        <v>2452</v>
      </c>
      <c r="F9" s="8299" t="s">
        <v>2453</v>
      </c>
      <c r="G9" s="8299" t="s">
        <v>2454</v>
      </c>
      <c r="H9" s="8299" t="s">
        <v>22</v>
      </c>
      <c r="I9" s="8299" t="s">
        <v>978</v>
      </c>
    </row>
    <row customHeight="1" ht="11.25">
      <c r="A10" s="8299" t="s">
        <v>2419</v>
      </c>
      <c r="B10" s="8299" t="s">
        <v>16</v>
      </c>
      <c r="C10" s="8299" t="s">
        <v>2455</v>
      </c>
      <c r="D10" s="8299" t="s">
        <v>2456</v>
      </c>
      <c r="E10" s="8299" t="s">
        <v>2457</v>
      </c>
      <c r="F10" s="8299" t="s">
        <v>2458</v>
      </c>
      <c r="G10" s="8299" t="s">
        <v>22</v>
      </c>
      <c r="H10" s="8299" t="s">
        <v>22</v>
      </c>
      <c r="I10" s="8299" t="s">
        <v>978</v>
      </c>
    </row>
    <row customHeight="1" ht="11.25">
      <c r="A11" s="8299" t="s">
        <v>2419</v>
      </c>
      <c r="B11" s="8299" t="s">
        <v>16</v>
      </c>
      <c r="C11" s="8299" t="s">
        <v>2459</v>
      </c>
      <c r="D11" s="8299" t="s">
        <v>2460</v>
      </c>
      <c r="E11" s="8299" t="s">
        <v>2461</v>
      </c>
      <c r="F11" s="8299" t="s">
        <v>2462</v>
      </c>
      <c r="G11" s="8299" t="s">
        <v>22</v>
      </c>
      <c r="H11" s="8299" t="s">
        <v>22</v>
      </c>
      <c r="I11" s="8299" t="s">
        <v>978</v>
      </c>
    </row>
    <row customHeight="1" ht="11.25">
      <c r="A12" s="8299" t="s">
        <v>2419</v>
      </c>
      <c r="B12" s="8299" t="s">
        <v>16</v>
      </c>
      <c r="C12" s="8299" t="s">
        <v>2463</v>
      </c>
      <c r="D12" s="8299" t="s">
        <v>2464</v>
      </c>
      <c r="E12" s="8299" t="s">
        <v>2465</v>
      </c>
      <c r="F12" s="8299" t="s">
        <v>2466</v>
      </c>
      <c r="G12" s="8299" t="s">
        <v>2467</v>
      </c>
      <c r="H12" s="8299" t="s">
        <v>22</v>
      </c>
      <c r="I12" s="8299" t="s">
        <v>978</v>
      </c>
    </row>
    <row customHeight="1" ht="11.25">
      <c r="A13" s="8299" t="s">
        <v>2419</v>
      </c>
      <c r="B13" s="8299" t="s">
        <v>16</v>
      </c>
      <c r="C13" s="8299" t="s">
        <v>2468</v>
      </c>
      <c r="D13" s="8299" t="s">
        <v>2469</v>
      </c>
      <c r="E13" s="8299" t="s">
        <v>2470</v>
      </c>
      <c r="F13" s="8299" t="s">
        <v>2471</v>
      </c>
      <c r="G13" s="8299" t="s">
        <v>2472</v>
      </c>
      <c r="H13" s="8299" t="s">
        <v>22</v>
      </c>
      <c r="I13" s="8299" t="s">
        <v>978</v>
      </c>
    </row>
    <row customHeight="1" ht="11.25">
      <c r="A14" s="8299" t="s">
        <v>2419</v>
      </c>
      <c r="B14" s="8299" t="s">
        <v>16</v>
      </c>
      <c r="C14" s="8299" t="s">
        <v>2473</v>
      </c>
      <c r="D14" s="8299" t="s">
        <v>2474</v>
      </c>
      <c r="E14" s="8299" t="s">
        <v>2475</v>
      </c>
      <c r="F14" s="8299" t="s">
        <v>2476</v>
      </c>
      <c r="G14" s="8299" t="s">
        <v>2477</v>
      </c>
      <c r="H14" s="8299" t="s">
        <v>22</v>
      </c>
      <c r="I14" s="8299" t="s">
        <v>978</v>
      </c>
    </row>
    <row customHeight="1" ht="11.25">
      <c r="A15" s="8299" t="s">
        <v>2419</v>
      </c>
      <c r="B15" s="8299" t="s">
        <v>16</v>
      </c>
      <c r="C15" s="8299" t="s">
        <v>2478</v>
      </c>
      <c r="D15" s="8299" t="s">
        <v>2479</v>
      </c>
      <c r="E15" s="8299" t="s">
        <v>2480</v>
      </c>
      <c r="F15" s="8299" t="s">
        <v>2481</v>
      </c>
      <c r="G15" s="8299" t="s">
        <v>2482</v>
      </c>
      <c r="H15" s="8299" t="s">
        <v>22</v>
      </c>
      <c r="I15" s="8299" t="s">
        <v>978</v>
      </c>
    </row>
    <row customHeight="1" ht="11.25">
      <c r="A16" s="8299" t="s">
        <v>2419</v>
      </c>
      <c r="B16" s="8299" t="s">
        <v>16</v>
      </c>
      <c r="C16" s="8299" t="s">
        <v>2483</v>
      </c>
      <c r="D16" s="8299" t="s">
        <v>2484</v>
      </c>
      <c r="E16" s="8299" t="s">
        <v>2485</v>
      </c>
      <c r="F16" s="8299" t="s">
        <v>2481</v>
      </c>
      <c r="G16" s="8299" t="s">
        <v>2486</v>
      </c>
      <c r="H16" s="8299" t="s">
        <v>22</v>
      </c>
      <c r="I16" s="8299" t="s">
        <v>978</v>
      </c>
    </row>
    <row customHeight="1" ht="11.25">
      <c r="A17" s="8299" t="s">
        <v>2419</v>
      </c>
      <c r="B17" s="8299" t="s">
        <v>16</v>
      </c>
      <c r="C17" s="8299" t="s">
        <v>2487</v>
      </c>
      <c r="D17" s="8299" t="s">
        <v>2488</v>
      </c>
      <c r="E17" s="8299" t="s">
        <v>2489</v>
      </c>
      <c r="F17" s="8299" t="s">
        <v>2490</v>
      </c>
      <c r="G17" s="8299" t="s">
        <v>2491</v>
      </c>
      <c r="H17" s="8299" t="s">
        <v>22</v>
      </c>
      <c r="I17" s="8299" t="s">
        <v>978</v>
      </c>
    </row>
    <row customHeight="1" ht="11.25">
      <c r="A18" s="8299" t="s">
        <v>2419</v>
      </c>
      <c r="B18" s="8299" t="s">
        <v>16</v>
      </c>
      <c r="C18" s="8299" t="s">
        <v>2492</v>
      </c>
      <c r="D18" s="8299" t="s">
        <v>2493</v>
      </c>
      <c r="E18" s="8299" t="s">
        <v>2494</v>
      </c>
      <c r="F18" s="8299" t="s">
        <v>2440</v>
      </c>
      <c r="G18" s="8299" t="s">
        <v>2495</v>
      </c>
      <c r="H18" s="8299" t="s">
        <v>22</v>
      </c>
      <c r="I18" s="8299" t="s">
        <v>978</v>
      </c>
    </row>
    <row customHeight="1" ht="11.25">
      <c r="A19" s="8299" t="s">
        <v>2419</v>
      </c>
      <c r="B19" s="8299" t="s">
        <v>16</v>
      </c>
      <c r="C19" s="8299" t="s">
        <v>2496</v>
      </c>
      <c r="D19" s="8299" t="s">
        <v>2497</v>
      </c>
      <c r="E19" s="8299" t="s">
        <v>2498</v>
      </c>
      <c r="F19" s="8299" t="s">
        <v>2490</v>
      </c>
      <c r="G19" s="8299" t="s">
        <v>2499</v>
      </c>
      <c r="H19" s="8299" t="s">
        <v>22</v>
      </c>
      <c r="I19" s="8299" t="s">
        <v>978</v>
      </c>
    </row>
    <row customHeight="1" ht="11.25">
      <c r="A20" s="8299" t="s">
        <v>2419</v>
      </c>
      <c r="B20" s="8299" t="s">
        <v>16</v>
      </c>
      <c r="C20" s="8299" t="s">
        <v>2500</v>
      </c>
      <c r="D20" s="8299" t="s">
        <v>2501</v>
      </c>
      <c r="E20" s="8299" t="s">
        <v>2502</v>
      </c>
      <c r="F20" s="8299" t="s">
        <v>2490</v>
      </c>
      <c r="G20" s="8299" t="s">
        <v>2503</v>
      </c>
      <c r="H20" s="8299" t="s">
        <v>22</v>
      </c>
      <c r="I20" s="8299" t="s">
        <v>978</v>
      </c>
    </row>
    <row customHeight="1" ht="11.25">
      <c r="A21" s="8299" t="s">
        <v>2419</v>
      </c>
      <c r="B21" s="8299" t="s">
        <v>16</v>
      </c>
      <c r="C21" s="8299" t="s">
        <v>2504</v>
      </c>
      <c r="D21" s="8299" t="s">
        <v>2505</v>
      </c>
      <c r="E21" s="8299" t="s">
        <v>2506</v>
      </c>
      <c r="F21" s="8299" t="s">
        <v>2507</v>
      </c>
      <c r="G21" s="8299" t="s">
        <v>2508</v>
      </c>
      <c r="H21" s="8299" t="s">
        <v>22</v>
      </c>
      <c r="I21" s="8299" t="s">
        <v>978</v>
      </c>
    </row>
    <row customHeight="1" ht="11.25">
      <c r="A22" s="8299" t="s">
        <v>2419</v>
      </c>
      <c r="B22" s="8299" t="s">
        <v>16</v>
      </c>
      <c r="C22" s="8299" t="s">
        <v>2509</v>
      </c>
      <c r="D22" s="8299" t="s">
        <v>2510</v>
      </c>
      <c r="E22" s="8299" t="s">
        <v>2511</v>
      </c>
      <c r="F22" s="8299" t="s">
        <v>2512</v>
      </c>
      <c r="G22" s="8299" t="s">
        <v>22</v>
      </c>
      <c r="H22" s="8299" t="s">
        <v>22</v>
      </c>
      <c r="I22" s="8299" t="s">
        <v>978</v>
      </c>
    </row>
    <row customHeight="1" ht="11.25">
      <c r="A23" s="8299" t="s">
        <v>2419</v>
      </c>
      <c r="B23" s="8299" t="s">
        <v>16</v>
      </c>
      <c r="C23" s="8299" t="s">
        <v>2513</v>
      </c>
      <c r="D23" s="8299" t="s">
        <v>2514</v>
      </c>
      <c r="E23" s="8299" t="s">
        <v>2444</v>
      </c>
      <c r="F23" s="8299" t="s">
        <v>2515</v>
      </c>
      <c r="G23" s="8299" t="s">
        <v>2516</v>
      </c>
      <c r="H23" s="8299" t="s">
        <v>22</v>
      </c>
      <c r="I23" s="8299" t="s">
        <v>978</v>
      </c>
    </row>
    <row customHeight="1" ht="11.25">
      <c r="A24" s="8299" t="s">
        <v>2419</v>
      </c>
      <c r="B24" s="8299" t="s">
        <v>16</v>
      </c>
      <c r="C24" s="8299" t="s">
        <v>2517</v>
      </c>
      <c r="D24" s="8299" t="s">
        <v>2518</v>
      </c>
      <c r="E24" s="8299" t="s">
        <v>2519</v>
      </c>
      <c r="F24" s="8299" t="s">
        <v>2520</v>
      </c>
      <c r="G24" s="8299" t="s">
        <v>2521</v>
      </c>
      <c r="H24" s="8299" t="s">
        <v>22</v>
      </c>
      <c r="I24" s="8299" t="s">
        <v>978</v>
      </c>
    </row>
    <row customHeight="1" ht="11.25">
      <c r="A25" s="8299" t="s">
        <v>2419</v>
      </c>
      <c r="B25" s="8299" t="s">
        <v>16</v>
      </c>
      <c r="C25" s="8299" t="s">
        <v>2522</v>
      </c>
      <c r="D25" s="8299" t="s">
        <v>2523</v>
      </c>
      <c r="E25" s="8299" t="s">
        <v>2444</v>
      </c>
      <c r="F25" s="8299" t="s">
        <v>2524</v>
      </c>
      <c r="G25" s="8299" t="s">
        <v>2445</v>
      </c>
      <c r="H25" s="8299" t="s">
        <v>22</v>
      </c>
      <c r="I25" s="8299" t="s">
        <v>978</v>
      </c>
    </row>
    <row customHeight="1" ht="11.25">
      <c r="A26" s="8299" t="s">
        <v>2419</v>
      </c>
      <c r="B26" s="8299" t="s">
        <v>16</v>
      </c>
      <c r="C26" s="8299" t="s">
        <v>2525</v>
      </c>
      <c r="D26" s="8299" t="s">
        <v>2526</v>
      </c>
      <c r="E26" s="8299" t="s">
        <v>2527</v>
      </c>
      <c r="F26" s="8299" t="s">
        <v>2528</v>
      </c>
      <c r="G26" s="8299" t="s">
        <v>2529</v>
      </c>
      <c r="H26" s="8299" t="s">
        <v>22</v>
      </c>
      <c r="I26" s="8299" t="s">
        <v>978</v>
      </c>
    </row>
    <row customHeight="1" ht="11.25">
      <c r="A27" s="8299" t="s">
        <v>2419</v>
      </c>
      <c r="B27" s="8299" t="s">
        <v>16</v>
      </c>
      <c r="C27" s="8299" t="s">
        <v>2530</v>
      </c>
      <c r="D27" s="8299" t="s">
        <v>2531</v>
      </c>
      <c r="E27" s="8299" t="s">
        <v>2532</v>
      </c>
      <c r="F27" s="8299" t="s">
        <v>2422</v>
      </c>
      <c r="G27" s="8299" t="s">
        <v>2533</v>
      </c>
      <c r="H27" s="8299" t="s">
        <v>22</v>
      </c>
      <c r="I27" s="8299" t="s">
        <v>978</v>
      </c>
    </row>
    <row customHeight="1" ht="11.25">
      <c r="A28" s="8299" t="s">
        <v>2419</v>
      </c>
      <c r="B28" s="8299" t="s">
        <v>16</v>
      </c>
      <c r="C28" s="8299" t="s">
        <v>2534</v>
      </c>
      <c r="D28" s="8299" t="s">
        <v>2535</v>
      </c>
      <c r="E28" s="8299" t="s">
        <v>2536</v>
      </c>
      <c r="F28" s="8299" t="s">
        <v>2471</v>
      </c>
      <c r="G28" s="8299" t="s">
        <v>2537</v>
      </c>
      <c r="H28" s="8299" t="s">
        <v>22</v>
      </c>
      <c r="I28" s="8299" t="s">
        <v>978</v>
      </c>
    </row>
    <row customHeight="1" ht="11.25">
      <c r="A29" s="8299" t="s">
        <v>2419</v>
      </c>
      <c r="B29" s="8299" t="s">
        <v>16</v>
      </c>
      <c r="C29" s="8299" t="s">
        <v>2538</v>
      </c>
      <c r="D29" s="8299" t="s">
        <v>2539</v>
      </c>
      <c r="E29" s="8299" t="s">
        <v>2540</v>
      </c>
      <c r="F29" s="8299" t="s">
        <v>2541</v>
      </c>
      <c r="G29" s="8299" t="s">
        <v>2521</v>
      </c>
      <c r="H29" s="8299" t="s">
        <v>22</v>
      </c>
      <c r="I29" s="8299" t="s">
        <v>978</v>
      </c>
    </row>
    <row customHeight="1" ht="11.25">
      <c r="A30" s="8299" t="s">
        <v>2419</v>
      </c>
      <c r="B30" s="8299" t="s">
        <v>16</v>
      </c>
      <c r="C30" s="8299" t="s">
        <v>2542</v>
      </c>
      <c r="D30" s="8299" t="s">
        <v>2543</v>
      </c>
      <c r="E30" s="8299" t="s">
        <v>2544</v>
      </c>
      <c r="F30" s="8299" t="s">
        <v>2422</v>
      </c>
      <c r="G30" s="8299" t="s">
        <v>2545</v>
      </c>
      <c r="H30" s="8299" t="s">
        <v>22</v>
      </c>
      <c r="I30" s="8299" t="s">
        <v>978</v>
      </c>
    </row>
    <row customHeight="1" ht="11.25">
      <c r="A31" s="8299" t="s">
        <v>2419</v>
      </c>
      <c r="B31" s="8299" t="s">
        <v>16</v>
      </c>
      <c r="C31" s="8299" t="s">
        <v>2546</v>
      </c>
      <c r="D31" s="8299" t="s">
        <v>2547</v>
      </c>
      <c r="E31" s="8299" t="s">
        <v>2548</v>
      </c>
      <c r="F31" s="8299" t="s">
        <v>2549</v>
      </c>
      <c r="G31" s="8299" t="s">
        <v>22</v>
      </c>
      <c r="H31" s="8299" t="s">
        <v>22</v>
      </c>
      <c r="I31" s="8299" t="s">
        <v>978</v>
      </c>
    </row>
    <row customHeight="1" ht="11.25">
      <c r="A32" s="8299" t="s">
        <v>2419</v>
      </c>
      <c r="B32" s="8299" t="s">
        <v>16</v>
      </c>
      <c r="C32" s="8299" t="s">
        <v>2550</v>
      </c>
      <c r="D32" s="8299" t="s">
        <v>2551</v>
      </c>
      <c r="E32" s="8299" t="s">
        <v>2552</v>
      </c>
      <c r="F32" s="8299" t="s">
        <v>599</v>
      </c>
      <c r="G32" s="8299" t="s">
        <v>2553</v>
      </c>
      <c r="H32" s="8299" t="s">
        <v>22</v>
      </c>
      <c r="I32" s="8299" t="s">
        <v>978</v>
      </c>
    </row>
    <row customHeight="1" ht="11.25">
      <c r="A33" s="8299" t="s">
        <v>2419</v>
      </c>
      <c r="B33" s="8299" t="s">
        <v>16</v>
      </c>
      <c r="C33" s="8299" t="s">
        <v>2554</v>
      </c>
      <c r="D33" s="8299" t="s">
        <v>2555</v>
      </c>
      <c r="E33" s="8299" t="s">
        <v>2556</v>
      </c>
      <c r="F33" s="8299" t="s">
        <v>599</v>
      </c>
      <c r="G33" s="8299" t="s">
        <v>2557</v>
      </c>
      <c r="H33" s="8299" t="s">
        <v>22</v>
      </c>
      <c r="I33" s="8299" t="s">
        <v>978</v>
      </c>
    </row>
    <row customHeight="1" ht="11.25">
      <c r="A34" s="8299" t="s">
        <v>2419</v>
      </c>
      <c r="B34" s="8299" t="s">
        <v>16</v>
      </c>
      <c r="C34" s="8299" t="s">
        <v>2558</v>
      </c>
      <c r="D34" s="8299" t="s">
        <v>2559</v>
      </c>
      <c r="E34" s="8299" t="s">
        <v>2560</v>
      </c>
      <c r="F34" s="8299" t="s">
        <v>599</v>
      </c>
      <c r="G34" s="8299" t="s">
        <v>2561</v>
      </c>
      <c r="H34" s="8299" t="s">
        <v>22</v>
      </c>
      <c r="I34" s="8299" t="s">
        <v>978</v>
      </c>
    </row>
    <row customHeight="1" ht="11.25">
      <c r="A35" s="8299" t="s">
        <v>2419</v>
      </c>
      <c r="B35" s="8299" t="s">
        <v>16</v>
      </c>
      <c r="C35" s="8299" t="s">
        <v>2562</v>
      </c>
      <c r="D35" s="8299" t="s">
        <v>2563</v>
      </c>
      <c r="E35" s="8299" t="s">
        <v>2564</v>
      </c>
      <c r="F35" s="8299" t="s">
        <v>599</v>
      </c>
      <c r="G35" s="8299" t="s">
        <v>22</v>
      </c>
      <c r="H35" s="8299" t="s">
        <v>22</v>
      </c>
      <c r="I35" s="8299" t="s">
        <v>978</v>
      </c>
    </row>
    <row customHeight="1" ht="11.25">
      <c r="A36" s="8299" t="s">
        <v>2419</v>
      </c>
      <c r="B36" s="8299" t="s">
        <v>16</v>
      </c>
      <c r="C36" s="8299" t="s">
        <v>2565</v>
      </c>
      <c r="D36" s="8299" t="s">
        <v>2566</v>
      </c>
      <c r="E36" s="8299" t="s">
        <v>2567</v>
      </c>
      <c r="F36" s="8299" t="s">
        <v>599</v>
      </c>
      <c r="G36" s="8299" t="s">
        <v>2568</v>
      </c>
      <c r="H36" s="8299" t="s">
        <v>22</v>
      </c>
      <c r="I36" s="8299" t="s">
        <v>978</v>
      </c>
    </row>
    <row customHeight="1" ht="11.25">
      <c r="A37" s="8299" t="s">
        <v>2419</v>
      </c>
      <c r="B37" s="8299" t="s">
        <v>16</v>
      </c>
      <c r="C37" s="8299" t="s">
        <v>2569</v>
      </c>
      <c r="D37" s="8299" t="s">
        <v>2570</v>
      </c>
      <c r="E37" s="8299" t="s">
        <v>2571</v>
      </c>
      <c r="F37" s="8299" t="s">
        <v>599</v>
      </c>
      <c r="G37" s="8299" t="s">
        <v>2572</v>
      </c>
      <c r="H37" s="8299" t="s">
        <v>22</v>
      </c>
      <c r="I37" s="8299" t="s">
        <v>978</v>
      </c>
    </row>
    <row customHeight="1" ht="11.25">
      <c r="A38" s="8299" t="s">
        <v>2419</v>
      </c>
      <c r="B38" s="8299" t="s">
        <v>16</v>
      </c>
      <c r="C38" s="8299" t="s">
        <v>2573</v>
      </c>
      <c r="D38" s="8299" t="s">
        <v>2574</v>
      </c>
      <c r="E38" s="8299" t="s">
        <v>2575</v>
      </c>
      <c r="F38" s="8299" t="s">
        <v>599</v>
      </c>
      <c r="G38" s="8299" t="s">
        <v>2576</v>
      </c>
      <c r="H38" s="8299" t="s">
        <v>22</v>
      </c>
      <c r="I38" s="8299" t="s">
        <v>978</v>
      </c>
    </row>
    <row customHeight="1" ht="11.25">
      <c r="A39" s="8299" t="s">
        <v>2419</v>
      </c>
      <c r="B39" s="8299" t="s">
        <v>16</v>
      </c>
      <c r="C39" s="8299" t="s">
        <v>2577</v>
      </c>
      <c r="D39" s="8299" t="s">
        <v>2578</v>
      </c>
      <c r="E39" s="8299" t="s">
        <v>2579</v>
      </c>
      <c r="F39" s="8299" t="s">
        <v>2580</v>
      </c>
      <c r="G39" s="8299" t="s">
        <v>2581</v>
      </c>
      <c r="H39" s="8299" t="s">
        <v>22</v>
      </c>
      <c r="I39" s="8299" t="s">
        <v>978</v>
      </c>
    </row>
    <row customHeight="1" ht="11.25">
      <c r="A40" s="8299" t="s">
        <v>2419</v>
      </c>
      <c r="B40" s="8299" t="s">
        <v>16</v>
      </c>
      <c r="C40" s="8299" t="s">
        <v>2582</v>
      </c>
      <c r="D40" s="8299" t="s">
        <v>2583</v>
      </c>
      <c r="E40" s="8299" t="s">
        <v>2444</v>
      </c>
      <c r="F40" s="8299" t="s">
        <v>2584</v>
      </c>
      <c r="G40" s="8299" t="s">
        <v>2445</v>
      </c>
      <c r="H40" s="8299" t="s">
        <v>22</v>
      </c>
      <c r="I40" s="8299" t="s">
        <v>978</v>
      </c>
    </row>
    <row customHeight="1" ht="11.25">
      <c r="A41" s="8299" t="s">
        <v>2419</v>
      </c>
      <c r="B41" s="8299" t="s">
        <v>16</v>
      </c>
      <c r="C41" s="8299" t="s">
        <v>2585</v>
      </c>
      <c r="D41" s="8299" t="s">
        <v>2586</v>
      </c>
      <c r="E41" s="8299" t="s">
        <v>2444</v>
      </c>
      <c r="F41" s="8299" t="s">
        <v>2587</v>
      </c>
      <c r="G41" s="8299" t="s">
        <v>2445</v>
      </c>
      <c r="H41" s="8299" t="s">
        <v>22</v>
      </c>
      <c r="I41" s="8299" t="s">
        <v>978</v>
      </c>
    </row>
    <row customHeight="1" ht="11.25">
      <c r="A42" s="8299" t="s">
        <v>2419</v>
      </c>
      <c r="B42" s="8299" t="s">
        <v>16</v>
      </c>
      <c r="C42" s="8299" t="s">
        <v>2588</v>
      </c>
      <c r="D42" s="8299" t="s">
        <v>2589</v>
      </c>
      <c r="E42" s="8299" t="s">
        <v>2590</v>
      </c>
      <c r="F42" s="8299" t="s">
        <v>2580</v>
      </c>
      <c r="G42" s="8299" t="s">
        <v>2591</v>
      </c>
      <c r="H42" s="8299" t="s">
        <v>22</v>
      </c>
      <c r="I42" s="8299" t="s">
        <v>978</v>
      </c>
    </row>
    <row customHeight="1" ht="11.25">
      <c r="A43" s="8299" t="s">
        <v>2419</v>
      </c>
      <c r="B43" s="8299" t="s">
        <v>16</v>
      </c>
      <c r="C43" s="8299" t="s">
        <v>2592</v>
      </c>
      <c r="D43" s="8299" t="s">
        <v>2593</v>
      </c>
      <c r="E43" s="8299" t="s">
        <v>2594</v>
      </c>
      <c r="F43" s="8299" t="s">
        <v>2595</v>
      </c>
      <c r="G43" s="8299" t="s">
        <v>2596</v>
      </c>
      <c r="H43" s="8299" t="s">
        <v>22</v>
      </c>
      <c r="I43" s="8299" t="s">
        <v>978</v>
      </c>
    </row>
    <row customHeight="1" ht="11.25">
      <c r="A44" s="8299" t="s">
        <v>2419</v>
      </c>
      <c r="B44" s="8299" t="s">
        <v>16</v>
      </c>
      <c r="C44" s="8299" t="s">
        <v>2597</v>
      </c>
      <c r="D44" s="8299" t="s">
        <v>2598</v>
      </c>
      <c r="E44" s="8299" t="s">
        <v>2599</v>
      </c>
      <c r="F44" s="8299" t="s">
        <v>2600</v>
      </c>
      <c r="G44" s="8299" t="s">
        <v>2601</v>
      </c>
      <c r="H44" s="8299" t="s">
        <v>22</v>
      </c>
      <c r="I44" s="8299" t="s">
        <v>978</v>
      </c>
    </row>
    <row customHeight="1" ht="11.25">
      <c r="A45" s="8299" t="s">
        <v>2419</v>
      </c>
      <c r="B45" s="8299" t="s">
        <v>16</v>
      </c>
      <c r="C45" s="8299" t="s">
        <v>2602</v>
      </c>
      <c r="D45" s="8299" t="s">
        <v>2603</v>
      </c>
      <c r="E45" s="8299" t="s">
        <v>2604</v>
      </c>
      <c r="F45" s="8299" t="s">
        <v>2600</v>
      </c>
      <c r="G45" s="8299" t="s">
        <v>2605</v>
      </c>
      <c r="H45" s="8299" t="s">
        <v>22</v>
      </c>
      <c r="I45" s="8299" t="s">
        <v>978</v>
      </c>
    </row>
    <row customHeight="1" ht="11.25">
      <c r="A46" s="8299" t="s">
        <v>2419</v>
      </c>
      <c r="B46" s="8299" t="s">
        <v>16</v>
      </c>
      <c r="C46" s="8299" t="s">
        <v>2606</v>
      </c>
      <c r="D46" s="8299" t="s">
        <v>2607</v>
      </c>
      <c r="E46" s="8299" t="s">
        <v>2608</v>
      </c>
      <c r="F46" s="8299" t="s">
        <v>2600</v>
      </c>
      <c r="G46" s="8299" t="s">
        <v>2609</v>
      </c>
      <c r="H46" s="8299" t="s">
        <v>22</v>
      </c>
      <c r="I46" s="8299" t="s">
        <v>978</v>
      </c>
    </row>
    <row customHeight="1" ht="11.25">
      <c r="A47" s="8299" t="s">
        <v>2419</v>
      </c>
      <c r="B47" s="8299" t="s">
        <v>16</v>
      </c>
      <c r="C47" s="8299" t="s">
        <v>2610</v>
      </c>
      <c r="D47" s="8299" t="s">
        <v>2611</v>
      </c>
      <c r="E47" s="8299" t="s">
        <v>2612</v>
      </c>
      <c r="F47" s="8299" t="s">
        <v>2600</v>
      </c>
      <c r="G47" s="8299" t="s">
        <v>2613</v>
      </c>
      <c r="H47" s="8299" t="s">
        <v>22</v>
      </c>
      <c r="I47" s="8299" t="s">
        <v>978</v>
      </c>
    </row>
    <row customHeight="1" ht="11.25">
      <c r="A48" s="8299" t="s">
        <v>2419</v>
      </c>
      <c r="B48" s="8299" t="s">
        <v>16</v>
      </c>
      <c r="C48" s="8299" t="s">
        <v>2614</v>
      </c>
      <c r="D48" s="8299" t="s">
        <v>2615</v>
      </c>
      <c r="E48" s="8299" t="s">
        <v>2616</v>
      </c>
      <c r="F48" s="8299" t="s">
        <v>2595</v>
      </c>
      <c r="G48" s="8299" t="s">
        <v>2617</v>
      </c>
      <c r="H48" s="8299" t="s">
        <v>22</v>
      </c>
      <c r="I48" s="8299" t="s">
        <v>978</v>
      </c>
    </row>
    <row customHeight="1" ht="11.25">
      <c r="A49" s="8299" t="s">
        <v>2419</v>
      </c>
      <c r="B49" s="8299" t="s">
        <v>16</v>
      </c>
      <c r="C49" s="8299" t="s">
        <v>2618</v>
      </c>
      <c r="D49" s="8299" t="s">
        <v>2619</v>
      </c>
      <c r="E49" s="8299" t="s">
        <v>2620</v>
      </c>
      <c r="F49" s="8299" t="s">
        <v>2621</v>
      </c>
      <c r="G49" s="8299" t="s">
        <v>22</v>
      </c>
      <c r="H49" s="8299" t="s">
        <v>22</v>
      </c>
      <c r="I49" s="8299" t="s">
        <v>978</v>
      </c>
    </row>
    <row customHeight="1" ht="11.25">
      <c r="A50" s="8299" t="s">
        <v>2419</v>
      </c>
      <c r="B50" s="8299" t="s">
        <v>16</v>
      </c>
      <c r="C50" s="8299" t="s">
        <v>2622</v>
      </c>
      <c r="D50" s="8299" t="s">
        <v>2623</v>
      </c>
      <c r="E50" s="8299" t="s">
        <v>2624</v>
      </c>
      <c r="F50" s="8299" t="s">
        <v>2625</v>
      </c>
      <c r="G50" s="8299" t="s">
        <v>2626</v>
      </c>
      <c r="H50" s="8299" t="s">
        <v>22</v>
      </c>
      <c r="I50" s="8299" t="s">
        <v>978</v>
      </c>
    </row>
    <row customHeight="1" ht="11.25">
      <c r="A51" s="8299" t="s">
        <v>2419</v>
      </c>
      <c r="B51" s="8299" t="s">
        <v>16</v>
      </c>
      <c r="C51" s="8299" t="s">
        <v>2627</v>
      </c>
      <c r="D51" s="8299" t="s">
        <v>2628</v>
      </c>
      <c r="E51" s="8299" t="s">
        <v>2629</v>
      </c>
      <c r="F51" s="8299" t="s">
        <v>2541</v>
      </c>
      <c r="G51" s="8299" t="s">
        <v>2630</v>
      </c>
      <c r="H51" s="8299" t="s">
        <v>22</v>
      </c>
      <c r="I51" s="8299" t="s">
        <v>978</v>
      </c>
    </row>
    <row customHeight="1" ht="11.25">
      <c r="A52" s="8299" t="s">
        <v>2419</v>
      </c>
      <c r="B52" s="8299" t="s">
        <v>16</v>
      </c>
      <c r="C52" s="8299" t="s">
        <v>2631</v>
      </c>
      <c r="D52" s="8299" t="s">
        <v>2632</v>
      </c>
      <c r="E52" s="8299" t="s">
        <v>2633</v>
      </c>
      <c r="F52" s="8299" t="s">
        <v>2580</v>
      </c>
      <c r="G52" s="8299" t="s">
        <v>2634</v>
      </c>
      <c r="H52" s="8299" t="s">
        <v>22</v>
      </c>
      <c r="I52" s="8299" t="s">
        <v>978</v>
      </c>
    </row>
    <row customHeight="1" ht="11.25">
      <c r="A53" s="8299" t="s">
        <v>2419</v>
      </c>
      <c r="B53" s="8299" t="s">
        <v>16</v>
      </c>
      <c r="C53" s="8299" t="s">
        <v>2635</v>
      </c>
      <c r="D53" s="8299" t="s">
        <v>2636</v>
      </c>
      <c r="E53" s="8299" t="s">
        <v>2637</v>
      </c>
      <c r="F53" s="8299" t="s">
        <v>2595</v>
      </c>
      <c r="G53" s="8299" t="s">
        <v>2596</v>
      </c>
      <c r="H53" s="8299" t="s">
        <v>22</v>
      </c>
      <c r="I53" s="8299" t="s">
        <v>978</v>
      </c>
    </row>
    <row customHeight="1" ht="11.25">
      <c r="A54" s="8299" t="s">
        <v>2419</v>
      </c>
      <c r="B54" s="8299" t="s">
        <v>16</v>
      </c>
      <c r="C54" s="8299" t="s">
        <v>2638</v>
      </c>
      <c r="D54" s="8299" t="s">
        <v>2639</v>
      </c>
      <c r="E54" s="8299" t="s">
        <v>2640</v>
      </c>
      <c r="F54" s="8299" t="s">
        <v>2621</v>
      </c>
      <c r="G54" s="8299" t="s">
        <v>2641</v>
      </c>
      <c r="H54" s="8299" t="s">
        <v>22</v>
      </c>
      <c r="I54" s="8299" t="s">
        <v>978</v>
      </c>
    </row>
    <row customHeight="1" ht="11.25">
      <c r="A55" s="8299" t="s">
        <v>2419</v>
      </c>
      <c r="B55" s="8299" t="s">
        <v>16</v>
      </c>
      <c r="C55" s="8299" t="s">
        <v>2642</v>
      </c>
      <c r="D55" s="8299" t="s">
        <v>2643</v>
      </c>
      <c r="E55" s="8299" t="s">
        <v>2644</v>
      </c>
      <c r="F55" s="8299" t="s">
        <v>2520</v>
      </c>
      <c r="G55" s="8299" t="s">
        <v>2645</v>
      </c>
      <c r="H55" s="8299" t="s">
        <v>22</v>
      </c>
      <c r="I55" s="8299" t="s">
        <v>978</v>
      </c>
    </row>
    <row customHeight="1" ht="11.25">
      <c r="A56" s="8299" t="s">
        <v>2419</v>
      </c>
      <c r="B56" s="8299" t="s">
        <v>16</v>
      </c>
      <c r="C56" s="8299" t="s">
        <v>2646</v>
      </c>
      <c r="D56" s="8299" t="s">
        <v>2647</v>
      </c>
      <c r="E56" s="8299" t="s">
        <v>2648</v>
      </c>
      <c r="F56" s="8299" t="s">
        <v>2541</v>
      </c>
      <c r="G56" s="8299" t="s">
        <v>2649</v>
      </c>
      <c r="H56" s="8299" t="s">
        <v>22</v>
      </c>
      <c r="I56" s="8299" t="s">
        <v>978</v>
      </c>
    </row>
    <row customHeight="1" ht="11.25">
      <c r="A57" s="8299" t="s">
        <v>2419</v>
      </c>
      <c r="B57" s="8299" t="s">
        <v>16</v>
      </c>
      <c r="C57" s="8299" t="s">
        <v>2650</v>
      </c>
      <c r="D57" s="8299" t="s">
        <v>2651</v>
      </c>
      <c r="E57" s="8299" t="s">
        <v>2652</v>
      </c>
      <c r="F57" s="8299" t="s">
        <v>2490</v>
      </c>
      <c r="G57" s="8299" t="s">
        <v>2503</v>
      </c>
      <c r="H57" s="8299" t="s">
        <v>22</v>
      </c>
      <c r="I57" s="8299" t="s">
        <v>978</v>
      </c>
    </row>
    <row customHeight="1" ht="11.25">
      <c r="A58" s="8299" t="s">
        <v>2419</v>
      </c>
      <c r="B58" s="8299" t="s">
        <v>16</v>
      </c>
      <c r="C58" s="8299" t="s">
        <v>2653</v>
      </c>
      <c r="D58" s="8299" t="s">
        <v>2654</v>
      </c>
      <c r="E58" s="8299" t="s">
        <v>2655</v>
      </c>
      <c r="F58" s="8299" t="s">
        <v>2621</v>
      </c>
      <c r="G58" s="8299" t="s">
        <v>2656</v>
      </c>
      <c r="H58" s="8299" t="s">
        <v>22</v>
      </c>
      <c r="I58" s="8299" t="s">
        <v>978</v>
      </c>
    </row>
    <row customHeight="1" ht="11.25">
      <c r="A59" s="8299" t="s">
        <v>2419</v>
      </c>
      <c r="B59" s="8299" t="s">
        <v>16</v>
      </c>
      <c r="C59" s="8299" t="s">
        <v>2657</v>
      </c>
      <c r="D59" s="8299" t="s">
        <v>2658</v>
      </c>
      <c r="E59" s="8299" t="s">
        <v>2659</v>
      </c>
      <c r="F59" s="8299" t="s">
        <v>2660</v>
      </c>
      <c r="G59" s="8299" t="s">
        <v>2661</v>
      </c>
      <c r="H59" s="8299" t="s">
        <v>22</v>
      </c>
      <c r="I59" s="8299" t="s">
        <v>978</v>
      </c>
    </row>
    <row customHeight="1" ht="11.25">
      <c r="A60" s="8299" t="s">
        <v>2419</v>
      </c>
      <c r="B60" s="8299" t="s">
        <v>16</v>
      </c>
      <c r="C60" s="8299" t="s">
        <v>2662</v>
      </c>
      <c r="D60" s="8299" t="s">
        <v>2663</v>
      </c>
      <c r="E60" s="8299" t="s">
        <v>2664</v>
      </c>
      <c r="F60" s="8299" t="s">
        <v>2621</v>
      </c>
      <c r="G60" s="8299" t="s">
        <v>2665</v>
      </c>
      <c r="H60" s="8299" t="s">
        <v>22</v>
      </c>
      <c r="I60" s="8299" t="s">
        <v>978</v>
      </c>
    </row>
    <row customHeight="1" ht="11.25">
      <c r="A61" s="8299" t="s">
        <v>2419</v>
      </c>
      <c r="B61" s="8299" t="s">
        <v>16</v>
      </c>
      <c r="C61" s="8299" t="s">
        <v>2666</v>
      </c>
      <c r="D61" s="8299" t="s">
        <v>2667</v>
      </c>
      <c r="E61" s="8299" t="s">
        <v>2668</v>
      </c>
      <c r="F61" s="8299" t="s">
        <v>2471</v>
      </c>
      <c r="G61" s="8299" t="s">
        <v>2669</v>
      </c>
      <c r="H61" s="8299" t="s">
        <v>22</v>
      </c>
      <c r="I61" s="8299" t="s">
        <v>978</v>
      </c>
    </row>
    <row customHeight="1" ht="11.25">
      <c r="A62" s="8299" t="s">
        <v>2419</v>
      </c>
      <c r="B62" s="8299" t="s">
        <v>16</v>
      </c>
      <c r="C62" s="8299" t="s">
        <v>2670</v>
      </c>
      <c r="D62" s="8299" t="s">
        <v>2671</v>
      </c>
      <c r="E62" s="8299" t="s">
        <v>2672</v>
      </c>
      <c r="F62" s="8299" t="s">
        <v>2673</v>
      </c>
      <c r="G62" s="8299" t="s">
        <v>2545</v>
      </c>
      <c r="H62" s="8299" t="s">
        <v>22</v>
      </c>
      <c r="I62" s="8299" t="s">
        <v>978</v>
      </c>
    </row>
    <row customHeight="1" ht="11.25">
      <c r="A63" s="8299" t="s">
        <v>2419</v>
      </c>
      <c r="B63" s="8299" t="s">
        <v>16</v>
      </c>
      <c r="C63" s="8299" t="s">
        <v>2674</v>
      </c>
      <c r="D63" s="8299" t="s">
        <v>2675</v>
      </c>
      <c r="E63" s="8299" t="s">
        <v>2676</v>
      </c>
      <c r="F63" s="8299" t="s">
        <v>2621</v>
      </c>
      <c r="G63" s="8299" t="s">
        <v>2677</v>
      </c>
      <c r="H63" s="8299" t="s">
        <v>22</v>
      </c>
      <c r="I63" s="8299" t="s">
        <v>978</v>
      </c>
    </row>
    <row customHeight="1" ht="11.25">
      <c r="A64" s="8299" t="s">
        <v>2419</v>
      </c>
      <c r="B64" s="8299" t="s">
        <v>16</v>
      </c>
      <c r="C64" s="8299" t="s">
        <v>2678</v>
      </c>
      <c r="D64" s="8299" t="s">
        <v>2679</v>
      </c>
      <c r="E64" s="8299" t="s">
        <v>2680</v>
      </c>
      <c r="F64" s="8299" t="s">
        <v>2660</v>
      </c>
      <c r="G64" s="8299" t="s">
        <v>2661</v>
      </c>
      <c r="H64" s="8299" t="s">
        <v>22</v>
      </c>
      <c r="I64" s="8299" t="s">
        <v>978</v>
      </c>
    </row>
    <row customHeight="1" ht="11.25">
      <c r="A65" s="8299" t="s">
        <v>2419</v>
      </c>
      <c r="B65" s="8299" t="s">
        <v>16</v>
      </c>
      <c r="C65" s="8299" t="s">
        <v>2681</v>
      </c>
      <c r="D65" s="8299" t="s">
        <v>2682</v>
      </c>
      <c r="E65" s="8299" t="s">
        <v>2683</v>
      </c>
      <c r="F65" s="8299" t="s">
        <v>2621</v>
      </c>
      <c r="G65" s="8299" t="s">
        <v>2684</v>
      </c>
      <c r="H65" s="8299" t="s">
        <v>22</v>
      </c>
      <c r="I65" s="8299" t="s">
        <v>978</v>
      </c>
    </row>
    <row customHeight="1" ht="11.25">
      <c r="A66" s="8299" t="s">
        <v>2419</v>
      </c>
      <c r="B66" s="8299" t="s">
        <v>16</v>
      </c>
      <c r="C66" s="8299" t="s">
        <v>2685</v>
      </c>
      <c r="D66" s="8299" t="s">
        <v>2686</v>
      </c>
      <c r="E66" s="8299" t="s">
        <v>2687</v>
      </c>
      <c r="F66" s="8299" t="s">
        <v>2520</v>
      </c>
      <c r="G66" s="8299" t="s">
        <v>2688</v>
      </c>
      <c r="H66" s="8299" t="s">
        <v>22</v>
      </c>
      <c r="I66" s="8299" t="s">
        <v>978</v>
      </c>
    </row>
    <row customHeight="1" ht="11.25">
      <c r="A67" s="8299" t="s">
        <v>2419</v>
      </c>
      <c r="B67" s="8299" t="s">
        <v>16</v>
      </c>
      <c r="C67" s="8299" t="s">
        <v>2689</v>
      </c>
      <c r="D67" s="8299" t="s">
        <v>2690</v>
      </c>
      <c r="E67" s="8299" t="s">
        <v>2691</v>
      </c>
      <c r="F67" s="8299" t="s">
        <v>2625</v>
      </c>
      <c r="G67" s="8299" t="s">
        <v>2692</v>
      </c>
      <c r="H67" s="8299" t="s">
        <v>22</v>
      </c>
      <c r="I67" s="8299" t="s">
        <v>978</v>
      </c>
    </row>
    <row customHeight="1" ht="11.25">
      <c r="A68" s="8299" t="s">
        <v>2419</v>
      </c>
      <c r="B68" s="8299" t="s">
        <v>16</v>
      </c>
      <c r="C68" s="8299" t="s">
        <v>2693</v>
      </c>
      <c r="D68" s="8299" t="s">
        <v>2694</v>
      </c>
      <c r="E68" s="8299" t="s">
        <v>2695</v>
      </c>
      <c r="F68" s="8299" t="s">
        <v>2696</v>
      </c>
      <c r="G68" s="8299" t="s">
        <v>2617</v>
      </c>
      <c r="H68" s="8299" t="s">
        <v>22</v>
      </c>
      <c r="I68" s="8299" t="s">
        <v>978</v>
      </c>
    </row>
    <row customHeight="1" ht="11.25">
      <c r="A69" s="8299" t="s">
        <v>2419</v>
      </c>
      <c r="B69" s="8299" t="s">
        <v>16</v>
      </c>
      <c r="C69" s="8299" t="s">
        <v>2697</v>
      </c>
      <c r="D69" s="8299" t="s">
        <v>2698</v>
      </c>
      <c r="E69" s="8299" t="s">
        <v>2699</v>
      </c>
      <c r="F69" s="8299" t="s">
        <v>2621</v>
      </c>
      <c r="G69" s="8299" t="s">
        <v>2700</v>
      </c>
      <c r="H69" s="8299" t="s">
        <v>22</v>
      </c>
      <c r="I69" s="8299" t="s">
        <v>978</v>
      </c>
    </row>
    <row customHeight="1" ht="11.25">
      <c r="A70" s="8299" t="s">
        <v>2419</v>
      </c>
      <c r="B70" s="8299" t="s">
        <v>16</v>
      </c>
      <c r="C70" s="8299" t="s">
        <v>2701</v>
      </c>
      <c r="D70" s="8299" t="s">
        <v>2702</v>
      </c>
      <c r="E70" s="8299" t="s">
        <v>2703</v>
      </c>
      <c r="F70" s="8299" t="s">
        <v>2481</v>
      </c>
      <c r="G70" s="8299" t="s">
        <v>2704</v>
      </c>
      <c r="H70" s="8299" t="s">
        <v>22</v>
      </c>
      <c r="I70" s="8299" t="s">
        <v>978</v>
      </c>
    </row>
    <row customHeight="1" ht="11.25">
      <c r="A71" s="8299" t="s">
        <v>2419</v>
      </c>
      <c r="B71" s="8299" t="s">
        <v>16</v>
      </c>
      <c r="C71" s="8299" t="s">
        <v>2705</v>
      </c>
      <c r="D71" s="8299" t="s">
        <v>2706</v>
      </c>
      <c r="E71" s="8299" t="s">
        <v>2707</v>
      </c>
      <c r="F71" s="8299" t="s">
        <v>2520</v>
      </c>
      <c r="G71" s="8299" t="s">
        <v>2708</v>
      </c>
      <c r="H71" s="8299" t="s">
        <v>22</v>
      </c>
      <c r="I71" s="8299" t="s">
        <v>978</v>
      </c>
    </row>
    <row customHeight="1" ht="11.25">
      <c r="A72" s="8299" t="s">
        <v>2419</v>
      </c>
      <c r="B72" s="8299" t="s">
        <v>16</v>
      </c>
      <c r="C72" s="8299" t="s">
        <v>2709</v>
      </c>
      <c r="D72" s="8299" t="s">
        <v>2710</v>
      </c>
      <c r="E72" s="8299" t="s">
        <v>2711</v>
      </c>
      <c r="F72" s="8299" t="s">
        <v>2712</v>
      </c>
      <c r="G72" s="8299" t="s">
        <v>2713</v>
      </c>
      <c r="H72" s="8299" t="s">
        <v>22</v>
      </c>
      <c r="I72" s="8299" t="s">
        <v>978</v>
      </c>
    </row>
    <row customHeight="1" ht="11.25">
      <c r="A73" s="8299" t="s">
        <v>2419</v>
      </c>
      <c r="B73" s="8299" t="s">
        <v>16</v>
      </c>
      <c r="C73" s="8299" t="s">
        <v>2714</v>
      </c>
      <c r="D73" s="8299" t="s">
        <v>2715</v>
      </c>
      <c r="E73" s="8299" t="s">
        <v>2716</v>
      </c>
      <c r="F73" s="8299" t="s">
        <v>2717</v>
      </c>
      <c r="G73" s="8299" t="s">
        <v>2718</v>
      </c>
      <c r="H73" s="8299" t="s">
        <v>22</v>
      </c>
      <c r="I73" s="8299" t="s">
        <v>978</v>
      </c>
    </row>
    <row customHeight="1" ht="11.25">
      <c r="A74" s="8299" t="s">
        <v>2419</v>
      </c>
      <c r="B74" s="8299" t="s">
        <v>16</v>
      </c>
      <c r="C74" s="8299" t="s">
        <v>2719</v>
      </c>
      <c r="D74" s="8299" t="s">
        <v>2720</v>
      </c>
      <c r="E74" s="8299" t="s">
        <v>2721</v>
      </c>
      <c r="F74" s="8299" t="s">
        <v>2528</v>
      </c>
      <c r="G74" s="8299" t="s">
        <v>2722</v>
      </c>
      <c r="H74" s="8299" t="s">
        <v>22</v>
      </c>
      <c r="I74" s="8299" t="s">
        <v>978</v>
      </c>
    </row>
    <row customHeight="1" ht="11.25">
      <c r="A75" s="8299" t="s">
        <v>2419</v>
      </c>
      <c r="B75" s="8299" t="s">
        <v>16</v>
      </c>
      <c r="C75" s="8299" t="s">
        <v>2723</v>
      </c>
      <c r="D75" s="8299" t="s">
        <v>2724</v>
      </c>
      <c r="E75" s="8299" t="s">
        <v>2725</v>
      </c>
      <c r="F75" s="8299" t="s">
        <v>2528</v>
      </c>
      <c r="G75" s="8299" t="s">
        <v>2722</v>
      </c>
      <c r="H75" s="8299" t="s">
        <v>22</v>
      </c>
      <c r="I75" s="8299" t="s">
        <v>978</v>
      </c>
    </row>
    <row customHeight="1" ht="11.25">
      <c r="A76" s="8299" t="s">
        <v>2419</v>
      </c>
      <c r="B76" s="8299" t="s">
        <v>16</v>
      </c>
      <c r="C76" s="8299" t="s">
        <v>2726</v>
      </c>
      <c r="D76" s="8299" t="s">
        <v>2727</v>
      </c>
      <c r="E76" s="8299" t="s">
        <v>2728</v>
      </c>
      <c r="F76" s="8299" t="s">
        <v>2528</v>
      </c>
      <c r="G76" s="8299" t="s">
        <v>2729</v>
      </c>
      <c r="H76" s="8299" t="s">
        <v>22</v>
      </c>
      <c r="I76" s="8299" t="s">
        <v>978</v>
      </c>
    </row>
    <row customHeight="1" ht="11.25">
      <c r="A77" s="8299" t="s">
        <v>2419</v>
      </c>
      <c r="B77" s="8299" t="s">
        <v>16</v>
      </c>
      <c r="C77" s="8299" t="s">
        <v>2730</v>
      </c>
      <c r="D77" s="8299" t="s">
        <v>2731</v>
      </c>
      <c r="E77" s="8299" t="s">
        <v>2732</v>
      </c>
      <c r="F77" s="8299" t="s">
        <v>2528</v>
      </c>
      <c r="G77" s="8299" t="s">
        <v>2733</v>
      </c>
      <c r="H77" s="8299" t="s">
        <v>22</v>
      </c>
      <c r="I77" s="8299" t="s">
        <v>978</v>
      </c>
    </row>
    <row customHeight="1" ht="11.25">
      <c r="A78" s="8299" t="s">
        <v>2419</v>
      </c>
      <c r="B78" s="8299" t="s">
        <v>16</v>
      </c>
      <c r="C78" s="8299" t="s">
        <v>2734</v>
      </c>
      <c r="D78" s="8299" t="s">
        <v>2735</v>
      </c>
      <c r="E78" s="8299" t="s">
        <v>2736</v>
      </c>
      <c r="F78" s="8299" t="s">
        <v>2528</v>
      </c>
      <c r="G78" s="8299" t="s">
        <v>2729</v>
      </c>
      <c r="H78" s="8299" t="s">
        <v>22</v>
      </c>
      <c r="I78" s="8299" t="s">
        <v>978</v>
      </c>
    </row>
    <row customHeight="1" ht="11.25">
      <c r="A79" s="8299" t="s">
        <v>2419</v>
      </c>
      <c r="B79" s="8299" t="s">
        <v>16</v>
      </c>
      <c r="C79" s="8299" t="s">
        <v>2737</v>
      </c>
      <c r="D79" s="8299" t="s">
        <v>2738</v>
      </c>
      <c r="E79" s="8299" t="s">
        <v>2739</v>
      </c>
      <c r="F79" s="8299" t="s">
        <v>2528</v>
      </c>
      <c r="G79" s="8299" t="s">
        <v>22</v>
      </c>
      <c r="H79" s="8299" t="s">
        <v>22</v>
      </c>
      <c r="I79" s="8299" t="s">
        <v>978</v>
      </c>
    </row>
    <row customHeight="1" ht="11.25">
      <c r="A80" s="8299" t="s">
        <v>2419</v>
      </c>
      <c r="B80" s="8299" t="s">
        <v>16</v>
      </c>
      <c r="C80" s="8299" t="s">
        <v>2740</v>
      </c>
      <c r="D80" s="8299" t="s">
        <v>2741</v>
      </c>
      <c r="E80" s="8299" t="s">
        <v>2506</v>
      </c>
      <c r="F80" s="8299" t="s">
        <v>2481</v>
      </c>
      <c r="G80" s="8299" t="s">
        <v>22</v>
      </c>
      <c r="H80" s="8299" t="s">
        <v>22</v>
      </c>
      <c r="I80" s="8299" t="s">
        <v>978</v>
      </c>
    </row>
    <row customHeight="1" ht="11.25">
      <c r="A81" s="8299" t="s">
        <v>2419</v>
      </c>
      <c r="B81" s="8299" t="s">
        <v>16</v>
      </c>
      <c r="C81" s="8299" t="s">
        <v>2742</v>
      </c>
      <c r="D81" s="8299" t="s">
        <v>2743</v>
      </c>
      <c r="E81" s="8299" t="s">
        <v>2444</v>
      </c>
      <c r="F81" s="8299" t="s">
        <v>2744</v>
      </c>
      <c r="G81" s="8299" t="s">
        <v>2445</v>
      </c>
      <c r="H81" s="8299" t="s">
        <v>22</v>
      </c>
      <c r="I81" s="8299" t="s">
        <v>978</v>
      </c>
    </row>
    <row customHeight="1" ht="11.25">
      <c r="A82" s="8299" t="s">
        <v>2419</v>
      </c>
      <c r="B82" s="8299" t="s">
        <v>16</v>
      </c>
      <c r="C82" s="8299" t="s">
        <v>2745</v>
      </c>
      <c r="D82" s="8299" t="s">
        <v>2746</v>
      </c>
      <c r="E82" s="8299" t="s">
        <v>2444</v>
      </c>
      <c r="F82" s="8299" t="s">
        <v>2747</v>
      </c>
      <c r="G82" s="8299" t="s">
        <v>2516</v>
      </c>
      <c r="H82" s="8299" t="s">
        <v>22</v>
      </c>
      <c r="I82" s="8299" t="s">
        <v>978</v>
      </c>
    </row>
    <row customHeight="1" ht="11.25">
      <c r="A83" s="8299" t="s">
        <v>2419</v>
      </c>
      <c r="B83" s="8299" t="s">
        <v>16</v>
      </c>
      <c r="C83" s="8299" t="s">
        <v>2748</v>
      </c>
      <c r="D83" s="8299" t="s">
        <v>2749</v>
      </c>
      <c r="E83" s="8299" t="s">
        <v>2506</v>
      </c>
      <c r="F83" s="8299" t="s">
        <v>2750</v>
      </c>
      <c r="G83" s="8299" t="s">
        <v>22</v>
      </c>
      <c r="H83" s="8299" t="s">
        <v>22</v>
      </c>
      <c r="I83" s="8299" t="s">
        <v>978</v>
      </c>
    </row>
    <row customHeight="1" ht="11.25">
      <c r="A84" s="8299" t="s">
        <v>2419</v>
      </c>
      <c r="B84" s="8299" t="s">
        <v>16</v>
      </c>
      <c r="C84" s="8299" t="s">
        <v>2751</v>
      </c>
      <c r="D84" s="8299" t="s">
        <v>2752</v>
      </c>
      <c r="E84" s="8299" t="s">
        <v>2506</v>
      </c>
      <c r="F84" s="8299" t="s">
        <v>2625</v>
      </c>
      <c r="G84" s="8299" t="s">
        <v>22</v>
      </c>
      <c r="H84" s="8299" t="s">
        <v>22</v>
      </c>
      <c r="I84" s="8299" t="s">
        <v>978</v>
      </c>
    </row>
    <row customHeight="1" ht="11.25">
      <c r="A85" s="8299" t="s">
        <v>2419</v>
      </c>
      <c r="B85" s="8299" t="s">
        <v>16</v>
      </c>
      <c r="C85" s="8299" t="s">
        <v>2753</v>
      </c>
      <c r="D85" s="8299" t="s">
        <v>2754</v>
      </c>
      <c r="E85" s="8299" t="s">
        <v>2755</v>
      </c>
      <c r="F85" s="8299" t="s">
        <v>2422</v>
      </c>
      <c r="G85" s="8299" t="s">
        <v>2756</v>
      </c>
      <c r="H85" s="8299" t="s">
        <v>22</v>
      </c>
      <c r="I85" s="8299" t="s">
        <v>978</v>
      </c>
    </row>
    <row customHeight="1" ht="11.25">
      <c r="A86" s="8299" t="s">
        <v>2419</v>
      </c>
      <c r="B86" s="8299" t="s">
        <v>16</v>
      </c>
      <c r="C86" s="8299" t="s">
        <v>2757</v>
      </c>
      <c r="D86" s="8299" t="s">
        <v>2758</v>
      </c>
      <c r="E86" s="8299" t="s">
        <v>2759</v>
      </c>
      <c r="F86" s="8299" t="s">
        <v>2621</v>
      </c>
      <c r="G86" s="8299" t="s">
        <v>2760</v>
      </c>
      <c r="H86" s="8299" t="s">
        <v>22</v>
      </c>
      <c r="I86" s="8299" t="s">
        <v>978</v>
      </c>
    </row>
    <row customHeight="1" ht="11.25">
      <c r="A87" s="8299" t="s">
        <v>2419</v>
      </c>
      <c r="B87" s="8299" t="s">
        <v>16</v>
      </c>
      <c r="C87" s="8299" t="s">
        <v>2761</v>
      </c>
      <c r="D87" s="8299" t="s">
        <v>2762</v>
      </c>
      <c r="E87" s="8299" t="s">
        <v>2763</v>
      </c>
      <c r="F87" s="8299" t="s">
        <v>2422</v>
      </c>
      <c r="G87" s="8299" t="s">
        <v>2764</v>
      </c>
      <c r="H87" s="8299" t="s">
        <v>22</v>
      </c>
      <c r="I87" s="8299" t="s">
        <v>978</v>
      </c>
    </row>
    <row customHeight="1" ht="11.25">
      <c r="A88" s="8299" t="s">
        <v>2419</v>
      </c>
      <c r="B88" s="8299" t="s">
        <v>16</v>
      </c>
      <c r="C88" s="8299" t="s">
        <v>2765</v>
      </c>
      <c r="D88" s="8299" t="s">
        <v>2766</v>
      </c>
      <c r="E88" s="8299" t="s">
        <v>2767</v>
      </c>
      <c r="F88" s="8299" t="s">
        <v>2422</v>
      </c>
      <c r="G88" s="8299" t="s">
        <v>2768</v>
      </c>
      <c r="H88" s="8299" t="s">
        <v>22</v>
      </c>
      <c r="I88" s="8299" t="s">
        <v>978</v>
      </c>
    </row>
    <row customHeight="1" ht="11.25">
      <c r="A89" s="8299" t="s">
        <v>2419</v>
      </c>
      <c r="B89" s="8299" t="s">
        <v>16</v>
      </c>
      <c r="C89" s="8299" t="s">
        <v>2769</v>
      </c>
      <c r="D89" s="8299" t="s">
        <v>2770</v>
      </c>
      <c r="E89" s="8299" t="s">
        <v>2771</v>
      </c>
      <c r="F89" s="8299" t="s">
        <v>2660</v>
      </c>
      <c r="G89" s="8299" t="s">
        <v>2772</v>
      </c>
      <c r="H89" s="8299" t="s">
        <v>22</v>
      </c>
      <c r="I89" s="8299" t="s">
        <v>978</v>
      </c>
    </row>
    <row customHeight="1" ht="11.25">
      <c r="A90" s="8299" t="s">
        <v>2419</v>
      </c>
      <c r="B90" s="8299" t="s">
        <v>16</v>
      </c>
      <c r="C90" s="8299" t="s">
        <v>2773</v>
      </c>
      <c r="D90" s="8299" t="s">
        <v>2774</v>
      </c>
      <c r="E90" s="8299" t="s">
        <v>2775</v>
      </c>
      <c r="F90" s="8299" t="s">
        <v>2776</v>
      </c>
      <c r="G90" s="8299" t="s">
        <v>2777</v>
      </c>
      <c r="H90" s="8299" t="s">
        <v>22</v>
      </c>
      <c r="I90" s="8299" t="s">
        <v>978</v>
      </c>
    </row>
    <row customHeight="1" ht="11.25">
      <c r="A91" s="8299" t="s">
        <v>2419</v>
      </c>
      <c r="B91" s="8299" t="s">
        <v>16</v>
      </c>
      <c r="C91" s="8299" t="s">
        <v>2778</v>
      </c>
      <c r="D91" s="8299" t="s">
        <v>2779</v>
      </c>
      <c r="E91" s="8299" t="s">
        <v>2780</v>
      </c>
      <c r="F91" s="8299" t="s">
        <v>2520</v>
      </c>
      <c r="G91" s="8299" t="s">
        <v>2781</v>
      </c>
      <c r="H91" s="8299" t="s">
        <v>22</v>
      </c>
      <c r="I91" s="8299" t="s">
        <v>978</v>
      </c>
    </row>
    <row customHeight="1" ht="11.25">
      <c r="A92" s="8299" t="s">
        <v>2419</v>
      </c>
      <c r="B92" s="8299" t="s">
        <v>16</v>
      </c>
      <c r="C92" s="8299" t="s">
        <v>2782</v>
      </c>
      <c r="D92" s="8299" t="s">
        <v>2783</v>
      </c>
      <c r="E92" s="8299" t="s">
        <v>2784</v>
      </c>
      <c r="F92" s="8299" t="s">
        <v>2520</v>
      </c>
      <c r="G92" s="8299" t="s">
        <v>2785</v>
      </c>
      <c r="H92" s="8299" t="s">
        <v>22</v>
      </c>
      <c r="I92" s="8299" t="s">
        <v>978</v>
      </c>
    </row>
    <row customHeight="1" ht="11.25">
      <c r="A93" s="8299" t="s">
        <v>2419</v>
      </c>
      <c r="B93" s="8299" t="s">
        <v>16</v>
      </c>
      <c r="C93" s="8299" t="s">
        <v>2786</v>
      </c>
      <c r="D93" s="8299" t="s">
        <v>2787</v>
      </c>
      <c r="E93" s="8299" t="s">
        <v>2788</v>
      </c>
      <c r="F93" s="8299" t="s">
        <v>2776</v>
      </c>
      <c r="G93" s="8299" t="s">
        <v>2789</v>
      </c>
      <c r="H93" s="8299" t="s">
        <v>22</v>
      </c>
      <c r="I93" s="8299" t="s">
        <v>978</v>
      </c>
    </row>
    <row customHeight="1" ht="11.25">
      <c r="A94" s="8299" t="s">
        <v>2419</v>
      </c>
      <c r="B94" s="8299" t="s">
        <v>16</v>
      </c>
      <c r="C94" s="8299" t="s">
        <v>2790</v>
      </c>
      <c r="D94" s="8299" t="s">
        <v>2791</v>
      </c>
      <c r="E94" s="8299" t="s">
        <v>2792</v>
      </c>
      <c r="F94" s="8299" t="s">
        <v>2520</v>
      </c>
      <c r="G94" s="8299" t="s">
        <v>2793</v>
      </c>
      <c r="H94" s="8299" t="s">
        <v>22</v>
      </c>
      <c r="I94" s="8299" t="s">
        <v>978</v>
      </c>
    </row>
    <row customHeight="1" ht="11.25">
      <c r="A95" s="8299" t="s">
        <v>2419</v>
      </c>
      <c r="B95" s="8299" t="s">
        <v>16</v>
      </c>
      <c r="C95" s="8299" t="s">
        <v>2794</v>
      </c>
      <c r="D95" s="8299" t="s">
        <v>2795</v>
      </c>
      <c r="E95" s="8299" t="s">
        <v>2796</v>
      </c>
      <c r="F95" s="8299" t="s">
        <v>2717</v>
      </c>
      <c r="G95" s="8299" t="s">
        <v>2797</v>
      </c>
      <c r="H95" s="8299" t="s">
        <v>22</v>
      </c>
      <c r="I95" s="8299" t="s">
        <v>978</v>
      </c>
    </row>
    <row customHeight="1" ht="11.25">
      <c r="A96" s="8299" t="s">
        <v>2419</v>
      </c>
      <c r="B96" s="8299" t="s">
        <v>16</v>
      </c>
      <c r="C96" s="8299" t="s">
        <v>2798</v>
      </c>
      <c r="D96" s="8299" t="s">
        <v>2799</v>
      </c>
      <c r="E96" s="8299" t="s">
        <v>2800</v>
      </c>
      <c r="F96" s="8299" t="s">
        <v>2520</v>
      </c>
      <c r="G96" s="8299" t="s">
        <v>2801</v>
      </c>
      <c r="H96" s="8299" t="s">
        <v>22</v>
      </c>
      <c r="I96" s="8299" t="s">
        <v>978</v>
      </c>
    </row>
    <row customHeight="1" ht="11.25">
      <c r="A97" s="8299" t="s">
        <v>2419</v>
      </c>
      <c r="B97" s="8299" t="s">
        <v>16</v>
      </c>
      <c r="C97" s="8299" t="s">
        <v>2802</v>
      </c>
      <c r="D97" s="8299" t="s">
        <v>2803</v>
      </c>
      <c r="E97" s="8299" t="s">
        <v>2804</v>
      </c>
      <c r="F97" s="8299" t="s">
        <v>2776</v>
      </c>
      <c r="G97" s="8299" t="s">
        <v>2805</v>
      </c>
      <c r="H97" s="8299" t="s">
        <v>22</v>
      </c>
      <c r="I97" s="8299" t="s">
        <v>978</v>
      </c>
    </row>
    <row customHeight="1" ht="11.25">
      <c r="A98" s="8299" t="s">
        <v>2419</v>
      </c>
      <c r="B98" s="8299" t="s">
        <v>16</v>
      </c>
      <c r="C98" s="8299" t="s">
        <v>2806</v>
      </c>
      <c r="D98" s="8299" t="s">
        <v>2807</v>
      </c>
      <c r="E98" s="8299" t="s">
        <v>2808</v>
      </c>
      <c r="F98" s="8299" t="s">
        <v>2471</v>
      </c>
      <c r="G98" s="8299" t="s">
        <v>2809</v>
      </c>
      <c r="H98" s="8299" t="s">
        <v>22</v>
      </c>
      <c r="I98" s="8299" t="s">
        <v>978</v>
      </c>
    </row>
    <row customHeight="1" ht="11.25">
      <c r="A99" s="8299" t="s">
        <v>2419</v>
      </c>
      <c r="B99" s="8299" t="s">
        <v>16</v>
      </c>
      <c r="C99" s="8299" t="s">
        <v>2810</v>
      </c>
      <c r="D99" s="8299" t="s">
        <v>2811</v>
      </c>
      <c r="E99" s="8299" t="s">
        <v>2812</v>
      </c>
      <c r="F99" s="8299" t="s">
        <v>2520</v>
      </c>
      <c r="G99" s="8299" t="s">
        <v>22</v>
      </c>
      <c r="H99" s="8299" t="s">
        <v>22</v>
      </c>
      <c r="I99" s="8299" t="s">
        <v>978</v>
      </c>
    </row>
    <row customHeight="1" ht="11.25">
      <c r="A100" s="8299" t="s">
        <v>2419</v>
      </c>
      <c r="B100" s="8299" t="s">
        <v>16</v>
      </c>
      <c r="C100" s="8299" t="s">
        <v>2813</v>
      </c>
      <c r="D100" s="8299" t="s">
        <v>2814</v>
      </c>
      <c r="E100" s="8299" t="s">
        <v>2815</v>
      </c>
      <c r="F100" s="8299" t="s">
        <v>2660</v>
      </c>
      <c r="G100" s="8299" t="s">
        <v>2816</v>
      </c>
      <c r="H100" s="8299" t="s">
        <v>22</v>
      </c>
      <c r="I100" s="8299" t="s">
        <v>978</v>
      </c>
    </row>
    <row customHeight="1" ht="11.25">
      <c r="A101" s="8299" t="s">
        <v>2419</v>
      </c>
      <c r="B101" s="8299" t="s">
        <v>16</v>
      </c>
      <c r="C101" s="8299" t="s">
        <v>2817</v>
      </c>
      <c r="D101" s="8299" t="s">
        <v>2818</v>
      </c>
      <c r="E101" s="8299" t="s">
        <v>2819</v>
      </c>
      <c r="F101" s="8299" t="s">
        <v>2422</v>
      </c>
      <c r="G101" s="8299" t="s">
        <v>2820</v>
      </c>
      <c r="H101" s="8299" t="s">
        <v>22</v>
      </c>
      <c r="I101" s="8299" t="s">
        <v>978</v>
      </c>
    </row>
    <row customHeight="1" ht="11.25">
      <c r="A102" s="8299" t="s">
        <v>2419</v>
      </c>
      <c r="B102" s="8299" t="s">
        <v>16</v>
      </c>
      <c r="C102" s="8299" t="s">
        <v>2821</v>
      </c>
      <c r="D102" s="8299" t="s">
        <v>2822</v>
      </c>
      <c r="E102" s="8299" t="s">
        <v>2823</v>
      </c>
      <c r="F102" s="8299" t="s">
        <v>2824</v>
      </c>
      <c r="G102" s="8299" t="s">
        <v>2825</v>
      </c>
      <c r="H102" s="8299" t="s">
        <v>22</v>
      </c>
      <c r="I102" s="8299" t="s">
        <v>978</v>
      </c>
    </row>
    <row customHeight="1" ht="11.25">
      <c r="A103" s="8299" t="s">
        <v>2419</v>
      </c>
      <c r="B103" s="8299" t="s">
        <v>16</v>
      </c>
      <c r="C103" s="8299" t="s">
        <v>2826</v>
      </c>
      <c r="D103" s="8299" t="s">
        <v>2827</v>
      </c>
      <c r="E103" s="8299" t="s">
        <v>2823</v>
      </c>
      <c r="F103" s="8299" t="s">
        <v>2828</v>
      </c>
      <c r="G103" s="8299" t="s">
        <v>2825</v>
      </c>
      <c r="H103" s="8299" t="s">
        <v>22</v>
      </c>
      <c r="I103" s="8299" t="s">
        <v>978</v>
      </c>
    </row>
    <row customHeight="1" ht="11.25">
      <c r="A104" s="8299" t="s">
        <v>2419</v>
      </c>
      <c r="B104" s="8299" t="s">
        <v>16</v>
      </c>
      <c r="C104" s="8299" t="s">
        <v>2829</v>
      </c>
      <c r="D104" s="8299" t="s">
        <v>2830</v>
      </c>
      <c r="E104" s="8299" t="s">
        <v>2831</v>
      </c>
      <c r="F104" s="8299" t="s">
        <v>2422</v>
      </c>
      <c r="G104" s="8299" t="s">
        <v>2832</v>
      </c>
      <c r="H104" s="8299" t="s">
        <v>22</v>
      </c>
      <c r="I104" s="8299" t="s">
        <v>978</v>
      </c>
    </row>
    <row customHeight="1" ht="11.25">
      <c r="A105" s="8299" t="s">
        <v>2419</v>
      </c>
      <c r="B105" s="8299" t="s">
        <v>16</v>
      </c>
      <c r="C105" s="8299" t="s">
        <v>2833</v>
      </c>
      <c r="D105" s="8299" t="s">
        <v>2834</v>
      </c>
      <c r="E105" s="8299" t="s">
        <v>2835</v>
      </c>
      <c r="F105" s="8299" t="s">
        <v>2426</v>
      </c>
      <c r="G105" s="8299" t="s">
        <v>2836</v>
      </c>
      <c r="H105" s="8299" t="s">
        <v>22</v>
      </c>
      <c r="I105" s="8299" t="s">
        <v>978</v>
      </c>
    </row>
    <row customHeight="1" ht="11.25">
      <c r="A106" s="8299" t="s">
        <v>2419</v>
      </c>
      <c r="B106" s="8299" t="s">
        <v>16</v>
      </c>
      <c r="C106" s="8299" t="s">
        <v>2837</v>
      </c>
      <c r="D106" s="8299" t="s">
        <v>2838</v>
      </c>
      <c r="E106" s="8299" t="s">
        <v>2839</v>
      </c>
      <c r="F106" s="8299" t="s">
        <v>2712</v>
      </c>
      <c r="G106" s="8299" t="s">
        <v>2840</v>
      </c>
      <c r="H106" s="8299" t="s">
        <v>22</v>
      </c>
      <c r="I106" s="8299" t="s">
        <v>978</v>
      </c>
    </row>
    <row customHeight="1" ht="11.25">
      <c r="A107" s="8299" t="s">
        <v>2419</v>
      </c>
      <c r="B107" s="8299" t="s">
        <v>16</v>
      </c>
      <c r="C107" s="8299" t="s">
        <v>2841</v>
      </c>
      <c r="D107" s="8299" t="s">
        <v>2842</v>
      </c>
      <c r="E107" s="8299" t="s">
        <v>2843</v>
      </c>
      <c r="F107" s="8299" t="s">
        <v>2712</v>
      </c>
      <c r="G107" s="8299" t="s">
        <v>2844</v>
      </c>
      <c r="H107" s="8299" t="s">
        <v>22</v>
      </c>
      <c r="I107" s="8299" t="s">
        <v>978</v>
      </c>
    </row>
    <row customHeight="1" ht="11.25">
      <c r="A108" s="8299" t="s">
        <v>2419</v>
      </c>
      <c r="B108" s="8299" t="s">
        <v>16</v>
      </c>
      <c r="C108" s="8299" t="s">
        <v>2845</v>
      </c>
      <c r="D108" s="8299" t="s">
        <v>2846</v>
      </c>
      <c r="E108" s="8299" t="s">
        <v>2847</v>
      </c>
      <c r="F108" s="8299" t="s">
        <v>2660</v>
      </c>
      <c r="G108" s="8299" t="s">
        <v>2848</v>
      </c>
      <c r="H108" s="8299" t="s">
        <v>22</v>
      </c>
      <c r="I108" s="8299" t="s">
        <v>978</v>
      </c>
    </row>
    <row customHeight="1" ht="11.25">
      <c r="A109" s="8299" t="s">
        <v>2419</v>
      </c>
      <c r="B109" s="8299" t="s">
        <v>16</v>
      </c>
      <c r="C109" s="8299" t="s">
        <v>2849</v>
      </c>
      <c r="D109" s="8299" t="s">
        <v>2850</v>
      </c>
      <c r="E109" s="8299" t="s">
        <v>2851</v>
      </c>
      <c r="F109" s="8299" t="s">
        <v>2852</v>
      </c>
      <c r="G109" s="8299" t="s">
        <v>2853</v>
      </c>
      <c r="H109" s="8299" t="s">
        <v>22</v>
      </c>
      <c r="I109" s="8299" t="s">
        <v>978</v>
      </c>
    </row>
    <row customHeight="1" ht="11.25">
      <c r="A110" s="8299" t="s">
        <v>2419</v>
      </c>
      <c r="B110" s="8299" t="s">
        <v>16</v>
      </c>
      <c r="C110" s="8299" t="s">
        <v>2854</v>
      </c>
      <c r="D110" s="8299" t="s">
        <v>2855</v>
      </c>
      <c r="E110" s="8299" t="s">
        <v>2856</v>
      </c>
      <c r="F110" s="8299" t="s">
        <v>2600</v>
      </c>
      <c r="G110" s="8299" t="s">
        <v>2857</v>
      </c>
      <c r="H110" s="8299" t="s">
        <v>22</v>
      </c>
      <c r="I110" s="8299" t="s">
        <v>978</v>
      </c>
    </row>
    <row customHeight="1" ht="11.25">
      <c r="A111" s="8299" t="s">
        <v>2419</v>
      </c>
      <c r="B111" s="8299" t="s">
        <v>16</v>
      </c>
      <c r="C111" s="8299" t="s">
        <v>2858</v>
      </c>
      <c r="D111" s="8299" t="s">
        <v>2859</v>
      </c>
      <c r="E111" s="8299" t="s">
        <v>2860</v>
      </c>
      <c r="F111" s="8299" t="s">
        <v>2852</v>
      </c>
      <c r="G111" s="8299" t="s">
        <v>2861</v>
      </c>
      <c r="H111" s="8299" t="s">
        <v>22</v>
      </c>
      <c r="I111" s="8299" t="s">
        <v>978</v>
      </c>
    </row>
    <row customHeight="1" ht="11.25">
      <c r="A112" s="8299" t="s">
        <v>2419</v>
      </c>
      <c r="B112" s="8299" t="s">
        <v>16</v>
      </c>
      <c r="C112" s="8299" t="s">
        <v>2862</v>
      </c>
      <c r="D112" s="8299" t="s">
        <v>2863</v>
      </c>
      <c r="E112" s="8299" t="s">
        <v>2864</v>
      </c>
      <c r="F112" s="8299" t="s">
        <v>2422</v>
      </c>
      <c r="G112" s="8299" t="s">
        <v>2865</v>
      </c>
      <c r="H112" s="8299" t="s">
        <v>22</v>
      </c>
      <c r="I112" s="8299" t="s">
        <v>978</v>
      </c>
    </row>
    <row customHeight="1" ht="11.25">
      <c r="A113" s="8299" t="s">
        <v>2419</v>
      </c>
      <c r="B113" s="8299" t="s">
        <v>16</v>
      </c>
      <c r="C113" s="8299" t="s">
        <v>2866</v>
      </c>
      <c r="D113" s="8299" t="s">
        <v>2867</v>
      </c>
      <c r="E113" s="8299" t="s">
        <v>2868</v>
      </c>
      <c r="F113" s="8299" t="s">
        <v>2712</v>
      </c>
      <c r="G113" s="8299" t="s">
        <v>2869</v>
      </c>
      <c r="H113" s="8299" t="s">
        <v>22</v>
      </c>
      <c r="I113" s="8299" t="s">
        <v>978</v>
      </c>
    </row>
    <row customHeight="1" ht="11.25">
      <c r="A114" s="8299" t="s">
        <v>2419</v>
      </c>
      <c r="B114" s="8299" t="s">
        <v>16</v>
      </c>
      <c r="C114" s="8299" t="s">
        <v>2870</v>
      </c>
      <c r="D114" s="8299" t="s">
        <v>2871</v>
      </c>
      <c r="E114" s="8299" t="s">
        <v>2872</v>
      </c>
      <c r="F114" s="8299" t="s">
        <v>2621</v>
      </c>
      <c r="G114" s="8299" t="s">
        <v>2873</v>
      </c>
      <c r="H114" s="8299" t="s">
        <v>22</v>
      </c>
      <c r="I114" s="8299" t="s">
        <v>978</v>
      </c>
    </row>
    <row customHeight="1" ht="11.25">
      <c r="A115" s="8299" t="s">
        <v>2419</v>
      </c>
      <c r="B115" s="8299" t="s">
        <v>16</v>
      </c>
      <c r="C115" s="8299" t="s">
        <v>2874</v>
      </c>
      <c r="D115" s="8299" t="s">
        <v>2875</v>
      </c>
      <c r="E115" s="8299" t="s">
        <v>2876</v>
      </c>
      <c r="F115" s="8299" t="s">
        <v>2541</v>
      </c>
      <c r="G115" s="8299" t="s">
        <v>2877</v>
      </c>
      <c r="H115" s="8299" t="s">
        <v>22</v>
      </c>
      <c r="I115" s="8299" t="s">
        <v>978</v>
      </c>
    </row>
    <row customHeight="1" ht="11.25">
      <c r="A116" s="8299" t="s">
        <v>2419</v>
      </c>
      <c r="B116" s="8299" t="s">
        <v>16</v>
      </c>
      <c r="C116" s="8299" t="s">
        <v>2878</v>
      </c>
      <c r="D116" s="8299" t="s">
        <v>2879</v>
      </c>
      <c r="E116" s="8299" t="s">
        <v>2880</v>
      </c>
      <c r="F116" s="8299" t="s">
        <v>2528</v>
      </c>
      <c r="G116" s="8299" t="s">
        <v>2881</v>
      </c>
      <c r="H116" s="8299" t="s">
        <v>22</v>
      </c>
      <c r="I116" s="8299" t="s">
        <v>978</v>
      </c>
    </row>
    <row customHeight="1" ht="11.25">
      <c r="A117" s="8299" t="s">
        <v>2419</v>
      </c>
      <c r="B117" s="8299" t="s">
        <v>16</v>
      </c>
      <c r="C117" s="8299" t="s">
        <v>2882</v>
      </c>
      <c r="D117" s="8299" t="s">
        <v>2883</v>
      </c>
      <c r="E117" s="8299" t="s">
        <v>2884</v>
      </c>
      <c r="F117" s="8299" t="s">
        <v>2422</v>
      </c>
      <c r="G117" s="8299" t="s">
        <v>2885</v>
      </c>
      <c r="H117" s="8299" t="s">
        <v>22</v>
      </c>
      <c r="I117" s="8299" t="s">
        <v>978</v>
      </c>
    </row>
    <row customHeight="1" ht="11.25">
      <c r="A118" s="8299" t="s">
        <v>2419</v>
      </c>
      <c r="B118" s="8299" t="s">
        <v>16</v>
      </c>
      <c r="C118" s="8299" t="s">
        <v>2886</v>
      </c>
      <c r="D118" s="8299" t="s">
        <v>2887</v>
      </c>
      <c r="E118" s="8299" t="s">
        <v>2888</v>
      </c>
      <c r="F118" s="8299" t="s">
        <v>2422</v>
      </c>
      <c r="G118" s="8299" t="s">
        <v>2889</v>
      </c>
      <c r="H118" s="8299" t="s">
        <v>22</v>
      </c>
      <c r="I118" s="8299" t="s">
        <v>978</v>
      </c>
    </row>
    <row customHeight="1" ht="11.25">
      <c r="A119" s="8299" t="s">
        <v>2419</v>
      </c>
      <c r="B119" s="8299" t="s">
        <v>16</v>
      </c>
      <c r="C119" s="8299" t="s">
        <v>2890</v>
      </c>
      <c r="D119" s="8299" t="s">
        <v>2891</v>
      </c>
      <c r="E119" s="8299" t="s">
        <v>2892</v>
      </c>
      <c r="F119" s="8299" t="s">
        <v>2600</v>
      </c>
      <c r="G119" s="8299" t="s">
        <v>2893</v>
      </c>
      <c r="H119" s="8299" t="s">
        <v>22</v>
      </c>
      <c r="I119" s="8299" t="s">
        <v>978</v>
      </c>
    </row>
    <row customHeight="1" ht="11.25">
      <c r="A120" s="8299" t="s">
        <v>2419</v>
      </c>
      <c r="B120" s="8299" t="s">
        <v>16</v>
      </c>
      <c r="C120" s="8299" t="s">
        <v>2894</v>
      </c>
      <c r="D120" s="8299" t="s">
        <v>2895</v>
      </c>
      <c r="E120" s="8299" t="s">
        <v>2896</v>
      </c>
      <c r="F120" s="8299" t="s">
        <v>2621</v>
      </c>
      <c r="G120" s="8299" t="s">
        <v>2897</v>
      </c>
      <c r="H120" s="8299" t="s">
        <v>22</v>
      </c>
      <c r="I120" s="8299" t="s">
        <v>978</v>
      </c>
    </row>
    <row customHeight="1" ht="11.25">
      <c r="A121" s="8299" t="s">
        <v>2419</v>
      </c>
      <c r="B121" s="8299" t="s">
        <v>16</v>
      </c>
      <c r="C121" s="8299" t="s">
        <v>2898</v>
      </c>
      <c r="D121" s="8299" t="s">
        <v>2899</v>
      </c>
      <c r="E121" s="8299" t="s">
        <v>2900</v>
      </c>
      <c r="F121" s="8299" t="s">
        <v>2712</v>
      </c>
      <c r="G121" s="8299" t="s">
        <v>2901</v>
      </c>
      <c r="H121" s="8299" t="s">
        <v>22</v>
      </c>
      <c r="I121" s="8299" t="s">
        <v>978</v>
      </c>
    </row>
    <row customHeight="1" ht="11.25">
      <c r="A122" s="8299" t="s">
        <v>2419</v>
      </c>
      <c r="B122" s="8299" t="s">
        <v>16</v>
      </c>
      <c r="C122" s="8299" t="s">
        <v>2902</v>
      </c>
      <c r="D122" s="8299" t="s">
        <v>2903</v>
      </c>
      <c r="E122" s="8299" t="s">
        <v>2904</v>
      </c>
      <c r="F122" s="8299" t="s">
        <v>2905</v>
      </c>
      <c r="G122" s="8299" t="s">
        <v>22</v>
      </c>
      <c r="H122" s="8299" t="s">
        <v>22</v>
      </c>
      <c r="I122" s="8299" t="s">
        <v>978</v>
      </c>
    </row>
    <row customHeight="1" ht="11.25">
      <c r="A123" s="8299" t="s">
        <v>2419</v>
      </c>
      <c r="B123" s="8299" t="s">
        <v>16</v>
      </c>
      <c r="C123" s="8299" t="s">
        <v>2906</v>
      </c>
      <c r="D123" s="8299" t="s">
        <v>2907</v>
      </c>
      <c r="E123" s="8299" t="s">
        <v>2908</v>
      </c>
      <c r="F123" s="8299" t="s">
        <v>2852</v>
      </c>
      <c r="G123" s="8299" t="s">
        <v>2909</v>
      </c>
      <c r="H123" s="8299" t="s">
        <v>22</v>
      </c>
      <c r="I123" s="8299" t="s">
        <v>978</v>
      </c>
    </row>
    <row customHeight="1" ht="11.25">
      <c r="A124" s="8299" t="s">
        <v>2419</v>
      </c>
      <c r="B124" s="8299" t="s">
        <v>16</v>
      </c>
      <c r="C124" s="8299" t="s">
        <v>2910</v>
      </c>
      <c r="D124" s="8299" t="s">
        <v>2911</v>
      </c>
      <c r="E124" s="8299" t="s">
        <v>2912</v>
      </c>
      <c r="F124" s="8299" t="s">
        <v>2600</v>
      </c>
      <c r="G124" s="8299" t="s">
        <v>2913</v>
      </c>
      <c r="H124" s="8299" t="s">
        <v>22</v>
      </c>
      <c r="I124" s="8299" t="s">
        <v>978</v>
      </c>
    </row>
    <row customHeight="1" ht="11.25">
      <c r="A125" s="8299" t="s">
        <v>2419</v>
      </c>
      <c r="B125" s="8299" t="s">
        <v>16</v>
      </c>
      <c r="C125" s="8299" t="s">
        <v>2914</v>
      </c>
      <c r="D125" s="8299" t="s">
        <v>2915</v>
      </c>
      <c r="E125" s="8299" t="s">
        <v>2916</v>
      </c>
      <c r="F125" s="8299" t="s">
        <v>2717</v>
      </c>
      <c r="G125" s="8299" t="s">
        <v>22</v>
      </c>
      <c r="H125" s="8299" t="s">
        <v>22</v>
      </c>
      <c r="I125" s="8299" t="s">
        <v>978</v>
      </c>
    </row>
    <row customHeight="1" ht="11.25">
      <c r="A126" s="8299" t="s">
        <v>2419</v>
      </c>
      <c r="B126" s="8299" t="s">
        <v>16</v>
      </c>
      <c r="C126" s="8299" t="s">
        <v>2917</v>
      </c>
      <c r="D126" s="8299" t="s">
        <v>2918</v>
      </c>
      <c r="E126" s="8299" t="s">
        <v>2919</v>
      </c>
      <c r="F126" s="8299" t="s">
        <v>2920</v>
      </c>
      <c r="G126" s="8299" t="s">
        <v>2921</v>
      </c>
      <c r="H126" s="8299" t="s">
        <v>22</v>
      </c>
      <c r="I126" s="8299" t="s">
        <v>978</v>
      </c>
    </row>
    <row customHeight="1" ht="11.25">
      <c r="A127" s="8299" t="s">
        <v>2419</v>
      </c>
      <c r="B127" s="8299" t="s">
        <v>16</v>
      </c>
      <c r="C127" s="8299" t="s">
        <v>2922</v>
      </c>
      <c r="D127" s="8299" t="s">
        <v>2923</v>
      </c>
      <c r="E127" s="8299" t="s">
        <v>2924</v>
      </c>
      <c r="F127" s="8299" t="s">
        <v>2712</v>
      </c>
      <c r="G127" s="8299" t="s">
        <v>2925</v>
      </c>
      <c r="H127" s="8299" t="s">
        <v>22</v>
      </c>
      <c r="I127" s="8299" t="s">
        <v>978</v>
      </c>
    </row>
    <row customHeight="1" ht="11.25">
      <c r="A128" s="8299" t="s">
        <v>2419</v>
      </c>
      <c r="B128" s="8299" t="s">
        <v>16</v>
      </c>
      <c r="C128" s="8299" t="s">
        <v>2926</v>
      </c>
      <c r="D128" s="8299" t="s">
        <v>2927</v>
      </c>
      <c r="E128" s="8299" t="s">
        <v>2928</v>
      </c>
      <c r="F128" s="8299" t="s">
        <v>2471</v>
      </c>
      <c r="G128" s="8299" t="s">
        <v>2929</v>
      </c>
      <c r="H128" s="8299" t="s">
        <v>22</v>
      </c>
      <c r="I128" s="8299" t="s">
        <v>978</v>
      </c>
    </row>
    <row customHeight="1" ht="11.25">
      <c r="A129" s="8299" t="s">
        <v>2419</v>
      </c>
      <c r="B129" s="8299" t="s">
        <v>16</v>
      </c>
      <c r="C129" s="8299" t="s">
        <v>2930</v>
      </c>
      <c r="D129" s="8299" t="s">
        <v>2931</v>
      </c>
      <c r="E129" s="8299" t="s">
        <v>2932</v>
      </c>
      <c r="F129" s="8299" t="s">
        <v>2422</v>
      </c>
      <c r="G129" s="8299" t="s">
        <v>2933</v>
      </c>
      <c r="H129" s="8299" t="s">
        <v>22</v>
      </c>
      <c r="I129" s="8299" t="s">
        <v>978</v>
      </c>
    </row>
    <row customHeight="1" ht="11.25">
      <c r="A130" s="8299" t="s">
        <v>2419</v>
      </c>
      <c r="B130" s="8299" t="s">
        <v>16</v>
      </c>
      <c r="C130" s="8299" t="s">
        <v>2934</v>
      </c>
      <c r="D130" s="8299" t="s">
        <v>2935</v>
      </c>
      <c r="E130" s="8299" t="s">
        <v>2936</v>
      </c>
      <c r="F130" s="8299" t="s">
        <v>2481</v>
      </c>
      <c r="G130" s="8299" t="s">
        <v>2937</v>
      </c>
      <c r="H130" s="8299" t="s">
        <v>22</v>
      </c>
      <c r="I130" s="8299" t="s">
        <v>978</v>
      </c>
    </row>
    <row customHeight="1" ht="11.25">
      <c r="A131" s="8299" t="s">
        <v>2419</v>
      </c>
      <c r="B131" s="8299" t="s">
        <v>16</v>
      </c>
      <c r="C131" s="8299" t="s">
        <v>2938</v>
      </c>
      <c r="D131" s="8299" t="s">
        <v>2939</v>
      </c>
      <c r="E131" s="8299" t="s">
        <v>2940</v>
      </c>
      <c r="F131" s="8299" t="s">
        <v>2852</v>
      </c>
      <c r="G131" s="8299" t="s">
        <v>2941</v>
      </c>
      <c r="H131" s="8299" t="s">
        <v>22</v>
      </c>
      <c r="I131" s="8299" t="s">
        <v>978</v>
      </c>
    </row>
    <row customHeight="1" ht="11.25">
      <c r="A132" s="8299" t="s">
        <v>2419</v>
      </c>
      <c r="B132" s="8299" t="s">
        <v>16</v>
      </c>
      <c r="C132" s="8299" t="s">
        <v>2942</v>
      </c>
      <c r="D132" s="8299" t="s">
        <v>2943</v>
      </c>
      <c r="E132" s="8299" t="s">
        <v>2944</v>
      </c>
      <c r="F132" s="8299" t="s">
        <v>2712</v>
      </c>
      <c r="G132" s="8299" t="s">
        <v>2945</v>
      </c>
      <c r="H132" s="8299" t="s">
        <v>22</v>
      </c>
      <c r="I132" s="8299" t="s">
        <v>978</v>
      </c>
    </row>
    <row customHeight="1" ht="11.25">
      <c r="A133" s="8299" t="s">
        <v>2419</v>
      </c>
      <c r="B133" s="8299" t="s">
        <v>16</v>
      </c>
      <c r="C133" s="8299" t="s">
        <v>2946</v>
      </c>
      <c r="D133" s="8299" t="s">
        <v>2947</v>
      </c>
      <c r="E133" s="8299" t="s">
        <v>2948</v>
      </c>
      <c r="F133" s="8299" t="s">
        <v>2422</v>
      </c>
      <c r="G133" s="8299" t="s">
        <v>2949</v>
      </c>
      <c r="H133" s="8299" t="s">
        <v>22</v>
      </c>
      <c r="I133" s="8299" t="s">
        <v>978</v>
      </c>
    </row>
    <row customHeight="1" ht="11.25">
      <c r="A134" s="8299" t="s">
        <v>2419</v>
      </c>
      <c r="B134" s="8299" t="s">
        <v>16</v>
      </c>
      <c r="C134" s="8299" t="s">
        <v>2950</v>
      </c>
      <c r="D134" s="8299" t="s">
        <v>2947</v>
      </c>
      <c r="E134" s="8299" t="s">
        <v>2951</v>
      </c>
      <c r="F134" s="8299" t="s">
        <v>2426</v>
      </c>
      <c r="G134" s="8299" t="s">
        <v>2952</v>
      </c>
      <c r="H134" s="8299" t="s">
        <v>22</v>
      </c>
      <c r="I134" s="8299" t="s">
        <v>978</v>
      </c>
    </row>
    <row customHeight="1" ht="11.25">
      <c r="A135" s="8299" t="s">
        <v>2419</v>
      </c>
      <c r="B135" s="8299" t="s">
        <v>16</v>
      </c>
      <c r="C135" s="8299" t="s">
        <v>2953</v>
      </c>
      <c r="D135" s="8299" t="s">
        <v>2954</v>
      </c>
      <c r="E135" s="8299" t="s">
        <v>2955</v>
      </c>
      <c r="F135" s="8299" t="s">
        <v>2422</v>
      </c>
      <c r="G135" s="8299" t="s">
        <v>22</v>
      </c>
      <c r="H135" s="8299" t="s">
        <v>2956</v>
      </c>
      <c r="I135" s="8299" t="s">
        <v>978</v>
      </c>
    </row>
    <row customHeight="1" ht="11.25">
      <c r="A136" s="8299" t="s">
        <v>2419</v>
      </c>
      <c r="B136" s="8299" t="s">
        <v>16</v>
      </c>
      <c r="C136" s="8299" t="s">
        <v>2957</v>
      </c>
      <c r="D136" s="8299" t="s">
        <v>2958</v>
      </c>
      <c r="E136" s="8299" t="s">
        <v>2959</v>
      </c>
      <c r="F136" s="8299" t="s">
        <v>2776</v>
      </c>
      <c r="G136" s="8299" t="s">
        <v>2960</v>
      </c>
      <c r="H136" s="8299" t="s">
        <v>22</v>
      </c>
      <c r="I136" s="8299" t="s">
        <v>978</v>
      </c>
    </row>
    <row customHeight="1" ht="11.25">
      <c r="A137" s="8299" t="s">
        <v>2419</v>
      </c>
      <c r="B137" s="8299" t="s">
        <v>16</v>
      </c>
      <c r="C137" s="8299" t="s">
        <v>2961</v>
      </c>
      <c r="D137" s="8299" t="s">
        <v>2962</v>
      </c>
      <c r="E137" s="8299" t="s">
        <v>2963</v>
      </c>
      <c r="F137" s="8299" t="s">
        <v>2426</v>
      </c>
      <c r="G137" s="8299" t="s">
        <v>2964</v>
      </c>
      <c r="H137" s="8299" t="s">
        <v>22</v>
      </c>
      <c r="I137" s="8299" t="s">
        <v>978</v>
      </c>
    </row>
    <row customHeight="1" ht="11.25">
      <c r="A138" s="8299" t="s">
        <v>2419</v>
      </c>
      <c r="B138" s="8299" t="s">
        <v>16</v>
      </c>
      <c r="C138" s="8299" t="s">
        <v>2965</v>
      </c>
      <c r="D138" s="8299" t="s">
        <v>2966</v>
      </c>
      <c r="E138" s="8299" t="s">
        <v>2967</v>
      </c>
      <c r="F138" s="8299" t="s">
        <v>2422</v>
      </c>
      <c r="G138" s="8299" t="s">
        <v>2968</v>
      </c>
      <c r="H138" s="8299" t="s">
        <v>22</v>
      </c>
      <c r="I138" s="8299" t="s">
        <v>978</v>
      </c>
    </row>
    <row customHeight="1" ht="11.25">
      <c r="A139" s="8299" t="s">
        <v>2419</v>
      </c>
      <c r="B139" s="8299" t="s">
        <v>16</v>
      </c>
      <c r="C139" s="8299" t="s">
        <v>2969</v>
      </c>
      <c r="D139" s="8299" t="s">
        <v>2970</v>
      </c>
      <c r="E139" s="8299" t="s">
        <v>2971</v>
      </c>
      <c r="F139" s="8299" t="s">
        <v>2422</v>
      </c>
      <c r="G139" s="8299" t="s">
        <v>2972</v>
      </c>
      <c r="H139" s="8299" t="s">
        <v>22</v>
      </c>
      <c r="I139" s="8299" t="s">
        <v>978</v>
      </c>
    </row>
    <row customHeight="1" ht="11.25">
      <c r="A140" s="8299" t="s">
        <v>2419</v>
      </c>
      <c r="B140" s="8299" t="s">
        <v>16</v>
      </c>
      <c r="C140" s="8299" t="s">
        <v>2973</v>
      </c>
      <c r="D140" s="8299" t="s">
        <v>2974</v>
      </c>
      <c r="E140" s="8299" t="s">
        <v>2975</v>
      </c>
      <c r="F140" s="8299" t="s">
        <v>2422</v>
      </c>
      <c r="G140" s="8299" t="s">
        <v>2976</v>
      </c>
      <c r="H140" s="8299" t="s">
        <v>22</v>
      </c>
      <c r="I140" s="8299" t="s">
        <v>978</v>
      </c>
    </row>
    <row customHeight="1" ht="11.25">
      <c r="A141" s="8299" t="s">
        <v>2419</v>
      </c>
      <c r="B141" s="8299" t="s">
        <v>16</v>
      </c>
      <c r="C141" s="8299" t="s">
        <v>2977</v>
      </c>
      <c r="D141" s="8299" t="s">
        <v>2978</v>
      </c>
      <c r="E141" s="8299" t="s">
        <v>2979</v>
      </c>
      <c r="F141" s="8299" t="s">
        <v>2712</v>
      </c>
      <c r="G141" s="8299" t="s">
        <v>22</v>
      </c>
      <c r="H141" s="8299" t="s">
        <v>22</v>
      </c>
      <c r="I141" s="8299" t="s">
        <v>978</v>
      </c>
    </row>
    <row customHeight="1" ht="11.25">
      <c r="A142" s="8299" t="s">
        <v>2419</v>
      </c>
      <c r="B142" s="8299" t="s">
        <v>16</v>
      </c>
      <c r="C142" s="8299" t="s">
        <v>2980</v>
      </c>
      <c r="D142" s="8299" t="s">
        <v>2981</v>
      </c>
      <c r="E142" s="8299" t="s">
        <v>2982</v>
      </c>
      <c r="F142" s="8299" t="s">
        <v>2422</v>
      </c>
      <c r="G142" s="8299" t="s">
        <v>2983</v>
      </c>
      <c r="H142" s="8299" t="s">
        <v>22</v>
      </c>
      <c r="I142" s="8299" t="s">
        <v>978</v>
      </c>
    </row>
    <row customHeight="1" ht="11.25">
      <c r="A143" s="8299" t="s">
        <v>2419</v>
      </c>
      <c r="B143" s="8299" t="s">
        <v>16</v>
      </c>
      <c r="C143" s="8299" t="s">
        <v>2984</v>
      </c>
      <c r="D143" s="8299" t="s">
        <v>2985</v>
      </c>
      <c r="E143" s="8299" t="s">
        <v>2986</v>
      </c>
      <c r="F143" s="8299" t="s">
        <v>2471</v>
      </c>
      <c r="G143" s="8299" t="s">
        <v>2987</v>
      </c>
      <c r="H143" s="8299" t="s">
        <v>22</v>
      </c>
      <c r="I143" s="8299" t="s">
        <v>978</v>
      </c>
    </row>
    <row customHeight="1" ht="11.25">
      <c r="A144" s="8299" t="s">
        <v>2419</v>
      </c>
      <c r="B144" s="8299" t="s">
        <v>16</v>
      </c>
      <c r="C144" s="8299" t="s">
        <v>2988</v>
      </c>
      <c r="D144" s="8299" t="s">
        <v>2989</v>
      </c>
      <c r="E144" s="8299" t="s">
        <v>2990</v>
      </c>
      <c r="F144" s="8299" t="s">
        <v>2625</v>
      </c>
      <c r="G144" s="8299" t="s">
        <v>2991</v>
      </c>
      <c r="H144" s="8299" t="s">
        <v>22</v>
      </c>
      <c r="I144" s="8299" t="s">
        <v>978</v>
      </c>
    </row>
    <row customHeight="1" ht="11.25">
      <c r="A145" s="8299" t="s">
        <v>2419</v>
      </c>
      <c r="B145" s="8299" t="s">
        <v>16</v>
      </c>
      <c r="C145" s="8299" t="s">
        <v>2992</v>
      </c>
      <c r="D145" s="8299" t="s">
        <v>2993</v>
      </c>
      <c r="E145" s="8299" t="s">
        <v>2994</v>
      </c>
      <c r="F145" s="8299" t="s">
        <v>2625</v>
      </c>
      <c r="G145" s="8299" t="s">
        <v>2995</v>
      </c>
      <c r="H145" s="8299" t="s">
        <v>2996</v>
      </c>
      <c r="I145" s="8299" t="s">
        <v>978</v>
      </c>
    </row>
    <row customHeight="1" ht="11.25">
      <c r="A146" s="8299" t="s">
        <v>2419</v>
      </c>
      <c r="B146" s="8299" t="s">
        <v>16</v>
      </c>
      <c r="C146" s="8299" t="s">
        <v>2997</v>
      </c>
      <c r="D146" s="8299" t="s">
        <v>2998</v>
      </c>
      <c r="E146" s="8299" t="s">
        <v>2999</v>
      </c>
      <c r="F146" s="8299" t="s">
        <v>2595</v>
      </c>
      <c r="G146" s="8299" t="s">
        <v>3000</v>
      </c>
      <c r="H146" s="8299" t="s">
        <v>22</v>
      </c>
      <c r="I146" s="8299" t="s">
        <v>978</v>
      </c>
    </row>
    <row customHeight="1" ht="11.25">
      <c r="A147" s="8299" t="s">
        <v>2419</v>
      </c>
      <c r="B147" s="8299" t="s">
        <v>16</v>
      </c>
      <c r="C147" s="8299" t="s">
        <v>3001</v>
      </c>
      <c r="D147" s="8299" t="s">
        <v>3002</v>
      </c>
      <c r="E147" s="8299" t="s">
        <v>3003</v>
      </c>
      <c r="F147" s="8299" t="s">
        <v>2712</v>
      </c>
      <c r="G147" s="8299" t="s">
        <v>3004</v>
      </c>
      <c r="H147" s="8299" t="s">
        <v>22</v>
      </c>
      <c r="I147" s="8299" t="s">
        <v>978</v>
      </c>
    </row>
    <row customHeight="1" ht="11.25">
      <c r="A148" s="8299" t="s">
        <v>2419</v>
      </c>
      <c r="B148" s="8299" t="s">
        <v>16</v>
      </c>
      <c r="C148" s="8299" t="s">
        <v>3005</v>
      </c>
      <c r="D148" s="8299" t="s">
        <v>3006</v>
      </c>
      <c r="E148" s="8299" t="s">
        <v>3007</v>
      </c>
      <c r="F148" s="8299" t="s">
        <v>2712</v>
      </c>
      <c r="G148" s="8299" t="s">
        <v>22</v>
      </c>
      <c r="H148" s="8299" t="s">
        <v>22</v>
      </c>
      <c r="I148" s="8299" t="s">
        <v>978</v>
      </c>
    </row>
    <row customHeight="1" ht="11.25">
      <c r="A149" s="8299" t="s">
        <v>2419</v>
      </c>
      <c r="B149" s="8299" t="s">
        <v>16</v>
      </c>
      <c r="C149" s="8299" t="s">
        <v>3008</v>
      </c>
      <c r="D149" s="8299" t="s">
        <v>3009</v>
      </c>
      <c r="E149" s="8299" t="s">
        <v>3010</v>
      </c>
      <c r="F149" s="8299" t="s">
        <v>2422</v>
      </c>
      <c r="G149" s="8299" t="s">
        <v>3011</v>
      </c>
      <c r="H149" s="8299" t="s">
        <v>22</v>
      </c>
      <c r="I149" s="8299" t="s">
        <v>978</v>
      </c>
    </row>
    <row customHeight="1" ht="11.25">
      <c r="A150" s="8299" t="s">
        <v>2419</v>
      </c>
      <c r="B150" s="8299" t="s">
        <v>16</v>
      </c>
      <c r="C150" s="8299" t="s">
        <v>3012</v>
      </c>
      <c r="D150" s="8299" t="s">
        <v>3013</v>
      </c>
      <c r="E150" s="8299" t="s">
        <v>3014</v>
      </c>
      <c r="F150" s="8299" t="s">
        <v>2712</v>
      </c>
      <c r="G150" s="8299" t="s">
        <v>22</v>
      </c>
      <c r="H150" s="8299" t="s">
        <v>22</v>
      </c>
      <c r="I150" s="8299" t="s">
        <v>978</v>
      </c>
    </row>
    <row customHeight="1" ht="11.25">
      <c r="A151" s="8299" t="s">
        <v>2419</v>
      </c>
      <c r="B151" s="8299" t="s">
        <v>16</v>
      </c>
      <c r="C151" s="8299" t="s">
        <v>3015</v>
      </c>
      <c r="D151" s="8299" t="s">
        <v>3016</v>
      </c>
      <c r="E151" s="8299" t="s">
        <v>3017</v>
      </c>
      <c r="F151" s="8299" t="s">
        <v>2625</v>
      </c>
      <c r="G151" s="8299" t="s">
        <v>3018</v>
      </c>
      <c r="H151" s="8299" t="s">
        <v>22</v>
      </c>
      <c r="I151" s="8299" t="s">
        <v>978</v>
      </c>
    </row>
    <row customHeight="1" ht="11.25">
      <c r="A152" s="8299" t="s">
        <v>2419</v>
      </c>
      <c r="B152" s="8299" t="s">
        <v>16</v>
      </c>
      <c r="C152" s="8299" t="s">
        <v>3019</v>
      </c>
      <c r="D152" s="8299" t="s">
        <v>3020</v>
      </c>
      <c r="E152" s="8299" t="s">
        <v>3021</v>
      </c>
      <c r="F152" s="8299" t="s">
        <v>2595</v>
      </c>
      <c r="G152" s="8299" t="s">
        <v>3022</v>
      </c>
      <c r="H152" s="8299" t="s">
        <v>22</v>
      </c>
      <c r="I152" s="8299" t="s">
        <v>978</v>
      </c>
    </row>
    <row customHeight="1" ht="11.25">
      <c r="A153" s="8299" t="s">
        <v>2419</v>
      </c>
      <c r="B153" s="8299" t="s">
        <v>16</v>
      </c>
      <c r="C153" s="8299" t="s">
        <v>3023</v>
      </c>
      <c r="D153" s="8299" t="s">
        <v>3024</v>
      </c>
      <c r="E153" s="8299" t="s">
        <v>3025</v>
      </c>
      <c r="F153" s="8299" t="s">
        <v>2481</v>
      </c>
      <c r="G153" s="8299" t="s">
        <v>3026</v>
      </c>
      <c r="H153" s="8299" t="s">
        <v>22</v>
      </c>
      <c r="I153" s="8299" t="s">
        <v>978</v>
      </c>
    </row>
    <row customHeight="1" ht="11.25">
      <c r="A154" s="8299" t="s">
        <v>2419</v>
      </c>
      <c r="B154" s="8299" t="s">
        <v>16</v>
      </c>
      <c r="C154" s="8299" t="s">
        <v>3027</v>
      </c>
      <c r="D154" s="8299" t="s">
        <v>3028</v>
      </c>
      <c r="E154" s="8299" t="s">
        <v>3029</v>
      </c>
      <c r="F154" s="8299" t="s">
        <v>2717</v>
      </c>
      <c r="G154" s="8299" t="s">
        <v>3030</v>
      </c>
      <c r="H154" s="8299" t="s">
        <v>22</v>
      </c>
      <c r="I154" s="8299" t="s">
        <v>978</v>
      </c>
    </row>
    <row customHeight="1" ht="11.25">
      <c r="A155" s="8299" t="s">
        <v>2419</v>
      </c>
      <c r="B155" s="8299" t="s">
        <v>16</v>
      </c>
      <c r="C155" s="8299" t="s">
        <v>3031</v>
      </c>
      <c r="D155" s="8299" t="s">
        <v>3032</v>
      </c>
      <c r="E155" s="8299" t="s">
        <v>3033</v>
      </c>
      <c r="F155" s="8299" t="s">
        <v>2426</v>
      </c>
      <c r="G155" s="8299" t="s">
        <v>3034</v>
      </c>
      <c r="H155" s="8299" t="s">
        <v>22</v>
      </c>
      <c r="I155" s="8299" t="s">
        <v>978</v>
      </c>
    </row>
    <row customHeight="1" ht="11.25">
      <c r="A156" s="8299" t="s">
        <v>2419</v>
      </c>
      <c r="B156" s="8299" t="s">
        <v>16</v>
      </c>
      <c r="C156" s="8299" t="s">
        <v>3035</v>
      </c>
      <c r="D156" s="8299" t="s">
        <v>3036</v>
      </c>
      <c r="E156" s="8299" t="s">
        <v>3037</v>
      </c>
      <c r="F156" s="8299" t="s">
        <v>2422</v>
      </c>
      <c r="G156" s="8299" t="s">
        <v>3038</v>
      </c>
      <c r="H156" s="8299" t="s">
        <v>22</v>
      </c>
      <c r="I156" s="8299" t="s">
        <v>978</v>
      </c>
    </row>
    <row customHeight="1" ht="11.25">
      <c r="A157" s="8299" t="s">
        <v>2419</v>
      </c>
      <c r="B157" s="8299" t="s">
        <v>16</v>
      </c>
      <c r="C157" s="8299" t="s">
        <v>3039</v>
      </c>
      <c r="D157" s="8299" t="s">
        <v>3040</v>
      </c>
      <c r="E157" s="8299" t="s">
        <v>3041</v>
      </c>
      <c r="F157" s="8299" t="s">
        <v>2717</v>
      </c>
      <c r="G157" s="8299" t="s">
        <v>3042</v>
      </c>
      <c r="H157" s="8299" t="s">
        <v>22</v>
      </c>
      <c r="I157" s="8299" t="s">
        <v>978</v>
      </c>
    </row>
    <row customHeight="1" ht="11.25">
      <c r="A158" s="8299" t="s">
        <v>2419</v>
      </c>
      <c r="B158" s="8299" t="s">
        <v>16</v>
      </c>
      <c r="C158" s="8299" t="s">
        <v>3043</v>
      </c>
      <c r="D158" s="8299" t="s">
        <v>3044</v>
      </c>
      <c r="E158" s="8299" t="s">
        <v>3045</v>
      </c>
      <c r="F158" s="8299" t="s">
        <v>2776</v>
      </c>
      <c r="G158" s="8299" t="s">
        <v>3046</v>
      </c>
      <c r="H158" s="8299" t="s">
        <v>22</v>
      </c>
      <c r="I158" s="8299" t="s">
        <v>978</v>
      </c>
    </row>
    <row customHeight="1" ht="11.25">
      <c r="A159" s="8299" t="s">
        <v>2419</v>
      </c>
      <c r="B159" s="8299" t="s">
        <v>16</v>
      </c>
      <c r="C159" s="8299" t="s">
        <v>3047</v>
      </c>
      <c r="D159" s="8299" t="s">
        <v>3048</v>
      </c>
      <c r="E159" s="8299" t="s">
        <v>3049</v>
      </c>
      <c r="F159" s="8299" t="s">
        <v>2712</v>
      </c>
      <c r="G159" s="8299" t="s">
        <v>3050</v>
      </c>
      <c r="H159" s="8299" t="s">
        <v>22</v>
      </c>
      <c r="I159" s="8299" t="s">
        <v>978</v>
      </c>
    </row>
    <row customHeight="1" ht="11.25">
      <c r="A160" s="8299" t="s">
        <v>2419</v>
      </c>
      <c r="B160" s="8299" t="s">
        <v>16</v>
      </c>
      <c r="C160" s="8299" t="s">
        <v>3051</v>
      </c>
      <c r="D160" s="8299" t="s">
        <v>3052</v>
      </c>
      <c r="E160" s="8299" t="s">
        <v>3053</v>
      </c>
      <c r="F160" s="8299" t="s">
        <v>2625</v>
      </c>
      <c r="G160" s="8299" t="s">
        <v>3054</v>
      </c>
      <c r="H160" s="8299" t="s">
        <v>22</v>
      </c>
      <c r="I160" s="8299" t="s">
        <v>978</v>
      </c>
    </row>
    <row customHeight="1" ht="11.25">
      <c r="A161" s="8299" t="s">
        <v>2419</v>
      </c>
      <c r="B161" s="8299" t="s">
        <v>16</v>
      </c>
      <c r="C161" s="8299" t="s">
        <v>3055</v>
      </c>
      <c r="D161" s="8299" t="s">
        <v>3056</v>
      </c>
      <c r="E161" s="8299" t="s">
        <v>3057</v>
      </c>
      <c r="F161" s="8299" t="s">
        <v>2422</v>
      </c>
      <c r="G161" s="8299" t="s">
        <v>3058</v>
      </c>
      <c r="H161" s="8299" t="s">
        <v>22</v>
      </c>
      <c r="I161" s="8299" t="s">
        <v>978</v>
      </c>
    </row>
    <row customHeight="1" ht="11.25">
      <c r="A162" s="8299" t="s">
        <v>2419</v>
      </c>
      <c r="B162" s="8299" t="s">
        <v>16</v>
      </c>
      <c r="C162" s="8299" t="s">
        <v>3059</v>
      </c>
      <c r="D162" s="8299" t="s">
        <v>3060</v>
      </c>
      <c r="E162" s="8299" t="s">
        <v>3061</v>
      </c>
      <c r="F162" s="8299" t="s">
        <v>2422</v>
      </c>
      <c r="G162" s="8299" t="s">
        <v>22</v>
      </c>
      <c r="H162" s="8299" t="s">
        <v>22</v>
      </c>
      <c r="I162" s="8299" t="s">
        <v>978</v>
      </c>
    </row>
    <row customHeight="1" ht="11.25">
      <c r="A163" s="8299" t="s">
        <v>2419</v>
      </c>
      <c r="B163" s="8299" t="s">
        <v>16</v>
      </c>
      <c r="C163" s="8299" t="s">
        <v>3062</v>
      </c>
      <c r="D163" s="8299" t="s">
        <v>3063</v>
      </c>
      <c r="E163" s="8299" t="s">
        <v>3064</v>
      </c>
      <c r="F163" s="8299" t="s">
        <v>2422</v>
      </c>
      <c r="G163" s="8299" t="s">
        <v>3065</v>
      </c>
      <c r="H163" s="8299" t="s">
        <v>22</v>
      </c>
      <c r="I163" s="8299" t="s">
        <v>978</v>
      </c>
    </row>
    <row customHeight="1" ht="11.25">
      <c r="A164" s="8299" t="s">
        <v>2419</v>
      </c>
      <c r="B164" s="8299" t="s">
        <v>16</v>
      </c>
      <c r="C164" s="8299" t="s">
        <v>3066</v>
      </c>
      <c r="D164" s="8299" t="s">
        <v>3067</v>
      </c>
      <c r="E164" s="8299" t="s">
        <v>3068</v>
      </c>
      <c r="F164" s="8299" t="s">
        <v>2520</v>
      </c>
      <c r="G164" s="8299" t="s">
        <v>22</v>
      </c>
      <c r="H164" s="8299" t="s">
        <v>22</v>
      </c>
      <c r="I164" s="8299" t="s">
        <v>978</v>
      </c>
    </row>
    <row customHeight="1" ht="11.25">
      <c r="A165" s="8299" t="s">
        <v>2419</v>
      </c>
      <c r="B165" s="8299" t="s">
        <v>16</v>
      </c>
      <c r="C165" s="8299" t="s">
        <v>3069</v>
      </c>
      <c r="D165" s="8299" t="s">
        <v>3070</v>
      </c>
      <c r="E165" s="8299" t="s">
        <v>3071</v>
      </c>
      <c r="F165" s="8299" t="s">
        <v>2660</v>
      </c>
      <c r="G165" s="8299" t="s">
        <v>3072</v>
      </c>
      <c r="H165" s="8299" t="s">
        <v>22</v>
      </c>
      <c r="I165" s="8299" t="s">
        <v>978</v>
      </c>
    </row>
    <row customHeight="1" ht="11.25">
      <c r="A166" s="8299" t="s">
        <v>2419</v>
      </c>
      <c r="B166" s="8299" t="s">
        <v>16</v>
      </c>
      <c r="C166" s="8299" t="s">
        <v>3073</v>
      </c>
      <c r="D166" s="8299" t="s">
        <v>3074</v>
      </c>
      <c r="E166" s="8299" t="s">
        <v>3075</v>
      </c>
      <c r="F166" s="8299" t="s">
        <v>2625</v>
      </c>
      <c r="G166" s="8299" t="s">
        <v>3076</v>
      </c>
      <c r="H166" s="8299" t="s">
        <v>22</v>
      </c>
      <c r="I166" s="8299" t="s">
        <v>978</v>
      </c>
    </row>
    <row customHeight="1" ht="11.25">
      <c r="A167" s="8299" t="s">
        <v>2419</v>
      </c>
      <c r="B167" s="8299" t="s">
        <v>16</v>
      </c>
      <c r="C167" s="8299" t="s">
        <v>3077</v>
      </c>
      <c r="D167" s="8299" t="s">
        <v>3078</v>
      </c>
      <c r="E167" s="8299" t="s">
        <v>3079</v>
      </c>
      <c r="F167" s="8299" t="s">
        <v>2520</v>
      </c>
      <c r="G167" s="8299" t="s">
        <v>3080</v>
      </c>
      <c r="H167" s="8299" t="s">
        <v>22</v>
      </c>
      <c r="I167" s="8299" t="s">
        <v>978</v>
      </c>
    </row>
    <row customHeight="1" ht="11.25">
      <c r="A168" s="8299" t="s">
        <v>2419</v>
      </c>
      <c r="B168" s="8299" t="s">
        <v>16</v>
      </c>
      <c r="C168" s="8299" t="s">
        <v>3081</v>
      </c>
      <c r="D168" s="8299" t="s">
        <v>3082</v>
      </c>
      <c r="E168" s="8299" t="s">
        <v>3083</v>
      </c>
      <c r="F168" s="8299" t="s">
        <v>2520</v>
      </c>
      <c r="G168" s="8299" t="s">
        <v>3084</v>
      </c>
      <c r="H168" s="8299" t="s">
        <v>22</v>
      </c>
      <c r="I168" s="8299" t="s">
        <v>978</v>
      </c>
    </row>
    <row customHeight="1" ht="11.25">
      <c r="A169" s="8299" t="s">
        <v>2419</v>
      </c>
      <c r="B169" s="8299" t="s">
        <v>16</v>
      </c>
      <c r="C169" s="8299" t="s">
        <v>3085</v>
      </c>
      <c r="D169" s="8299" t="s">
        <v>3086</v>
      </c>
      <c r="E169" s="8299" t="s">
        <v>3087</v>
      </c>
      <c r="F169" s="8299" t="s">
        <v>2621</v>
      </c>
      <c r="G169" s="8299" t="s">
        <v>3088</v>
      </c>
      <c r="H169" s="8299" t="s">
        <v>22</v>
      </c>
      <c r="I169" s="8299" t="s">
        <v>978</v>
      </c>
    </row>
    <row customHeight="1" ht="11.25">
      <c r="A170" s="8299" t="s">
        <v>2419</v>
      </c>
      <c r="B170" s="8299" t="s">
        <v>16</v>
      </c>
      <c r="C170" s="8299" t="s">
        <v>3089</v>
      </c>
      <c r="D170" s="8299" t="s">
        <v>3086</v>
      </c>
      <c r="E170" s="8299" t="s">
        <v>3090</v>
      </c>
      <c r="F170" s="8299" t="s">
        <v>2426</v>
      </c>
      <c r="G170" s="8299" t="s">
        <v>3091</v>
      </c>
      <c r="H170" s="8299" t="s">
        <v>22</v>
      </c>
      <c r="I170" s="8299" t="s">
        <v>978</v>
      </c>
    </row>
    <row customHeight="1" ht="11.25">
      <c r="A171" s="8299" t="s">
        <v>2419</v>
      </c>
      <c r="B171" s="8299" t="s">
        <v>16</v>
      </c>
      <c r="C171" s="8299" t="s">
        <v>3092</v>
      </c>
      <c r="D171" s="8299" t="s">
        <v>3093</v>
      </c>
      <c r="E171" s="8299" t="s">
        <v>3094</v>
      </c>
      <c r="F171" s="8299" t="s">
        <v>2520</v>
      </c>
      <c r="G171" s="8299" t="s">
        <v>3095</v>
      </c>
      <c r="H171" s="8299" t="s">
        <v>22</v>
      </c>
      <c r="I171" s="8299" t="s">
        <v>978</v>
      </c>
    </row>
    <row customHeight="1" ht="11.25">
      <c r="A172" s="8299" t="s">
        <v>2419</v>
      </c>
      <c r="B172" s="8299" t="s">
        <v>16</v>
      </c>
      <c r="C172" s="8299" t="s">
        <v>3096</v>
      </c>
      <c r="D172" s="8299" t="s">
        <v>3097</v>
      </c>
      <c r="E172" s="8299" t="s">
        <v>3098</v>
      </c>
      <c r="F172" s="8299" t="s">
        <v>2621</v>
      </c>
      <c r="G172" s="8299" t="s">
        <v>22</v>
      </c>
      <c r="H172" s="8299" t="s">
        <v>22</v>
      </c>
      <c r="I172" s="8299" t="s">
        <v>978</v>
      </c>
    </row>
    <row customHeight="1" ht="11.25">
      <c r="A173" s="8299" t="s">
        <v>2419</v>
      </c>
      <c r="B173" s="8299" t="s">
        <v>16</v>
      </c>
      <c r="C173" s="8299" t="s">
        <v>3099</v>
      </c>
      <c r="D173" s="8299" t="s">
        <v>3100</v>
      </c>
      <c r="E173" s="8299" t="s">
        <v>3101</v>
      </c>
      <c r="F173" s="8299" t="s">
        <v>2621</v>
      </c>
      <c r="G173" s="8299" t="s">
        <v>3102</v>
      </c>
      <c r="H173" s="8299" t="s">
        <v>22</v>
      </c>
      <c r="I173" s="8299" t="s">
        <v>978</v>
      </c>
    </row>
    <row customHeight="1" ht="11.25">
      <c r="A174" s="8299" t="s">
        <v>2419</v>
      </c>
      <c r="B174" s="8299" t="s">
        <v>16</v>
      </c>
      <c r="C174" s="8299" t="s">
        <v>3103</v>
      </c>
      <c r="D174" s="8299" t="s">
        <v>3104</v>
      </c>
      <c r="E174" s="8299" t="s">
        <v>3105</v>
      </c>
      <c r="F174" s="8299" t="s">
        <v>2776</v>
      </c>
      <c r="G174" s="8299" t="s">
        <v>3106</v>
      </c>
      <c r="H174" s="8299" t="s">
        <v>22</v>
      </c>
      <c r="I174" s="8299" t="s">
        <v>978</v>
      </c>
    </row>
    <row customHeight="1" ht="11.25">
      <c r="A175" s="8299" t="s">
        <v>2419</v>
      </c>
      <c r="B175" s="8299" t="s">
        <v>16</v>
      </c>
      <c r="C175" s="8299" t="s">
        <v>3107</v>
      </c>
      <c r="D175" s="8299" t="s">
        <v>3108</v>
      </c>
      <c r="E175" s="8299" t="s">
        <v>3109</v>
      </c>
      <c r="F175" s="8299" t="s">
        <v>2476</v>
      </c>
      <c r="G175" s="8299" t="s">
        <v>3034</v>
      </c>
      <c r="H175" s="8299" t="s">
        <v>22</v>
      </c>
      <c r="I175" s="8299" t="s">
        <v>978</v>
      </c>
    </row>
    <row customHeight="1" ht="11.25">
      <c r="A176" s="8299" t="s">
        <v>2419</v>
      </c>
      <c r="B176" s="8299" t="s">
        <v>16</v>
      </c>
      <c r="C176" s="8299" t="s">
        <v>3110</v>
      </c>
      <c r="D176" s="8299" t="s">
        <v>3111</v>
      </c>
      <c r="E176" s="8299" t="s">
        <v>3112</v>
      </c>
      <c r="F176" s="8299" t="s">
        <v>3113</v>
      </c>
      <c r="G176" s="8299" t="s">
        <v>3114</v>
      </c>
      <c r="H176" s="8299" t="s">
        <v>22</v>
      </c>
      <c r="I176" s="8299" t="s">
        <v>978</v>
      </c>
    </row>
    <row customHeight="1" ht="11.25">
      <c r="A177" s="8299" t="s">
        <v>2419</v>
      </c>
      <c r="B177" s="8299" t="s">
        <v>16</v>
      </c>
      <c r="C177" s="8299" t="s">
        <v>3115</v>
      </c>
      <c r="D177" s="8299" t="s">
        <v>3116</v>
      </c>
      <c r="E177" s="8299" t="s">
        <v>3117</v>
      </c>
      <c r="F177" s="8299" t="s">
        <v>2621</v>
      </c>
      <c r="G177" s="8299" t="s">
        <v>3118</v>
      </c>
      <c r="H177" s="8299" t="s">
        <v>22</v>
      </c>
      <c r="I177" s="8299" t="s">
        <v>978</v>
      </c>
    </row>
    <row customHeight="1" ht="11.25">
      <c r="A178" s="8299" t="s">
        <v>2419</v>
      </c>
      <c r="B178" s="8299" t="s">
        <v>16</v>
      </c>
      <c r="C178" s="8299" t="s">
        <v>3119</v>
      </c>
      <c r="D178" s="8299" t="s">
        <v>3120</v>
      </c>
      <c r="E178" s="8299" t="s">
        <v>3121</v>
      </c>
      <c r="F178" s="8299" t="s">
        <v>2422</v>
      </c>
      <c r="G178" s="8299" t="s">
        <v>3122</v>
      </c>
      <c r="H178" s="8299" t="s">
        <v>22</v>
      </c>
      <c r="I178" s="8299" t="s">
        <v>978</v>
      </c>
    </row>
    <row customHeight="1" ht="11.25">
      <c r="A179" s="8299" t="s">
        <v>2419</v>
      </c>
      <c r="B179" s="8299" t="s">
        <v>16</v>
      </c>
      <c r="C179" s="8299" t="s">
        <v>3123</v>
      </c>
      <c r="D179" s="8299" t="s">
        <v>3124</v>
      </c>
      <c r="E179" s="8299" t="s">
        <v>3125</v>
      </c>
      <c r="F179" s="8299" t="s">
        <v>2776</v>
      </c>
      <c r="G179" s="8299" t="s">
        <v>3126</v>
      </c>
      <c r="H179" s="8299" t="s">
        <v>22</v>
      </c>
      <c r="I179" s="8299" t="s">
        <v>978</v>
      </c>
    </row>
    <row customHeight="1" ht="11.25">
      <c r="A180" s="8299" t="s">
        <v>2419</v>
      </c>
      <c r="B180" s="8299" t="s">
        <v>16</v>
      </c>
      <c r="C180" s="8299" t="s">
        <v>3127</v>
      </c>
      <c r="D180" s="8299" t="s">
        <v>3128</v>
      </c>
      <c r="E180" s="8299" t="s">
        <v>3129</v>
      </c>
      <c r="F180" s="8299" t="s">
        <v>3113</v>
      </c>
      <c r="G180" s="8299" t="s">
        <v>3130</v>
      </c>
      <c r="H180" s="8299" t="s">
        <v>22</v>
      </c>
      <c r="I180" s="8299" t="s">
        <v>978</v>
      </c>
    </row>
    <row customHeight="1" ht="11.25">
      <c r="A181" s="8299" t="s">
        <v>2419</v>
      </c>
      <c r="B181" s="8299" t="s">
        <v>16</v>
      </c>
      <c r="C181" s="8299" t="s">
        <v>3131</v>
      </c>
      <c r="D181" s="8299" t="s">
        <v>3132</v>
      </c>
      <c r="E181" s="8299" t="s">
        <v>3133</v>
      </c>
      <c r="F181" s="8299" t="s">
        <v>2600</v>
      </c>
      <c r="G181" s="8299" t="s">
        <v>3134</v>
      </c>
      <c r="H181" s="8299" t="s">
        <v>22</v>
      </c>
      <c r="I181" s="8299" t="s">
        <v>978</v>
      </c>
    </row>
    <row customHeight="1" ht="11.25">
      <c r="A182" s="8299" t="s">
        <v>2419</v>
      </c>
      <c r="B182" s="8299" t="s">
        <v>16</v>
      </c>
      <c r="C182" s="8299" t="s">
        <v>3135</v>
      </c>
      <c r="D182" s="8299" t="s">
        <v>3136</v>
      </c>
      <c r="E182" s="8299" t="s">
        <v>3137</v>
      </c>
      <c r="F182" s="8299" t="s">
        <v>2426</v>
      </c>
      <c r="G182" s="8299" t="s">
        <v>3138</v>
      </c>
      <c r="H182" s="8299" t="s">
        <v>22</v>
      </c>
      <c r="I182" s="8299" t="s">
        <v>978</v>
      </c>
    </row>
    <row customHeight="1" ht="11.25">
      <c r="A183" s="8299" t="s">
        <v>2419</v>
      </c>
      <c r="B183" s="8299" t="s">
        <v>16</v>
      </c>
      <c r="C183" s="8299" t="s">
        <v>3139</v>
      </c>
      <c r="D183" s="8299" t="s">
        <v>3140</v>
      </c>
      <c r="E183" s="8299" t="s">
        <v>3141</v>
      </c>
      <c r="F183" s="8299" t="s">
        <v>2625</v>
      </c>
      <c r="G183" s="8299" t="s">
        <v>3142</v>
      </c>
      <c r="H183" s="8299" t="s">
        <v>22</v>
      </c>
      <c r="I183" s="8299" t="s">
        <v>978</v>
      </c>
    </row>
    <row customHeight="1" ht="11.25">
      <c r="A184" s="8299" t="s">
        <v>2419</v>
      </c>
      <c r="B184" s="8299" t="s">
        <v>16</v>
      </c>
      <c r="C184" s="8299" t="s">
        <v>3143</v>
      </c>
      <c r="D184" s="8299" t="s">
        <v>3144</v>
      </c>
      <c r="E184" s="8299" t="s">
        <v>3145</v>
      </c>
      <c r="F184" s="8299" t="s">
        <v>2625</v>
      </c>
      <c r="G184" s="8299" t="s">
        <v>3146</v>
      </c>
      <c r="H184" s="8299" t="s">
        <v>22</v>
      </c>
      <c r="I184" s="8299" t="s">
        <v>978</v>
      </c>
    </row>
    <row customHeight="1" ht="11.25">
      <c r="A185" s="8299" t="s">
        <v>2419</v>
      </c>
      <c r="B185" s="8299" t="s">
        <v>16</v>
      </c>
      <c r="C185" s="8299" t="s">
        <v>3147</v>
      </c>
      <c r="D185" s="8299" t="s">
        <v>3148</v>
      </c>
      <c r="E185" s="8299" t="s">
        <v>3149</v>
      </c>
      <c r="F185" s="8299" t="s">
        <v>3113</v>
      </c>
      <c r="G185" s="8299" t="s">
        <v>3150</v>
      </c>
      <c r="H185" s="8299" t="s">
        <v>22</v>
      </c>
      <c r="I185" s="8299" t="s">
        <v>978</v>
      </c>
    </row>
    <row customHeight="1" ht="11.25">
      <c r="A186" s="8299" t="s">
        <v>2419</v>
      </c>
      <c r="B186" s="8299" t="s">
        <v>16</v>
      </c>
      <c r="C186" s="8299" t="s">
        <v>3151</v>
      </c>
      <c r="D186" s="8299" t="s">
        <v>3152</v>
      </c>
      <c r="E186" s="8299" t="s">
        <v>3153</v>
      </c>
      <c r="F186" s="8299" t="s">
        <v>2422</v>
      </c>
      <c r="G186" s="8299" t="s">
        <v>3154</v>
      </c>
      <c r="H186" s="8299" t="s">
        <v>22</v>
      </c>
      <c r="I186" s="8299" t="s">
        <v>978</v>
      </c>
    </row>
    <row customHeight="1" ht="11.25">
      <c r="A187" s="8299" t="s">
        <v>2419</v>
      </c>
      <c r="B187" s="8299" t="s">
        <v>16</v>
      </c>
      <c r="C187" s="8299" t="s">
        <v>3155</v>
      </c>
      <c r="D187" s="8299" t="s">
        <v>3156</v>
      </c>
      <c r="E187" s="8299" t="s">
        <v>3157</v>
      </c>
      <c r="F187" s="8299" t="s">
        <v>3158</v>
      </c>
      <c r="G187" s="8299" t="s">
        <v>3159</v>
      </c>
      <c r="H187" s="8299" t="s">
        <v>22</v>
      </c>
      <c r="I187" s="8299" t="s">
        <v>978</v>
      </c>
    </row>
    <row customHeight="1" ht="11.25">
      <c r="A188" s="8299" t="s">
        <v>2419</v>
      </c>
      <c r="B188" s="8299" t="s">
        <v>16</v>
      </c>
      <c r="C188" s="8299" t="s">
        <v>3160</v>
      </c>
      <c r="D188" s="8299" t="s">
        <v>3161</v>
      </c>
      <c r="E188" s="8299" t="s">
        <v>3162</v>
      </c>
      <c r="F188" s="8299" t="s">
        <v>2712</v>
      </c>
      <c r="G188" s="8299" t="s">
        <v>2777</v>
      </c>
      <c r="H188" s="8299" t="s">
        <v>22</v>
      </c>
      <c r="I188" s="8299" t="s">
        <v>978</v>
      </c>
    </row>
    <row customHeight="1" ht="11.25">
      <c r="A189" s="8299" t="s">
        <v>2419</v>
      </c>
      <c r="B189" s="8299" t="s">
        <v>16</v>
      </c>
      <c r="C189" s="8299" t="s">
        <v>3163</v>
      </c>
      <c r="D189" s="8299" t="s">
        <v>3164</v>
      </c>
      <c r="E189" s="8299" t="s">
        <v>3165</v>
      </c>
      <c r="F189" s="8299" t="s">
        <v>2660</v>
      </c>
      <c r="G189" s="8299" t="s">
        <v>3166</v>
      </c>
      <c r="H189" s="8299" t="s">
        <v>22</v>
      </c>
      <c r="I189" s="8299" t="s">
        <v>978</v>
      </c>
    </row>
    <row customHeight="1" ht="11.25">
      <c r="A190" s="8299" t="s">
        <v>2419</v>
      </c>
      <c r="B190" s="8299" t="s">
        <v>16</v>
      </c>
      <c r="C190" s="8299" t="s">
        <v>3167</v>
      </c>
      <c r="D190" s="8299" t="s">
        <v>3168</v>
      </c>
      <c r="E190" s="8299" t="s">
        <v>3169</v>
      </c>
      <c r="F190" s="8299" t="s">
        <v>2717</v>
      </c>
      <c r="G190" s="8299" t="s">
        <v>3170</v>
      </c>
      <c r="H190" s="8299" t="s">
        <v>22</v>
      </c>
      <c r="I190" s="8299" t="s">
        <v>978</v>
      </c>
    </row>
    <row customHeight="1" ht="11.25">
      <c r="A191" s="8299" t="s">
        <v>2419</v>
      </c>
      <c r="B191" s="8299" t="s">
        <v>16</v>
      </c>
      <c r="C191" s="8299" t="s">
        <v>3171</v>
      </c>
      <c r="D191" s="8299" t="s">
        <v>3172</v>
      </c>
      <c r="E191" s="8299" t="s">
        <v>3173</v>
      </c>
      <c r="F191" s="8299" t="s">
        <v>2422</v>
      </c>
      <c r="G191" s="8299" t="s">
        <v>3174</v>
      </c>
      <c r="H191" s="8299" t="s">
        <v>22</v>
      </c>
      <c r="I191" s="8299" t="s">
        <v>978</v>
      </c>
    </row>
    <row customHeight="1" ht="11.25">
      <c r="A192" s="8299" t="s">
        <v>2419</v>
      </c>
      <c r="B192" s="8299" t="s">
        <v>16</v>
      </c>
      <c r="C192" s="8299" t="s">
        <v>3175</v>
      </c>
      <c r="D192" s="8299" t="s">
        <v>3176</v>
      </c>
      <c r="E192" s="8299" t="s">
        <v>3177</v>
      </c>
      <c r="F192" s="8299" t="s">
        <v>2580</v>
      </c>
      <c r="G192" s="8299" t="s">
        <v>3178</v>
      </c>
      <c r="H192" s="8299" t="s">
        <v>22</v>
      </c>
      <c r="I192" s="8299" t="s">
        <v>978</v>
      </c>
    </row>
    <row customHeight="1" ht="11.25">
      <c r="A193" s="8299" t="s">
        <v>2419</v>
      </c>
      <c r="B193" s="8299" t="s">
        <v>16</v>
      </c>
      <c r="C193" s="8299" t="s">
        <v>3179</v>
      </c>
      <c r="D193" s="8299" t="s">
        <v>3180</v>
      </c>
      <c r="E193" s="8299" t="s">
        <v>3181</v>
      </c>
      <c r="F193" s="8299" t="s">
        <v>2422</v>
      </c>
      <c r="G193" s="8299" t="s">
        <v>3182</v>
      </c>
      <c r="H193" s="8299" t="s">
        <v>22</v>
      </c>
      <c r="I193" s="8299" t="s">
        <v>978</v>
      </c>
    </row>
    <row customHeight="1" ht="11.25">
      <c r="A194" s="8299" t="s">
        <v>2419</v>
      </c>
      <c r="B194" s="8299" t="s">
        <v>16</v>
      </c>
      <c r="C194" s="8299" t="s">
        <v>3183</v>
      </c>
      <c r="D194" s="8299" t="s">
        <v>3184</v>
      </c>
      <c r="E194" s="8299" t="s">
        <v>3185</v>
      </c>
      <c r="F194" s="8299" t="s">
        <v>2520</v>
      </c>
      <c r="G194" s="8299" t="s">
        <v>3186</v>
      </c>
      <c r="H194" s="8299" t="s">
        <v>22</v>
      </c>
      <c r="I194" s="8299" t="s">
        <v>978</v>
      </c>
    </row>
    <row customHeight="1" ht="11.25">
      <c r="A195" s="8299" t="s">
        <v>2419</v>
      </c>
      <c r="B195" s="8299" t="s">
        <v>16</v>
      </c>
      <c r="C195" s="8299" t="s">
        <v>3187</v>
      </c>
      <c r="D195" s="8299" t="s">
        <v>3188</v>
      </c>
      <c r="E195" s="8299" t="s">
        <v>3189</v>
      </c>
      <c r="F195" s="8299" t="s">
        <v>2471</v>
      </c>
      <c r="G195" s="8299" t="s">
        <v>2873</v>
      </c>
      <c r="H195" s="8299" t="s">
        <v>22</v>
      </c>
      <c r="I195" s="8299" t="s">
        <v>978</v>
      </c>
    </row>
    <row customHeight="1" ht="11.25">
      <c r="A196" s="8299" t="s">
        <v>2419</v>
      </c>
      <c r="B196" s="8299" t="s">
        <v>16</v>
      </c>
      <c r="C196" s="8299" t="s">
        <v>3190</v>
      </c>
      <c r="D196" s="8299" t="s">
        <v>3191</v>
      </c>
      <c r="E196" s="8299" t="s">
        <v>3192</v>
      </c>
      <c r="F196" s="8299" t="s">
        <v>3193</v>
      </c>
      <c r="G196" s="8299" t="s">
        <v>3194</v>
      </c>
      <c r="H196" s="8299" t="s">
        <v>22</v>
      </c>
      <c r="I196" s="8299" t="s">
        <v>978</v>
      </c>
    </row>
    <row customHeight="1" ht="11.25">
      <c r="A197" s="8299" t="s">
        <v>2419</v>
      </c>
      <c r="B197" s="8299" t="s">
        <v>16</v>
      </c>
      <c r="C197" s="8299" t="s">
        <v>3195</v>
      </c>
      <c r="D197" s="8299" t="s">
        <v>3196</v>
      </c>
      <c r="E197" s="8299" t="s">
        <v>3197</v>
      </c>
      <c r="F197" s="8299" t="s">
        <v>2422</v>
      </c>
      <c r="G197" s="8299" t="s">
        <v>22</v>
      </c>
      <c r="H197" s="8299" t="s">
        <v>22</v>
      </c>
      <c r="I197" s="8299" t="s">
        <v>978</v>
      </c>
    </row>
    <row customHeight="1" ht="11.25">
      <c r="A198" s="8299" t="s">
        <v>2419</v>
      </c>
      <c r="B198" s="8299" t="s">
        <v>16</v>
      </c>
      <c r="C198" s="8299" t="s">
        <v>3198</v>
      </c>
      <c r="D198" s="8299" t="s">
        <v>3199</v>
      </c>
      <c r="E198" s="8299" t="s">
        <v>3200</v>
      </c>
      <c r="F198" s="8299" t="s">
        <v>2696</v>
      </c>
      <c r="G198" s="8299" t="s">
        <v>3142</v>
      </c>
      <c r="H198" s="8299" t="s">
        <v>22</v>
      </c>
      <c r="I198" s="8299" t="s">
        <v>978</v>
      </c>
    </row>
    <row customHeight="1" ht="11.25">
      <c r="A199" s="8299" t="s">
        <v>2419</v>
      </c>
      <c r="B199" s="8299" t="s">
        <v>16</v>
      </c>
      <c r="C199" s="8299" t="s">
        <v>3201</v>
      </c>
      <c r="D199" s="8299" t="s">
        <v>3202</v>
      </c>
      <c r="E199" s="8299" t="s">
        <v>3203</v>
      </c>
      <c r="F199" s="8299" t="s">
        <v>2520</v>
      </c>
      <c r="G199" s="8299" t="s">
        <v>3204</v>
      </c>
      <c r="H199" s="8299" t="s">
        <v>22</v>
      </c>
      <c r="I199" s="8299" t="s">
        <v>978</v>
      </c>
    </row>
    <row customHeight="1" ht="11.25">
      <c r="A200" s="8299" t="s">
        <v>2419</v>
      </c>
      <c r="B200" s="8299" t="s">
        <v>16</v>
      </c>
      <c r="C200" s="8299" t="s">
        <v>3205</v>
      </c>
      <c r="D200" s="8299" t="s">
        <v>3206</v>
      </c>
      <c r="E200" s="8299" t="s">
        <v>3207</v>
      </c>
      <c r="F200" s="8299" t="s">
        <v>2471</v>
      </c>
      <c r="G200" s="8299" t="s">
        <v>3208</v>
      </c>
      <c r="H200" s="8299" t="s">
        <v>22</v>
      </c>
      <c r="I200" s="8299" t="s">
        <v>978</v>
      </c>
    </row>
    <row customHeight="1" ht="11.25">
      <c r="A201" s="8299" t="s">
        <v>2419</v>
      </c>
      <c r="B201" s="8299" t="s">
        <v>16</v>
      </c>
      <c r="C201" s="8299" t="s">
        <v>3209</v>
      </c>
      <c r="D201" s="8299" t="s">
        <v>3210</v>
      </c>
      <c r="E201" s="8299" t="s">
        <v>3211</v>
      </c>
      <c r="F201" s="8299" t="s">
        <v>2712</v>
      </c>
      <c r="G201" s="8299" t="s">
        <v>3212</v>
      </c>
      <c r="H201" s="8299" t="s">
        <v>22</v>
      </c>
      <c r="I201" s="8299" t="s">
        <v>978</v>
      </c>
    </row>
    <row customHeight="1" ht="11.25">
      <c r="A202" s="8299" t="s">
        <v>2419</v>
      </c>
      <c r="B202" s="8299" t="s">
        <v>16</v>
      </c>
      <c r="C202" s="8299" t="s">
        <v>3213</v>
      </c>
      <c r="D202" s="8299" t="s">
        <v>3214</v>
      </c>
      <c r="E202" s="8299" t="s">
        <v>3215</v>
      </c>
      <c r="F202" s="8299" t="s">
        <v>2422</v>
      </c>
      <c r="G202" s="8299" t="s">
        <v>3216</v>
      </c>
      <c r="H202" s="8299" t="s">
        <v>22</v>
      </c>
      <c r="I202" s="8299" t="s">
        <v>978</v>
      </c>
    </row>
    <row customHeight="1" ht="11.25">
      <c r="A203" s="8299" t="s">
        <v>2419</v>
      </c>
      <c r="B203" s="8299" t="s">
        <v>16</v>
      </c>
      <c r="C203" s="8299" t="s">
        <v>3217</v>
      </c>
      <c r="D203" s="8299" t="s">
        <v>3218</v>
      </c>
      <c r="E203" s="8299" t="s">
        <v>3219</v>
      </c>
      <c r="F203" s="8299" t="s">
        <v>2422</v>
      </c>
      <c r="G203" s="8299" t="s">
        <v>3220</v>
      </c>
      <c r="H203" s="8299" t="s">
        <v>22</v>
      </c>
      <c r="I203" s="8299" t="s">
        <v>978</v>
      </c>
    </row>
    <row customHeight="1" ht="11.25">
      <c r="A204" s="8299" t="s">
        <v>2419</v>
      </c>
      <c r="B204" s="8299" t="s">
        <v>16</v>
      </c>
      <c r="C204" s="8299" t="s">
        <v>3221</v>
      </c>
      <c r="D204" s="8299" t="s">
        <v>3222</v>
      </c>
      <c r="E204" s="8299" t="s">
        <v>3223</v>
      </c>
      <c r="F204" s="8299" t="s">
        <v>2426</v>
      </c>
      <c r="G204" s="8299" t="s">
        <v>3030</v>
      </c>
      <c r="H204" s="8299" t="s">
        <v>22</v>
      </c>
      <c r="I204" s="8299" t="s">
        <v>978</v>
      </c>
    </row>
    <row customHeight="1" ht="11.25">
      <c r="A205" s="8299" t="s">
        <v>2419</v>
      </c>
      <c r="B205" s="8299" t="s">
        <v>16</v>
      </c>
      <c r="C205" s="8299" t="s">
        <v>3224</v>
      </c>
      <c r="D205" s="8299" t="s">
        <v>3225</v>
      </c>
      <c r="E205" s="8299" t="s">
        <v>3226</v>
      </c>
      <c r="F205" s="8299" t="s">
        <v>2422</v>
      </c>
      <c r="G205" s="8299" t="s">
        <v>3227</v>
      </c>
      <c r="H205" s="8299" t="s">
        <v>22</v>
      </c>
      <c r="I205" s="8299" t="s">
        <v>978</v>
      </c>
    </row>
    <row customHeight="1" ht="11.25">
      <c r="A206" s="8299" t="s">
        <v>2419</v>
      </c>
      <c r="B206" s="8299" t="s">
        <v>16</v>
      </c>
      <c r="C206" s="8299" t="s">
        <v>3228</v>
      </c>
      <c r="D206" s="8299" t="s">
        <v>3229</v>
      </c>
      <c r="E206" s="8299" t="s">
        <v>3230</v>
      </c>
      <c r="F206" s="8299" t="s">
        <v>2660</v>
      </c>
      <c r="G206" s="8299" t="s">
        <v>3231</v>
      </c>
      <c r="H206" s="8299" t="s">
        <v>22</v>
      </c>
      <c r="I206" s="8299" t="s">
        <v>978</v>
      </c>
    </row>
    <row customHeight="1" ht="11.25">
      <c r="A207" s="8299" t="s">
        <v>2419</v>
      </c>
      <c r="B207" s="8299" t="s">
        <v>16</v>
      </c>
      <c r="C207" s="8299" t="s">
        <v>3232</v>
      </c>
      <c r="D207" s="8299" t="s">
        <v>3233</v>
      </c>
      <c r="E207" s="8299" t="s">
        <v>2461</v>
      </c>
      <c r="F207" s="8299" t="s">
        <v>3234</v>
      </c>
      <c r="G207" s="8299" t="s">
        <v>3235</v>
      </c>
      <c r="H207" s="8299" t="s">
        <v>22</v>
      </c>
      <c r="I207" s="8299" t="s">
        <v>978</v>
      </c>
    </row>
    <row customHeight="1" ht="11.25">
      <c r="A208" s="8299" t="s">
        <v>2419</v>
      </c>
      <c r="B208" s="8299" t="s">
        <v>16</v>
      </c>
      <c r="C208" s="8299" t="s">
        <v>3236</v>
      </c>
      <c r="D208" s="8299" t="s">
        <v>3237</v>
      </c>
      <c r="E208" s="8299" t="s">
        <v>3238</v>
      </c>
      <c r="F208" s="8299" t="s">
        <v>2584</v>
      </c>
      <c r="G208" s="8299" t="s">
        <v>3239</v>
      </c>
      <c r="H208" s="8299" t="s">
        <v>22</v>
      </c>
      <c r="I208" s="8299" t="s">
        <v>978</v>
      </c>
    </row>
    <row customHeight="1" ht="11.25">
      <c r="A209" s="8299" t="s">
        <v>2419</v>
      </c>
      <c r="B209" s="8299" t="s">
        <v>16</v>
      </c>
      <c r="C209" s="8299" t="s">
        <v>3240</v>
      </c>
      <c r="D209" s="8299" t="s">
        <v>45</v>
      </c>
      <c r="E209" s="8299" t="s">
        <v>48</v>
      </c>
      <c r="F209" s="8299" t="s">
        <v>3241</v>
      </c>
      <c r="G209" s="8299" t="s">
        <v>3242</v>
      </c>
      <c r="H209" s="8299" t="s">
        <v>22</v>
      </c>
      <c r="I209" s="8299" t="s">
        <v>978</v>
      </c>
    </row>
    <row customHeight="1" ht="11.25">
      <c r="A210" s="8299" t="s">
        <v>2419</v>
      </c>
      <c r="B210" s="8299" t="s">
        <v>16</v>
      </c>
      <c r="C210" s="8299" t="s">
        <v>13</v>
      </c>
      <c r="D210" s="8299" t="s">
        <v>45</v>
      </c>
      <c r="E210" s="8299" t="s">
        <v>48</v>
      </c>
      <c r="F210" s="8299" t="s">
        <v>50</v>
      </c>
      <c r="G210" s="8299" t="s">
        <v>22</v>
      </c>
      <c r="H210" s="8299" t="s">
        <v>22</v>
      </c>
      <c r="I210" s="8299" t="s">
        <v>978</v>
      </c>
    </row>
    <row customHeight="1" ht="11.25">
      <c r="A211" s="8299" t="s">
        <v>2419</v>
      </c>
      <c r="B211" s="8299" t="s">
        <v>16</v>
      </c>
      <c r="C211" s="8299" t="s">
        <v>3243</v>
      </c>
      <c r="D211" s="8299" t="s">
        <v>3244</v>
      </c>
      <c r="E211" s="8299" t="s">
        <v>3245</v>
      </c>
      <c r="F211" s="8299" t="s">
        <v>3246</v>
      </c>
      <c r="G211" s="8299" t="s">
        <v>3247</v>
      </c>
      <c r="H211" s="8299" t="s">
        <v>22</v>
      </c>
      <c r="I211" s="8299" t="s">
        <v>978</v>
      </c>
    </row>
    <row customHeight="1" ht="11.25">
      <c r="A212" s="8299" t="s">
        <v>2419</v>
      </c>
      <c r="B212" s="8299" t="s">
        <v>16</v>
      </c>
      <c r="C212" s="8299" t="s">
        <v>3248</v>
      </c>
      <c r="D212" s="8299" t="s">
        <v>3249</v>
      </c>
      <c r="E212" s="8299" t="s">
        <v>3250</v>
      </c>
      <c r="F212" s="8299" t="s">
        <v>2595</v>
      </c>
      <c r="G212" s="8299" t="s">
        <v>3251</v>
      </c>
      <c r="H212" s="8299" t="s">
        <v>22</v>
      </c>
      <c r="I212" s="8299" t="s">
        <v>978</v>
      </c>
    </row>
    <row customHeight="1" ht="11.25">
      <c r="A213" s="8299" t="s">
        <v>2419</v>
      </c>
      <c r="B213" s="8299" t="s">
        <v>16</v>
      </c>
      <c r="C213" s="8299" t="s">
        <v>3252</v>
      </c>
      <c r="D213" s="8299" t="s">
        <v>3253</v>
      </c>
      <c r="E213" s="8299" t="s">
        <v>3254</v>
      </c>
      <c r="F213" s="8299" t="s">
        <v>2520</v>
      </c>
      <c r="G213" s="8299" t="s">
        <v>3255</v>
      </c>
      <c r="H213" s="8299" t="s">
        <v>22</v>
      </c>
      <c r="I213" s="8299" t="s">
        <v>978</v>
      </c>
    </row>
    <row customHeight="1" ht="11.25">
      <c r="A214" s="8299" t="s">
        <v>2419</v>
      </c>
      <c r="B214" s="8299" t="s">
        <v>16</v>
      </c>
      <c r="C214" s="8299" t="s">
        <v>3256</v>
      </c>
      <c r="D214" s="8299" t="s">
        <v>3257</v>
      </c>
      <c r="E214" s="8299" t="s">
        <v>2444</v>
      </c>
      <c r="F214" s="8299" t="s">
        <v>3258</v>
      </c>
      <c r="G214" s="8299" t="s">
        <v>2445</v>
      </c>
      <c r="H214" s="8299" t="s">
        <v>22</v>
      </c>
      <c r="I214" s="8299" t="s">
        <v>978</v>
      </c>
    </row>
    <row customHeight="1" ht="11.25">
      <c r="A215" s="8299" t="s">
        <v>2419</v>
      </c>
      <c r="B215" s="8299" t="s">
        <v>16</v>
      </c>
      <c r="C215" s="8299" t="s">
        <v>3259</v>
      </c>
      <c r="D215" s="8299" t="s">
        <v>3260</v>
      </c>
      <c r="E215" s="8299" t="s">
        <v>3261</v>
      </c>
      <c r="F215" s="8299" t="s">
        <v>3258</v>
      </c>
      <c r="G215" s="8299" t="s">
        <v>3262</v>
      </c>
      <c r="H215" s="8299" t="s">
        <v>22</v>
      </c>
      <c r="I215" s="8299" t="s">
        <v>978</v>
      </c>
    </row>
    <row customHeight="1" ht="11.25">
      <c r="A216" s="8299" t="s">
        <v>2419</v>
      </c>
      <c r="B216" s="8299" t="s">
        <v>16</v>
      </c>
      <c r="C216" s="8299" t="s">
        <v>3263</v>
      </c>
      <c r="D216" s="8299" t="s">
        <v>3264</v>
      </c>
      <c r="E216" s="8299" t="s">
        <v>3265</v>
      </c>
      <c r="F216" s="8299" t="s">
        <v>2490</v>
      </c>
      <c r="G216" s="8299" t="s">
        <v>3266</v>
      </c>
      <c r="H216" s="8299" t="s">
        <v>22</v>
      </c>
      <c r="I216" s="8299" t="s">
        <v>978</v>
      </c>
    </row>
    <row customHeight="1" ht="11.25">
      <c r="A217" s="8299" t="s">
        <v>2419</v>
      </c>
      <c r="B217" s="8299" t="s">
        <v>16</v>
      </c>
      <c r="C217" s="8299" t="s">
        <v>3267</v>
      </c>
      <c r="D217" s="8299" t="s">
        <v>3268</v>
      </c>
      <c r="E217" s="8299" t="s">
        <v>3269</v>
      </c>
      <c r="F217" s="8299" t="s">
        <v>2490</v>
      </c>
      <c r="G217" s="8299" t="s">
        <v>2893</v>
      </c>
      <c r="H217" s="8299" t="s">
        <v>22</v>
      </c>
      <c r="I217" s="8299" t="s">
        <v>978</v>
      </c>
    </row>
    <row customHeight="1" ht="11.25">
      <c r="A218" s="8299" t="s">
        <v>2419</v>
      </c>
      <c r="B218" s="8299" t="s">
        <v>16</v>
      </c>
      <c r="C218" s="8299" t="s">
        <v>3270</v>
      </c>
      <c r="D218" s="8299" t="s">
        <v>3271</v>
      </c>
      <c r="E218" s="8299" t="s">
        <v>3272</v>
      </c>
      <c r="F218" s="8299" t="s">
        <v>2426</v>
      </c>
      <c r="G218" s="8299" t="s">
        <v>3212</v>
      </c>
      <c r="H218" s="8299" t="s">
        <v>22</v>
      </c>
      <c r="I218" s="8299" t="s">
        <v>978</v>
      </c>
    </row>
    <row customHeight="1" ht="11.25">
      <c r="A219" s="8299" t="s">
        <v>2419</v>
      </c>
      <c r="B219" s="8299" t="s">
        <v>16</v>
      </c>
      <c r="C219" s="8299" t="s">
        <v>3273</v>
      </c>
      <c r="D219" s="8299" t="s">
        <v>3274</v>
      </c>
      <c r="E219" s="8299" t="s">
        <v>3275</v>
      </c>
      <c r="F219" s="8299" t="s">
        <v>3193</v>
      </c>
      <c r="G219" s="8299" t="s">
        <v>3276</v>
      </c>
      <c r="H219" s="8299" t="s">
        <v>22</v>
      </c>
      <c r="I219" s="8299" t="s">
        <v>978</v>
      </c>
    </row>
    <row customHeight="1" ht="11.25">
      <c r="A220" s="8299" t="s">
        <v>2419</v>
      </c>
      <c r="B220" s="8299" t="s">
        <v>16</v>
      </c>
      <c r="C220" s="8299" t="s">
        <v>3277</v>
      </c>
      <c r="D220" s="8299" t="s">
        <v>3278</v>
      </c>
      <c r="E220" s="8299" t="s">
        <v>2506</v>
      </c>
      <c r="F220" s="8299" t="s">
        <v>3279</v>
      </c>
      <c r="G220" s="8299" t="s">
        <v>22</v>
      </c>
      <c r="H220" s="8299" t="s">
        <v>22</v>
      </c>
      <c r="I220" s="8299" t="s">
        <v>978</v>
      </c>
    </row>
    <row customHeight="1" ht="11.25">
      <c r="A221" s="8299" t="s">
        <v>2419</v>
      </c>
      <c r="B221" s="8299" t="s">
        <v>16</v>
      </c>
      <c r="C221" s="8299" t="s">
        <v>3280</v>
      </c>
      <c r="D221" s="8299" t="s">
        <v>3281</v>
      </c>
      <c r="E221" s="8299" t="s">
        <v>3282</v>
      </c>
      <c r="F221" s="8299" t="s">
        <v>3283</v>
      </c>
      <c r="G221" s="8299" t="s">
        <v>3284</v>
      </c>
      <c r="H221" s="8299" t="s">
        <v>22</v>
      </c>
      <c r="I221" s="8299" t="s">
        <v>978</v>
      </c>
    </row>
    <row customHeight="1" ht="11.25">
      <c r="A222" s="8299" t="s">
        <v>2419</v>
      </c>
      <c r="B222" s="8299" t="s">
        <v>16</v>
      </c>
      <c r="C222" s="8299" t="s">
        <v>3285</v>
      </c>
      <c r="D222" s="8299" t="s">
        <v>3286</v>
      </c>
      <c r="E222" s="8299" t="s">
        <v>3282</v>
      </c>
      <c r="F222" s="8299" t="s">
        <v>2580</v>
      </c>
      <c r="G222" s="8299" t="s">
        <v>3287</v>
      </c>
      <c r="H222" s="8299" t="s">
        <v>22</v>
      </c>
      <c r="I222" s="8299" t="s">
        <v>978</v>
      </c>
    </row>
    <row customHeight="1" ht="11.25">
      <c r="A223" s="8299" t="s">
        <v>2419</v>
      </c>
      <c r="B223" s="8299" t="s">
        <v>16</v>
      </c>
      <c r="C223" s="8299" t="s">
        <v>3288</v>
      </c>
      <c r="D223" s="8299" t="s">
        <v>3289</v>
      </c>
      <c r="E223" s="8299" t="s">
        <v>3290</v>
      </c>
      <c r="F223" s="8299" t="s">
        <v>2717</v>
      </c>
      <c r="G223" s="8299" t="s">
        <v>3291</v>
      </c>
      <c r="H223" s="8299" t="s">
        <v>22</v>
      </c>
      <c r="I223" s="8299" t="s">
        <v>978</v>
      </c>
    </row>
    <row customHeight="1" ht="11.25">
      <c r="A224" s="8299" t="s">
        <v>2419</v>
      </c>
      <c r="B224" s="8299" t="s">
        <v>16</v>
      </c>
      <c r="C224" s="8299" t="s">
        <v>3292</v>
      </c>
      <c r="D224" s="8299" t="s">
        <v>3293</v>
      </c>
      <c r="E224" s="8299" t="s">
        <v>2444</v>
      </c>
      <c r="F224" s="8299" t="s">
        <v>3294</v>
      </c>
      <c r="G224" s="8299" t="s">
        <v>22</v>
      </c>
      <c r="H224" s="8299" t="s">
        <v>22</v>
      </c>
      <c r="I224" s="8299" t="s">
        <v>978</v>
      </c>
    </row>
    <row customHeight="1" ht="11.25">
      <c r="A225" s="8299" t="s">
        <v>2419</v>
      </c>
      <c r="B225" s="8299" t="s">
        <v>16</v>
      </c>
      <c r="C225" s="8299" t="s">
        <v>3295</v>
      </c>
      <c r="D225" s="8299" t="s">
        <v>3296</v>
      </c>
      <c r="E225" s="8299" t="s">
        <v>3297</v>
      </c>
      <c r="F225" s="8299" t="s">
        <v>2426</v>
      </c>
      <c r="G225" s="8299" t="s">
        <v>3298</v>
      </c>
      <c r="H225" s="8299" t="s">
        <v>2996</v>
      </c>
      <c r="I225" s="8299" t="s">
        <v>978</v>
      </c>
    </row>
    <row customHeight="1" ht="11.25">
      <c r="A226" s="8299" t="s">
        <v>2419</v>
      </c>
      <c r="B226" s="8299" t="s">
        <v>16</v>
      </c>
      <c r="C226" s="8299" t="s">
        <v>3299</v>
      </c>
      <c r="D226" s="8299" t="s">
        <v>3300</v>
      </c>
      <c r="E226" s="8299" t="s">
        <v>3301</v>
      </c>
      <c r="F226" s="8299" t="s">
        <v>2471</v>
      </c>
      <c r="G226" s="8299" t="s">
        <v>3302</v>
      </c>
      <c r="H226" s="8299" t="s">
        <v>22</v>
      </c>
      <c r="I226" s="8299" t="s">
        <v>978</v>
      </c>
    </row>
    <row customHeight="1" ht="11.25">
      <c r="A227" s="8299" t="s">
        <v>2419</v>
      </c>
      <c r="B227" s="8299" t="s">
        <v>16</v>
      </c>
      <c r="C227" s="8299" t="s">
        <v>3303</v>
      </c>
      <c r="D227" s="8299" t="s">
        <v>3304</v>
      </c>
      <c r="E227" s="8299" t="s">
        <v>3305</v>
      </c>
      <c r="F227" s="8299" t="s">
        <v>3306</v>
      </c>
      <c r="G227" s="8299" t="s">
        <v>3307</v>
      </c>
      <c r="H227" s="8299" t="s">
        <v>22</v>
      </c>
      <c r="I227" s="8299" t="s">
        <v>978</v>
      </c>
    </row>
    <row customHeight="1" ht="11.25">
      <c r="A228" s="8299" t="s">
        <v>2419</v>
      </c>
      <c r="B228" s="8299" t="s">
        <v>16</v>
      </c>
      <c r="C228" s="8299" t="s">
        <v>3308</v>
      </c>
      <c r="D228" s="8299" t="s">
        <v>3309</v>
      </c>
      <c r="E228" s="8299" t="s">
        <v>3310</v>
      </c>
      <c r="F228" s="8299" t="s">
        <v>2621</v>
      </c>
      <c r="G228" s="8299" t="s">
        <v>3311</v>
      </c>
      <c r="H228" s="8299" t="s">
        <v>22</v>
      </c>
      <c r="I228" s="8299" t="s">
        <v>978</v>
      </c>
    </row>
    <row customHeight="1" ht="11.25">
      <c r="A229" s="8299" t="s">
        <v>2419</v>
      </c>
      <c r="B229" s="8299" t="s">
        <v>16</v>
      </c>
      <c r="C229" s="8299" t="s">
        <v>3312</v>
      </c>
      <c r="D229" s="8299" t="s">
        <v>3313</v>
      </c>
      <c r="E229" s="8299" t="s">
        <v>3261</v>
      </c>
      <c r="F229" s="8299" t="s">
        <v>3314</v>
      </c>
      <c r="G229" s="8299" t="s">
        <v>22</v>
      </c>
      <c r="H229" s="8299" t="s">
        <v>22</v>
      </c>
      <c r="I229" s="8299" t="s">
        <v>978</v>
      </c>
    </row>
    <row customHeight="1" ht="11.25">
      <c r="A230" s="8299" t="s">
        <v>2419</v>
      </c>
      <c r="B230" s="8299" t="s">
        <v>16</v>
      </c>
      <c r="C230" s="8299" t="s">
        <v>3315</v>
      </c>
      <c r="D230" s="8299" t="s">
        <v>3316</v>
      </c>
      <c r="E230" s="8299" t="s">
        <v>3317</v>
      </c>
      <c r="F230" s="8299" t="s">
        <v>2422</v>
      </c>
      <c r="G230" s="8299" t="s">
        <v>3318</v>
      </c>
      <c r="H230" s="8299" t="s">
        <v>22</v>
      </c>
      <c r="I230" s="8299" t="s">
        <v>978</v>
      </c>
    </row>
    <row customHeight="1" ht="11.25">
      <c r="A231" s="8299" t="s">
        <v>2419</v>
      </c>
      <c r="B231" s="8299" t="s">
        <v>16</v>
      </c>
      <c r="C231" s="8299" t="s">
        <v>3319</v>
      </c>
      <c r="D231" s="8299" t="s">
        <v>3320</v>
      </c>
      <c r="E231" s="8299" t="s">
        <v>3321</v>
      </c>
      <c r="F231" s="8299" t="s">
        <v>2520</v>
      </c>
      <c r="G231" s="8299" t="s">
        <v>3251</v>
      </c>
      <c r="H231" s="8299" t="s">
        <v>22</v>
      </c>
      <c r="I231" s="8299" t="s">
        <v>978</v>
      </c>
    </row>
    <row customHeight="1" ht="11.25">
      <c r="A232" s="8299" t="s">
        <v>2419</v>
      </c>
      <c r="B232" s="8299" t="s">
        <v>16</v>
      </c>
      <c r="C232" s="8299" t="s">
        <v>3322</v>
      </c>
      <c r="D232" s="8299" t="s">
        <v>3323</v>
      </c>
      <c r="E232" s="8299" t="s">
        <v>3324</v>
      </c>
      <c r="F232" s="8299" t="s">
        <v>2481</v>
      </c>
      <c r="G232" s="8299" t="s">
        <v>3325</v>
      </c>
      <c r="H232" s="8299" t="s">
        <v>22</v>
      </c>
      <c r="I232" s="8299" t="s">
        <v>978</v>
      </c>
    </row>
    <row customHeight="1" ht="11.25">
      <c r="A233" s="8299" t="s">
        <v>2419</v>
      </c>
      <c r="B233" s="8299" t="s">
        <v>16</v>
      </c>
      <c r="C233" s="8299" t="s">
        <v>3326</v>
      </c>
      <c r="D233" s="8299" t="s">
        <v>3327</v>
      </c>
      <c r="E233" s="8299" t="s">
        <v>3328</v>
      </c>
      <c r="F233" s="8299" t="s">
        <v>2595</v>
      </c>
      <c r="G233" s="8299" t="s">
        <v>2537</v>
      </c>
      <c r="H233" s="8299" t="s">
        <v>22</v>
      </c>
      <c r="I233" s="8299" t="s">
        <v>978</v>
      </c>
    </row>
    <row customHeight="1" ht="11.25">
      <c r="A234" s="8299" t="s">
        <v>2419</v>
      </c>
      <c r="B234" s="8299" t="s">
        <v>16</v>
      </c>
      <c r="C234" s="8299" t="s">
        <v>3329</v>
      </c>
      <c r="D234" s="8299" t="s">
        <v>3330</v>
      </c>
      <c r="E234" s="8299" t="s">
        <v>3331</v>
      </c>
      <c r="F234" s="8299" t="s">
        <v>2625</v>
      </c>
      <c r="G234" s="8299" t="s">
        <v>3332</v>
      </c>
      <c r="H234" s="8299" t="s">
        <v>22</v>
      </c>
      <c r="I234" s="8299" t="s">
        <v>978</v>
      </c>
    </row>
    <row customHeight="1" ht="11.25">
      <c r="A235" s="8299" t="s">
        <v>2419</v>
      </c>
      <c r="B235" s="8299" t="s">
        <v>16</v>
      </c>
      <c r="C235" s="8299" t="s">
        <v>3333</v>
      </c>
      <c r="D235" s="8299" t="s">
        <v>3334</v>
      </c>
      <c r="E235" s="8299" t="s">
        <v>3335</v>
      </c>
      <c r="F235" s="8299" t="s">
        <v>2621</v>
      </c>
      <c r="G235" s="8299" t="s">
        <v>3336</v>
      </c>
      <c r="H235" s="8299" t="s">
        <v>22</v>
      </c>
      <c r="I235" s="8299" t="s">
        <v>978</v>
      </c>
    </row>
    <row customHeight="1" ht="11.25">
      <c r="A236" s="8299" t="s">
        <v>2419</v>
      </c>
      <c r="B236" s="8299" t="s">
        <v>16</v>
      </c>
      <c r="C236" s="8299" t="s">
        <v>3337</v>
      </c>
      <c r="D236" s="8299" t="s">
        <v>3338</v>
      </c>
      <c r="E236" s="8299" t="s">
        <v>3339</v>
      </c>
      <c r="F236" s="8299" t="s">
        <v>2625</v>
      </c>
      <c r="G236" s="8299" t="s">
        <v>3340</v>
      </c>
      <c r="H236" s="8299" t="s">
        <v>22</v>
      </c>
      <c r="I236" s="8299" t="s">
        <v>978</v>
      </c>
    </row>
    <row customHeight="1" ht="11.25">
      <c r="A237" s="8299" t="s">
        <v>2419</v>
      </c>
      <c r="B237" s="8299" t="s">
        <v>16</v>
      </c>
      <c r="C237" s="8299" t="s">
        <v>3341</v>
      </c>
      <c r="D237" s="8299" t="s">
        <v>3342</v>
      </c>
      <c r="E237" s="8299" t="s">
        <v>3343</v>
      </c>
      <c r="F237" s="8299" t="s">
        <v>2471</v>
      </c>
      <c r="G237" s="8299" t="s">
        <v>3344</v>
      </c>
      <c r="H237" s="8299" t="s">
        <v>22</v>
      </c>
      <c r="I237" s="8299" t="s">
        <v>978</v>
      </c>
    </row>
    <row customHeight="1" ht="11.25">
      <c r="A238" s="8299" t="s">
        <v>2419</v>
      </c>
      <c r="B238" s="8299" t="s">
        <v>16</v>
      </c>
      <c r="C238" s="8299" t="s">
        <v>3345</v>
      </c>
      <c r="D238" s="8299" t="s">
        <v>3346</v>
      </c>
      <c r="E238" s="8299" t="s">
        <v>3347</v>
      </c>
      <c r="F238" s="8299" t="s">
        <v>2696</v>
      </c>
      <c r="G238" s="8299" t="s">
        <v>3348</v>
      </c>
      <c r="H238" s="8299" t="s">
        <v>22</v>
      </c>
      <c r="I238" s="8299" t="s">
        <v>978</v>
      </c>
    </row>
    <row customHeight="1" ht="11.25">
      <c r="A239" s="8299" t="s">
        <v>2419</v>
      </c>
      <c r="B239" s="8299" t="s">
        <v>16</v>
      </c>
      <c r="C239" s="8299" t="s">
        <v>3349</v>
      </c>
      <c r="D239" s="8299" t="s">
        <v>3350</v>
      </c>
      <c r="E239" s="8299" t="s">
        <v>3351</v>
      </c>
      <c r="F239" s="8299" t="s">
        <v>2422</v>
      </c>
      <c r="G239" s="8299" t="s">
        <v>2449</v>
      </c>
      <c r="H239" s="8299" t="s">
        <v>22</v>
      </c>
      <c r="I239" s="8299" t="s">
        <v>978</v>
      </c>
    </row>
    <row customHeight="1" ht="11.25">
      <c r="A240" s="8299" t="s">
        <v>2419</v>
      </c>
      <c r="B240" s="8299" t="s">
        <v>16</v>
      </c>
      <c r="C240" s="8299" t="s">
        <v>3352</v>
      </c>
      <c r="D240" s="8299" t="s">
        <v>3353</v>
      </c>
      <c r="E240" s="8299" t="s">
        <v>3354</v>
      </c>
      <c r="F240" s="8299" t="s">
        <v>2422</v>
      </c>
      <c r="G240" s="8299" t="s">
        <v>3355</v>
      </c>
      <c r="H240" s="8299" t="s">
        <v>22</v>
      </c>
      <c r="I240" s="8299" t="s">
        <v>978</v>
      </c>
    </row>
    <row customHeight="1" ht="11.25">
      <c r="A241" s="8299" t="s">
        <v>2419</v>
      </c>
      <c r="B241" s="8299" t="s">
        <v>16</v>
      </c>
      <c r="C241" s="8299" t="s">
        <v>22</v>
      </c>
      <c r="D241" s="8299" t="s">
        <v>2420</v>
      </c>
      <c r="E241" s="8299" t="s">
        <v>2421</v>
      </c>
      <c r="F241" s="8299" t="s">
        <v>2422</v>
      </c>
      <c r="G241" s="8299" t="s">
        <v>22</v>
      </c>
      <c r="H241" s="8299" t="s">
        <v>22</v>
      </c>
      <c r="I241" s="8299" t="s">
        <v>1065</v>
      </c>
    </row>
    <row customHeight="1" ht="11.25">
      <c r="A242" s="8299" t="s">
        <v>2419</v>
      </c>
      <c r="B242" s="8299" t="s">
        <v>16</v>
      </c>
      <c r="C242" s="8299" t="s">
        <v>2442</v>
      </c>
      <c r="D242" s="8299" t="s">
        <v>2443</v>
      </c>
      <c r="E242" s="8299" t="s">
        <v>2444</v>
      </c>
      <c r="F242" s="8299" t="s">
        <v>2422</v>
      </c>
      <c r="G242" s="8299" t="s">
        <v>2445</v>
      </c>
      <c r="H242" s="8299" t="s">
        <v>22</v>
      </c>
      <c r="I242" s="8299" t="s">
        <v>1065</v>
      </c>
    </row>
    <row customHeight="1" ht="11.25">
      <c r="A243" s="8299" t="s">
        <v>2419</v>
      </c>
      <c r="B243" s="8299" t="s">
        <v>16</v>
      </c>
      <c r="C243" s="8299" t="s">
        <v>3356</v>
      </c>
      <c r="D243" s="8299" t="s">
        <v>2456</v>
      </c>
      <c r="E243" s="8299" t="s">
        <v>2457</v>
      </c>
      <c r="F243" s="8299" t="s">
        <v>2515</v>
      </c>
      <c r="G243" s="8299" t="s">
        <v>3357</v>
      </c>
      <c r="H243" s="8299" t="s">
        <v>22</v>
      </c>
      <c r="I243" s="8299" t="s">
        <v>1065</v>
      </c>
    </row>
    <row customHeight="1" ht="11.25">
      <c r="A244" s="8299" t="s">
        <v>2419</v>
      </c>
      <c r="B244" s="8299" t="s">
        <v>16</v>
      </c>
      <c r="C244" s="8299" t="s">
        <v>2459</v>
      </c>
      <c r="D244" s="8299" t="s">
        <v>2460</v>
      </c>
      <c r="E244" s="8299" t="s">
        <v>2461</v>
      </c>
      <c r="F244" s="8299" t="s">
        <v>2462</v>
      </c>
      <c r="G244" s="8299" t="s">
        <v>22</v>
      </c>
      <c r="H244" s="8299" t="s">
        <v>22</v>
      </c>
      <c r="I244" s="8299" t="s">
        <v>1065</v>
      </c>
    </row>
    <row customHeight="1" ht="11.25">
      <c r="A245" s="8299" t="s">
        <v>2419</v>
      </c>
      <c r="B245" s="8299" t="s">
        <v>16</v>
      </c>
      <c r="C245" s="8299" t="s">
        <v>2492</v>
      </c>
      <c r="D245" s="8299" t="s">
        <v>2493</v>
      </c>
      <c r="E245" s="8299" t="s">
        <v>2494</v>
      </c>
      <c r="F245" s="8299" t="s">
        <v>2440</v>
      </c>
      <c r="G245" s="8299" t="s">
        <v>2495</v>
      </c>
      <c r="H245" s="8299" t="s">
        <v>22</v>
      </c>
      <c r="I245" s="8299" t="s">
        <v>1065</v>
      </c>
    </row>
    <row customHeight="1" ht="11.25">
      <c r="A246" s="8299" t="s">
        <v>2419</v>
      </c>
      <c r="B246" s="8299" t="s">
        <v>16</v>
      </c>
      <c r="C246" s="8299" t="s">
        <v>2582</v>
      </c>
      <c r="D246" s="8299" t="s">
        <v>2583</v>
      </c>
      <c r="E246" s="8299" t="s">
        <v>2444</v>
      </c>
      <c r="F246" s="8299" t="s">
        <v>2584</v>
      </c>
      <c r="G246" s="8299" t="s">
        <v>2445</v>
      </c>
      <c r="H246" s="8299" t="s">
        <v>22</v>
      </c>
      <c r="I246" s="8299" t="s">
        <v>1065</v>
      </c>
    </row>
    <row customHeight="1" ht="11.25">
      <c r="A247" s="8299" t="s">
        <v>2419</v>
      </c>
      <c r="B247" s="8299" t="s">
        <v>16</v>
      </c>
      <c r="C247" s="8299" t="s">
        <v>2670</v>
      </c>
      <c r="D247" s="8299" t="s">
        <v>2671</v>
      </c>
      <c r="E247" s="8299" t="s">
        <v>2672</v>
      </c>
      <c r="F247" s="8299" t="s">
        <v>2673</v>
      </c>
      <c r="G247" s="8299" t="s">
        <v>2545</v>
      </c>
      <c r="H247" s="8299" t="s">
        <v>22</v>
      </c>
      <c r="I247" s="8299" t="s">
        <v>1065</v>
      </c>
    </row>
    <row customHeight="1" ht="11.25">
      <c r="A248" s="8299" t="s">
        <v>2419</v>
      </c>
      <c r="B248" s="8299" t="s">
        <v>16</v>
      </c>
      <c r="C248" s="8299" t="s">
        <v>2674</v>
      </c>
      <c r="D248" s="8299" t="s">
        <v>2675</v>
      </c>
      <c r="E248" s="8299" t="s">
        <v>2676</v>
      </c>
      <c r="F248" s="8299" t="s">
        <v>2621</v>
      </c>
      <c r="G248" s="8299" t="s">
        <v>2677</v>
      </c>
      <c r="H248" s="8299" t="s">
        <v>22</v>
      </c>
      <c r="I248" s="8299" t="s">
        <v>1065</v>
      </c>
    </row>
    <row customHeight="1" ht="11.25">
      <c r="A249" s="8299" t="s">
        <v>2419</v>
      </c>
      <c r="B249" s="8299" t="s">
        <v>16</v>
      </c>
      <c r="C249" s="8299" t="s">
        <v>2681</v>
      </c>
      <c r="D249" s="8299" t="s">
        <v>2682</v>
      </c>
      <c r="E249" s="8299" t="s">
        <v>2683</v>
      </c>
      <c r="F249" s="8299" t="s">
        <v>2621</v>
      </c>
      <c r="G249" s="8299" t="s">
        <v>2684</v>
      </c>
      <c r="H249" s="8299" t="s">
        <v>22</v>
      </c>
      <c r="I249" s="8299" t="s">
        <v>1065</v>
      </c>
    </row>
    <row customHeight="1" ht="11.25">
      <c r="A250" s="8299" t="s">
        <v>2419</v>
      </c>
      <c r="B250" s="8299" t="s">
        <v>16</v>
      </c>
      <c r="C250" s="8299" t="s">
        <v>2689</v>
      </c>
      <c r="D250" s="8299" t="s">
        <v>2690</v>
      </c>
      <c r="E250" s="8299" t="s">
        <v>2691</v>
      </c>
      <c r="F250" s="8299" t="s">
        <v>2625</v>
      </c>
      <c r="G250" s="8299" t="s">
        <v>2692</v>
      </c>
      <c r="H250" s="8299" t="s">
        <v>22</v>
      </c>
      <c r="I250" s="8299" t="s">
        <v>1065</v>
      </c>
    </row>
    <row customHeight="1" ht="11.25">
      <c r="A251" s="8299" t="s">
        <v>2419</v>
      </c>
      <c r="B251" s="8299" t="s">
        <v>16</v>
      </c>
      <c r="C251" s="8299" t="s">
        <v>2693</v>
      </c>
      <c r="D251" s="8299" t="s">
        <v>2694</v>
      </c>
      <c r="E251" s="8299" t="s">
        <v>2695</v>
      </c>
      <c r="F251" s="8299" t="s">
        <v>2696</v>
      </c>
      <c r="G251" s="8299" t="s">
        <v>2617</v>
      </c>
      <c r="H251" s="8299" t="s">
        <v>22</v>
      </c>
      <c r="I251" s="8299" t="s">
        <v>1065</v>
      </c>
    </row>
    <row customHeight="1" ht="11.25">
      <c r="A252" s="8299" t="s">
        <v>2419</v>
      </c>
      <c r="B252" s="8299" t="s">
        <v>16</v>
      </c>
      <c r="C252" s="8299" t="s">
        <v>2753</v>
      </c>
      <c r="D252" s="8299" t="s">
        <v>2754</v>
      </c>
      <c r="E252" s="8299" t="s">
        <v>2755</v>
      </c>
      <c r="F252" s="8299" t="s">
        <v>2422</v>
      </c>
      <c r="G252" s="8299" t="s">
        <v>2756</v>
      </c>
      <c r="H252" s="8299" t="s">
        <v>22</v>
      </c>
      <c r="I252" s="8299" t="s">
        <v>1065</v>
      </c>
    </row>
    <row customHeight="1" ht="11.25">
      <c r="A253" s="8299" t="s">
        <v>2419</v>
      </c>
      <c r="B253" s="8299" t="s">
        <v>16</v>
      </c>
      <c r="C253" s="8299" t="s">
        <v>2761</v>
      </c>
      <c r="D253" s="8299" t="s">
        <v>2762</v>
      </c>
      <c r="E253" s="8299" t="s">
        <v>2763</v>
      </c>
      <c r="F253" s="8299" t="s">
        <v>2422</v>
      </c>
      <c r="G253" s="8299" t="s">
        <v>2764</v>
      </c>
      <c r="H253" s="8299" t="s">
        <v>22</v>
      </c>
      <c r="I253" s="8299" t="s">
        <v>1065</v>
      </c>
    </row>
    <row customHeight="1" ht="11.25">
      <c r="A254" s="8299" t="s">
        <v>2419</v>
      </c>
      <c r="B254" s="8299" t="s">
        <v>16</v>
      </c>
      <c r="C254" s="8299" t="s">
        <v>2765</v>
      </c>
      <c r="D254" s="8299" t="s">
        <v>2766</v>
      </c>
      <c r="E254" s="8299" t="s">
        <v>2767</v>
      </c>
      <c r="F254" s="8299" t="s">
        <v>2422</v>
      </c>
      <c r="G254" s="8299" t="s">
        <v>2768</v>
      </c>
      <c r="H254" s="8299" t="s">
        <v>22</v>
      </c>
      <c r="I254" s="8299" t="s">
        <v>1065</v>
      </c>
    </row>
    <row customHeight="1" ht="11.25">
      <c r="A255" s="8299" t="s">
        <v>2419</v>
      </c>
      <c r="B255" s="8299" t="s">
        <v>16</v>
      </c>
      <c r="C255" s="8299" t="s">
        <v>3358</v>
      </c>
      <c r="D255" s="8299" t="s">
        <v>3359</v>
      </c>
      <c r="E255" s="8299" t="s">
        <v>3360</v>
      </c>
      <c r="F255" s="8299" t="s">
        <v>2422</v>
      </c>
      <c r="G255" s="8299" t="s">
        <v>3361</v>
      </c>
      <c r="H255" s="8299" t="s">
        <v>22</v>
      </c>
      <c r="I255" s="8299" t="s">
        <v>1065</v>
      </c>
    </row>
    <row customHeight="1" ht="11.25">
      <c r="A256" s="8299" t="s">
        <v>2419</v>
      </c>
      <c r="B256" s="8299" t="s">
        <v>16</v>
      </c>
      <c r="C256" s="8299" t="s">
        <v>2778</v>
      </c>
      <c r="D256" s="8299" t="s">
        <v>2779</v>
      </c>
      <c r="E256" s="8299" t="s">
        <v>2780</v>
      </c>
      <c r="F256" s="8299" t="s">
        <v>2520</v>
      </c>
      <c r="G256" s="8299" t="s">
        <v>2781</v>
      </c>
      <c r="H256" s="8299" t="s">
        <v>22</v>
      </c>
      <c r="I256" s="8299" t="s">
        <v>1065</v>
      </c>
    </row>
    <row customHeight="1" ht="11.25">
      <c r="A257" s="8299" t="s">
        <v>2419</v>
      </c>
      <c r="B257" s="8299" t="s">
        <v>16</v>
      </c>
      <c r="C257" s="8299" t="s">
        <v>2782</v>
      </c>
      <c r="D257" s="8299" t="s">
        <v>2783</v>
      </c>
      <c r="E257" s="8299" t="s">
        <v>2784</v>
      </c>
      <c r="F257" s="8299" t="s">
        <v>2520</v>
      </c>
      <c r="G257" s="8299" t="s">
        <v>2785</v>
      </c>
      <c r="H257" s="8299" t="s">
        <v>22</v>
      </c>
      <c r="I257" s="8299" t="s">
        <v>1065</v>
      </c>
    </row>
    <row customHeight="1" ht="11.25">
      <c r="A258" s="8299" t="s">
        <v>2419</v>
      </c>
      <c r="B258" s="8299" t="s">
        <v>16</v>
      </c>
      <c r="C258" s="8299" t="s">
        <v>2813</v>
      </c>
      <c r="D258" s="8299" t="s">
        <v>2814</v>
      </c>
      <c r="E258" s="8299" t="s">
        <v>2815</v>
      </c>
      <c r="F258" s="8299" t="s">
        <v>2660</v>
      </c>
      <c r="G258" s="8299" t="s">
        <v>2816</v>
      </c>
      <c r="H258" s="8299" t="s">
        <v>22</v>
      </c>
      <c r="I258" s="8299" t="s">
        <v>1065</v>
      </c>
    </row>
    <row customHeight="1" ht="11.25">
      <c r="A259" s="8299" t="s">
        <v>2419</v>
      </c>
      <c r="B259" s="8299" t="s">
        <v>16</v>
      </c>
      <c r="C259" s="8299" t="s">
        <v>2817</v>
      </c>
      <c r="D259" s="8299" t="s">
        <v>2818</v>
      </c>
      <c r="E259" s="8299" t="s">
        <v>2819</v>
      </c>
      <c r="F259" s="8299" t="s">
        <v>2422</v>
      </c>
      <c r="G259" s="8299" t="s">
        <v>2820</v>
      </c>
      <c r="H259" s="8299" t="s">
        <v>22</v>
      </c>
      <c r="I259" s="8299" t="s">
        <v>1065</v>
      </c>
    </row>
    <row customHeight="1" ht="11.25">
      <c r="A260" s="8299" t="s">
        <v>2419</v>
      </c>
      <c r="B260" s="8299" t="s">
        <v>16</v>
      </c>
      <c r="C260" s="8299" t="s">
        <v>3362</v>
      </c>
      <c r="D260" s="8299" t="s">
        <v>3363</v>
      </c>
      <c r="E260" s="8299" t="s">
        <v>3364</v>
      </c>
      <c r="F260" s="8299" t="s">
        <v>2422</v>
      </c>
      <c r="G260" s="8299" t="s">
        <v>3365</v>
      </c>
      <c r="H260" s="8299" t="s">
        <v>22</v>
      </c>
      <c r="I260" s="8299" t="s">
        <v>1065</v>
      </c>
    </row>
    <row customHeight="1" ht="11.25">
      <c r="A261" s="8299" t="s">
        <v>2419</v>
      </c>
      <c r="B261" s="8299" t="s">
        <v>16</v>
      </c>
      <c r="C261" s="8299" t="s">
        <v>2894</v>
      </c>
      <c r="D261" s="8299" t="s">
        <v>2895</v>
      </c>
      <c r="E261" s="8299" t="s">
        <v>2896</v>
      </c>
      <c r="F261" s="8299" t="s">
        <v>2621</v>
      </c>
      <c r="G261" s="8299" t="s">
        <v>2897</v>
      </c>
      <c r="H261" s="8299" t="s">
        <v>22</v>
      </c>
      <c r="I261" s="8299" t="s">
        <v>1065</v>
      </c>
    </row>
    <row customHeight="1" ht="11.25">
      <c r="A262" s="8299" t="s">
        <v>2419</v>
      </c>
      <c r="B262" s="8299" t="s">
        <v>16</v>
      </c>
      <c r="C262" s="8299" t="s">
        <v>2902</v>
      </c>
      <c r="D262" s="8299" t="s">
        <v>2903</v>
      </c>
      <c r="E262" s="8299" t="s">
        <v>2904</v>
      </c>
      <c r="F262" s="8299" t="s">
        <v>2905</v>
      </c>
      <c r="G262" s="8299" t="s">
        <v>22</v>
      </c>
      <c r="H262" s="8299" t="s">
        <v>22</v>
      </c>
      <c r="I262" s="8299" t="s">
        <v>1065</v>
      </c>
    </row>
    <row customHeight="1" ht="11.25">
      <c r="A263" s="8299" t="s">
        <v>2419</v>
      </c>
      <c r="B263" s="8299" t="s">
        <v>16</v>
      </c>
      <c r="C263" s="8299" t="s">
        <v>2926</v>
      </c>
      <c r="D263" s="8299" t="s">
        <v>2927</v>
      </c>
      <c r="E263" s="8299" t="s">
        <v>2928</v>
      </c>
      <c r="F263" s="8299" t="s">
        <v>2471</v>
      </c>
      <c r="G263" s="8299" t="s">
        <v>2929</v>
      </c>
      <c r="H263" s="8299" t="s">
        <v>22</v>
      </c>
      <c r="I263" s="8299" t="s">
        <v>1065</v>
      </c>
    </row>
    <row customHeight="1" ht="11.25">
      <c r="A264" s="8299" t="s">
        <v>2419</v>
      </c>
      <c r="B264" s="8299" t="s">
        <v>16</v>
      </c>
      <c r="C264" s="8299" t="s">
        <v>2934</v>
      </c>
      <c r="D264" s="8299" t="s">
        <v>2935</v>
      </c>
      <c r="E264" s="8299" t="s">
        <v>2936</v>
      </c>
      <c r="F264" s="8299" t="s">
        <v>2481</v>
      </c>
      <c r="G264" s="8299" t="s">
        <v>2937</v>
      </c>
      <c r="H264" s="8299" t="s">
        <v>22</v>
      </c>
      <c r="I264" s="8299" t="s">
        <v>1065</v>
      </c>
    </row>
    <row customHeight="1" ht="11.25">
      <c r="A265" s="8299" t="s">
        <v>2419</v>
      </c>
      <c r="B265" s="8299" t="s">
        <v>16</v>
      </c>
      <c r="C265" s="8299" t="s">
        <v>2973</v>
      </c>
      <c r="D265" s="8299" t="s">
        <v>2974</v>
      </c>
      <c r="E265" s="8299" t="s">
        <v>2975</v>
      </c>
      <c r="F265" s="8299" t="s">
        <v>2422</v>
      </c>
      <c r="G265" s="8299" t="s">
        <v>2976</v>
      </c>
      <c r="H265" s="8299" t="s">
        <v>22</v>
      </c>
      <c r="I265" s="8299" t="s">
        <v>1065</v>
      </c>
    </row>
    <row customHeight="1" ht="11.25">
      <c r="A266" s="8299" t="s">
        <v>2419</v>
      </c>
      <c r="B266" s="8299" t="s">
        <v>16</v>
      </c>
      <c r="C266" s="8299" t="s">
        <v>2980</v>
      </c>
      <c r="D266" s="8299" t="s">
        <v>2981</v>
      </c>
      <c r="E266" s="8299" t="s">
        <v>2982</v>
      </c>
      <c r="F266" s="8299" t="s">
        <v>2422</v>
      </c>
      <c r="G266" s="8299" t="s">
        <v>2983</v>
      </c>
      <c r="H266" s="8299" t="s">
        <v>22</v>
      </c>
      <c r="I266" s="8299" t="s">
        <v>1065</v>
      </c>
    </row>
    <row customHeight="1" ht="11.25">
      <c r="A267" s="8299" t="s">
        <v>2419</v>
      </c>
      <c r="B267" s="8299" t="s">
        <v>16</v>
      </c>
      <c r="C267" s="8299" t="s">
        <v>3008</v>
      </c>
      <c r="D267" s="8299" t="s">
        <v>3009</v>
      </c>
      <c r="E267" s="8299" t="s">
        <v>3010</v>
      </c>
      <c r="F267" s="8299" t="s">
        <v>2422</v>
      </c>
      <c r="G267" s="8299" t="s">
        <v>3011</v>
      </c>
      <c r="H267" s="8299" t="s">
        <v>22</v>
      </c>
      <c r="I267" s="8299" t="s">
        <v>1065</v>
      </c>
    </row>
    <row customHeight="1" ht="11.25">
      <c r="A268" s="8299" t="s">
        <v>2419</v>
      </c>
      <c r="B268" s="8299" t="s">
        <v>16</v>
      </c>
      <c r="C268" s="8299" t="s">
        <v>3019</v>
      </c>
      <c r="D268" s="8299" t="s">
        <v>3020</v>
      </c>
      <c r="E268" s="8299" t="s">
        <v>3021</v>
      </c>
      <c r="F268" s="8299" t="s">
        <v>2595</v>
      </c>
      <c r="G268" s="8299" t="s">
        <v>3022</v>
      </c>
      <c r="H268" s="8299" t="s">
        <v>22</v>
      </c>
      <c r="I268" s="8299" t="s">
        <v>1065</v>
      </c>
    </row>
    <row customHeight="1" ht="11.25">
      <c r="A269" s="8299" t="s">
        <v>2419</v>
      </c>
      <c r="B269" s="8299" t="s">
        <v>16</v>
      </c>
      <c r="C269" s="8299" t="s">
        <v>3027</v>
      </c>
      <c r="D269" s="8299" t="s">
        <v>3028</v>
      </c>
      <c r="E269" s="8299" t="s">
        <v>3029</v>
      </c>
      <c r="F269" s="8299" t="s">
        <v>2717</v>
      </c>
      <c r="G269" s="8299" t="s">
        <v>3030</v>
      </c>
      <c r="H269" s="8299" t="s">
        <v>22</v>
      </c>
      <c r="I269" s="8299" t="s">
        <v>1065</v>
      </c>
    </row>
    <row customHeight="1" ht="11.25">
      <c r="A270" s="8299" t="s">
        <v>2419</v>
      </c>
      <c r="B270" s="8299" t="s">
        <v>16</v>
      </c>
      <c r="C270" s="8299" t="s">
        <v>3081</v>
      </c>
      <c r="D270" s="8299" t="s">
        <v>3082</v>
      </c>
      <c r="E270" s="8299" t="s">
        <v>3083</v>
      </c>
      <c r="F270" s="8299" t="s">
        <v>2520</v>
      </c>
      <c r="G270" s="8299" t="s">
        <v>3084</v>
      </c>
      <c r="H270" s="8299" t="s">
        <v>22</v>
      </c>
      <c r="I270" s="8299" t="s">
        <v>1065</v>
      </c>
    </row>
    <row customHeight="1" ht="11.25">
      <c r="A271" s="8299" t="s">
        <v>2419</v>
      </c>
      <c r="B271" s="8299" t="s">
        <v>16</v>
      </c>
      <c r="C271" s="8299" t="s">
        <v>3096</v>
      </c>
      <c r="D271" s="8299" t="s">
        <v>3097</v>
      </c>
      <c r="E271" s="8299" t="s">
        <v>3098</v>
      </c>
      <c r="F271" s="8299" t="s">
        <v>2621</v>
      </c>
      <c r="G271" s="8299" t="s">
        <v>22</v>
      </c>
      <c r="H271" s="8299" t="s">
        <v>22</v>
      </c>
      <c r="I271" s="8299" t="s">
        <v>1065</v>
      </c>
    </row>
    <row customHeight="1" ht="11.25">
      <c r="A272" s="8299" t="s">
        <v>2419</v>
      </c>
      <c r="B272" s="8299" t="s">
        <v>16</v>
      </c>
      <c r="C272" s="8299" t="s">
        <v>3099</v>
      </c>
      <c r="D272" s="8299" t="s">
        <v>3100</v>
      </c>
      <c r="E272" s="8299" t="s">
        <v>3101</v>
      </c>
      <c r="F272" s="8299" t="s">
        <v>2621</v>
      </c>
      <c r="G272" s="8299" t="s">
        <v>3102</v>
      </c>
      <c r="H272" s="8299" t="s">
        <v>22</v>
      </c>
      <c r="I272" s="8299" t="s">
        <v>1065</v>
      </c>
    </row>
    <row customHeight="1" ht="11.25">
      <c r="A273" s="8299" t="s">
        <v>2419</v>
      </c>
      <c r="B273" s="8299" t="s">
        <v>16</v>
      </c>
      <c r="C273" s="8299" t="s">
        <v>3366</v>
      </c>
      <c r="D273" s="8299" t="s">
        <v>3367</v>
      </c>
      <c r="E273" s="8299" t="s">
        <v>3368</v>
      </c>
      <c r="F273" s="8299" t="s">
        <v>2422</v>
      </c>
      <c r="G273" s="8299" t="s">
        <v>3369</v>
      </c>
      <c r="H273" s="8299" t="s">
        <v>22</v>
      </c>
      <c r="I273" s="8299" t="s">
        <v>1065</v>
      </c>
    </row>
    <row customHeight="1" ht="11.25">
      <c r="A274" s="8299" t="s">
        <v>2419</v>
      </c>
      <c r="B274" s="8299" t="s">
        <v>16</v>
      </c>
      <c r="C274" s="8299" t="s">
        <v>3127</v>
      </c>
      <c r="D274" s="8299" t="s">
        <v>3128</v>
      </c>
      <c r="E274" s="8299" t="s">
        <v>3129</v>
      </c>
      <c r="F274" s="8299" t="s">
        <v>3113</v>
      </c>
      <c r="G274" s="8299" t="s">
        <v>3130</v>
      </c>
      <c r="H274" s="8299" t="s">
        <v>22</v>
      </c>
      <c r="I274" s="8299" t="s">
        <v>1065</v>
      </c>
    </row>
    <row customHeight="1" ht="11.25">
      <c r="A275" s="8299" t="s">
        <v>2419</v>
      </c>
      <c r="B275" s="8299" t="s">
        <v>16</v>
      </c>
      <c r="C275" s="8299" t="s">
        <v>3139</v>
      </c>
      <c r="D275" s="8299" t="s">
        <v>3140</v>
      </c>
      <c r="E275" s="8299" t="s">
        <v>3141</v>
      </c>
      <c r="F275" s="8299" t="s">
        <v>2625</v>
      </c>
      <c r="G275" s="8299" t="s">
        <v>3142</v>
      </c>
      <c r="H275" s="8299" t="s">
        <v>22</v>
      </c>
      <c r="I275" s="8299" t="s">
        <v>1065</v>
      </c>
    </row>
    <row customHeight="1" ht="11.25">
      <c r="A276" s="8299" t="s">
        <v>2419</v>
      </c>
      <c r="B276" s="8299" t="s">
        <v>16</v>
      </c>
      <c r="C276" s="8299" t="s">
        <v>3155</v>
      </c>
      <c r="D276" s="8299" t="s">
        <v>3156</v>
      </c>
      <c r="E276" s="8299" t="s">
        <v>3157</v>
      </c>
      <c r="F276" s="8299" t="s">
        <v>3158</v>
      </c>
      <c r="G276" s="8299" t="s">
        <v>3159</v>
      </c>
      <c r="H276" s="8299" t="s">
        <v>22</v>
      </c>
      <c r="I276" s="8299" t="s">
        <v>1065</v>
      </c>
    </row>
    <row customHeight="1" ht="11.25">
      <c r="A277" s="8299" t="s">
        <v>2419</v>
      </c>
      <c r="B277" s="8299" t="s">
        <v>16</v>
      </c>
      <c r="C277" s="8299" t="s">
        <v>3163</v>
      </c>
      <c r="D277" s="8299" t="s">
        <v>3164</v>
      </c>
      <c r="E277" s="8299" t="s">
        <v>3165</v>
      </c>
      <c r="F277" s="8299" t="s">
        <v>2660</v>
      </c>
      <c r="G277" s="8299" t="s">
        <v>3166</v>
      </c>
      <c r="H277" s="8299" t="s">
        <v>22</v>
      </c>
      <c r="I277" s="8299" t="s">
        <v>1065</v>
      </c>
    </row>
    <row customHeight="1" ht="11.25">
      <c r="A278" s="8299" t="s">
        <v>2419</v>
      </c>
      <c r="B278" s="8299" t="s">
        <v>16</v>
      </c>
      <c r="C278" s="8299" t="s">
        <v>3167</v>
      </c>
      <c r="D278" s="8299" t="s">
        <v>3168</v>
      </c>
      <c r="E278" s="8299" t="s">
        <v>3169</v>
      </c>
      <c r="F278" s="8299" t="s">
        <v>2717</v>
      </c>
      <c r="G278" s="8299" t="s">
        <v>3170</v>
      </c>
      <c r="H278" s="8299" t="s">
        <v>22</v>
      </c>
      <c r="I278" s="8299" t="s">
        <v>1065</v>
      </c>
    </row>
    <row customHeight="1" ht="11.25">
      <c r="A279" s="8299" t="s">
        <v>2419</v>
      </c>
      <c r="B279" s="8299" t="s">
        <v>16</v>
      </c>
      <c r="C279" s="8299" t="s">
        <v>3370</v>
      </c>
      <c r="D279" s="8299" t="s">
        <v>3371</v>
      </c>
      <c r="E279" s="8299" t="s">
        <v>3372</v>
      </c>
      <c r="F279" s="8299" t="s">
        <v>2422</v>
      </c>
      <c r="G279" s="8299" t="s">
        <v>3373</v>
      </c>
      <c r="H279" s="8299" t="s">
        <v>22</v>
      </c>
      <c r="I279" s="8299" t="s">
        <v>1065</v>
      </c>
    </row>
    <row customHeight="1" ht="11.25">
      <c r="A280" s="8299" t="s">
        <v>2419</v>
      </c>
      <c r="B280" s="8299" t="s">
        <v>16</v>
      </c>
      <c r="C280" s="8299" t="s">
        <v>3232</v>
      </c>
      <c r="D280" s="8299" t="s">
        <v>3233</v>
      </c>
      <c r="E280" s="8299" t="s">
        <v>2461</v>
      </c>
      <c r="F280" s="8299" t="s">
        <v>3234</v>
      </c>
      <c r="G280" s="8299" t="s">
        <v>3235</v>
      </c>
      <c r="H280" s="8299" t="s">
        <v>22</v>
      </c>
      <c r="I280" s="8299" t="s">
        <v>1065</v>
      </c>
    </row>
    <row customHeight="1" ht="11.25">
      <c r="A281" s="8299" t="s">
        <v>2419</v>
      </c>
      <c r="B281" s="8299" t="s">
        <v>16</v>
      </c>
      <c r="C281" s="8299" t="s">
        <v>3240</v>
      </c>
      <c r="D281" s="8299" t="s">
        <v>45</v>
      </c>
      <c r="E281" s="8299" t="s">
        <v>48</v>
      </c>
      <c r="F281" s="8299" t="s">
        <v>3241</v>
      </c>
      <c r="G281" s="8299" t="s">
        <v>3242</v>
      </c>
      <c r="H281" s="8299" t="s">
        <v>22</v>
      </c>
      <c r="I281" s="8299" t="s">
        <v>1065</v>
      </c>
    </row>
    <row customHeight="1" ht="11.25">
      <c r="A282" s="8299" t="s">
        <v>2419</v>
      </c>
      <c r="B282" s="8299" t="s">
        <v>16</v>
      </c>
      <c r="C282" s="8299" t="s">
        <v>13</v>
      </c>
      <c r="D282" s="8299" t="s">
        <v>45</v>
      </c>
      <c r="E282" s="8299" t="s">
        <v>48</v>
      </c>
      <c r="F282" s="8299" t="s">
        <v>50</v>
      </c>
      <c r="G282" s="8299" t="s">
        <v>22</v>
      </c>
      <c r="H282" s="8299" t="s">
        <v>22</v>
      </c>
      <c r="I282" s="8299" t="s">
        <v>1065</v>
      </c>
    </row>
    <row customHeight="1" ht="11.25">
      <c r="A283" s="8299" t="s">
        <v>2419</v>
      </c>
      <c r="B283" s="8299" t="s">
        <v>16</v>
      </c>
      <c r="C283" s="8299" t="s">
        <v>3256</v>
      </c>
      <c r="D283" s="8299" t="s">
        <v>3257</v>
      </c>
      <c r="E283" s="8299" t="s">
        <v>2444</v>
      </c>
      <c r="F283" s="8299" t="s">
        <v>3258</v>
      </c>
      <c r="G283" s="8299" t="s">
        <v>2445</v>
      </c>
      <c r="H283" s="8299" t="s">
        <v>22</v>
      </c>
      <c r="I283" s="8299" t="s">
        <v>1065</v>
      </c>
    </row>
    <row customHeight="1" ht="11.25">
      <c r="A284" s="8299" t="s">
        <v>2419</v>
      </c>
      <c r="B284" s="8299" t="s">
        <v>16</v>
      </c>
      <c r="C284" s="8299" t="s">
        <v>3277</v>
      </c>
      <c r="D284" s="8299" t="s">
        <v>3278</v>
      </c>
      <c r="E284" s="8299" t="s">
        <v>2506</v>
      </c>
      <c r="F284" s="8299" t="s">
        <v>3279</v>
      </c>
      <c r="G284" s="8299" t="s">
        <v>22</v>
      </c>
      <c r="H284" s="8299" t="s">
        <v>22</v>
      </c>
      <c r="I284" s="8299" t="s">
        <v>1065</v>
      </c>
    </row>
    <row customHeight="1" ht="11.25">
      <c r="A285" s="8299" t="s">
        <v>2419</v>
      </c>
      <c r="B285" s="8299" t="s">
        <v>16</v>
      </c>
      <c r="C285" s="8299" t="s">
        <v>3280</v>
      </c>
      <c r="D285" s="8299" t="s">
        <v>3281</v>
      </c>
      <c r="E285" s="8299" t="s">
        <v>3282</v>
      </c>
      <c r="F285" s="8299" t="s">
        <v>3283</v>
      </c>
      <c r="G285" s="8299" t="s">
        <v>3284</v>
      </c>
      <c r="H285" s="8299" t="s">
        <v>22</v>
      </c>
      <c r="I285" s="8299" t="s">
        <v>1065</v>
      </c>
    </row>
    <row customHeight="1" ht="11.25">
      <c r="A286" s="8299" t="s">
        <v>2419</v>
      </c>
      <c r="B286" s="8299" t="s">
        <v>16</v>
      </c>
      <c r="C286" s="8299" t="s">
        <v>3285</v>
      </c>
      <c r="D286" s="8299" t="s">
        <v>3286</v>
      </c>
      <c r="E286" s="8299" t="s">
        <v>3282</v>
      </c>
      <c r="F286" s="8299" t="s">
        <v>2580</v>
      </c>
      <c r="G286" s="8299" t="s">
        <v>3287</v>
      </c>
      <c r="H286" s="8299" t="s">
        <v>22</v>
      </c>
      <c r="I286" s="8299" t="s">
        <v>1065</v>
      </c>
    </row>
    <row customHeight="1" ht="11.25">
      <c r="A287" s="8299" t="s">
        <v>2419</v>
      </c>
      <c r="B287" s="8299" t="s">
        <v>16</v>
      </c>
      <c r="C287" s="8299" t="s">
        <v>3295</v>
      </c>
      <c r="D287" s="8299" t="s">
        <v>3296</v>
      </c>
      <c r="E287" s="8299" t="s">
        <v>3297</v>
      </c>
      <c r="F287" s="8299" t="s">
        <v>2426</v>
      </c>
      <c r="G287" s="8299" t="s">
        <v>3298</v>
      </c>
      <c r="H287" s="8299" t="s">
        <v>2996</v>
      </c>
      <c r="I287" s="8299" t="s">
        <v>1065</v>
      </c>
    </row>
    <row customHeight="1" ht="11.25">
      <c r="A288" s="8299" t="s">
        <v>2419</v>
      </c>
      <c r="B288" s="8299" t="s">
        <v>16</v>
      </c>
      <c r="C288" s="8299" t="s">
        <v>3303</v>
      </c>
      <c r="D288" s="8299" t="s">
        <v>3304</v>
      </c>
      <c r="E288" s="8299" t="s">
        <v>3305</v>
      </c>
      <c r="F288" s="8299" t="s">
        <v>3306</v>
      </c>
      <c r="G288" s="8299" t="s">
        <v>3307</v>
      </c>
      <c r="H288" s="8299" t="s">
        <v>22</v>
      </c>
      <c r="I288" s="8299" t="s">
        <v>1065</v>
      </c>
    </row>
    <row customHeight="1" ht="11.25">
      <c r="A289" s="8299" t="s">
        <v>2419</v>
      </c>
      <c r="B289" s="8299" t="s">
        <v>16</v>
      </c>
      <c r="C289" s="8299" t="s">
        <v>22</v>
      </c>
      <c r="D289" s="8299" t="s">
        <v>2420</v>
      </c>
      <c r="E289" s="8299" t="s">
        <v>2421</v>
      </c>
      <c r="F289" s="8299" t="s">
        <v>2422</v>
      </c>
      <c r="G289" s="8299" t="s">
        <v>22</v>
      </c>
      <c r="H289" s="8299" t="s">
        <v>22</v>
      </c>
      <c r="I289" s="8299" t="s">
        <v>1025</v>
      </c>
    </row>
    <row customHeight="1" ht="11.25">
      <c r="A290" s="8299" t="s">
        <v>2419</v>
      </c>
      <c r="B290" s="8299" t="s">
        <v>16</v>
      </c>
      <c r="C290" s="8299" t="s">
        <v>2437</v>
      </c>
      <c r="D290" s="8299" t="s">
        <v>2438</v>
      </c>
      <c r="E290" s="8299" t="s">
        <v>2439</v>
      </c>
      <c r="F290" s="8299" t="s">
        <v>2440</v>
      </c>
      <c r="G290" s="8299" t="s">
        <v>2441</v>
      </c>
      <c r="H290" s="8299" t="s">
        <v>22</v>
      </c>
      <c r="I290" s="8299" t="s">
        <v>1025</v>
      </c>
    </row>
    <row customHeight="1" ht="11.25">
      <c r="A291" s="8299" t="s">
        <v>2419</v>
      </c>
      <c r="B291" s="8299" t="s">
        <v>16</v>
      </c>
      <c r="C291" s="8299" t="s">
        <v>2442</v>
      </c>
      <c r="D291" s="8299" t="s">
        <v>2443</v>
      </c>
      <c r="E291" s="8299" t="s">
        <v>2444</v>
      </c>
      <c r="F291" s="8299" t="s">
        <v>2422</v>
      </c>
      <c r="G291" s="8299" t="s">
        <v>2445</v>
      </c>
      <c r="H291" s="8299" t="s">
        <v>22</v>
      </c>
      <c r="I291" s="8299" t="s">
        <v>1025</v>
      </c>
    </row>
    <row customHeight="1" ht="11.25">
      <c r="A292" s="8299" t="s">
        <v>2419</v>
      </c>
      <c r="B292" s="8299" t="s">
        <v>16</v>
      </c>
      <c r="C292" s="8299" t="s">
        <v>2446</v>
      </c>
      <c r="D292" s="8299" t="s">
        <v>2447</v>
      </c>
      <c r="E292" s="8299" t="s">
        <v>2448</v>
      </c>
      <c r="F292" s="8299" t="s">
        <v>2422</v>
      </c>
      <c r="G292" s="8299" t="s">
        <v>2449</v>
      </c>
      <c r="H292" s="8299" t="s">
        <v>22</v>
      </c>
      <c r="I292" s="8299" t="s">
        <v>1025</v>
      </c>
    </row>
    <row customHeight="1" ht="11.25">
      <c r="A293" s="8299" t="s">
        <v>2419</v>
      </c>
      <c r="B293" s="8299" t="s">
        <v>16</v>
      </c>
      <c r="C293" s="8299" t="s">
        <v>2459</v>
      </c>
      <c r="D293" s="8299" t="s">
        <v>2460</v>
      </c>
      <c r="E293" s="8299" t="s">
        <v>2461</v>
      </c>
      <c r="F293" s="8299" t="s">
        <v>2462</v>
      </c>
      <c r="G293" s="8299" t="s">
        <v>22</v>
      </c>
      <c r="H293" s="8299" t="s">
        <v>22</v>
      </c>
      <c r="I293" s="8299" t="s">
        <v>1025</v>
      </c>
    </row>
    <row customHeight="1" ht="11.25">
      <c r="A294" s="8299" t="s">
        <v>2419</v>
      </c>
      <c r="B294" s="8299" t="s">
        <v>16</v>
      </c>
      <c r="C294" s="8299" t="s">
        <v>2463</v>
      </c>
      <c r="D294" s="8299" t="s">
        <v>2464</v>
      </c>
      <c r="E294" s="8299" t="s">
        <v>2465</v>
      </c>
      <c r="F294" s="8299" t="s">
        <v>2466</v>
      </c>
      <c r="G294" s="8299" t="s">
        <v>2467</v>
      </c>
      <c r="H294" s="8299" t="s">
        <v>22</v>
      </c>
      <c r="I294" s="8299" t="s">
        <v>1025</v>
      </c>
    </row>
    <row customHeight="1" ht="11.25">
      <c r="A295" s="8299" t="s">
        <v>2419</v>
      </c>
      <c r="B295" s="8299" t="s">
        <v>16</v>
      </c>
      <c r="C295" s="8299" t="s">
        <v>2468</v>
      </c>
      <c r="D295" s="8299" t="s">
        <v>2469</v>
      </c>
      <c r="E295" s="8299" t="s">
        <v>2470</v>
      </c>
      <c r="F295" s="8299" t="s">
        <v>2471</v>
      </c>
      <c r="G295" s="8299" t="s">
        <v>2472</v>
      </c>
      <c r="H295" s="8299" t="s">
        <v>22</v>
      </c>
      <c r="I295" s="8299" t="s">
        <v>1025</v>
      </c>
    </row>
    <row customHeight="1" ht="11.25">
      <c r="A296" s="8299" t="s">
        <v>2419</v>
      </c>
      <c r="B296" s="8299" t="s">
        <v>16</v>
      </c>
      <c r="C296" s="8299" t="s">
        <v>2487</v>
      </c>
      <c r="D296" s="8299" t="s">
        <v>2488</v>
      </c>
      <c r="E296" s="8299" t="s">
        <v>2489</v>
      </c>
      <c r="F296" s="8299" t="s">
        <v>2490</v>
      </c>
      <c r="G296" s="8299" t="s">
        <v>2491</v>
      </c>
      <c r="H296" s="8299" t="s">
        <v>22</v>
      </c>
      <c r="I296" s="8299" t="s">
        <v>1025</v>
      </c>
    </row>
    <row customHeight="1" ht="11.25">
      <c r="A297" s="8299" t="s">
        <v>2419</v>
      </c>
      <c r="B297" s="8299" t="s">
        <v>16</v>
      </c>
      <c r="C297" s="8299" t="s">
        <v>2492</v>
      </c>
      <c r="D297" s="8299" t="s">
        <v>2493</v>
      </c>
      <c r="E297" s="8299" t="s">
        <v>2494</v>
      </c>
      <c r="F297" s="8299" t="s">
        <v>2440</v>
      </c>
      <c r="G297" s="8299" t="s">
        <v>2495</v>
      </c>
      <c r="H297" s="8299" t="s">
        <v>22</v>
      </c>
      <c r="I297" s="8299" t="s">
        <v>1025</v>
      </c>
    </row>
    <row customHeight="1" ht="11.25">
      <c r="A298" s="8299" t="s">
        <v>2419</v>
      </c>
      <c r="B298" s="8299" t="s">
        <v>16</v>
      </c>
      <c r="C298" s="8299" t="s">
        <v>3374</v>
      </c>
      <c r="D298" s="8299" t="s">
        <v>3375</v>
      </c>
      <c r="E298" s="8299" t="s">
        <v>3376</v>
      </c>
      <c r="F298" s="8299" t="s">
        <v>2712</v>
      </c>
      <c r="G298" s="8299" t="s">
        <v>3377</v>
      </c>
      <c r="H298" s="8299" t="s">
        <v>22</v>
      </c>
      <c r="I298" s="8299" t="s">
        <v>1025</v>
      </c>
    </row>
    <row customHeight="1" ht="11.25">
      <c r="A299" s="8299" t="s">
        <v>2419</v>
      </c>
      <c r="B299" s="8299" t="s">
        <v>16</v>
      </c>
      <c r="C299" s="8299" t="s">
        <v>2496</v>
      </c>
      <c r="D299" s="8299" t="s">
        <v>2497</v>
      </c>
      <c r="E299" s="8299" t="s">
        <v>2498</v>
      </c>
      <c r="F299" s="8299" t="s">
        <v>2490</v>
      </c>
      <c r="G299" s="8299" t="s">
        <v>2499</v>
      </c>
      <c r="H299" s="8299" t="s">
        <v>22</v>
      </c>
      <c r="I299" s="8299" t="s">
        <v>1025</v>
      </c>
    </row>
    <row customHeight="1" ht="11.25">
      <c r="A300" s="8299" t="s">
        <v>2419</v>
      </c>
      <c r="B300" s="8299" t="s">
        <v>16</v>
      </c>
      <c r="C300" s="8299" t="s">
        <v>2525</v>
      </c>
      <c r="D300" s="8299" t="s">
        <v>2526</v>
      </c>
      <c r="E300" s="8299" t="s">
        <v>2527</v>
      </c>
      <c r="F300" s="8299" t="s">
        <v>2528</v>
      </c>
      <c r="G300" s="8299" t="s">
        <v>2529</v>
      </c>
      <c r="H300" s="8299" t="s">
        <v>22</v>
      </c>
      <c r="I300" s="8299" t="s">
        <v>1025</v>
      </c>
    </row>
    <row customHeight="1" ht="11.25">
      <c r="A301" s="8299" t="s">
        <v>2419</v>
      </c>
      <c r="B301" s="8299" t="s">
        <v>16</v>
      </c>
      <c r="C301" s="8299" t="s">
        <v>2542</v>
      </c>
      <c r="D301" s="8299" t="s">
        <v>2543</v>
      </c>
      <c r="E301" s="8299" t="s">
        <v>2544</v>
      </c>
      <c r="F301" s="8299" t="s">
        <v>2422</v>
      </c>
      <c r="G301" s="8299" t="s">
        <v>2545</v>
      </c>
      <c r="H301" s="8299" t="s">
        <v>22</v>
      </c>
      <c r="I301" s="8299" t="s">
        <v>1025</v>
      </c>
    </row>
    <row customHeight="1" ht="11.25">
      <c r="A302" s="8299" t="s">
        <v>2419</v>
      </c>
      <c r="B302" s="8299" t="s">
        <v>16</v>
      </c>
      <c r="C302" s="8299" t="s">
        <v>3378</v>
      </c>
      <c r="D302" s="8299" t="s">
        <v>3379</v>
      </c>
      <c r="E302" s="8299" t="s">
        <v>3380</v>
      </c>
      <c r="F302" s="8299" t="s">
        <v>599</v>
      </c>
      <c r="G302" s="8299" t="s">
        <v>3381</v>
      </c>
      <c r="H302" s="8299" t="s">
        <v>3382</v>
      </c>
      <c r="I302" s="8299" t="s">
        <v>1025</v>
      </c>
    </row>
    <row customHeight="1" ht="11.25">
      <c r="A303" s="8299" t="s">
        <v>2419</v>
      </c>
      <c r="B303" s="8299" t="s">
        <v>16</v>
      </c>
      <c r="C303" s="8299" t="s">
        <v>2577</v>
      </c>
      <c r="D303" s="8299" t="s">
        <v>2578</v>
      </c>
      <c r="E303" s="8299" t="s">
        <v>2579</v>
      </c>
      <c r="F303" s="8299" t="s">
        <v>2580</v>
      </c>
      <c r="G303" s="8299" t="s">
        <v>2581</v>
      </c>
      <c r="H303" s="8299" t="s">
        <v>22</v>
      </c>
      <c r="I303" s="8299" t="s">
        <v>1025</v>
      </c>
    </row>
    <row customHeight="1" ht="11.25">
      <c r="A304" s="8299" t="s">
        <v>2419</v>
      </c>
      <c r="B304" s="8299" t="s">
        <v>16</v>
      </c>
      <c r="C304" s="8299" t="s">
        <v>2582</v>
      </c>
      <c r="D304" s="8299" t="s">
        <v>2583</v>
      </c>
      <c r="E304" s="8299" t="s">
        <v>2444</v>
      </c>
      <c r="F304" s="8299" t="s">
        <v>2584</v>
      </c>
      <c r="G304" s="8299" t="s">
        <v>2445</v>
      </c>
      <c r="H304" s="8299" t="s">
        <v>22</v>
      </c>
      <c r="I304" s="8299" t="s">
        <v>1025</v>
      </c>
    </row>
    <row customHeight="1" ht="11.25">
      <c r="A305" s="8299" t="s">
        <v>2419</v>
      </c>
      <c r="B305" s="8299" t="s">
        <v>16</v>
      </c>
      <c r="C305" s="8299" t="s">
        <v>3383</v>
      </c>
      <c r="D305" s="8299" t="s">
        <v>3384</v>
      </c>
      <c r="E305" s="8299" t="s">
        <v>3385</v>
      </c>
      <c r="F305" s="8299" t="s">
        <v>2541</v>
      </c>
      <c r="G305" s="8299" t="s">
        <v>3239</v>
      </c>
      <c r="H305" s="8299" t="s">
        <v>22</v>
      </c>
      <c r="I305" s="8299" t="s">
        <v>1025</v>
      </c>
    </row>
    <row customHeight="1" ht="11.25">
      <c r="A306" s="8299" t="s">
        <v>2419</v>
      </c>
      <c r="B306" s="8299" t="s">
        <v>16</v>
      </c>
      <c r="C306" s="8299" t="s">
        <v>2585</v>
      </c>
      <c r="D306" s="8299" t="s">
        <v>2586</v>
      </c>
      <c r="E306" s="8299" t="s">
        <v>2444</v>
      </c>
      <c r="F306" s="8299" t="s">
        <v>2587</v>
      </c>
      <c r="G306" s="8299" t="s">
        <v>2445</v>
      </c>
      <c r="H306" s="8299" t="s">
        <v>22</v>
      </c>
      <c r="I306" s="8299" t="s">
        <v>1025</v>
      </c>
    </row>
    <row customHeight="1" ht="11.25">
      <c r="A307" s="8299" t="s">
        <v>2419</v>
      </c>
      <c r="B307" s="8299" t="s">
        <v>16</v>
      </c>
      <c r="C307" s="8299" t="s">
        <v>3386</v>
      </c>
      <c r="D307" s="8299" t="s">
        <v>3387</v>
      </c>
      <c r="E307" s="8299" t="s">
        <v>3388</v>
      </c>
      <c r="F307" s="8299" t="s">
        <v>2471</v>
      </c>
      <c r="G307" s="8299" t="s">
        <v>2645</v>
      </c>
      <c r="H307" s="8299" t="s">
        <v>22</v>
      </c>
      <c r="I307" s="8299" t="s">
        <v>1025</v>
      </c>
    </row>
    <row customHeight="1" ht="11.25">
      <c r="A308" s="8299" t="s">
        <v>2419</v>
      </c>
      <c r="B308" s="8299" t="s">
        <v>16</v>
      </c>
      <c r="C308" s="8299" t="s">
        <v>2646</v>
      </c>
      <c r="D308" s="8299" t="s">
        <v>2647</v>
      </c>
      <c r="E308" s="8299" t="s">
        <v>2648</v>
      </c>
      <c r="F308" s="8299" t="s">
        <v>2541</v>
      </c>
      <c r="G308" s="8299" t="s">
        <v>2649</v>
      </c>
      <c r="H308" s="8299" t="s">
        <v>22</v>
      </c>
      <c r="I308" s="8299" t="s">
        <v>1025</v>
      </c>
    </row>
    <row customHeight="1" ht="11.25">
      <c r="A309" s="8299" t="s">
        <v>2419</v>
      </c>
      <c r="B309" s="8299" t="s">
        <v>16</v>
      </c>
      <c r="C309" s="8299" t="s">
        <v>2657</v>
      </c>
      <c r="D309" s="8299" t="s">
        <v>2658</v>
      </c>
      <c r="E309" s="8299" t="s">
        <v>2659</v>
      </c>
      <c r="F309" s="8299" t="s">
        <v>2660</v>
      </c>
      <c r="G309" s="8299" t="s">
        <v>2661</v>
      </c>
      <c r="H309" s="8299" t="s">
        <v>22</v>
      </c>
      <c r="I309" s="8299" t="s">
        <v>1025</v>
      </c>
    </row>
    <row customHeight="1" ht="11.25">
      <c r="A310" s="8299" t="s">
        <v>2419</v>
      </c>
      <c r="B310" s="8299" t="s">
        <v>16</v>
      </c>
      <c r="C310" s="8299" t="s">
        <v>3389</v>
      </c>
      <c r="D310" s="8299" t="s">
        <v>3390</v>
      </c>
      <c r="E310" s="8299" t="s">
        <v>3391</v>
      </c>
      <c r="F310" s="8299" t="s">
        <v>2422</v>
      </c>
      <c r="G310" s="8299" t="s">
        <v>3392</v>
      </c>
      <c r="H310" s="8299" t="s">
        <v>22</v>
      </c>
      <c r="I310" s="8299" t="s">
        <v>1025</v>
      </c>
    </row>
    <row customHeight="1" ht="11.25">
      <c r="A311" s="8299" t="s">
        <v>2419</v>
      </c>
      <c r="B311" s="8299" t="s">
        <v>16</v>
      </c>
      <c r="C311" s="8299" t="s">
        <v>2662</v>
      </c>
      <c r="D311" s="8299" t="s">
        <v>2663</v>
      </c>
      <c r="E311" s="8299" t="s">
        <v>2664</v>
      </c>
      <c r="F311" s="8299" t="s">
        <v>2621</v>
      </c>
      <c r="G311" s="8299" t="s">
        <v>2665</v>
      </c>
      <c r="H311" s="8299" t="s">
        <v>22</v>
      </c>
      <c r="I311" s="8299" t="s">
        <v>1025</v>
      </c>
    </row>
    <row customHeight="1" ht="11.25">
      <c r="A312" s="8299" t="s">
        <v>2419</v>
      </c>
      <c r="B312" s="8299" t="s">
        <v>16</v>
      </c>
      <c r="C312" s="8299" t="s">
        <v>2670</v>
      </c>
      <c r="D312" s="8299" t="s">
        <v>2671</v>
      </c>
      <c r="E312" s="8299" t="s">
        <v>2672</v>
      </c>
      <c r="F312" s="8299" t="s">
        <v>2673</v>
      </c>
      <c r="G312" s="8299" t="s">
        <v>2545</v>
      </c>
      <c r="H312" s="8299" t="s">
        <v>22</v>
      </c>
      <c r="I312" s="8299" t="s">
        <v>1025</v>
      </c>
    </row>
    <row customHeight="1" ht="11.25">
      <c r="A313" s="8299" t="s">
        <v>2419</v>
      </c>
      <c r="B313" s="8299" t="s">
        <v>16</v>
      </c>
      <c r="C313" s="8299" t="s">
        <v>2674</v>
      </c>
      <c r="D313" s="8299" t="s">
        <v>2675</v>
      </c>
      <c r="E313" s="8299" t="s">
        <v>2676</v>
      </c>
      <c r="F313" s="8299" t="s">
        <v>2621</v>
      </c>
      <c r="G313" s="8299" t="s">
        <v>2677</v>
      </c>
      <c r="H313" s="8299" t="s">
        <v>22</v>
      </c>
      <c r="I313" s="8299" t="s">
        <v>1025</v>
      </c>
    </row>
    <row customHeight="1" ht="11.25">
      <c r="A314" s="8299" t="s">
        <v>2419</v>
      </c>
      <c r="B314" s="8299" t="s">
        <v>16</v>
      </c>
      <c r="C314" s="8299" t="s">
        <v>2681</v>
      </c>
      <c r="D314" s="8299" t="s">
        <v>2682</v>
      </c>
      <c r="E314" s="8299" t="s">
        <v>2683</v>
      </c>
      <c r="F314" s="8299" t="s">
        <v>2621</v>
      </c>
      <c r="G314" s="8299" t="s">
        <v>2684</v>
      </c>
      <c r="H314" s="8299" t="s">
        <v>22</v>
      </c>
      <c r="I314" s="8299" t="s">
        <v>1025</v>
      </c>
    </row>
    <row customHeight="1" ht="11.25">
      <c r="A315" s="8299" t="s">
        <v>2419</v>
      </c>
      <c r="B315" s="8299" t="s">
        <v>16</v>
      </c>
      <c r="C315" s="8299" t="s">
        <v>2685</v>
      </c>
      <c r="D315" s="8299" t="s">
        <v>2686</v>
      </c>
      <c r="E315" s="8299" t="s">
        <v>2687</v>
      </c>
      <c r="F315" s="8299" t="s">
        <v>2520</v>
      </c>
      <c r="G315" s="8299" t="s">
        <v>2688</v>
      </c>
      <c r="H315" s="8299" t="s">
        <v>22</v>
      </c>
      <c r="I315" s="8299" t="s">
        <v>1025</v>
      </c>
    </row>
    <row customHeight="1" ht="11.25">
      <c r="A316" s="8299" t="s">
        <v>2419</v>
      </c>
      <c r="B316" s="8299" t="s">
        <v>16</v>
      </c>
      <c r="C316" s="8299" t="s">
        <v>3393</v>
      </c>
      <c r="D316" s="8299" t="s">
        <v>3394</v>
      </c>
      <c r="E316" s="8299" t="s">
        <v>3395</v>
      </c>
      <c r="F316" s="8299" t="s">
        <v>2481</v>
      </c>
      <c r="G316" s="8299" t="s">
        <v>3396</v>
      </c>
      <c r="H316" s="8299" t="s">
        <v>22</v>
      </c>
      <c r="I316" s="8299" t="s">
        <v>1025</v>
      </c>
    </row>
    <row customHeight="1" ht="11.25">
      <c r="A317" s="8299" t="s">
        <v>2419</v>
      </c>
      <c r="B317" s="8299" t="s">
        <v>16</v>
      </c>
      <c r="C317" s="8299" t="s">
        <v>2689</v>
      </c>
      <c r="D317" s="8299" t="s">
        <v>2690</v>
      </c>
      <c r="E317" s="8299" t="s">
        <v>2691</v>
      </c>
      <c r="F317" s="8299" t="s">
        <v>2625</v>
      </c>
      <c r="G317" s="8299" t="s">
        <v>2692</v>
      </c>
      <c r="H317" s="8299" t="s">
        <v>22</v>
      </c>
      <c r="I317" s="8299" t="s">
        <v>1025</v>
      </c>
    </row>
    <row customHeight="1" ht="11.25">
      <c r="A318" s="8299" t="s">
        <v>2419</v>
      </c>
      <c r="B318" s="8299" t="s">
        <v>16</v>
      </c>
      <c r="C318" s="8299" t="s">
        <v>3397</v>
      </c>
      <c r="D318" s="8299" t="s">
        <v>3398</v>
      </c>
      <c r="E318" s="8299" t="s">
        <v>3399</v>
      </c>
      <c r="F318" s="8299" t="s">
        <v>2481</v>
      </c>
      <c r="G318" s="8299" t="s">
        <v>3400</v>
      </c>
      <c r="H318" s="8299" t="s">
        <v>22</v>
      </c>
      <c r="I318" s="8299" t="s">
        <v>1025</v>
      </c>
    </row>
    <row customHeight="1" ht="11.25">
      <c r="A319" s="8299" t="s">
        <v>2419</v>
      </c>
      <c r="B319" s="8299" t="s">
        <v>16</v>
      </c>
      <c r="C319" s="8299" t="s">
        <v>2693</v>
      </c>
      <c r="D319" s="8299" t="s">
        <v>2694</v>
      </c>
      <c r="E319" s="8299" t="s">
        <v>2695</v>
      </c>
      <c r="F319" s="8299" t="s">
        <v>2696</v>
      </c>
      <c r="G319" s="8299" t="s">
        <v>2617</v>
      </c>
      <c r="H319" s="8299" t="s">
        <v>22</v>
      </c>
      <c r="I319" s="8299" t="s">
        <v>1025</v>
      </c>
    </row>
    <row customHeight="1" ht="11.25">
      <c r="A320" s="8299" t="s">
        <v>2419</v>
      </c>
      <c r="B320" s="8299" t="s">
        <v>16</v>
      </c>
      <c r="C320" s="8299" t="s">
        <v>3401</v>
      </c>
      <c r="D320" s="8299" t="s">
        <v>3402</v>
      </c>
      <c r="E320" s="8299" t="s">
        <v>3403</v>
      </c>
      <c r="F320" s="8299" t="s">
        <v>3193</v>
      </c>
      <c r="G320" s="8299" t="s">
        <v>3404</v>
      </c>
      <c r="H320" s="8299" t="s">
        <v>22</v>
      </c>
      <c r="I320" s="8299" t="s">
        <v>1025</v>
      </c>
    </row>
    <row customHeight="1" ht="11.25">
      <c r="A321" s="8299" t="s">
        <v>2419</v>
      </c>
      <c r="B321" s="8299" t="s">
        <v>16</v>
      </c>
      <c r="C321" s="8299" t="s">
        <v>3405</v>
      </c>
      <c r="D321" s="8299" t="s">
        <v>3406</v>
      </c>
      <c r="E321" s="8299" t="s">
        <v>3407</v>
      </c>
      <c r="F321" s="8299" t="s">
        <v>2595</v>
      </c>
      <c r="G321" s="8299" t="s">
        <v>3408</v>
      </c>
      <c r="H321" s="8299" t="s">
        <v>22</v>
      </c>
      <c r="I321" s="8299" t="s">
        <v>1025</v>
      </c>
    </row>
    <row customHeight="1" ht="11.25">
      <c r="A322" s="8299" t="s">
        <v>2419</v>
      </c>
      <c r="B322" s="8299" t="s">
        <v>16</v>
      </c>
      <c r="C322" s="8299" t="s">
        <v>2697</v>
      </c>
      <c r="D322" s="8299" t="s">
        <v>2698</v>
      </c>
      <c r="E322" s="8299" t="s">
        <v>2699</v>
      </c>
      <c r="F322" s="8299" t="s">
        <v>2621</v>
      </c>
      <c r="G322" s="8299" t="s">
        <v>2700</v>
      </c>
      <c r="H322" s="8299" t="s">
        <v>22</v>
      </c>
      <c r="I322" s="8299" t="s">
        <v>1025</v>
      </c>
    </row>
    <row customHeight="1" ht="11.25">
      <c r="A323" s="8299" t="s">
        <v>2419</v>
      </c>
      <c r="B323" s="8299" t="s">
        <v>16</v>
      </c>
      <c r="C323" s="8299" t="s">
        <v>2705</v>
      </c>
      <c r="D323" s="8299" t="s">
        <v>2706</v>
      </c>
      <c r="E323" s="8299" t="s">
        <v>2707</v>
      </c>
      <c r="F323" s="8299" t="s">
        <v>2520</v>
      </c>
      <c r="G323" s="8299" t="s">
        <v>2708</v>
      </c>
      <c r="H323" s="8299" t="s">
        <v>22</v>
      </c>
      <c r="I323" s="8299" t="s">
        <v>1025</v>
      </c>
    </row>
    <row customHeight="1" ht="11.25">
      <c r="A324" s="8299" t="s">
        <v>2419</v>
      </c>
      <c r="B324" s="8299" t="s">
        <v>16</v>
      </c>
      <c r="C324" s="8299" t="s">
        <v>3409</v>
      </c>
      <c r="D324" s="8299" t="s">
        <v>3410</v>
      </c>
      <c r="E324" s="8299" t="s">
        <v>3411</v>
      </c>
      <c r="F324" s="8299" t="s">
        <v>2712</v>
      </c>
      <c r="G324" s="8299" t="s">
        <v>3412</v>
      </c>
      <c r="H324" s="8299" t="s">
        <v>22</v>
      </c>
      <c r="I324" s="8299" t="s">
        <v>1025</v>
      </c>
    </row>
    <row customHeight="1" ht="11.25">
      <c r="A325" s="8299" t="s">
        <v>2419</v>
      </c>
      <c r="B325" s="8299" t="s">
        <v>16</v>
      </c>
      <c r="C325" s="8299" t="s">
        <v>2709</v>
      </c>
      <c r="D325" s="8299" t="s">
        <v>2710</v>
      </c>
      <c r="E325" s="8299" t="s">
        <v>2711</v>
      </c>
      <c r="F325" s="8299" t="s">
        <v>2712</v>
      </c>
      <c r="G325" s="8299" t="s">
        <v>2713</v>
      </c>
      <c r="H325" s="8299" t="s">
        <v>22</v>
      </c>
      <c r="I325" s="8299" t="s">
        <v>1025</v>
      </c>
    </row>
    <row customHeight="1" ht="11.25">
      <c r="A326" s="8299" t="s">
        <v>2419</v>
      </c>
      <c r="B326" s="8299" t="s">
        <v>16</v>
      </c>
      <c r="C326" s="8299" t="s">
        <v>3413</v>
      </c>
      <c r="D326" s="8299" t="s">
        <v>3414</v>
      </c>
      <c r="E326" s="8299" t="s">
        <v>3415</v>
      </c>
      <c r="F326" s="8299" t="s">
        <v>3113</v>
      </c>
      <c r="G326" s="8299" t="s">
        <v>3416</v>
      </c>
      <c r="H326" s="8299" t="s">
        <v>22</v>
      </c>
      <c r="I326" s="8299" t="s">
        <v>1025</v>
      </c>
    </row>
    <row customHeight="1" ht="11.25">
      <c r="A327" s="8299" t="s">
        <v>2419</v>
      </c>
      <c r="B327" s="8299" t="s">
        <v>16</v>
      </c>
      <c r="C327" s="8299" t="s">
        <v>2714</v>
      </c>
      <c r="D327" s="8299" t="s">
        <v>2715</v>
      </c>
      <c r="E327" s="8299" t="s">
        <v>2716</v>
      </c>
      <c r="F327" s="8299" t="s">
        <v>2717</v>
      </c>
      <c r="G327" s="8299" t="s">
        <v>2718</v>
      </c>
      <c r="H327" s="8299" t="s">
        <v>22</v>
      </c>
      <c r="I327" s="8299" t="s">
        <v>1025</v>
      </c>
    </row>
    <row customHeight="1" ht="11.25">
      <c r="A328" s="8299" t="s">
        <v>2419</v>
      </c>
      <c r="B328" s="8299" t="s">
        <v>16</v>
      </c>
      <c r="C328" s="8299" t="s">
        <v>2719</v>
      </c>
      <c r="D328" s="8299" t="s">
        <v>2720</v>
      </c>
      <c r="E328" s="8299" t="s">
        <v>2721</v>
      </c>
      <c r="F328" s="8299" t="s">
        <v>2528</v>
      </c>
      <c r="G328" s="8299" t="s">
        <v>2722</v>
      </c>
      <c r="H328" s="8299" t="s">
        <v>22</v>
      </c>
      <c r="I328" s="8299" t="s">
        <v>1025</v>
      </c>
    </row>
    <row customHeight="1" ht="11.25">
      <c r="A329" s="8299" t="s">
        <v>2419</v>
      </c>
      <c r="B329" s="8299" t="s">
        <v>16</v>
      </c>
      <c r="C329" s="8299" t="s">
        <v>2723</v>
      </c>
      <c r="D329" s="8299" t="s">
        <v>2724</v>
      </c>
      <c r="E329" s="8299" t="s">
        <v>2725</v>
      </c>
      <c r="F329" s="8299" t="s">
        <v>2528</v>
      </c>
      <c r="G329" s="8299" t="s">
        <v>2722</v>
      </c>
      <c r="H329" s="8299" t="s">
        <v>22</v>
      </c>
      <c r="I329" s="8299" t="s">
        <v>1025</v>
      </c>
    </row>
    <row customHeight="1" ht="11.25">
      <c r="A330" s="8299" t="s">
        <v>2419</v>
      </c>
      <c r="B330" s="8299" t="s">
        <v>16</v>
      </c>
      <c r="C330" s="8299" t="s">
        <v>2726</v>
      </c>
      <c r="D330" s="8299" t="s">
        <v>2727</v>
      </c>
      <c r="E330" s="8299" t="s">
        <v>2728</v>
      </c>
      <c r="F330" s="8299" t="s">
        <v>2528</v>
      </c>
      <c r="G330" s="8299" t="s">
        <v>2729</v>
      </c>
      <c r="H330" s="8299" t="s">
        <v>22</v>
      </c>
      <c r="I330" s="8299" t="s">
        <v>1025</v>
      </c>
    </row>
    <row customHeight="1" ht="11.25">
      <c r="A331" s="8299" t="s">
        <v>2419</v>
      </c>
      <c r="B331" s="8299" t="s">
        <v>16</v>
      </c>
      <c r="C331" s="8299" t="s">
        <v>2730</v>
      </c>
      <c r="D331" s="8299" t="s">
        <v>2731</v>
      </c>
      <c r="E331" s="8299" t="s">
        <v>2732</v>
      </c>
      <c r="F331" s="8299" t="s">
        <v>2528</v>
      </c>
      <c r="G331" s="8299" t="s">
        <v>2733</v>
      </c>
      <c r="H331" s="8299" t="s">
        <v>22</v>
      </c>
      <c r="I331" s="8299" t="s">
        <v>1025</v>
      </c>
    </row>
    <row customHeight="1" ht="11.25">
      <c r="A332" s="8299" t="s">
        <v>2419</v>
      </c>
      <c r="B332" s="8299" t="s">
        <v>16</v>
      </c>
      <c r="C332" s="8299" t="s">
        <v>2734</v>
      </c>
      <c r="D332" s="8299" t="s">
        <v>2735</v>
      </c>
      <c r="E332" s="8299" t="s">
        <v>2736</v>
      </c>
      <c r="F332" s="8299" t="s">
        <v>2528</v>
      </c>
      <c r="G332" s="8299" t="s">
        <v>2729</v>
      </c>
      <c r="H332" s="8299" t="s">
        <v>22</v>
      </c>
      <c r="I332" s="8299" t="s">
        <v>1025</v>
      </c>
    </row>
    <row customHeight="1" ht="11.25">
      <c r="A333" s="8299" t="s">
        <v>2419</v>
      </c>
      <c r="B333" s="8299" t="s">
        <v>16</v>
      </c>
      <c r="C333" s="8299" t="s">
        <v>2742</v>
      </c>
      <c r="D333" s="8299" t="s">
        <v>2743</v>
      </c>
      <c r="E333" s="8299" t="s">
        <v>2444</v>
      </c>
      <c r="F333" s="8299" t="s">
        <v>2744</v>
      </c>
      <c r="G333" s="8299" t="s">
        <v>2445</v>
      </c>
      <c r="H333" s="8299" t="s">
        <v>22</v>
      </c>
      <c r="I333" s="8299" t="s">
        <v>1025</v>
      </c>
    </row>
    <row customHeight="1" ht="11.25">
      <c r="A334" s="8299" t="s">
        <v>2419</v>
      </c>
      <c r="B334" s="8299" t="s">
        <v>16</v>
      </c>
      <c r="C334" s="8299" t="s">
        <v>3417</v>
      </c>
      <c r="D334" s="8299" t="s">
        <v>3418</v>
      </c>
      <c r="E334" s="8299" t="s">
        <v>3419</v>
      </c>
      <c r="F334" s="8299" t="s">
        <v>2422</v>
      </c>
      <c r="G334" s="8299" t="s">
        <v>22</v>
      </c>
      <c r="H334" s="8299" t="s">
        <v>22</v>
      </c>
      <c r="I334" s="8299" t="s">
        <v>1025</v>
      </c>
    </row>
    <row customHeight="1" ht="11.25">
      <c r="A335" s="8299" t="s">
        <v>2419</v>
      </c>
      <c r="B335" s="8299" t="s">
        <v>16</v>
      </c>
      <c r="C335" s="8299" t="s">
        <v>3420</v>
      </c>
      <c r="D335" s="8299" t="s">
        <v>3421</v>
      </c>
      <c r="E335" s="8299" t="s">
        <v>3422</v>
      </c>
      <c r="F335" s="8299" t="s">
        <v>2422</v>
      </c>
      <c r="G335" s="8299" t="s">
        <v>3423</v>
      </c>
      <c r="H335" s="8299" t="s">
        <v>22</v>
      </c>
      <c r="I335" s="8299" t="s">
        <v>1025</v>
      </c>
    </row>
    <row customHeight="1" ht="11.25">
      <c r="A336" s="8299" t="s">
        <v>2419</v>
      </c>
      <c r="B336" s="8299" t="s">
        <v>16</v>
      </c>
      <c r="C336" s="8299" t="s">
        <v>3424</v>
      </c>
      <c r="D336" s="8299" t="s">
        <v>3425</v>
      </c>
      <c r="E336" s="8299" t="s">
        <v>3426</v>
      </c>
      <c r="F336" s="8299" t="s">
        <v>2471</v>
      </c>
      <c r="G336" s="8299" t="s">
        <v>3427</v>
      </c>
      <c r="H336" s="8299" t="s">
        <v>22</v>
      </c>
      <c r="I336" s="8299" t="s">
        <v>1025</v>
      </c>
    </row>
    <row customHeight="1" ht="11.25">
      <c r="A337" s="8299" t="s">
        <v>2419</v>
      </c>
      <c r="B337" s="8299" t="s">
        <v>16</v>
      </c>
      <c r="C337" s="8299" t="s">
        <v>3428</v>
      </c>
      <c r="D337" s="8299" t="s">
        <v>3429</v>
      </c>
      <c r="E337" s="8299" t="s">
        <v>3430</v>
      </c>
      <c r="F337" s="8299" t="s">
        <v>2471</v>
      </c>
      <c r="G337" s="8299" t="s">
        <v>3431</v>
      </c>
      <c r="H337" s="8299" t="s">
        <v>22</v>
      </c>
      <c r="I337" s="8299" t="s">
        <v>1025</v>
      </c>
    </row>
    <row customHeight="1" ht="11.25">
      <c r="A338" s="8299" t="s">
        <v>2419</v>
      </c>
      <c r="B338" s="8299" t="s">
        <v>16</v>
      </c>
      <c r="C338" s="8299" t="s">
        <v>2757</v>
      </c>
      <c r="D338" s="8299" t="s">
        <v>2758</v>
      </c>
      <c r="E338" s="8299" t="s">
        <v>2759</v>
      </c>
      <c r="F338" s="8299" t="s">
        <v>2621</v>
      </c>
      <c r="G338" s="8299" t="s">
        <v>2760</v>
      </c>
      <c r="H338" s="8299" t="s">
        <v>22</v>
      </c>
      <c r="I338" s="8299" t="s">
        <v>1025</v>
      </c>
    </row>
    <row customHeight="1" ht="11.25">
      <c r="A339" s="8299" t="s">
        <v>2419</v>
      </c>
      <c r="B339" s="8299" t="s">
        <v>16</v>
      </c>
      <c r="C339" s="8299" t="s">
        <v>2761</v>
      </c>
      <c r="D339" s="8299" t="s">
        <v>2762</v>
      </c>
      <c r="E339" s="8299" t="s">
        <v>2763</v>
      </c>
      <c r="F339" s="8299" t="s">
        <v>2422</v>
      </c>
      <c r="G339" s="8299" t="s">
        <v>2764</v>
      </c>
      <c r="H339" s="8299" t="s">
        <v>22</v>
      </c>
      <c r="I339" s="8299" t="s">
        <v>1025</v>
      </c>
    </row>
    <row customHeight="1" ht="11.25">
      <c r="A340" s="8299" t="s">
        <v>2419</v>
      </c>
      <c r="B340" s="8299" t="s">
        <v>16</v>
      </c>
      <c r="C340" s="8299" t="s">
        <v>3432</v>
      </c>
      <c r="D340" s="8299" t="s">
        <v>3433</v>
      </c>
      <c r="E340" s="8299" t="s">
        <v>3434</v>
      </c>
      <c r="F340" s="8299" t="s">
        <v>2776</v>
      </c>
      <c r="G340" s="8299" t="s">
        <v>3435</v>
      </c>
      <c r="H340" s="8299" t="s">
        <v>22</v>
      </c>
      <c r="I340" s="8299" t="s">
        <v>1025</v>
      </c>
    </row>
    <row customHeight="1" ht="11.25">
      <c r="A341" s="8299" t="s">
        <v>2419</v>
      </c>
      <c r="B341" s="8299" t="s">
        <v>16</v>
      </c>
      <c r="C341" s="8299" t="s">
        <v>2769</v>
      </c>
      <c r="D341" s="8299" t="s">
        <v>2770</v>
      </c>
      <c r="E341" s="8299" t="s">
        <v>2771</v>
      </c>
      <c r="F341" s="8299" t="s">
        <v>2660</v>
      </c>
      <c r="G341" s="8299" t="s">
        <v>2772</v>
      </c>
      <c r="H341" s="8299" t="s">
        <v>22</v>
      </c>
      <c r="I341" s="8299" t="s">
        <v>1025</v>
      </c>
    </row>
    <row customHeight="1" ht="11.25">
      <c r="A342" s="8299" t="s">
        <v>2419</v>
      </c>
      <c r="B342" s="8299" t="s">
        <v>16</v>
      </c>
      <c r="C342" s="8299" t="s">
        <v>3436</v>
      </c>
      <c r="D342" s="8299" t="s">
        <v>2795</v>
      </c>
      <c r="E342" s="8299" t="s">
        <v>3437</v>
      </c>
      <c r="F342" s="8299" t="s">
        <v>2490</v>
      </c>
      <c r="G342" s="8299" t="s">
        <v>3438</v>
      </c>
      <c r="H342" s="8299" t="s">
        <v>22</v>
      </c>
      <c r="I342" s="8299" t="s">
        <v>1025</v>
      </c>
    </row>
    <row customHeight="1" ht="11.25">
      <c r="A343" s="8299" t="s">
        <v>2419</v>
      </c>
      <c r="B343" s="8299" t="s">
        <v>16</v>
      </c>
      <c r="C343" s="8299" t="s">
        <v>3439</v>
      </c>
      <c r="D343" s="8299" t="s">
        <v>3440</v>
      </c>
      <c r="E343" s="8299" t="s">
        <v>3441</v>
      </c>
      <c r="F343" s="8299" t="s">
        <v>2776</v>
      </c>
      <c r="G343" s="8299" t="s">
        <v>3442</v>
      </c>
      <c r="H343" s="8299" t="s">
        <v>22</v>
      </c>
      <c r="I343" s="8299" t="s">
        <v>1025</v>
      </c>
    </row>
    <row customHeight="1" ht="11.25">
      <c r="A344" s="8299" t="s">
        <v>2419</v>
      </c>
      <c r="B344" s="8299" t="s">
        <v>16</v>
      </c>
      <c r="C344" s="8299" t="s">
        <v>3443</v>
      </c>
      <c r="D344" s="8299" t="s">
        <v>3444</v>
      </c>
      <c r="E344" s="8299" t="s">
        <v>3445</v>
      </c>
      <c r="F344" s="8299" t="s">
        <v>2422</v>
      </c>
      <c r="G344" s="8299" t="s">
        <v>3446</v>
      </c>
      <c r="H344" s="8299" t="s">
        <v>22</v>
      </c>
      <c r="I344" s="8299" t="s">
        <v>1025</v>
      </c>
    </row>
    <row customHeight="1" ht="11.25">
      <c r="A345" s="8299" t="s">
        <v>2419</v>
      </c>
      <c r="B345" s="8299" t="s">
        <v>16</v>
      </c>
      <c r="C345" s="8299" t="s">
        <v>3447</v>
      </c>
      <c r="D345" s="8299" t="s">
        <v>3448</v>
      </c>
      <c r="E345" s="8299" t="s">
        <v>3449</v>
      </c>
      <c r="F345" s="8299" t="s">
        <v>2422</v>
      </c>
      <c r="G345" s="8299" t="s">
        <v>3450</v>
      </c>
      <c r="H345" s="8299" t="s">
        <v>22</v>
      </c>
      <c r="I345" s="8299" t="s">
        <v>1025</v>
      </c>
    </row>
    <row customHeight="1" ht="11.25">
      <c r="A346" s="8299" t="s">
        <v>2419</v>
      </c>
      <c r="B346" s="8299" t="s">
        <v>16</v>
      </c>
      <c r="C346" s="8299" t="s">
        <v>3451</v>
      </c>
      <c r="D346" s="8299" t="s">
        <v>3452</v>
      </c>
      <c r="E346" s="8299" t="s">
        <v>3453</v>
      </c>
      <c r="F346" s="8299" t="s">
        <v>2520</v>
      </c>
      <c r="G346" s="8299" t="s">
        <v>3454</v>
      </c>
      <c r="H346" s="8299" t="s">
        <v>22</v>
      </c>
      <c r="I346" s="8299" t="s">
        <v>1025</v>
      </c>
    </row>
    <row customHeight="1" ht="11.25">
      <c r="A347" s="8299" t="s">
        <v>2419</v>
      </c>
      <c r="B347" s="8299" t="s">
        <v>16</v>
      </c>
      <c r="C347" s="8299" t="s">
        <v>3455</v>
      </c>
      <c r="D347" s="8299" t="s">
        <v>3456</v>
      </c>
      <c r="E347" s="8299" t="s">
        <v>3457</v>
      </c>
      <c r="F347" s="8299" t="s">
        <v>2905</v>
      </c>
      <c r="G347" s="8299" t="s">
        <v>3458</v>
      </c>
      <c r="H347" s="8299" t="s">
        <v>22</v>
      </c>
      <c r="I347" s="8299" t="s">
        <v>1025</v>
      </c>
    </row>
    <row customHeight="1" ht="11.25">
      <c r="A348" s="8299" t="s">
        <v>2419</v>
      </c>
      <c r="B348" s="8299" t="s">
        <v>16</v>
      </c>
      <c r="C348" s="8299" t="s">
        <v>3459</v>
      </c>
      <c r="D348" s="8299" t="s">
        <v>3460</v>
      </c>
      <c r="E348" s="8299" t="s">
        <v>3461</v>
      </c>
      <c r="F348" s="8299" t="s">
        <v>2520</v>
      </c>
      <c r="G348" s="8299" t="s">
        <v>3462</v>
      </c>
      <c r="H348" s="8299" t="s">
        <v>22</v>
      </c>
      <c r="I348" s="8299" t="s">
        <v>1025</v>
      </c>
    </row>
    <row customHeight="1" ht="11.25">
      <c r="A349" s="8299" t="s">
        <v>2419</v>
      </c>
      <c r="B349" s="8299" t="s">
        <v>16</v>
      </c>
      <c r="C349" s="8299" t="s">
        <v>3463</v>
      </c>
      <c r="D349" s="8299" t="s">
        <v>3460</v>
      </c>
      <c r="E349" s="8299" t="s">
        <v>3464</v>
      </c>
      <c r="F349" s="8299" t="s">
        <v>2520</v>
      </c>
      <c r="G349" s="8299" t="s">
        <v>3465</v>
      </c>
      <c r="H349" s="8299" t="s">
        <v>22</v>
      </c>
      <c r="I349" s="8299" t="s">
        <v>1025</v>
      </c>
    </row>
    <row customHeight="1" ht="11.25">
      <c r="A350" s="8299" t="s">
        <v>2419</v>
      </c>
      <c r="B350" s="8299" t="s">
        <v>16</v>
      </c>
      <c r="C350" s="8299" t="s">
        <v>3466</v>
      </c>
      <c r="D350" s="8299" t="s">
        <v>3467</v>
      </c>
      <c r="E350" s="8299" t="s">
        <v>3468</v>
      </c>
      <c r="F350" s="8299" t="s">
        <v>2776</v>
      </c>
      <c r="G350" s="8299" t="s">
        <v>3469</v>
      </c>
      <c r="H350" s="8299" t="s">
        <v>22</v>
      </c>
      <c r="I350" s="8299" t="s">
        <v>1025</v>
      </c>
    </row>
    <row customHeight="1" ht="11.25">
      <c r="A351" s="8299" t="s">
        <v>2419</v>
      </c>
      <c r="B351" s="8299" t="s">
        <v>16</v>
      </c>
      <c r="C351" s="8299" t="s">
        <v>2810</v>
      </c>
      <c r="D351" s="8299" t="s">
        <v>2811</v>
      </c>
      <c r="E351" s="8299" t="s">
        <v>2812</v>
      </c>
      <c r="F351" s="8299" t="s">
        <v>2520</v>
      </c>
      <c r="G351" s="8299" t="s">
        <v>22</v>
      </c>
      <c r="H351" s="8299" t="s">
        <v>22</v>
      </c>
      <c r="I351" s="8299" t="s">
        <v>1025</v>
      </c>
    </row>
    <row customHeight="1" ht="11.25">
      <c r="A352" s="8299" t="s">
        <v>2419</v>
      </c>
      <c r="B352" s="8299" t="s">
        <v>16</v>
      </c>
      <c r="C352" s="8299" t="s">
        <v>3470</v>
      </c>
      <c r="D352" s="8299" t="s">
        <v>3471</v>
      </c>
      <c r="E352" s="8299" t="s">
        <v>3472</v>
      </c>
      <c r="F352" s="8299" t="s">
        <v>2426</v>
      </c>
      <c r="G352" s="8299" t="s">
        <v>3473</v>
      </c>
      <c r="H352" s="8299" t="s">
        <v>22</v>
      </c>
      <c r="I352" s="8299" t="s">
        <v>1025</v>
      </c>
    </row>
    <row customHeight="1" ht="11.25">
      <c r="A353" s="8299" t="s">
        <v>2419</v>
      </c>
      <c r="B353" s="8299" t="s">
        <v>16</v>
      </c>
      <c r="C353" s="8299" t="s">
        <v>2813</v>
      </c>
      <c r="D353" s="8299" t="s">
        <v>2814</v>
      </c>
      <c r="E353" s="8299" t="s">
        <v>2815</v>
      </c>
      <c r="F353" s="8299" t="s">
        <v>2660</v>
      </c>
      <c r="G353" s="8299" t="s">
        <v>2816</v>
      </c>
      <c r="H353" s="8299" t="s">
        <v>22</v>
      </c>
      <c r="I353" s="8299" t="s">
        <v>1025</v>
      </c>
    </row>
    <row customHeight="1" ht="11.25">
      <c r="A354" s="8299" t="s">
        <v>2419</v>
      </c>
      <c r="B354" s="8299" t="s">
        <v>16</v>
      </c>
      <c r="C354" s="8299" t="s">
        <v>2817</v>
      </c>
      <c r="D354" s="8299" t="s">
        <v>2818</v>
      </c>
      <c r="E354" s="8299" t="s">
        <v>2819</v>
      </c>
      <c r="F354" s="8299" t="s">
        <v>2422</v>
      </c>
      <c r="G354" s="8299" t="s">
        <v>2820</v>
      </c>
      <c r="H354" s="8299" t="s">
        <v>22</v>
      </c>
      <c r="I354" s="8299" t="s">
        <v>1025</v>
      </c>
    </row>
    <row customHeight="1" ht="11.25">
      <c r="A355" s="8299" t="s">
        <v>2419</v>
      </c>
      <c r="B355" s="8299" t="s">
        <v>16</v>
      </c>
      <c r="C355" s="8299" t="s">
        <v>2821</v>
      </c>
      <c r="D355" s="8299" t="s">
        <v>2822</v>
      </c>
      <c r="E355" s="8299" t="s">
        <v>2823</v>
      </c>
      <c r="F355" s="8299" t="s">
        <v>2824</v>
      </c>
      <c r="G355" s="8299" t="s">
        <v>2825</v>
      </c>
      <c r="H355" s="8299" t="s">
        <v>22</v>
      </c>
      <c r="I355" s="8299" t="s">
        <v>1025</v>
      </c>
    </row>
    <row customHeight="1" ht="11.25">
      <c r="A356" s="8299" t="s">
        <v>2419</v>
      </c>
      <c r="B356" s="8299" t="s">
        <v>16</v>
      </c>
      <c r="C356" s="8299" t="s">
        <v>2826</v>
      </c>
      <c r="D356" s="8299" t="s">
        <v>2827</v>
      </c>
      <c r="E356" s="8299" t="s">
        <v>2823</v>
      </c>
      <c r="F356" s="8299" t="s">
        <v>2828</v>
      </c>
      <c r="G356" s="8299" t="s">
        <v>2825</v>
      </c>
      <c r="H356" s="8299" t="s">
        <v>22</v>
      </c>
      <c r="I356" s="8299" t="s">
        <v>1025</v>
      </c>
    </row>
    <row customHeight="1" ht="11.25">
      <c r="A357" s="8299" t="s">
        <v>2419</v>
      </c>
      <c r="B357" s="8299" t="s">
        <v>16</v>
      </c>
      <c r="C357" s="8299" t="s">
        <v>3474</v>
      </c>
      <c r="D357" s="8299" t="s">
        <v>3475</v>
      </c>
      <c r="E357" s="8299" t="s">
        <v>3476</v>
      </c>
      <c r="F357" s="8299" t="s">
        <v>2490</v>
      </c>
      <c r="G357" s="8299" t="s">
        <v>3477</v>
      </c>
      <c r="H357" s="8299" t="s">
        <v>22</v>
      </c>
      <c r="I357" s="8299" t="s">
        <v>1025</v>
      </c>
    </row>
    <row customHeight="1" ht="11.25">
      <c r="A358" s="8299" t="s">
        <v>2419</v>
      </c>
      <c r="B358" s="8299" t="s">
        <v>16</v>
      </c>
      <c r="C358" s="8299" t="s">
        <v>3478</v>
      </c>
      <c r="D358" s="8299" t="s">
        <v>3479</v>
      </c>
      <c r="E358" s="8299" t="s">
        <v>3480</v>
      </c>
      <c r="F358" s="8299" t="s">
        <v>2625</v>
      </c>
      <c r="G358" s="8299" t="s">
        <v>3481</v>
      </c>
      <c r="H358" s="8299" t="s">
        <v>22</v>
      </c>
      <c r="I358" s="8299" t="s">
        <v>1025</v>
      </c>
    </row>
    <row customHeight="1" ht="11.25">
      <c r="A359" s="8299" t="s">
        <v>2419</v>
      </c>
      <c r="B359" s="8299" t="s">
        <v>16</v>
      </c>
      <c r="C359" s="8299" t="s">
        <v>3362</v>
      </c>
      <c r="D359" s="8299" t="s">
        <v>3363</v>
      </c>
      <c r="E359" s="8299" t="s">
        <v>3364</v>
      </c>
      <c r="F359" s="8299" t="s">
        <v>2422</v>
      </c>
      <c r="G359" s="8299" t="s">
        <v>3365</v>
      </c>
      <c r="H359" s="8299" t="s">
        <v>22</v>
      </c>
      <c r="I359" s="8299" t="s">
        <v>1025</v>
      </c>
    </row>
    <row customHeight="1" ht="11.25">
      <c r="A360" s="8299" t="s">
        <v>2419</v>
      </c>
      <c r="B360" s="8299" t="s">
        <v>16</v>
      </c>
      <c r="C360" s="8299" t="s">
        <v>2829</v>
      </c>
      <c r="D360" s="8299" t="s">
        <v>2830</v>
      </c>
      <c r="E360" s="8299" t="s">
        <v>2831</v>
      </c>
      <c r="F360" s="8299" t="s">
        <v>2422</v>
      </c>
      <c r="G360" s="8299" t="s">
        <v>2832</v>
      </c>
      <c r="H360" s="8299" t="s">
        <v>22</v>
      </c>
      <c r="I360" s="8299" t="s">
        <v>1025</v>
      </c>
    </row>
    <row customHeight="1" ht="11.25">
      <c r="A361" s="8299" t="s">
        <v>2419</v>
      </c>
      <c r="B361" s="8299" t="s">
        <v>16</v>
      </c>
      <c r="C361" s="8299" t="s">
        <v>3482</v>
      </c>
      <c r="D361" s="8299" t="s">
        <v>3483</v>
      </c>
      <c r="E361" s="8299" t="s">
        <v>3484</v>
      </c>
      <c r="F361" s="8299" t="s">
        <v>2600</v>
      </c>
      <c r="G361" s="8299" t="s">
        <v>3485</v>
      </c>
      <c r="H361" s="8299" t="s">
        <v>22</v>
      </c>
      <c r="I361" s="8299" t="s">
        <v>1025</v>
      </c>
    </row>
    <row customHeight="1" ht="11.25">
      <c r="A362" s="8299" t="s">
        <v>2419</v>
      </c>
      <c r="B362" s="8299" t="s">
        <v>16</v>
      </c>
      <c r="C362" s="8299" t="s">
        <v>2833</v>
      </c>
      <c r="D362" s="8299" t="s">
        <v>2834</v>
      </c>
      <c r="E362" s="8299" t="s">
        <v>2835</v>
      </c>
      <c r="F362" s="8299" t="s">
        <v>2426</v>
      </c>
      <c r="G362" s="8299" t="s">
        <v>2836</v>
      </c>
      <c r="H362" s="8299" t="s">
        <v>22</v>
      </c>
      <c r="I362" s="8299" t="s">
        <v>1025</v>
      </c>
    </row>
    <row customHeight="1" ht="11.25">
      <c r="A363" s="8299" t="s">
        <v>2419</v>
      </c>
      <c r="B363" s="8299" t="s">
        <v>16</v>
      </c>
      <c r="C363" s="8299" t="s">
        <v>2837</v>
      </c>
      <c r="D363" s="8299" t="s">
        <v>2838</v>
      </c>
      <c r="E363" s="8299" t="s">
        <v>2839</v>
      </c>
      <c r="F363" s="8299" t="s">
        <v>2712</v>
      </c>
      <c r="G363" s="8299" t="s">
        <v>2840</v>
      </c>
      <c r="H363" s="8299" t="s">
        <v>22</v>
      </c>
      <c r="I363" s="8299" t="s">
        <v>1025</v>
      </c>
    </row>
    <row customHeight="1" ht="11.25">
      <c r="A364" s="8299" t="s">
        <v>2419</v>
      </c>
      <c r="B364" s="8299" t="s">
        <v>16</v>
      </c>
      <c r="C364" s="8299" t="s">
        <v>2845</v>
      </c>
      <c r="D364" s="8299" t="s">
        <v>2846</v>
      </c>
      <c r="E364" s="8299" t="s">
        <v>2847</v>
      </c>
      <c r="F364" s="8299" t="s">
        <v>2660</v>
      </c>
      <c r="G364" s="8299" t="s">
        <v>2848</v>
      </c>
      <c r="H364" s="8299" t="s">
        <v>22</v>
      </c>
      <c r="I364" s="8299" t="s">
        <v>1025</v>
      </c>
    </row>
    <row customHeight="1" ht="11.25">
      <c r="A365" s="8299" t="s">
        <v>2419</v>
      </c>
      <c r="B365" s="8299" t="s">
        <v>16</v>
      </c>
      <c r="C365" s="8299" t="s">
        <v>3486</v>
      </c>
      <c r="D365" s="8299" t="s">
        <v>3487</v>
      </c>
      <c r="E365" s="8299" t="s">
        <v>3488</v>
      </c>
      <c r="F365" s="8299" t="s">
        <v>2625</v>
      </c>
      <c r="G365" s="8299" t="s">
        <v>3489</v>
      </c>
      <c r="H365" s="8299" t="s">
        <v>22</v>
      </c>
      <c r="I365" s="8299" t="s">
        <v>1025</v>
      </c>
    </row>
    <row customHeight="1" ht="11.25">
      <c r="A366" s="8299" t="s">
        <v>2419</v>
      </c>
      <c r="B366" s="8299" t="s">
        <v>16</v>
      </c>
      <c r="C366" s="8299" t="s">
        <v>3490</v>
      </c>
      <c r="D366" s="8299" t="s">
        <v>3491</v>
      </c>
      <c r="E366" s="8299" t="s">
        <v>3492</v>
      </c>
      <c r="F366" s="8299" t="s">
        <v>2426</v>
      </c>
      <c r="G366" s="8299" t="s">
        <v>3493</v>
      </c>
      <c r="H366" s="8299" t="s">
        <v>22</v>
      </c>
      <c r="I366" s="8299" t="s">
        <v>1025</v>
      </c>
    </row>
    <row customHeight="1" ht="11.25">
      <c r="A367" s="8299" t="s">
        <v>2419</v>
      </c>
      <c r="B367" s="8299" t="s">
        <v>16</v>
      </c>
      <c r="C367" s="8299" t="s">
        <v>3494</v>
      </c>
      <c r="D367" s="8299" t="s">
        <v>3495</v>
      </c>
      <c r="E367" s="8299" t="s">
        <v>3496</v>
      </c>
      <c r="F367" s="8299" t="s">
        <v>2625</v>
      </c>
      <c r="G367" s="8299" t="s">
        <v>3497</v>
      </c>
      <c r="H367" s="8299" t="s">
        <v>22</v>
      </c>
      <c r="I367" s="8299" t="s">
        <v>1025</v>
      </c>
    </row>
    <row customHeight="1" ht="11.25">
      <c r="A368" s="8299" t="s">
        <v>2419</v>
      </c>
      <c r="B368" s="8299" t="s">
        <v>16</v>
      </c>
      <c r="C368" s="8299" t="s">
        <v>2870</v>
      </c>
      <c r="D368" s="8299" t="s">
        <v>2871</v>
      </c>
      <c r="E368" s="8299" t="s">
        <v>2872</v>
      </c>
      <c r="F368" s="8299" t="s">
        <v>2621</v>
      </c>
      <c r="G368" s="8299" t="s">
        <v>2873</v>
      </c>
      <c r="H368" s="8299" t="s">
        <v>22</v>
      </c>
      <c r="I368" s="8299" t="s">
        <v>1025</v>
      </c>
    </row>
    <row customHeight="1" ht="11.25">
      <c r="A369" s="8299" t="s">
        <v>2419</v>
      </c>
      <c r="B369" s="8299" t="s">
        <v>16</v>
      </c>
      <c r="C369" s="8299" t="s">
        <v>3498</v>
      </c>
      <c r="D369" s="8299" t="s">
        <v>3499</v>
      </c>
      <c r="E369" s="8299" t="s">
        <v>3500</v>
      </c>
      <c r="F369" s="8299" t="s">
        <v>2621</v>
      </c>
      <c r="G369" s="8299" t="s">
        <v>3501</v>
      </c>
      <c r="H369" s="8299" t="s">
        <v>22</v>
      </c>
      <c r="I369" s="8299" t="s">
        <v>1025</v>
      </c>
    </row>
    <row customHeight="1" ht="11.25">
      <c r="A370" s="8299" t="s">
        <v>2419</v>
      </c>
      <c r="B370" s="8299" t="s">
        <v>16</v>
      </c>
      <c r="C370" s="8299" t="s">
        <v>3502</v>
      </c>
      <c r="D370" s="8299" t="s">
        <v>3503</v>
      </c>
      <c r="E370" s="8299" t="s">
        <v>3504</v>
      </c>
      <c r="F370" s="8299" t="s">
        <v>3505</v>
      </c>
      <c r="G370" s="8299" t="s">
        <v>2581</v>
      </c>
      <c r="H370" s="8299" t="s">
        <v>22</v>
      </c>
      <c r="I370" s="8299" t="s">
        <v>1025</v>
      </c>
    </row>
    <row customHeight="1" ht="11.25">
      <c r="A371" s="8299" t="s">
        <v>2419</v>
      </c>
      <c r="B371" s="8299" t="s">
        <v>16</v>
      </c>
      <c r="C371" s="8299" t="s">
        <v>3506</v>
      </c>
      <c r="D371" s="8299" t="s">
        <v>3507</v>
      </c>
      <c r="E371" s="8299" t="s">
        <v>3508</v>
      </c>
      <c r="F371" s="8299" t="s">
        <v>2528</v>
      </c>
      <c r="G371" s="8299" t="s">
        <v>3509</v>
      </c>
      <c r="H371" s="8299" t="s">
        <v>22</v>
      </c>
      <c r="I371" s="8299" t="s">
        <v>1025</v>
      </c>
    </row>
    <row customHeight="1" ht="11.25">
      <c r="A372" s="8299" t="s">
        <v>2419</v>
      </c>
      <c r="B372" s="8299" t="s">
        <v>16</v>
      </c>
      <c r="C372" s="8299" t="s">
        <v>2882</v>
      </c>
      <c r="D372" s="8299" t="s">
        <v>2883</v>
      </c>
      <c r="E372" s="8299" t="s">
        <v>2884</v>
      </c>
      <c r="F372" s="8299" t="s">
        <v>2422</v>
      </c>
      <c r="G372" s="8299" t="s">
        <v>2885</v>
      </c>
      <c r="H372" s="8299" t="s">
        <v>22</v>
      </c>
      <c r="I372" s="8299" t="s">
        <v>1025</v>
      </c>
    </row>
    <row customHeight="1" ht="11.25">
      <c r="A373" s="8299" t="s">
        <v>2419</v>
      </c>
      <c r="B373" s="8299" t="s">
        <v>16</v>
      </c>
      <c r="C373" s="8299" t="s">
        <v>3510</v>
      </c>
      <c r="D373" s="8299" t="s">
        <v>3511</v>
      </c>
      <c r="E373" s="8299" t="s">
        <v>3512</v>
      </c>
      <c r="F373" s="8299" t="s">
        <v>2471</v>
      </c>
      <c r="G373" s="8299" t="s">
        <v>3427</v>
      </c>
      <c r="H373" s="8299" t="s">
        <v>22</v>
      </c>
      <c r="I373" s="8299" t="s">
        <v>1025</v>
      </c>
    </row>
    <row customHeight="1" ht="11.25">
      <c r="A374" s="8299" t="s">
        <v>2419</v>
      </c>
      <c r="B374" s="8299" t="s">
        <v>16</v>
      </c>
      <c r="C374" s="8299" t="s">
        <v>2906</v>
      </c>
      <c r="D374" s="8299" t="s">
        <v>2907</v>
      </c>
      <c r="E374" s="8299" t="s">
        <v>2908</v>
      </c>
      <c r="F374" s="8299" t="s">
        <v>2852</v>
      </c>
      <c r="G374" s="8299" t="s">
        <v>2909</v>
      </c>
      <c r="H374" s="8299" t="s">
        <v>22</v>
      </c>
      <c r="I374" s="8299" t="s">
        <v>1025</v>
      </c>
    </row>
    <row customHeight="1" ht="11.25">
      <c r="A375" s="8299" t="s">
        <v>2419</v>
      </c>
      <c r="B375" s="8299" t="s">
        <v>16</v>
      </c>
      <c r="C375" s="8299" t="s">
        <v>3513</v>
      </c>
      <c r="D375" s="8299" t="s">
        <v>3514</v>
      </c>
      <c r="E375" s="8299" t="s">
        <v>3515</v>
      </c>
      <c r="F375" s="8299" t="s">
        <v>2426</v>
      </c>
      <c r="G375" s="8299" t="s">
        <v>3516</v>
      </c>
      <c r="H375" s="8299" t="s">
        <v>22</v>
      </c>
      <c r="I375" s="8299" t="s">
        <v>1025</v>
      </c>
    </row>
    <row customHeight="1" ht="11.25">
      <c r="A376" s="8299" t="s">
        <v>2419</v>
      </c>
      <c r="B376" s="8299" t="s">
        <v>16</v>
      </c>
      <c r="C376" s="8299" t="s">
        <v>2910</v>
      </c>
      <c r="D376" s="8299" t="s">
        <v>2911</v>
      </c>
      <c r="E376" s="8299" t="s">
        <v>2912</v>
      </c>
      <c r="F376" s="8299" t="s">
        <v>2600</v>
      </c>
      <c r="G376" s="8299" t="s">
        <v>2913</v>
      </c>
      <c r="H376" s="8299" t="s">
        <v>22</v>
      </c>
      <c r="I376" s="8299" t="s">
        <v>1025</v>
      </c>
    </row>
    <row customHeight="1" ht="11.25">
      <c r="A377" s="8299" t="s">
        <v>2419</v>
      </c>
      <c r="B377" s="8299" t="s">
        <v>16</v>
      </c>
      <c r="C377" s="8299" t="s">
        <v>3517</v>
      </c>
      <c r="D377" s="8299" t="s">
        <v>3518</v>
      </c>
      <c r="E377" s="8299" t="s">
        <v>3519</v>
      </c>
      <c r="F377" s="8299" t="s">
        <v>3193</v>
      </c>
      <c r="G377" s="8299" t="s">
        <v>3520</v>
      </c>
      <c r="H377" s="8299" t="s">
        <v>22</v>
      </c>
      <c r="I377" s="8299" t="s">
        <v>1025</v>
      </c>
    </row>
    <row customHeight="1" ht="11.25">
      <c r="A378" s="8299" t="s">
        <v>2419</v>
      </c>
      <c r="B378" s="8299" t="s">
        <v>16</v>
      </c>
      <c r="C378" s="8299" t="s">
        <v>2922</v>
      </c>
      <c r="D378" s="8299" t="s">
        <v>2923</v>
      </c>
      <c r="E378" s="8299" t="s">
        <v>2924</v>
      </c>
      <c r="F378" s="8299" t="s">
        <v>2712</v>
      </c>
      <c r="G378" s="8299" t="s">
        <v>2925</v>
      </c>
      <c r="H378" s="8299" t="s">
        <v>22</v>
      </c>
      <c r="I378" s="8299" t="s">
        <v>1025</v>
      </c>
    </row>
    <row customHeight="1" ht="11.25">
      <c r="A379" s="8299" t="s">
        <v>2419</v>
      </c>
      <c r="B379" s="8299" t="s">
        <v>16</v>
      </c>
      <c r="C379" s="8299" t="s">
        <v>3521</v>
      </c>
      <c r="D379" s="8299" t="s">
        <v>3522</v>
      </c>
      <c r="E379" s="8299" t="s">
        <v>3523</v>
      </c>
      <c r="F379" s="8299" t="s">
        <v>2426</v>
      </c>
      <c r="G379" s="8299" t="s">
        <v>3524</v>
      </c>
      <c r="H379" s="8299" t="s">
        <v>22</v>
      </c>
      <c r="I379" s="8299" t="s">
        <v>1025</v>
      </c>
    </row>
    <row customHeight="1" ht="11.25">
      <c r="A380" s="8299" t="s">
        <v>2419</v>
      </c>
      <c r="B380" s="8299" t="s">
        <v>16</v>
      </c>
      <c r="C380" s="8299" t="s">
        <v>3525</v>
      </c>
      <c r="D380" s="8299" t="s">
        <v>3526</v>
      </c>
      <c r="E380" s="8299" t="s">
        <v>3527</v>
      </c>
      <c r="F380" s="8299" t="s">
        <v>2625</v>
      </c>
      <c r="G380" s="8299" t="s">
        <v>22</v>
      </c>
      <c r="H380" s="8299" t="s">
        <v>22</v>
      </c>
      <c r="I380" s="8299" t="s">
        <v>1025</v>
      </c>
    </row>
    <row customHeight="1" ht="11.25">
      <c r="A381" s="8299" t="s">
        <v>2419</v>
      </c>
      <c r="B381" s="8299" t="s">
        <v>16</v>
      </c>
      <c r="C381" s="8299" t="s">
        <v>3528</v>
      </c>
      <c r="D381" s="8299" t="s">
        <v>3529</v>
      </c>
      <c r="E381" s="8299" t="s">
        <v>3530</v>
      </c>
      <c r="F381" s="8299" t="s">
        <v>2426</v>
      </c>
      <c r="G381" s="8299" t="s">
        <v>3531</v>
      </c>
      <c r="H381" s="8299" t="s">
        <v>22</v>
      </c>
      <c r="I381" s="8299" t="s">
        <v>1025</v>
      </c>
    </row>
    <row customHeight="1" ht="11.25">
      <c r="A382" s="8299" t="s">
        <v>2419</v>
      </c>
      <c r="B382" s="8299" t="s">
        <v>16</v>
      </c>
      <c r="C382" s="8299" t="s">
        <v>3532</v>
      </c>
      <c r="D382" s="8299" t="s">
        <v>3533</v>
      </c>
      <c r="E382" s="8299" t="s">
        <v>3534</v>
      </c>
      <c r="F382" s="8299" t="s">
        <v>2481</v>
      </c>
      <c r="G382" s="8299" t="s">
        <v>3535</v>
      </c>
      <c r="H382" s="8299" t="s">
        <v>22</v>
      </c>
      <c r="I382" s="8299" t="s">
        <v>1025</v>
      </c>
    </row>
    <row customHeight="1" ht="11.25">
      <c r="A383" s="8299" t="s">
        <v>2419</v>
      </c>
      <c r="B383" s="8299" t="s">
        <v>16</v>
      </c>
      <c r="C383" s="8299" t="s">
        <v>3536</v>
      </c>
      <c r="D383" s="8299" t="s">
        <v>3537</v>
      </c>
      <c r="E383" s="8299" t="s">
        <v>3538</v>
      </c>
      <c r="F383" s="8299" t="s">
        <v>2422</v>
      </c>
      <c r="G383" s="8299" t="s">
        <v>3539</v>
      </c>
      <c r="H383" s="8299" t="s">
        <v>22</v>
      </c>
      <c r="I383" s="8299" t="s">
        <v>1025</v>
      </c>
    </row>
    <row customHeight="1" ht="11.25">
      <c r="A384" s="8299" t="s">
        <v>2419</v>
      </c>
      <c r="B384" s="8299" t="s">
        <v>16</v>
      </c>
      <c r="C384" s="8299" t="s">
        <v>3540</v>
      </c>
      <c r="D384" s="8299" t="s">
        <v>3541</v>
      </c>
      <c r="E384" s="8299" t="s">
        <v>3542</v>
      </c>
      <c r="F384" s="8299" t="s">
        <v>2422</v>
      </c>
      <c r="G384" s="8299" t="s">
        <v>3543</v>
      </c>
      <c r="H384" s="8299" t="s">
        <v>22</v>
      </c>
      <c r="I384" s="8299" t="s">
        <v>1025</v>
      </c>
    </row>
    <row customHeight="1" ht="11.25">
      <c r="A385" s="8299" t="s">
        <v>2419</v>
      </c>
      <c r="B385" s="8299" t="s">
        <v>16</v>
      </c>
      <c r="C385" s="8299" t="s">
        <v>3544</v>
      </c>
      <c r="D385" s="8299" t="s">
        <v>3541</v>
      </c>
      <c r="E385" s="8299" t="s">
        <v>3542</v>
      </c>
      <c r="F385" s="8299" t="s">
        <v>2712</v>
      </c>
      <c r="G385" s="8299" t="s">
        <v>3543</v>
      </c>
      <c r="H385" s="8299" t="s">
        <v>22</v>
      </c>
      <c r="I385" s="8299" t="s">
        <v>1025</v>
      </c>
    </row>
    <row customHeight="1" ht="11.25">
      <c r="A386" s="8299" t="s">
        <v>2419</v>
      </c>
      <c r="B386" s="8299" t="s">
        <v>16</v>
      </c>
      <c r="C386" s="8299" t="s">
        <v>3545</v>
      </c>
      <c r="D386" s="8299" t="s">
        <v>3546</v>
      </c>
      <c r="E386" s="8299" t="s">
        <v>3547</v>
      </c>
      <c r="F386" s="8299" t="s">
        <v>2625</v>
      </c>
      <c r="G386" s="8299" t="s">
        <v>3548</v>
      </c>
      <c r="H386" s="8299" t="s">
        <v>22</v>
      </c>
      <c r="I386" s="8299" t="s">
        <v>1025</v>
      </c>
    </row>
    <row customHeight="1" ht="11.25">
      <c r="A387" s="8299" t="s">
        <v>2419</v>
      </c>
      <c r="B387" s="8299" t="s">
        <v>16</v>
      </c>
      <c r="C387" s="8299" t="s">
        <v>2938</v>
      </c>
      <c r="D387" s="8299" t="s">
        <v>2939</v>
      </c>
      <c r="E387" s="8299" t="s">
        <v>2940</v>
      </c>
      <c r="F387" s="8299" t="s">
        <v>2852</v>
      </c>
      <c r="G387" s="8299" t="s">
        <v>2941</v>
      </c>
      <c r="H387" s="8299" t="s">
        <v>22</v>
      </c>
      <c r="I387" s="8299" t="s">
        <v>1025</v>
      </c>
    </row>
    <row customHeight="1" ht="11.25">
      <c r="A388" s="8299" t="s">
        <v>2419</v>
      </c>
      <c r="B388" s="8299" t="s">
        <v>16</v>
      </c>
      <c r="C388" s="8299" t="s">
        <v>3549</v>
      </c>
      <c r="D388" s="8299" t="s">
        <v>3550</v>
      </c>
      <c r="E388" s="8299" t="s">
        <v>3551</v>
      </c>
      <c r="F388" s="8299" t="s">
        <v>2422</v>
      </c>
      <c r="G388" s="8299" t="s">
        <v>3552</v>
      </c>
      <c r="H388" s="8299" t="s">
        <v>22</v>
      </c>
      <c r="I388" s="8299" t="s">
        <v>1025</v>
      </c>
    </row>
    <row customHeight="1" ht="11.25">
      <c r="A389" s="8299" t="s">
        <v>2419</v>
      </c>
      <c r="B389" s="8299" t="s">
        <v>16</v>
      </c>
      <c r="C389" s="8299" t="s">
        <v>2942</v>
      </c>
      <c r="D389" s="8299" t="s">
        <v>2943</v>
      </c>
      <c r="E389" s="8299" t="s">
        <v>2944</v>
      </c>
      <c r="F389" s="8299" t="s">
        <v>2712</v>
      </c>
      <c r="G389" s="8299" t="s">
        <v>2945</v>
      </c>
      <c r="H389" s="8299" t="s">
        <v>22</v>
      </c>
      <c r="I389" s="8299" t="s">
        <v>1025</v>
      </c>
    </row>
    <row customHeight="1" ht="11.25">
      <c r="A390" s="8299" t="s">
        <v>2419</v>
      </c>
      <c r="B390" s="8299" t="s">
        <v>16</v>
      </c>
      <c r="C390" s="8299" t="s">
        <v>3553</v>
      </c>
      <c r="D390" s="8299" t="s">
        <v>3554</v>
      </c>
      <c r="E390" s="8299" t="s">
        <v>3555</v>
      </c>
      <c r="F390" s="8299" t="s">
        <v>2595</v>
      </c>
      <c r="G390" s="8299" t="s">
        <v>3556</v>
      </c>
      <c r="H390" s="8299" t="s">
        <v>22</v>
      </c>
      <c r="I390" s="8299" t="s">
        <v>1025</v>
      </c>
    </row>
    <row customHeight="1" ht="11.25">
      <c r="A391" s="8299" t="s">
        <v>2419</v>
      </c>
      <c r="B391" s="8299" t="s">
        <v>16</v>
      </c>
      <c r="C391" s="8299" t="s">
        <v>3557</v>
      </c>
      <c r="D391" s="8299" t="s">
        <v>3558</v>
      </c>
      <c r="E391" s="8299" t="s">
        <v>3559</v>
      </c>
      <c r="F391" s="8299" t="s">
        <v>2422</v>
      </c>
      <c r="G391" s="8299" t="s">
        <v>3560</v>
      </c>
      <c r="H391" s="8299" t="s">
        <v>22</v>
      </c>
      <c r="I391" s="8299" t="s">
        <v>1025</v>
      </c>
    </row>
    <row customHeight="1" ht="11.25">
      <c r="A392" s="8299" t="s">
        <v>2419</v>
      </c>
      <c r="B392" s="8299" t="s">
        <v>16</v>
      </c>
      <c r="C392" s="8299" t="s">
        <v>3561</v>
      </c>
      <c r="D392" s="8299" t="s">
        <v>3562</v>
      </c>
      <c r="E392" s="8299" t="s">
        <v>3563</v>
      </c>
      <c r="F392" s="8299" t="s">
        <v>2852</v>
      </c>
      <c r="G392" s="8299" t="s">
        <v>3564</v>
      </c>
      <c r="H392" s="8299" t="s">
        <v>22</v>
      </c>
      <c r="I392" s="8299" t="s">
        <v>1025</v>
      </c>
    </row>
    <row customHeight="1" ht="11.25">
      <c r="A393" s="8299" t="s">
        <v>2419</v>
      </c>
      <c r="B393" s="8299" t="s">
        <v>16</v>
      </c>
      <c r="C393" s="8299" t="s">
        <v>3565</v>
      </c>
      <c r="D393" s="8299" t="s">
        <v>3566</v>
      </c>
      <c r="E393" s="8299" t="s">
        <v>3567</v>
      </c>
      <c r="F393" s="8299" t="s">
        <v>2422</v>
      </c>
      <c r="G393" s="8299" t="s">
        <v>3568</v>
      </c>
      <c r="H393" s="8299" t="s">
        <v>22</v>
      </c>
      <c r="I393" s="8299" t="s">
        <v>1025</v>
      </c>
    </row>
    <row customHeight="1" ht="11.25">
      <c r="A394" s="8299" t="s">
        <v>2419</v>
      </c>
      <c r="B394" s="8299" t="s">
        <v>16</v>
      </c>
      <c r="C394" s="8299" t="s">
        <v>3569</v>
      </c>
      <c r="D394" s="8299" t="s">
        <v>3570</v>
      </c>
      <c r="E394" s="8299" t="s">
        <v>3571</v>
      </c>
      <c r="F394" s="8299" t="s">
        <v>2422</v>
      </c>
      <c r="G394" s="8299" t="s">
        <v>3572</v>
      </c>
      <c r="H394" s="8299" t="s">
        <v>22</v>
      </c>
      <c r="I394" s="8299" t="s">
        <v>1025</v>
      </c>
    </row>
    <row customHeight="1" ht="11.25">
      <c r="A395" s="8299" t="s">
        <v>2419</v>
      </c>
      <c r="B395" s="8299" t="s">
        <v>16</v>
      </c>
      <c r="C395" s="8299" t="s">
        <v>2961</v>
      </c>
      <c r="D395" s="8299" t="s">
        <v>2962</v>
      </c>
      <c r="E395" s="8299" t="s">
        <v>2963</v>
      </c>
      <c r="F395" s="8299" t="s">
        <v>2426</v>
      </c>
      <c r="G395" s="8299" t="s">
        <v>2964</v>
      </c>
      <c r="H395" s="8299" t="s">
        <v>22</v>
      </c>
      <c r="I395" s="8299" t="s">
        <v>1025</v>
      </c>
    </row>
    <row customHeight="1" ht="11.25">
      <c r="A396" s="8299" t="s">
        <v>2419</v>
      </c>
      <c r="B396" s="8299" t="s">
        <v>16</v>
      </c>
      <c r="C396" s="8299" t="s">
        <v>2965</v>
      </c>
      <c r="D396" s="8299" t="s">
        <v>2966</v>
      </c>
      <c r="E396" s="8299" t="s">
        <v>2967</v>
      </c>
      <c r="F396" s="8299" t="s">
        <v>2422</v>
      </c>
      <c r="G396" s="8299" t="s">
        <v>2968</v>
      </c>
      <c r="H396" s="8299" t="s">
        <v>22</v>
      </c>
      <c r="I396" s="8299" t="s">
        <v>1025</v>
      </c>
    </row>
    <row customHeight="1" ht="11.25">
      <c r="A397" s="8299" t="s">
        <v>2419</v>
      </c>
      <c r="B397" s="8299" t="s">
        <v>16</v>
      </c>
      <c r="C397" s="8299" t="s">
        <v>3573</v>
      </c>
      <c r="D397" s="8299" t="s">
        <v>3574</v>
      </c>
      <c r="E397" s="8299" t="s">
        <v>3575</v>
      </c>
      <c r="F397" s="8299" t="s">
        <v>2422</v>
      </c>
      <c r="G397" s="8299" t="s">
        <v>3576</v>
      </c>
      <c r="H397" s="8299" t="s">
        <v>22</v>
      </c>
      <c r="I397" s="8299" t="s">
        <v>1025</v>
      </c>
    </row>
    <row customHeight="1" ht="11.25">
      <c r="A398" s="8299" t="s">
        <v>2419</v>
      </c>
      <c r="B398" s="8299" t="s">
        <v>16</v>
      </c>
      <c r="C398" s="8299" t="s">
        <v>2977</v>
      </c>
      <c r="D398" s="8299" t="s">
        <v>2978</v>
      </c>
      <c r="E398" s="8299" t="s">
        <v>2979</v>
      </c>
      <c r="F398" s="8299" t="s">
        <v>2712</v>
      </c>
      <c r="G398" s="8299" t="s">
        <v>22</v>
      </c>
      <c r="H398" s="8299" t="s">
        <v>22</v>
      </c>
      <c r="I398" s="8299" t="s">
        <v>1025</v>
      </c>
    </row>
    <row customHeight="1" ht="11.25">
      <c r="A399" s="8299" t="s">
        <v>2419</v>
      </c>
      <c r="B399" s="8299" t="s">
        <v>16</v>
      </c>
      <c r="C399" s="8299" t="s">
        <v>3577</v>
      </c>
      <c r="D399" s="8299" t="s">
        <v>3578</v>
      </c>
      <c r="E399" s="8299" t="s">
        <v>3579</v>
      </c>
      <c r="F399" s="8299" t="s">
        <v>3580</v>
      </c>
      <c r="G399" s="8299" t="s">
        <v>3581</v>
      </c>
      <c r="H399" s="8299" t="s">
        <v>22</v>
      </c>
      <c r="I399" s="8299" t="s">
        <v>1025</v>
      </c>
    </row>
    <row customHeight="1" ht="11.25">
      <c r="A400" s="8299" t="s">
        <v>2419</v>
      </c>
      <c r="B400" s="8299" t="s">
        <v>16</v>
      </c>
      <c r="C400" s="8299" t="s">
        <v>3582</v>
      </c>
      <c r="D400" s="8299" t="s">
        <v>3583</v>
      </c>
      <c r="E400" s="8299" t="s">
        <v>3584</v>
      </c>
      <c r="F400" s="8299" t="s">
        <v>2422</v>
      </c>
      <c r="G400" s="8299" t="s">
        <v>3585</v>
      </c>
      <c r="H400" s="8299" t="s">
        <v>22</v>
      </c>
      <c r="I400" s="8299" t="s">
        <v>1025</v>
      </c>
    </row>
    <row customHeight="1" ht="11.25">
      <c r="A401" s="8299" t="s">
        <v>2419</v>
      </c>
      <c r="B401" s="8299" t="s">
        <v>16</v>
      </c>
      <c r="C401" s="8299" t="s">
        <v>2980</v>
      </c>
      <c r="D401" s="8299" t="s">
        <v>2981</v>
      </c>
      <c r="E401" s="8299" t="s">
        <v>2982</v>
      </c>
      <c r="F401" s="8299" t="s">
        <v>2422</v>
      </c>
      <c r="G401" s="8299" t="s">
        <v>2983</v>
      </c>
      <c r="H401" s="8299" t="s">
        <v>22</v>
      </c>
      <c r="I401" s="8299" t="s">
        <v>1025</v>
      </c>
    </row>
    <row customHeight="1" ht="11.25">
      <c r="A402" s="8299" t="s">
        <v>2419</v>
      </c>
      <c r="B402" s="8299" t="s">
        <v>16</v>
      </c>
      <c r="C402" s="8299" t="s">
        <v>2988</v>
      </c>
      <c r="D402" s="8299" t="s">
        <v>2989</v>
      </c>
      <c r="E402" s="8299" t="s">
        <v>2990</v>
      </c>
      <c r="F402" s="8299" t="s">
        <v>2625</v>
      </c>
      <c r="G402" s="8299" t="s">
        <v>2991</v>
      </c>
      <c r="H402" s="8299" t="s">
        <v>22</v>
      </c>
      <c r="I402" s="8299" t="s">
        <v>1025</v>
      </c>
    </row>
    <row customHeight="1" ht="11.25">
      <c r="A403" s="8299" t="s">
        <v>2419</v>
      </c>
      <c r="B403" s="8299" t="s">
        <v>16</v>
      </c>
      <c r="C403" s="8299" t="s">
        <v>2992</v>
      </c>
      <c r="D403" s="8299" t="s">
        <v>2993</v>
      </c>
      <c r="E403" s="8299" t="s">
        <v>2994</v>
      </c>
      <c r="F403" s="8299" t="s">
        <v>2625</v>
      </c>
      <c r="G403" s="8299" t="s">
        <v>2995</v>
      </c>
      <c r="H403" s="8299" t="s">
        <v>2996</v>
      </c>
      <c r="I403" s="8299" t="s">
        <v>1025</v>
      </c>
    </row>
    <row customHeight="1" ht="11.25">
      <c r="A404" s="8299" t="s">
        <v>2419</v>
      </c>
      <c r="B404" s="8299" t="s">
        <v>16</v>
      </c>
      <c r="C404" s="8299" t="s">
        <v>3586</v>
      </c>
      <c r="D404" s="8299" t="s">
        <v>3587</v>
      </c>
      <c r="E404" s="8299" t="s">
        <v>3588</v>
      </c>
      <c r="F404" s="8299" t="s">
        <v>2712</v>
      </c>
      <c r="G404" s="8299" t="s">
        <v>3589</v>
      </c>
      <c r="H404" s="8299" t="s">
        <v>22</v>
      </c>
      <c r="I404" s="8299" t="s">
        <v>1025</v>
      </c>
    </row>
    <row customHeight="1" ht="11.25">
      <c r="A405" s="8299" t="s">
        <v>2419</v>
      </c>
      <c r="B405" s="8299" t="s">
        <v>16</v>
      </c>
      <c r="C405" s="8299" t="s">
        <v>3590</v>
      </c>
      <c r="D405" s="8299" t="s">
        <v>3591</v>
      </c>
      <c r="E405" s="8299" t="s">
        <v>3592</v>
      </c>
      <c r="F405" s="8299" t="s">
        <v>2426</v>
      </c>
      <c r="G405" s="8299" t="s">
        <v>2869</v>
      </c>
      <c r="H405" s="8299" t="s">
        <v>22</v>
      </c>
      <c r="I405" s="8299" t="s">
        <v>1025</v>
      </c>
    </row>
    <row customHeight="1" ht="11.25">
      <c r="A406" s="8299" t="s">
        <v>2419</v>
      </c>
      <c r="B406" s="8299" t="s">
        <v>16</v>
      </c>
      <c r="C406" s="8299" t="s">
        <v>3593</v>
      </c>
      <c r="D406" s="8299" t="s">
        <v>3594</v>
      </c>
      <c r="E406" s="8299" t="s">
        <v>3595</v>
      </c>
      <c r="F406" s="8299" t="s">
        <v>2490</v>
      </c>
      <c r="G406" s="8299" t="s">
        <v>22</v>
      </c>
      <c r="H406" s="8299" t="s">
        <v>22</v>
      </c>
      <c r="I406" s="8299" t="s">
        <v>1025</v>
      </c>
    </row>
    <row customHeight="1" ht="11.25">
      <c r="A407" s="8299" t="s">
        <v>2419</v>
      </c>
      <c r="B407" s="8299" t="s">
        <v>16</v>
      </c>
      <c r="C407" s="8299" t="s">
        <v>3001</v>
      </c>
      <c r="D407" s="8299" t="s">
        <v>3002</v>
      </c>
      <c r="E407" s="8299" t="s">
        <v>3003</v>
      </c>
      <c r="F407" s="8299" t="s">
        <v>2712</v>
      </c>
      <c r="G407" s="8299" t="s">
        <v>3004</v>
      </c>
      <c r="H407" s="8299" t="s">
        <v>22</v>
      </c>
      <c r="I407" s="8299" t="s">
        <v>1025</v>
      </c>
    </row>
    <row customHeight="1" ht="11.25">
      <c r="A408" s="8299" t="s">
        <v>2419</v>
      </c>
      <c r="B408" s="8299" t="s">
        <v>16</v>
      </c>
      <c r="C408" s="8299" t="s">
        <v>3015</v>
      </c>
      <c r="D408" s="8299" t="s">
        <v>3016</v>
      </c>
      <c r="E408" s="8299" t="s">
        <v>3017</v>
      </c>
      <c r="F408" s="8299" t="s">
        <v>2625</v>
      </c>
      <c r="G408" s="8299" t="s">
        <v>3018</v>
      </c>
      <c r="H408" s="8299" t="s">
        <v>22</v>
      </c>
      <c r="I408" s="8299" t="s">
        <v>1025</v>
      </c>
    </row>
    <row customHeight="1" ht="11.25">
      <c r="A409" s="8299" t="s">
        <v>2419</v>
      </c>
      <c r="B409" s="8299" t="s">
        <v>16</v>
      </c>
      <c r="C409" s="8299" t="s">
        <v>3019</v>
      </c>
      <c r="D409" s="8299" t="s">
        <v>3020</v>
      </c>
      <c r="E409" s="8299" t="s">
        <v>3021</v>
      </c>
      <c r="F409" s="8299" t="s">
        <v>2595</v>
      </c>
      <c r="G409" s="8299" t="s">
        <v>3022</v>
      </c>
      <c r="H409" s="8299" t="s">
        <v>22</v>
      </c>
      <c r="I409" s="8299" t="s">
        <v>1025</v>
      </c>
    </row>
    <row customHeight="1" ht="11.25">
      <c r="A410" s="8299" t="s">
        <v>2419</v>
      </c>
      <c r="B410" s="8299" t="s">
        <v>16</v>
      </c>
      <c r="C410" s="8299" t="s">
        <v>3596</v>
      </c>
      <c r="D410" s="8299" t="s">
        <v>3597</v>
      </c>
      <c r="E410" s="8299" t="s">
        <v>3598</v>
      </c>
      <c r="F410" s="8299" t="s">
        <v>2422</v>
      </c>
      <c r="G410" s="8299" t="s">
        <v>3599</v>
      </c>
      <c r="H410" s="8299" t="s">
        <v>22</v>
      </c>
      <c r="I410" s="8299" t="s">
        <v>1025</v>
      </c>
    </row>
    <row customHeight="1" ht="11.25">
      <c r="A411" s="8299" t="s">
        <v>2419</v>
      </c>
      <c r="B411" s="8299" t="s">
        <v>16</v>
      </c>
      <c r="C411" s="8299" t="s">
        <v>3600</v>
      </c>
      <c r="D411" s="8299" t="s">
        <v>3601</v>
      </c>
      <c r="E411" s="8299" t="s">
        <v>3602</v>
      </c>
      <c r="F411" s="8299" t="s">
        <v>2712</v>
      </c>
      <c r="G411" s="8299" t="s">
        <v>3603</v>
      </c>
      <c r="H411" s="8299" t="s">
        <v>22</v>
      </c>
      <c r="I411" s="8299" t="s">
        <v>1025</v>
      </c>
    </row>
    <row customHeight="1" ht="11.25">
      <c r="A412" s="8299" t="s">
        <v>2419</v>
      </c>
      <c r="B412" s="8299" t="s">
        <v>16</v>
      </c>
      <c r="C412" s="8299" t="s">
        <v>3031</v>
      </c>
      <c r="D412" s="8299" t="s">
        <v>3032</v>
      </c>
      <c r="E412" s="8299" t="s">
        <v>3033</v>
      </c>
      <c r="F412" s="8299" t="s">
        <v>2426</v>
      </c>
      <c r="G412" s="8299" t="s">
        <v>3034</v>
      </c>
      <c r="H412" s="8299" t="s">
        <v>22</v>
      </c>
      <c r="I412" s="8299" t="s">
        <v>1025</v>
      </c>
    </row>
    <row customHeight="1" ht="11.25">
      <c r="A413" s="8299" t="s">
        <v>2419</v>
      </c>
      <c r="B413" s="8299" t="s">
        <v>16</v>
      </c>
      <c r="C413" s="8299" t="s">
        <v>3604</v>
      </c>
      <c r="D413" s="8299" t="s">
        <v>3605</v>
      </c>
      <c r="E413" s="8299" t="s">
        <v>3606</v>
      </c>
      <c r="F413" s="8299" t="s">
        <v>3505</v>
      </c>
      <c r="G413" s="8299" t="s">
        <v>3607</v>
      </c>
      <c r="H413" s="8299" t="s">
        <v>22</v>
      </c>
      <c r="I413" s="8299" t="s">
        <v>1025</v>
      </c>
    </row>
    <row customHeight="1" ht="11.25">
      <c r="A414" s="8299" t="s">
        <v>2419</v>
      </c>
      <c r="B414" s="8299" t="s">
        <v>16</v>
      </c>
      <c r="C414" s="8299" t="s">
        <v>3069</v>
      </c>
      <c r="D414" s="8299" t="s">
        <v>3070</v>
      </c>
      <c r="E414" s="8299" t="s">
        <v>3071</v>
      </c>
      <c r="F414" s="8299" t="s">
        <v>2660</v>
      </c>
      <c r="G414" s="8299" t="s">
        <v>3072</v>
      </c>
      <c r="H414" s="8299" t="s">
        <v>22</v>
      </c>
      <c r="I414" s="8299" t="s">
        <v>1025</v>
      </c>
    </row>
    <row customHeight="1" ht="11.25">
      <c r="A415" s="8299" t="s">
        <v>2419</v>
      </c>
      <c r="B415" s="8299" t="s">
        <v>16</v>
      </c>
      <c r="C415" s="8299" t="s">
        <v>3085</v>
      </c>
      <c r="D415" s="8299" t="s">
        <v>3086</v>
      </c>
      <c r="E415" s="8299" t="s">
        <v>3087</v>
      </c>
      <c r="F415" s="8299" t="s">
        <v>2621</v>
      </c>
      <c r="G415" s="8299" t="s">
        <v>3088</v>
      </c>
      <c r="H415" s="8299" t="s">
        <v>22</v>
      </c>
      <c r="I415" s="8299" t="s">
        <v>1025</v>
      </c>
    </row>
    <row customHeight="1" ht="11.25">
      <c r="A416" s="8299" t="s">
        <v>2419</v>
      </c>
      <c r="B416" s="8299" t="s">
        <v>16</v>
      </c>
      <c r="C416" s="8299" t="s">
        <v>3608</v>
      </c>
      <c r="D416" s="8299" t="s">
        <v>3609</v>
      </c>
      <c r="E416" s="8299" t="s">
        <v>3610</v>
      </c>
      <c r="F416" s="8299" t="s">
        <v>2422</v>
      </c>
      <c r="G416" s="8299" t="s">
        <v>3611</v>
      </c>
      <c r="H416" s="8299" t="s">
        <v>22</v>
      </c>
      <c r="I416" s="8299" t="s">
        <v>1025</v>
      </c>
    </row>
    <row customHeight="1" ht="11.25">
      <c r="A417" s="8299" t="s">
        <v>2419</v>
      </c>
      <c r="B417" s="8299" t="s">
        <v>16</v>
      </c>
      <c r="C417" s="8299" t="s">
        <v>3612</v>
      </c>
      <c r="D417" s="8299" t="s">
        <v>3613</v>
      </c>
      <c r="E417" s="8299" t="s">
        <v>3614</v>
      </c>
      <c r="F417" s="8299" t="s">
        <v>2717</v>
      </c>
      <c r="G417" s="8299" t="s">
        <v>3615</v>
      </c>
      <c r="H417" s="8299" t="s">
        <v>22</v>
      </c>
      <c r="I417" s="8299" t="s">
        <v>1025</v>
      </c>
    </row>
    <row customHeight="1" ht="11.25">
      <c r="A418" s="8299" t="s">
        <v>2419</v>
      </c>
      <c r="B418" s="8299" t="s">
        <v>16</v>
      </c>
      <c r="C418" s="8299" t="s">
        <v>3616</v>
      </c>
      <c r="D418" s="8299" t="s">
        <v>3617</v>
      </c>
      <c r="E418" s="8299" t="s">
        <v>3618</v>
      </c>
      <c r="F418" s="8299" t="s">
        <v>2422</v>
      </c>
      <c r="G418" s="8299" t="s">
        <v>3619</v>
      </c>
      <c r="H418" s="8299" t="s">
        <v>22</v>
      </c>
      <c r="I418" s="8299" t="s">
        <v>1025</v>
      </c>
    </row>
    <row customHeight="1" ht="11.25">
      <c r="A419" s="8299" t="s">
        <v>2419</v>
      </c>
      <c r="B419" s="8299" t="s">
        <v>16</v>
      </c>
      <c r="C419" s="8299" t="s">
        <v>3115</v>
      </c>
      <c r="D419" s="8299" t="s">
        <v>3116</v>
      </c>
      <c r="E419" s="8299" t="s">
        <v>3117</v>
      </c>
      <c r="F419" s="8299" t="s">
        <v>2621</v>
      </c>
      <c r="G419" s="8299" t="s">
        <v>3118</v>
      </c>
      <c r="H419" s="8299" t="s">
        <v>22</v>
      </c>
      <c r="I419" s="8299" t="s">
        <v>1025</v>
      </c>
    </row>
    <row customHeight="1" ht="11.25">
      <c r="A420" s="8299" t="s">
        <v>2419</v>
      </c>
      <c r="B420" s="8299" t="s">
        <v>16</v>
      </c>
      <c r="C420" s="8299" t="s">
        <v>3620</v>
      </c>
      <c r="D420" s="8299" t="s">
        <v>3621</v>
      </c>
      <c r="E420" s="8299" t="s">
        <v>3622</v>
      </c>
      <c r="F420" s="8299" t="s">
        <v>2422</v>
      </c>
      <c r="G420" s="8299" t="s">
        <v>3623</v>
      </c>
      <c r="H420" s="8299" t="s">
        <v>22</v>
      </c>
      <c r="I420" s="8299" t="s">
        <v>1025</v>
      </c>
    </row>
    <row customHeight="1" ht="11.25">
      <c r="A421" s="8299" t="s">
        <v>2419</v>
      </c>
      <c r="B421" s="8299" t="s">
        <v>16</v>
      </c>
      <c r="C421" s="8299" t="s">
        <v>3624</v>
      </c>
      <c r="D421" s="8299" t="s">
        <v>3625</v>
      </c>
      <c r="E421" s="8299" t="s">
        <v>3626</v>
      </c>
      <c r="F421" s="8299" t="s">
        <v>2422</v>
      </c>
      <c r="G421" s="8299" t="s">
        <v>3627</v>
      </c>
      <c r="H421" s="8299" t="s">
        <v>22</v>
      </c>
      <c r="I421" s="8299" t="s">
        <v>1025</v>
      </c>
    </row>
    <row customHeight="1" ht="11.25">
      <c r="A422" s="8299" t="s">
        <v>2419</v>
      </c>
      <c r="B422" s="8299" t="s">
        <v>16</v>
      </c>
      <c r="C422" s="8299" t="s">
        <v>3123</v>
      </c>
      <c r="D422" s="8299" t="s">
        <v>3124</v>
      </c>
      <c r="E422" s="8299" t="s">
        <v>3125</v>
      </c>
      <c r="F422" s="8299" t="s">
        <v>2776</v>
      </c>
      <c r="G422" s="8299" t="s">
        <v>3126</v>
      </c>
      <c r="H422" s="8299" t="s">
        <v>22</v>
      </c>
      <c r="I422" s="8299" t="s">
        <v>1025</v>
      </c>
    </row>
    <row customHeight="1" ht="11.25">
      <c r="A423" s="8299" t="s">
        <v>2419</v>
      </c>
      <c r="B423" s="8299" t="s">
        <v>16</v>
      </c>
      <c r="C423" s="8299" t="s">
        <v>3127</v>
      </c>
      <c r="D423" s="8299" t="s">
        <v>3128</v>
      </c>
      <c r="E423" s="8299" t="s">
        <v>3129</v>
      </c>
      <c r="F423" s="8299" t="s">
        <v>3113</v>
      </c>
      <c r="G423" s="8299" t="s">
        <v>3130</v>
      </c>
      <c r="H423" s="8299" t="s">
        <v>22</v>
      </c>
      <c r="I423" s="8299" t="s">
        <v>1025</v>
      </c>
    </row>
    <row customHeight="1" ht="11.25">
      <c r="A424" s="8299" t="s">
        <v>2419</v>
      </c>
      <c r="B424" s="8299" t="s">
        <v>16</v>
      </c>
      <c r="C424" s="8299" t="s">
        <v>3131</v>
      </c>
      <c r="D424" s="8299" t="s">
        <v>3132</v>
      </c>
      <c r="E424" s="8299" t="s">
        <v>3133</v>
      </c>
      <c r="F424" s="8299" t="s">
        <v>2600</v>
      </c>
      <c r="G424" s="8299" t="s">
        <v>3134</v>
      </c>
      <c r="H424" s="8299" t="s">
        <v>22</v>
      </c>
      <c r="I424" s="8299" t="s">
        <v>1025</v>
      </c>
    </row>
    <row customHeight="1" ht="11.25">
      <c r="A425" s="8299" t="s">
        <v>2419</v>
      </c>
      <c r="B425" s="8299" t="s">
        <v>16</v>
      </c>
      <c r="C425" s="8299" t="s">
        <v>3135</v>
      </c>
      <c r="D425" s="8299" t="s">
        <v>3136</v>
      </c>
      <c r="E425" s="8299" t="s">
        <v>3137</v>
      </c>
      <c r="F425" s="8299" t="s">
        <v>2426</v>
      </c>
      <c r="G425" s="8299" t="s">
        <v>3138</v>
      </c>
      <c r="H425" s="8299" t="s">
        <v>22</v>
      </c>
      <c r="I425" s="8299" t="s">
        <v>1025</v>
      </c>
    </row>
    <row customHeight="1" ht="11.25">
      <c r="A426" s="8299" t="s">
        <v>2419</v>
      </c>
      <c r="B426" s="8299" t="s">
        <v>16</v>
      </c>
      <c r="C426" s="8299" t="s">
        <v>3139</v>
      </c>
      <c r="D426" s="8299" t="s">
        <v>3140</v>
      </c>
      <c r="E426" s="8299" t="s">
        <v>3141</v>
      </c>
      <c r="F426" s="8299" t="s">
        <v>2625</v>
      </c>
      <c r="G426" s="8299" t="s">
        <v>3142</v>
      </c>
      <c r="H426" s="8299" t="s">
        <v>22</v>
      </c>
      <c r="I426" s="8299" t="s">
        <v>1025</v>
      </c>
    </row>
    <row customHeight="1" ht="11.25">
      <c r="A427" s="8299" t="s">
        <v>2419</v>
      </c>
      <c r="B427" s="8299" t="s">
        <v>16</v>
      </c>
      <c r="C427" s="8299" t="s">
        <v>3151</v>
      </c>
      <c r="D427" s="8299" t="s">
        <v>3152</v>
      </c>
      <c r="E427" s="8299" t="s">
        <v>3153</v>
      </c>
      <c r="F427" s="8299" t="s">
        <v>2422</v>
      </c>
      <c r="G427" s="8299" t="s">
        <v>3154</v>
      </c>
      <c r="H427" s="8299" t="s">
        <v>22</v>
      </c>
      <c r="I427" s="8299" t="s">
        <v>1025</v>
      </c>
    </row>
    <row customHeight="1" ht="11.25">
      <c r="A428" s="8299" t="s">
        <v>2419</v>
      </c>
      <c r="B428" s="8299" t="s">
        <v>16</v>
      </c>
      <c r="C428" s="8299" t="s">
        <v>3163</v>
      </c>
      <c r="D428" s="8299" t="s">
        <v>3164</v>
      </c>
      <c r="E428" s="8299" t="s">
        <v>3165</v>
      </c>
      <c r="F428" s="8299" t="s">
        <v>2660</v>
      </c>
      <c r="G428" s="8299" t="s">
        <v>3166</v>
      </c>
      <c r="H428" s="8299" t="s">
        <v>22</v>
      </c>
      <c r="I428" s="8299" t="s">
        <v>1025</v>
      </c>
    </row>
    <row customHeight="1" ht="11.25">
      <c r="A429" s="8299" t="s">
        <v>2419</v>
      </c>
      <c r="B429" s="8299" t="s">
        <v>16</v>
      </c>
      <c r="C429" s="8299" t="s">
        <v>3175</v>
      </c>
      <c r="D429" s="8299" t="s">
        <v>3176</v>
      </c>
      <c r="E429" s="8299" t="s">
        <v>3177</v>
      </c>
      <c r="F429" s="8299" t="s">
        <v>2580</v>
      </c>
      <c r="G429" s="8299" t="s">
        <v>3178</v>
      </c>
      <c r="H429" s="8299" t="s">
        <v>22</v>
      </c>
      <c r="I429" s="8299" t="s">
        <v>1025</v>
      </c>
    </row>
    <row customHeight="1" ht="11.25">
      <c r="A430" s="8299" t="s">
        <v>2419</v>
      </c>
      <c r="B430" s="8299" t="s">
        <v>16</v>
      </c>
      <c r="C430" s="8299" t="s">
        <v>3228</v>
      </c>
      <c r="D430" s="8299" t="s">
        <v>3229</v>
      </c>
      <c r="E430" s="8299" t="s">
        <v>3230</v>
      </c>
      <c r="F430" s="8299" t="s">
        <v>2660</v>
      </c>
      <c r="G430" s="8299" t="s">
        <v>3231</v>
      </c>
      <c r="H430" s="8299" t="s">
        <v>22</v>
      </c>
      <c r="I430" s="8299" t="s">
        <v>1025</v>
      </c>
    </row>
    <row customHeight="1" ht="11.25">
      <c r="A431" s="8299" t="s">
        <v>2419</v>
      </c>
      <c r="B431" s="8299" t="s">
        <v>16</v>
      </c>
      <c r="C431" s="8299" t="s">
        <v>3628</v>
      </c>
      <c r="D431" s="8299" t="s">
        <v>3629</v>
      </c>
      <c r="E431" s="8299" t="s">
        <v>3630</v>
      </c>
      <c r="F431" s="8299" t="s">
        <v>2422</v>
      </c>
      <c r="G431" s="8299" t="s">
        <v>3631</v>
      </c>
      <c r="H431" s="8299" t="s">
        <v>22</v>
      </c>
      <c r="I431" s="8299" t="s">
        <v>1025</v>
      </c>
    </row>
    <row customHeight="1" ht="11.25">
      <c r="A432" s="8299" t="s">
        <v>2419</v>
      </c>
      <c r="B432" s="8299" t="s">
        <v>16</v>
      </c>
      <c r="C432" s="8299" t="s">
        <v>3632</v>
      </c>
      <c r="D432" s="8299" t="s">
        <v>3633</v>
      </c>
      <c r="E432" s="8299" t="s">
        <v>3634</v>
      </c>
      <c r="F432" s="8299" t="s">
        <v>2717</v>
      </c>
      <c r="G432" s="8299" t="s">
        <v>3635</v>
      </c>
      <c r="H432" s="8299" t="s">
        <v>22</v>
      </c>
      <c r="I432" s="8299" t="s">
        <v>1025</v>
      </c>
    </row>
    <row customHeight="1" ht="11.25">
      <c r="A433" s="8299" t="s">
        <v>2419</v>
      </c>
      <c r="B433" s="8299" t="s">
        <v>16</v>
      </c>
      <c r="C433" s="8299" t="s">
        <v>3636</v>
      </c>
      <c r="D433" s="8299" t="s">
        <v>3637</v>
      </c>
      <c r="E433" s="8299" t="s">
        <v>3638</v>
      </c>
      <c r="F433" s="8299" t="s">
        <v>2541</v>
      </c>
      <c r="G433" s="8299" t="s">
        <v>3639</v>
      </c>
      <c r="H433" s="8299" t="s">
        <v>22</v>
      </c>
      <c r="I433" s="8299" t="s">
        <v>1025</v>
      </c>
    </row>
    <row customHeight="1" ht="11.25">
      <c r="A434" s="8299" t="s">
        <v>2419</v>
      </c>
      <c r="B434" s="8299" t="s">
        <v>16</v>
      </c>
      <c r="C434" s="8299" t="s">
        <v>3240</v>
      </c>
      <c r="D434" s="8299" t="s">
        <v>45</v>
      </c>
      <c r="E434" s="8299" t="s">
        <v>48</v>
      </c>
      <c r="F434" s="8299" t="s">
        <v>3241</v>
      </c>
      <c r="G434" s="8299" t="s">
        <v>3242</v>
      </c>
      <c r="H434" s="8299" t="s">
        <v>22</v>
      </c>
      <c r="I434" s="8299" t="s">
        <v>1025</v>
      </c>
    </row>
    <row customHeight="1" ht="11.25">
      <c r="A435" s="8299" t="s">
        <v>2419</v>
      </c>
      <c r="B435" s="8299" t="s">
        <v>16</v>
      </c>
      <c r="C435" s="8299" t="s">
        <v>13</v>
      </c>
      <c r="D435" s="8299" t="s">
        <v>45</v>
      </c>
      <c r="E435" s="8299" t="s">
        <v>48</v>
      </c>
      <c r="F435" s="8299" t="s">
        <v>50</v>
      </c>
      <c r="G435" s="8299" t="s">
        <v>22</v>
      </c>
      <c r="H435" s="8299" t="s">
        <v>22</v>
      </c>
      <c r="I435" s="8299" t="s">
        <v>1025</v>
      </c>
    </row>
    <row customHeight="1" ht="11.25">
      <c r="A436" s="8299" t="s">
        <v>2419</v>
      </c>
      <c r="B436" s="8299" t="s">
        <v>16</v>
      </c>
      <c r="C436" s="8299" t="s">
        <v>3243</v>
      </c>
      <c r="D436" s="8299" t="s">
        <v>3244</v>
      </c>
      <c r="E436" s="8299" t="s">
        <v>3245</v>
      </c>
      <c r="F436" s="8299" t="s">
        <v>3246</v>
      </c>
      <c r="G436" s="8299" t="s">
        <v>3247</v>
      </c>
      <c r="H436" s="8299" t="s">
        <v>22</v>
      </c>
      <c r="I436" s="8299" t="s">
        <v>1025</v>
      </c>
    </row>
    <row customHeight="1" ht="11.25">
      <c r="A437" s="8299" t="s">
        <v>2419</v>
      </c>
      <c r="B437" s="8299" t="s">
        <v>16</v>
      </c>
      <c r="C437" s="8299" t="s">
        <v>3248</v>
      </c>
      <c r="D437" s="8299" t="s">
        <v>3249</v>
      </c>
      <c r="E437" s="8299" t="s">
        <v>3250</v>
      </c>
      <c r="F437" s="8299" t="s">
        <v>2595</v>
      </c>
      <c r="G437" s="8299" t="s">
        <v>3251</v>
      </c>
      <c r="H437" s="8299" t="s">
        <v>22</v>
      </c>
      <c r="I437" s="8299" t="s">
        <v>1025</v>
      </c>
    </row>
    <row customHeight="1" ht="11.25">
      <c r="A438" s="8299" t="s">
        <v>2419</v>
      </c>
      <c r="B438" s="8299" t="s">
        <v>16</v>
      </c>
      <c r="C438" s="8299" t="s">
        <v>3256</v>
      </c>
      <c r="D438" s="8299" t="s">
        <v>3257</v>
      </c>
      <c r="E438" s="8299" t="s">
        <v>2444</v>
      </c>
      <c r="F438" s="8299" t="s">
        <v>3258</v>
      </c>
      <c r="G438" s="8299" t="s">
        <v>2445</v>
      </c>
      <c r="H438" s="8299" t="s">
        <v>22</v>
      </c>
      <c r="I438" s="8299" t="s">
        <v>1025</v>
      </c>
    </row>
    <row customHeight="1" ht="11.25">
      <c r="A439" s="8299" t="s">
        <v>2419</v>
      </c>
      <c r="B439" s="8299" t="s">
        <v>16</v>
      </c>
      <c r="C439" s="8299" t="s">
        <v>3267</v>
      </c>
      <c r="D439" s="8299" t="s">
        <v>3268</v>
      </c>
      <c r="E439" s="8299" t="s">
        <v>3269</v>
      </c>
      <c r="F439" s="8299" t="s">
        <v>2490</v>
      </c>
      <c r="G439" s="8299" t="s">
        <v>2893</v>
      </c>
      <c r="H439" s="8299" t="s">
        <v>22</v>
      </c>
      <c r="I439" s="8299" t="s">
        <v>1025</v>
      </c>
    </row>
    <row customHeight="1" ht="11.25">
      <c r="A440" s="8299" t="s">
        <v>2419</v>
      </c>
      <c r="B440" s="8299" t="s">
        <v>16</v>
      </c>
      <c r="C440" s="8299" t="s">
        <v>3277</v>
      </c>
      <c r="D440" s="8299" t="s">
        <v>3278</v>
      </c>
      <c r="E440" s="8299" t="s">
        <v>2506</v>
      </c>
      <c r="F440" s="8299" t="s">
        <v>3279</v>
      </c>
      <c r="G440" s="8299" t="s">
        <v>22</v>
      </c>
      <c r="H440" s="8299" t="s">
        <v>22</v>
      </c>
      <c r="I440" s="8299" t="s">
        <v>1025</v>
      </c>
    </row>
    <row customHeight="1" ht="11.25">
      <c r="A441" s="8299" t="s">
        <v>2419</v>
      </c>
      <c r="B441" s="8299" t="s">
        <v>16</v>
      </c>
      <c r="C441" s="8299" t="s">
        <v>3280</v>
      </c>
      <c r="D441" s="8299" t="s">
        <v>3281</v>
      </c>
      <c r="E441" s="8299" t="s">
        <v>3282</v>
      </c>
      <c r="F441" s="8299" t="s">
        <v>3283</v>
      </c>
      <c r="G441" s="8299" t="s">
        <v>3284</v>
      </c>
      <c r="H441" s="8299" t="s">
        <v>22</v>
      </c>
      <c r="I441" s="8299" t="s">
        <v>1025</v>
      </c>
    </row>
    <row customHeight="1" ht="11.25">
      <c r="A442" s="8299" t="s">
        <v>2419</v>
      </c>
      <c r="B442" s="8299" t="s">
        <v>16</v>
      </c>
      <c r="C442" s="8299" t="s">
        <v>3285</v>
      </c>
      <c r="D442" s="8299" t="s">
        <v>3286</v>
      </c>
      <c r="E442" s="8299" t="s">
        <v>3282</v>
      </c>
      <c r="F442" s="8299" t="s">
        <v>2580</v>
      </c>
      <c r="G442" s="8299" t="s">
        <v>3287</v>
      </c>
      <c r="H442" s="8299" t="s">
        <v>22</v>
      </c>
      <c r="I442" s="8299" t="s">
        <v>1025</v>
      </c>
    </row>
    <row customHeight="1" ht="11.25">
      <c r="A443" s="8299" t="s">
        <v>2419</v>
      </c>
      <c r="B443" s="8299" t="s">
        <v>16</v>
      </c>
      <c r="C443" s="8299" t="s">
        <v>3292</v>
      </c>
      <c r="D443" s="8299" t="s">
        <v>3293</v>
      </c>
      <c r="E443" s="8299" t="s">
        <v>2444</v>
      </c>
      <c r="F443" s="8299" t="s">
        <v>3294</v>
      </c>
      <c r="G443" s="8299" t="s">
        <v>22</v>
      </c>
      <c r="H443" s="8299" t="s">
        <v>22</v>
      </c>
      <c r="I443" s="8299" t="s">
        <v>1025</v>
      </c>
    </row>
    <row customHeight="1" ht="11.25">
      <c r="A444" s="8299" t="s">
        <v>2419</v>
      </c>
      <c r="B444" s="8299" t="s">
        <v>16</v>
      </c>
      <c r="C444" s="8299" t="s">
        <v>3295</v>
      </c>
      <c r="D444" s="8299" t="s">
        <v>3296</v>
      </c>
      <c r="E444" s="8299" t="s">
        <v>3297</v>
      </c>
      <c r="F444" s="8299" t="s">
        <v>2426</v>
      </c>
      <c r="G444" s="8299" t="s">
        <v>3298</v>
      </c>
      <c r="H444" s="8299" t="s">
        <v>2996</v>
      </c>
      <c r="I444" s="8299" t="s">
        <v>1025</v>
      </c>
    </row>
    <row customHeight="1" ht="11.25">
      <c r="A445" s="8299" t="s">
        <v>2419</v>
      </c>
      <c r="B445" s="8299" t="s">
        <v>16</v>
      </c>
      <c r="C445" s="8299" t="s">
        <v>3303</v>
      </c>
      <c r="D445" s="8299" t="s">
        <v>3304</v>
      </c>
      <c r="E445" s="8299" t="s">
        <v>3305</v>
      </c>
      <c r="F445" s="8299" t="s">
        <v>3306</v>
      </c>
      <c r="G445" s="8299" t="s">
        <v>3307</v>
      </c>
      <c r="H445" s="8299" t="s">
        <v>22</v>
      </c>
      <c r="I445" s="8299" t="s">
        <v>1025</v>
      </c>
    </row>
    <row customHeight="1" ht="11.25">
      <c r="A446" s="8299" t="s">
        <v>2419</v>
      </c>
      <c r="B446" s="8299" t="s">
        <v>16</v>
      </c>
      <c r="C446" s="8299" t="s">
        <v>3308</v>
      </c>
      <c r="D446" s="8299" t="s">
        <v>3309</v>
      </c>
      <c r="E446" s="8299" t="s">
        <v>3310</v>
      </c>
      <c r="F446" s="8299" t="s">
        <v>2621</v>
      </c>
      <c r="G446" s="8299" t="s">
        <v>3311</v>
      </c>
      <c r="H446" s="8299" t="s">
        <v>22</v>
      </c>
      <c r="I446" s="8299" t="s">
        <v>1025</v>
      </c>
    </row>
    <row customHeight="1" ht="11.25">
      <c r="A447" s="8299" t="s">
        <v>2419</v>
      </c>
      <c r="B447" s="8299" t="s">
        <v>16</v>
      </c>
      <c r="C447" s="8299" t="s">
        <v>3329</v>
      </c>
      <c r="D447" s="8299" t="s">
        <v>3330</v>
      </c>
      <c r="E447" s="8299" t="s">
        <v>3331</v>
      </c>
      <c r="F447" s="8299" t="s">
        <v>2625</v>
      </c>
      <c r="G447" s="8299" t="s">
        <v>3332</v>
      </c>
      <c r="H447" s="8299" t="s">
        <v>22</v>
      </c>
      <c r="I447" s="8299" t="s">
        <v>1025</v>
      </c>
    </row>
    <row customHeight="1" ht="11.25">
      <c r="A448" s="8299" t="s">
        <v>2419</v>
      </c>
      <c r="B448" s="8299" t="s">
        <v>16</v>
      </c>
      <c r="C448" s="8299" t="s">
        <v>3333</v>
      </c>
      <c r="D448" s="8299" t="s">
        <v>3334</v>
      </c>
      <c r="E448" s="8299" t="s">
        <v>3335</v>
      </c>
      <c r="F448" s="8299" t="s">
        <v>2621</v>
      </c>
      <c r="G448" s="8299" t="s">
        <v>3336</v>
      </c>
      <c r="H448" s="8299" t="s">
        <v>22</v>
      </c>
      <c r="I448" s="8299" t="s">
        <v>1025</v>
      </c>
    </row>
    <row customHeight="1" ht="11.25">
      <c r="A449" s="8299" t="s">
        <v>2419</v>
      </c>
      <c r="B449" s="8299" t="s">
        <v>16</v>
      </c>
      <c r="C449" s="8299" t="s">
        <v>3337</v>
      </c>
      <c r="D449" s="8299" t="s">
        <v>3338</v>
      </c>
      <c r="E449" s="8299" t="s">
        <v>3339</v>
      </c>
      <c r="F449" s="8299" t="s">
        <v>2625</v>
      </c>
      <c r="G449" s="8299" t="s">
        <v>3340</v>
      </c>
      <c r="H449" s="8299" t="s">
        <v>22</v>
      </c>
      <c r="I449" s="8299" t="s">
        <v>1025</v>
      </c>
    </row>
    <row customHeight="1" ht="11.25">
      <c r="A450" s="8299" t="s">
        <v>2419</v>
      </c>
      <c r="B450" s="8299" t="s">
        <v>16</v>
      </c>
      <c r="C450" s="8299" t="s">
        <v>22</v>
      </c>
      <c r="D450" s="8299" t="s">
        <v>2420</v>
      </c>
      <c r="E450" s="8299" t="s">
        <v>2421</v>
      </c>
      <c r="F450" s="8299" t="s">
        <v>2422</v>
      </c>
      <c r="G450" s="8299" t="s">
        <v>22</v>
      </c>
      <c r="H450" s="8299" t="s">
        <v>22</v>
      </c>
      <c r="I450" s="8299" t="s">
        <v>1078</v>
      </c>
    </row>
    <row customHeight="1" ht="11.25">
      <c r="A451" s="8299" t="s">
        <v>2419</v>
      </c>
      <c r="B451" s="8299" t="s">
        <v>16</v>
      </c>
      <c r="C451" s="8299" t="s">
        <v>2432</v>
      </c>
      <c r="D451" s="8299" t="s">
        <v>2433</v>
      </c>
      <c r="E451" s="8299" t="s">
        <v>2434</v>
      </c>
      <c r="F451" s="8299" t="s">
        <v>2435</v>
      </c>
      <c r="G451" s="8299" t="s">
        <v>2436</v>
      </c>
      <c r="H451" s="8299" t="s">
        <v>22</v>
      </c>
      <c r="I451" s="8299" t="s">
        <v>1078</v>
      </c>
    </row>
    <row customHeight="1" ht="11.25">
      <c r="A452" s="8299" t="s">
        <v>2419</v>
      </c>
      <c r="B452" s="8299" t="s">
        <v>16</v>
      </c>
      <c r="C452" s="8299" t="s">
        <v>2437</v>
      </c>
      <c r="D452" s="8299" t="s">
        <v>2438</v>
      </c>
      <c r="E452" s="8299" t="s">
        <v>2439</v>
      </c>
      <c r="F452" s="8299" t="s">
        <v>2440</v>
      </c>
      <c r="G452" s="8299" t="s">
        <v>2441</v>
      </c>
      <c r="H452" s="8299" t="s">
        <v>22</v>
      </c>
      <c r="I452" s="8299" t="s">
        <v>1078</v>
      </c>
    </row>
    <row customHeight="1" ht="11.25">
      <c r="A453" s="8299" t="s">
        <v>2419</v>
      </c>
      <c r="B453" s="8299" t="s">
        <v>16</v>
      </c>
      <c r="C453" s="8299" t="s">
        <v>2442</v>
      </c>
      <c r="D453" s="8299" t="s">
        <v>2443</v>
      </c>
      <c r="E453" s="8299" t="s">
        <v>2444</v>
      </c>
      <c r="F453" s="8299" t="s">
        <v>2422</v>
      </c>
      <c r="G453" s="8299" t="s">
        <v>2445</v>
      </c>
      <c r="H453" s="8299" t="s">
        <v>22</v>
      </c>
      <c r="I453" s="8299" t="s">
        <v>1078</v>
      </c>
    </row>
    <row customHeight="1" ht="11.25">
      <c r="A454" s="8299" t="s">
        <v>2419</v>
      </c>
      <c r="B454" s="8299" t="s">
        <v>16</v>
      </c>
      <c r="C454" s="8299" t="s">
        <v>2446</v>
      </c>
      <c r="D454" s="8299" t="s">
        <v>2447</v>
      </c>
      <c r="E454" s="8299" t="s">
        <v>2448</v>
      </c>
      <c r="F454" s="8299" t="s">
        <v>2422</v>
      </c>
      <c r="G454" s="8299" t="s">
        <v>2449</v>
      </c>
      <c r="H454" s="8299" t="s">
        <v>22</v>
      </c>
      <c r="I454" s="8299" t="s">
        <v>1078</v>
      </c>
    </row>
    <row customHeight="1" ht="11.25">
      <c r="A455" s="8299" t="s">
        <v>2419</v>
      </c>
      <c r="B455" s="8299" t="s">
        <v>16</v>
      </c>
      <c r="C455" s="8299" t="s">
        <v>2459</v>
      </c>
      <c r="D455" s="8299" t="s">
        <v>2460</v>
      </c>
      <c r="E455" s="8299" t="s">
        <v>2461</v>
      </c>
      <c r="F455" s="8299" t="s">
        <v>2462</v>
      </c>
      <c r="G455" s="8299" t="s">
        <v>22</v>
      </c>
      <c r="H455" s="8299" t="s">
        <v>22</v>
      </c>
      <c r="I455" s="8299" t="s">
        <v>1078</v>
      </c>
    </row>
    <row customHeight="1" ht="11.25">
      <c r="A456" s="8299" t="s">
        <v>2419</v>
      </c>
      <c r="B456" s="8299" t="s">
        <v>16</v>
      </c>
      <c r="C456" s="8299" t="s">
        <v>2463</v>
      </c>
      <c r="D456" s="8299" t="s">
        <v>2464</v>
      </c>
      <c r="E456" s="8299" t="s">
        <v>2465</v>
      </c>
      <c r="F456" s="8299" t="s">
        <v>2466</v>
      </c>
      <c r="G456" s="8299" t="s">
        <v>2467</v>
      </c>
      <c r="H456" s="8299" t="s">
        <v>22</v>
      </c>
      <c r="I456" s="8299" t="s">
        <v>1078</v>
      </c>
    </row>
    <row customHeight="1" ht="11.25">
      <c r="A457" s="8299" t="s">
        <v>2419</v>
      </c>
      <c r="B457" s="8299" t="s">
        <v>16</v>
      </c>
      <c r="C457" s="8299" t="s">
        <v>2468</v>
      </c>
      <c r="D457" s="8299" t="s">
        <v>2469</v>
      </c>
      <c r="E457" s="8299" t="s">
        <v>2470</v>
      </c>
      <c r="F457" s="8299" t="s">
        <v>2471</v>
      </c>
      <c r="G457" s="8299" t="s">
        <v>2472</v>
      </c>
      <c r="H457" s="8299" t="s">
        <v>22</v>
      </c>
      <c r="I457" s="8299" t="s">
        <v>1078</v>
      </c>
    </row>
    <row customHeight="1" ht="11.25">
      <c r="A458" s="8299" t="s">
        <v>2419</v>
      </c>
      <c r="B458" s="8299" t="s">
        <v>16</v>
      </c>
      <c r="C458" s="8299" t="s">
        <v>2487</v>
      </c>
      <c r="D458" s="8299" t="s">
        <v>2488</v>
      </c>
      <c r="E458" s="8299" t="s">
        <v>2489</v>
      </c>
      <c r="F458" s="8299" t="s">
        <v>2490</v>
      </c>
      <c r="G458" s="8299" t="s">
        <v>2491</v>
      </c>
      <c r="H458" s="8299" t="s">
        <v>22</v>
      </c>
      <c r="I458" s="8299" t="s">
        <v>1078</v>
      </c>
    </row>
    <row customHeight="1" ht="11.25">
      <c r="A459" s="8299" t="s">
        <v>2419</v>
      </c>
      <c r="B459" s="8299" t="s">
        <v>16</v>
      </c>
      <c r="C459" s="8299" t="s">
        <v>2492</v>
      </c>
      <c r="D459" s="8299" t="s">
        <v>2493</v>
      </c>
      <c r="E459" s="8299" t="s">
        <v>2494</v>
      </c>
      <c r="F459" s="8299" t="s">
        <v>2440</v>
      </c>
      <c r="G459" s="8299" t="s">
        <v>2495</v>
      </c>
      <c r="H459" s="8299" t="s">
        <v>22</v>
      </c>
      <c r="I459" s="8299" t="s">
        <v>1078</v>
      </c>
    </row>
    <row customHeight="1" ht="11.25">
      <c r="A460" s="8299" t="s">
        <v>2419</v>
      </c>
      <c r="B460" s="8299" t="s">
        <v>16</v>
      </c>
      <c r="C460" s="8299" t="s">
        <v>2496</v>
      </c>
      <c r="D460" s="8299" t="s">
        <v>2497</v>
      </c>
      <c r="E460" s="8299" t="s">
        <v>2498</v>
      </c>
      <c r="F460" s="8299" t="s">
        <v>2490</v>
      </c>
      <c r="G460" s="8299" t="s">
        <v>2499</v>
      </c>
      <c r="H460" s="8299" t="s">
        <v>22</v>
      </c>
      <c r="I460" s="8299" t="s">
        <v>1078</v>
      </c>
    </row>
    <row customHeight="1" ht="11.25">
      <c r="A461" s="8299" t="s">
        <v>2419</v>
      </c>
      <c r="B461" s="8299" t="s">
        <v>16</v>
      </c>
      <c r="C461" s="8299" t="s">
        <v>2525</v>
      </c>
      <c r="D461" s="8299" t="s">
        <v>2526</v>
      </c>
      <c r="E461" s="8299" t="s">
        <v>2527</v>
      </c>
      <c r="F461" s="8299" t="s">
        <v>2528</v>
      </c>
      <c r="G461" s="8299" t="s">
        <v>2529</v>
      </c>
      <c r="H461" s="8299" t="s">
        <v>22</v>
      </c>
      <c r="I461" s="8299" t="s">
        <v>1078</v>
      </c>
    </row>
    <row customHeight="1" ht="11.25">
      <c r="A462" s="8299" t="s">
        <v>2419</v>
      </c>
      <c r="B462" s="8299" t="s">
        <v>16</v>
      </c>
      <c r="C462" s="8299" t="s">
        <v>2538</v>
      </c>
      <c r="D462" s="8299" t="s">
        <v>2539</v>
      </c>
      <c r="E462" s="8299" t="s">
        <v>2540</v>
      </c>
      <c r="F462" s="8299" t="s">
        <v>2541</v>
      </c>
      <c r="G462" s="8299" t="s">
        <v>2521</v>
      </c>
      <c r="H462" s="8299" t="s">
        <v>22</v>
      </c>
      <c r="I462" s="8299" t="s">
        <v>1078</v>
      </c>
    </row>
    <row customHeight="1" ht="11.25">
      <c r="A463" s="8299" t="s">
        <v>2419</v>
      </c>
      <c r="B463" s="8299" t="s">
        <v>16</v>
      </c>
      <c r="C463" s="8299" t="s">
        <v>2577</v>
      </c>
      <c r="D463" s="8299" t="s">
        <v>2578</v>
      </c>
      <c r="E463" s="8299" t="s">
        <v>2579</v>
      </c>
      <c r="F463" s="8299" t="s">
        <v>2580</v>
      </c>
      <c r="G463" s="8299" t="s">
        <v>2581</v>
      </c>
      <c r="H463" s="8299" t="s">
        <v>22</v>
      </c>
      <c r="I463" s="8299" t="s">
        <v>1078</v>
      </c>
    </row>
    <row customHeight="1" ht="11.25">
      <c r="A464" s="8299" t="s">
        <v>2419</v>
      </c>
      <c r="B464" s="8299" t="s">
        <v>16</v>
      </c>
      <c r="C464" s="8299" t="s">
        <v>2582</v>
      </c>
      <c r="D464" s="8299" t="s">
        <v>2583</v>
      </c>
      <c r="E464" s="8299" t="s">
        <v>2444</v>
      </c>
      <c r="F464" s="8299" t="s">
        <v>2584</v>
      </c>
      <c r="G464" s="8299" t="s">
        <v>2445</v>
      </c>
      <c r="H464" s="8299" t="s">
        <v>22</v>
      </c>
      <c r="I464" s="8299" t="s">
        <v>1078</v>
      </c>
    </row>
    <row customHeight="1" ht="11.25">
      <c r="A465" s="8299" t="s">
        <v>2419</v>
      </c>
      <c r="B465" s="8299" t="s">
        <v>16</v>
      </c>
      <c r="C465" s="8299" t="s">
        <v>3383</v>
      </c>
      <c r="D465" s="8299" t="s">
        <v>3384</v>
      </c>
      <c r="E465" s="8299" t="s">
        <v>3385</v>
      </c>
      <c r="F465" s="8299" t="s">
        <v>2541</v>
      </c>
      <c r="G465" s="8299" t="s">
        <v>3239</v>
      </c>
      <c r="H465" s="8299" t="s">
        <v>22</v>
      </c>
      <c r="I465" s="8299" t="s">
        <v>1078</v>
      </c>
    </row>
    <row customHeight="1" ht="11.25">
      <c r="A466" s="8299" t="s">
        <v>2419</v>
      </c>
      <c r="B466" s="8299" t="s">
        <v>16</v>
      </c>
      <c r="C466" s="8299" t="s">
        <v>3386</v>
      </c>
      <c r="D466" s="8299" t="s">
        <v>3387</v>
      </c>
      <c r="E466" s="8299" t="s">
        <v>3388</v>
      </c>
      <c r="F466" s="8299" t="s">
        <v>2471</v>
      </c>
      <c r="G466" s="8299" t="s">
        <v>2645</v>
      </c>
      <c r="H466" s="8299" t="s">
        <v>22</v>
      </c>
      <c r="I466" s="8299" t="s">
        <v>1078</v>
      </c>
    </row>
    <row customHeight="1" ht="11.25">
      <c r="A467" s="8299" t="s">
        <v>2419</v>
      </c>
      <c r="B467" s="8299" t="s">
        <v>16</v>
      </c>
      <c r="C467" s="8299" t="s">
        <v>2646</v>
      </c>
      <c r="D467" s="8299" t="s">
        <v>2647</v>
      </c>
      <c r="E467" s="8299" t="s">
        <v>2648</v>
      </c>
      <c r="F467" s="8299" t="s">
        <v>2541</v>
      </c>
      <c r="G467" s="8299" t="s">
        <v>2649</v>
      </c>
      <c r="H467" s="8299" t="s">
        <v>22</v>
      </c>
      <c r="I467" s="8299" t="s">
        <v>1078</v>
      </c>
    </row>
    <row customHeight="1" ht="11.25">
      <c r="A468" s="8299" t="s">
        <v>2419</v>
      </c>
      <c r="B468" s="8299" t="s">
        <v>16</v>
      </c>
      <c r="C468" s="8299" t="s">
        <v>3389</v>
      </c>
      <c r="D468" s="8299" t="s">
        <v>3390</v>
      </c>
      <c r="E468" s="8299" t="s">
        <v>3391</v>
      </c>
      <c r="F468" s="8299" t="s">
        <v>2422</v>
      </c>
      <c r="G468" s="8299" t="s">
        <v>3392</v>
      </c>
      <c r="H468" s="8299" t="s">
        <v>22</v>
      </c>
      <c r="I468" s="8299" t="s">
        <v>1078</v>
      </c>
    </row>
    <row customHeight="1" ht="11.25">
      <c r="A469" s="8299" t="s">
        <v>2419</v>
      </c>
      <c r="B469" s="8299" t="s">
        <v>16</v>
      </c>
      <c r="C469" s="8299" t="s">
        <v>3640</v>
      </c>
      <c r="D469" s="8299" t="s">
        <v>3641</v>
      </c>
      <c r="E469" s="8299" t="s">
        <v>3642</v>
      </c>
      <c r="F469" s="8299" t="s">
        <v>2422</v>
      </c>
      <c r="G469" s="8299" t="s">
        <v>3643</v>
      </c>
      <c r="H469" s="8299" t="s">
        <v>22</v>
      </c>
      <c r="I469" s="8299" t="s">
        <v>1078</v>
      </c>
    </row>
    <row customHeight="1" ht="11.25">
      <c r="A470" s="8299" t="s">
        <v>2419</v>
      </c>
      <c r="B470" s="8299" t="s">
        <v>16</v>
      </c>
      <c r="C470" s="8299" t="s">
        <v>2670</v>
      </c>
      <c r="D470" s="8299" t="s">
        <v>2671</v>
      </c>
      <c r="E470" s="8299" t="s">
        <v>2672</v>
      </c>
      <c r="F470" s="8299" t="s">
        <v>2673</v>
      </c>
      <c r="G470" s="8299" t="s">
        <v>2545</v>
      </c>
      <c r="H470" s="8299" t="s">
        <v>22</v>
      </c>
      <c r="I470" s="8299" t="s">
        <v>1078</v>
      </c>
    </row>
    <row customHeight="1" ht="11.25">
      <c r="A471" s="8299" t="s">
        <v>2419</v>
      </c>
      <c r="B471" s="8299" t="s">
        <v>16</v>
      </c>
      <c r="C471" s="8299" t="s">
        <v>2674</v>
      </c>
      <c r="D471" s="8299" t="s">
        <v>2675</v>
      </c>
      <c r="E471" s="8299" t="s">
        <v>2676</v>
      </c>
      <c r="F471" s="8299" t="s">
        <v>2621</v>
      </c>
      <c r="G471" s="8299" t="s">
        <v>2677</v>
      </c>
      <c r="H471" s="8299" t="s">
        <v>22</v>
      </c>
      <c r="I471" s="8299" t="s">
        <v>1078</v>
      </c>
    </row>
    <row customHeight="1" ht="11.25">
      <c r="A472" s="8299" t="s">
        <v>2419</v>
      </c>
      <c r="B472" s="8299" t="s">
        <v>16</v>
      </c>
      <c r="C472" s="8299" t="s">
        <v>2681</v>
      </c>
      <c r="D472" s="8299" t="s">
        <v>2682</v>
      </c>
      <c r="E472" s="8299" t="s">
        <v>2683</v>
      </c>
      <c r="F472" s="8299" t="s">
        <v>2621</v>
      </c>
      <c r="G472" s="8299" t="s">
        <v>2684</v>
      </c>
      <c r="H472" s="8299" t="s">
        <v>22</v>
      </c>
      <c r="I472" s="8299" t="s">
        <v>1078</v>
      </c>
    </row>
    <row customHeight="1" ht="11.25">
      <c r="A473" s="8299" t="s">
        <v>2419</v>
      </c>
      <c r="B473" s="8299" t="s">
        <v>16</v>
      </c>
      <c r="C473" s="8299" t="s">
        <v>3393</v>
      </c>
      <c r="D473" s="8299" t="s">
        <v>3394</v>
      </c>
      <c r="E473" s="8299" t="s">
        <v>3395</v>
      </c>
      <c r="F473" s="8299" t="s">
        <v>2481</v>
      </c>
      <c r="G473" s="8299" t="s">
        <v>3396</v>
      </c>
      <c r="H473" s="8299" t="s">
        <v>22</v>
      </c>
      <c r="I473" s="8299" t="s">
        <v>1078</v>
      </c>
    </row>
    <row customHeight="1" ht="11.25">
      <c r="A474" s="8299" t="s">
        <v>2419</v>
      </c>
      <c r="B474" s="8299" t="s">
        <v>16</v>
      </c>
      <c r="C474" s="8299" t="s">
        <v>2689</v>
      </c>
      <c r="D474" s="8299" t="s">
        <v>2690</v>
      </c>
      <c r="E474" s="8299" t="s">
        <v>2691</v>
      </c>
      <c r="F474" s="8299" t="s">
        <v>2625</v>
      </c>
      <c r="G474" s="8299" t="s">
        <v>2692</v>
      </c>
      <c r="H474" s="8299" t="s">
        <v>22</v>
      </c>
      <c r="I474" s="8299" t="s">
        <v>1078</v>
      </c>
    </row>
    <row customHeight="1" ht="11.25">
      <c r="A475" s="8299" t="s">
        <v>2419</v>
      </c>
      <c r="B475" s="8299" t="s">
        <v>16</v>
      </c>
      <c r="C475" s="8299" t="s">
        <v>2693</v>
      </c>
      <c r="D475" s="8299" t="s">
        <v>2694</v>
      </c>
      <c r="E475" s="8299" t="s">
        <v>2695</v>
      </c>
      <c r="F475" s="8299" t="s">
        <v>2696</v>
      </c>
      <c r="G475" s="8299" t="s">
        <v>2617</v>
      </c>
      <c r="H475" s="8299" t="s">
        <v>22</v>
      </c>
      <c r="I475" s="8299" t="s">
        <v>1078</v>
      </c>
    </row>
    <row customHeight="1" ht="11.25">
      <c r="A476" s="8299" t="s">
        <v>2419</v>
      </c>
      <c r="B476" s="8299" t="s">
        <v>16</v>
      </c>
      <c r="C476" s="8299" t="s">
        <v>3405</v>
      </c>
      <c r="D476" s="8299" t="s">
        <v>3406</v>
      </c>
      <c r="E476" s="8299" t="s">
        <v>3407</v>
      </c>
      <c r="F476" s="8299" t="s">
        <v>2595</v>
      </c>
      <c r="G476" s="8299" t="s">
        <v>3408</v>
      </c>
      <c r="H476" s="8299" t="s">
        <v>22</v>
      </c>
      <c r="I476" s="8299" t="s">
        <v>1078</v>
      </c>
    </row>
    <row customHeight="1" ht="11.25">
      <c r="A477" s="8299" t="s">
        <v>2419</v>
      </c>
      <c r="B477" s="8299" t="s">
        <v>16</v>
      </c>
      <c r="C477" s="8299" t="s">
        <v>3409</v>
      </c>
      <c r="D477" s="8299" t="s">
        <v>3410</v>
      </c>
      <c r="E477" s="8299" t="s">
        <v>3411</v>
      </c>
      <c r="F477" s="8299" t="s">
        <v>2712</v>
      </c>
      <c r="G477" s="8299" t="s">
        <v>3412</v>
      </c>
      <c r="H477" s="8299" t="s">
        <v>22</v>
      </c>
      <c r="I477" s="8299" t="s">
        <v>1078</v>
      </c>
    </row>
    <row customHeight="1" ht="11.25">
      <c r="A478" s="8299" t="s">
        <v>2419</v>
      </c>
      <c r="B478" s="8299" t="s">
        <v>16</v>
      </c>
      <c r="C478" s="8299" t="s">
        <v>2709</v>
      </c>
      <c r="D478" s="8299" t="s">
        <v>2710</v>
      </c>
      <c r="E478" s="8299" t="s">
        <v>2711</v>
      </c>
      <c r="F478" s="8299" t="s">
        <v>2712</v>
      </c>
      <c r="G478" s="8299" t="s">
        <v>2713</v>
      </c>
      <c r="H478" s="8299" t="s">
        <v>22</v>
      </c>
      <c r="I478" s="8299" t="s">
        <v>1078</v>
      </c>
    </row>
    <row customHeight="1" ht="11.25">
      <c r="A479" s="8299" t="s">
        <v>2419</v>
      </c>
      <c r="B479" s="8299" t="s">
        <v>16</v>
      </c>
      <c r="C479" s="8299" t="s">
        <v>3413</v>
      </c>
      <c r="D479" s="8299" t="s">
        <v>3414</v>
      </c>
      <c r="E479" s="8299" t="s">
        <v>3415</v>
      </c>
      <c r="F479" s="8299" t="s">
        <v>3113</v>
      </c>
      <c r="G479" s="8299" t="s">
        <v>3416</v>
      </c>
      <c r="H479" s="8299" t="s">
        <v>22</v>
      </c>
      <c r="I479" s="8299" t="s">
        <v>1078</v>
      </c>
    </row>
    <row customHeight="1" ht="11.25">
      <c r="A480" s="8299" t="s">
        <v>2419</v>
      </c>
      <c r="B480" s="8299" t="s">
        <v>16</v>
      </c>
      <c r="C480" s="8299" t="s">
        <v>3417</v>
      </c>
      <c r="D480" s="8299" t="s">
        <v>3418</v>
      </c>
      <c r="E480" s="8299" t="s">
        <v>3419</v>
      </c>
      <c r="F480" s="8299" t="s">
        <v>2422</v>
      </c>
      <c r="G480" s="8299" t="s">
        <v>22</v>
      </c>
      <c r="H480" s="8299" t="s">
        <v>22</v>
      </c>
      <c r="I480" s="8299" t="s">
        <v>1078</v>
      </c>
    </row>
    <row customHeight="1" ht="11.25">
      <c r="A481" s="8299" t="s">
        <v>2419</v>
      </c>
      <c r="B481" s="8299" t="s">
        <v>16</v>
      </c>
      <c r="C481" s="8299" t="s">
        <v>3644</v>
      </c>
      <c r="D481" s="8299" t="s">
        <v>3645</v>
      </c>
      <c r="E481" s="8299" t="s">
        <v>3646</v>
      </c>
      <c r="F481" s="8299" t="s">
        <v>2422</v>
      </c>
      <c r="G481" s="8299" t="s">
        <v>3647</v>
      </c>
      <c r="H481" s="8299" t="s">
        <v>22</v>
      </c>
      <c r="I481" s="8299" t="s">
        <v>1078</v>
      </c>
    </row>
    <row customHeight="1" ht="11.25">
      <c r="A482" s="8299" t="s">
        <v>2419</v>
      </c>
      <c r="B482" s="8299" t="s">
        <v>16</v>
      </c>
      <c r="C482" s="8299" t="s">
        <v>3420</v>
      </c>
      <c r="D482" s="8299" t="s">
        <v>3421</v>
      </c>
      <c r="E482" s="8299" t="s">
        <v>3422</v>
      </c>
      <c r="F482" s="8299" t="s">
        <v>2422</v>
      </c>
      <c r="G482" s="8299" t="s">
        <v>3423</v>
      </c>
      <c r="H482" s="8299" t="s">
        <v>22</v>
      </c>
      <c r="I482" s="8299" t="s">
        <v>1078</v>
      </c>
    </row>
    <row customHeight="1" ht="11.25">
      <c r="A483" s="8299" t="s">
        <v>2419</v>
      </c>
      <c r="B483" s="8299" t="s">
        <v>16</v>
      </c>
      <c r="C483" s="8299" t="s">
        <v>3424</v>
      </c>
      <c r="D483" s="8299" t="s">
        <v>3425</v>
      </c>
      <c r="E483" s="8299" t="s">
        <v>3426</v>
      </c>
      <c r="F483" s="8299" t="s">
        <v>2471</v>
      </c>
      <c r="G483" s="8299" t="s">
        <v>3427</v>
      </c>
      <c r="H483" s="8299" t="s">
        <v>22</v>
      </c>
      <c r="I483" s="8299" t="s">
        <v>1078</v>
      </c>
    </row>
    <row customHeight="1" ht="11.25">
      <c r="A484" s="8299" t="s">
        <v>2419</v>
      </c>
      <c r="B484" s="8299" t="s">
        <v>16</v>
      </c>
      <c r="C484" s="8299" t="s">
        <v>3428</v>
      </c>
      <c r="D484" s="8299" t="s">
        <v>3429</v>
      </c>
      <c r="E484" s="8299" t="s">
        <v>3430</v>
      </c>
      <c r="F484" s="8299" t="s">
        <v>2471</v>
      </c>
      <c r="G484" s="8299" t="s">
        <v>3431</v>
      </c>
      <c r="H484" s="8299" t="s">
        <v>22</v>
      </c>
      <c r="I484" s="8299" t="s">
        <v>1078</v>
      </c>
    </row>
    <row customHeight="1" ht="11.25">
      <c r="A485" s="8299" t="s">
        <v>2419</v>
      </c>
      <c r="B485" s="8299" t="s">
        <v>16</v>
      </c>
      <c r="C485" s="8299" t="s">
        <v>2761</v>
      </c>
      <c r="D485" s="8299" t="s">
        <v>2762</v>
      </c>
      <c r="E485" s="8299" t="s">
        <v>2763</v>
      </c>
      <c r="F485" s="8299" t="s">
        <v>2422</v>
      </c>
      <c r="G485" s="8299" t="s">
        <v>2764</v>
      </c>
      <c r="H485" s="8299" t="s">
        <v>22</v>
      </c>
      <c r="I485" s="8299" t="s">
        <v>1078</v>
      </c>
    </row>
    <row customHeight="1" ht="11.25">
      <c r="A486" s="8299" t="s">
        <v>2419</v>
      </c>
      <c r="B486" s="8299" t="s">
        <v>16</v>
      </c>
      <c r="C486" s="8299" t="s">
        <v>3648</v>
      </c>
      <c r="D486" s="8299" t="s">
        <v>3649</v>
      </c>
      <c r="E486" s="8299" t="s">
        <v>3650</v>
      </c>
      <c r="F486" s="8299" t="s">
        <v>2696</v>
      </c>
      <c r="G486" s="8299" t="s">
        <v>3651</v>
      </c>
      <c r="H486" s="8299" t="s">
        <v>22</v>
      </c>
      <c r="I486" s="8299" t="s">
        <v>1078</v>
      </c>
    </row>
    <row customHeight="1" ht="11.25">
      <c r="A487" s="8299" t="s">
        <v>2419</v>
      </c>
      <c r="B487" s="8299" t="s">
        <v>16</v>
      </c>
      <c r="C487" s="8299" t="s">
        <v>3652</v>
      </c>
      <c r="D487" s="8299" t="s">
        <v>3653</v>
      </c>
      <c r="E487" s="8299" t="s">
        <v>3654</v>
      </c>
      <c r="F487" s="8299" t="s">
        <v>2717</v>
      </c>
      <c r="G487" s="8299" t="s">
        <v>3655</v>
      </c>
      <c r="H487" s="8299" t="s">
        <v>22</v>
      </c>
      <c r="I487" s="8299" t="s">
        <v>1078</v>
      </c>
    </row>
    <row customHeight="1" ht="11.25">
      <c r="A488" s="8299" t="s">
        <v>2419</v>
      </c>
      <c r="B488" s="8299" t="s">
        <v>16</v>
      </c>
      <c r="C488" s="8299" t="s">
        <v>3436</v>
      </c>
      <c r="D488" s="8299" t="s">
        <v>2795</v>
      </c>
      <c r="E488" s="8299" t="s">
        <v>3437</v>
      </c>
      <c r="F488" s="8299" t="s">
        <v>2490</v>
      </c>
      <c r="G488" s="8299" t="s">
        <v>3438</v>
      </c>
      <c r="H488" s="8299" t="s">
        <v>22</v>
      </c>
      <c r="I488" s="8299" t="s">
        <v>1078</v>
      </c>
    </row>
    <row customHeight="1" ht="11.25">
      <c r="A489" s="8299" t="s">
        <v>2419</v>
      </c>
      <c r="B489" s="8299" t="s">
        <v>16</v>
      </c>
      <c r="C489" s="8299" t="s">
        <v>3443</v>
      </c>
      <c r="D489" s="8299" t="s">
        <v>3444</v>
      </c>
      <c r="E489" s="8299" t="s">
        <v>3445</v>
      </c>
      <c r="F489" s="8299" t="s">
        <v>2422</v>
      </c>
      <c r="G489" s="8299" t="s">
        <v>3446</v>
      </c>
      <c r="H489" s="8299" t="s">
        <v>22</v>
      </c>
      <c r="I489" s="8299" t="s">
        <v>1078</v>
      </c>
    </row>
    <row customHeight="1" ht="11.25">
      <c r="A490" s="8299" t="s">
        <v>2419</v>
      </c>
      <c r="B490" s="8299" t="s">
        <v>16</v>
      </c>
      <c r="C490" s="8299" t="s">
        <v>3447</v>
      </c>
      <c r="D490" s="8299" t="s">
        <v>3448</v>
      </c>
      <c r="E490" s="8299" t="s">
        <v>3449</v>
      </c>
      <c r="F490" s="8299" t="s">
        <v>2422</v>
      </c>
      <c r="G490" s="8299" t="s">
        <v>3450</v>
      </c>
      <c r="H490" s="8299" t="s">
        <v>22</v>
      </c>
      <c r="I490" s="8299" t="s">
        <v>1078</v>
      </c>
    </row>
    <row customHeight="1" ht="11.25">
      <c r="A491" s="8299" t="s">
        <v>2419</v>
      </c>
      <c r="B491" s="8299" t="s">
        <v>16</v>
      </c>
      <c r="C491" s="8299" t="s">
        <v>3451</v>
      </c>
      <c r="D491" s="8299" t="s">
        <v>3452</v>
      </c>
      <c r="E491" s="8299" t="s">
        <v>3453</v>
      </c>
      <c r="F491" s="8299" t="s">
        <v>2520</v>
      </c>
      <c r="G491" s="8299" t="s">
        <v>3454</v>
      </c>
      <c r="H491" s="8299" t="s">
        <v>22</v>
      </c>
      <c r="I491" s="8299" t="s">
        <v>1078</v>
      </c>
    </row>
    <row customHeight="1" ht="11.25">
      <c r="A492" s="8299" t="s">
        <v>2419</v>
      </c>
      <c r="B492" s="8299" t="s">
        <v>16</v>
      </c>
      <c r="C492" s="8299" t="s">
        <v>3455</v>
      </c>
      <c r="D492" s="8299" t="s">
        <v>3456</v>
      </c>
      <c r="E492" s="8299" t="s">
        <v>3457</v>
      </c>
      <c r="F492" s="8299" t="s">
        <v>2905</v>
      </c>
      <c r="G492" s="8299" t="s">
        <v>3458</v>
      </c>
      <c r="H492" s="8299" t="s">
        <v>22</v>
      </c>
      <c r="I492" s="8299" t="s">
        <v>1078</v>
      </c>
    </row>
    <row customHeight="1" ht="11.25">
      <c r="A493" s="8299" t="s">
        <v>2419</v>
      </c>
      <c r="B493" s="8299" t="s">
        <v>16</v>
      </c>
      <c r="C493" s="8299" t="s">
        <v>3656</v>
      </c>
      <c r="D493" s="8299" t="s">
        <v>3657</v>
      </c>
      <c r="E493" s="8299" t="s">
        <v>3658</v>
      </c>
      <c r="F493" s="8299" t="s">
        <v>2422</v>
      </c>
      <c r="G493" s="8299" t="s">
        <v>3659</v>
      </c>
      <c r="H493" s="8299" t="s">
        <v>22</v>
      </c>
      <c r="I493" s="8299" t="s">
        <v>1078</v>
      </c>
    </row>
    <row customHeight="1" ht="11.25">
      <c r="A494" s="8299" t="s">
        <v>2419</v>
      </c>
      <c r="B494" s="8299" t="s">
        <v>16</v>
      </c>
      <c r="C494" s="8299" t="s">
        <v>3459</v>
      </c>
      <c r="D494" s="8299" t="s">
        <v>3460</v>
      </c>
      <c r="E494" s="8299" t="s">
        <v>3461</v>
      </c>
      <c r="F494" s="8299" t="s">
        <v>2520</v>
      </c>
      <c r="G494" s="8299" t="s">
        <v>3462</v>
      </c>
      <c r="H494" s="8299" t="s">
        <v>22</v>
      </c>
      <c r="I494" s="8299" t="s">
        <v>1078</v>
      </c>
    </row>
    <row customHeight="1" ht="11.25">
      <c r="A495" s="8299" t="s">
        <v>2419</v>
      </c>
      <c r="B495" s="8299" t="s">
        <v>16</v>
      </c>
      <c r="C495" s="8299" t="s">
        <v>3463</v>
      </c>
      <c r="D495" s="8299" t="s">
        <v>3460</v>
      </c>
      <c r="E495" s="8299" t="s">
        <v>3464</v>
      </c>
      <c r="F495" s="8299" t="s">
        <v>2520</v>
      </c>
      <c r="G495" s="8299" t="s">
        <v>3465</v>
      </c>
      <c r="H495" s="8299" t="s">
        <v>22</v>
      </c>
      <c r="I495" s="8299" t="s">
        <v>1078</v>
      </c>
    </row>
    <row customHeight="1" ht="11.25">
      <c r="A496" s="8299" t="s">
        <v>2419</v>
      </c>
      <c r="B496" s="8299" t="s">
        <v>16</v>
      </c>
      <c r="C496" s="8299" t="s">
        <v>3466</v>
      </c>
      <c r="D496" s="8299" t="s">
        <v>3467</v>
      </c>
      <c r="E496" s="8299" t="s">
        <v>3468</v>
      </c>
      <c r="F496" s="8299" t="s">
        <v>2776</v>
      </c>
      <c r="G496" s="8299" t="s">
        <v>3469</v>
      </c>
      <c r="H496" s="8299" t="s">
        <v>22</v>
      </c>
      <c r="I496" s="8299" t="s">
        <v>1078</v>
      </c>
    </row>
    <row customHeight="1" ht="11.25">
      <c r="A497" s="8299" t="s">
        <v>2419</v>
      </c>
      <c r="B497" s="8299" t="s">
        <v>16</v>
      </c>
      <c r="C497" s="8299" t="s">
        <v>2810</v>
      </c>
      <c r="D497" s="8299" t="s">
        <v>2811</v>
      </c>
      <c r="E497" s="8299" t="s">
        <v>2812</v>
      </c>
      <c r="F497" s="8299" t="s">
        <v>2520</v>
      </c>
      <c r="G497" s="8299" t="s">
        <v>22</v>
      </c>
      <c r="H497" s="8299" t="s">
        <v>22</v>
      </c>
      <c r="I497" s="8299" t="s">
        <v>1078</v>
      </c>
    </row>
    <row customHeight="1" ht="11.25">
      <c r="A498" s="8299" t="s">
        <v>2419</v>
      </c>
      <c r="B498" s="8299" t="s">
        <v>16</v>
      </c>
      <c r="C498" s="8299" t="s">
        <v>2813</v>
      </c>
      <c r="D498" s="8299" t="s">
        <v>2814</v>
      </c>
      <c r="E498" s="8299" t="s">
        <v>2815</v>
      </c>
      <c r="F498" s="8299" t="s">
        <v>2660</v>
      </c>
      <c r="G498" s="8299" t="s">
        <v>2816</v>
      </c>
      <c r="H498" s="8299" t="s">
        <v>22</v>
      </c>
      <c r="I498" s="8299" t="s">
        <v>1078</v>
      </c>
    </row>
    <row customHeight="1" ht="11.25">
      <c r="A499" s="8299" t="s">
        <v>2419</v>
      </c>
      <c r="B499" s="8299" t="s">
        <v>16</v>
      </c>
      <c r="C499" s="8299" t="s">
        <v>2826</v>
      </c>
      <c r="D499" s="8299" t="s">
        <v>2827</v>
      </c>
      <c r="E499" s="8299" t="s">
        <v>2823</v>
      </c>
      <c r="F499" s="8299" t="s">
        <v>2828</v>
      </c>
      <c r="G499" s="8299" t="s">
        <v>2825</v>
      </c>
      <c r="H499" s="8299" t="s">
        <v>22</v>
      </c>
      <c r="I499" s="8299" t="s">
        <v>1078</v>
      </c>
    </row>
    <row customHeight="1" ht="11.25">
      <c r="A500" s="8299" t="s">
        <v>2419</v>
      </c>
      <c r="B500" s="8299" t="s">
        <v>16</v>
      </c>
      <c r="C500" s="8299" t="s">
        <v>3474</v>
      </c>
      <c r="D500" s="8299" t="s">
        <v>3475</v>
      </c>
      <c r="E500" s="8299" t="s">
        <v>3476</v>
      </c>
      <c r="F500" s="8299" t="s">
        <v>2490</v>
      </c>
      <c r="G500" s="8299" t="s">
        <v>3477</v>
      </c>
      <c r="H500" s="8299" t="s">
        <v>22</v>
      </c>
      <c r="I500" s="8299" t="s">
        <v>1078</v>
      </c>
    </row>
    <row customHeight="1" ht="11.25">
      <c r="A501" s="8299" t="s">
        <v>2419</v>
      </c>
      <c r="B501" s="8299" t="s">
        <v>16</v>
      </c>
      <c r="C501" s="8299" t="s">
        <v>3478</v>
      </c>
      <c r="D501" s="8299" t="s">
        <v>3479</v>
      </c>
      <c r="E501" s="8299" t="s">
        <v>3480</v>
      </c>
      <c r="F501" s="8299" t="s">
        <v>2625</v>
      </c>
      <c r="G501" s="8299" t="s">
        <v>3481</v>
      </c>
      <c r="H501" s="8299" t="s">
        <v>22</v>
      </c>
      <c r="I501" s="8299" t="s">
        <v>1078</v>
      </c>
    </row>
    <row customHeight="1" ht="11.25">
      <c r="A502" s="8299" t="s">
        <v>2419</v>
      </c>
      <c r="B502" s="8299" t="s">
        <v>16</v>
      </c>
      <c r="C502" s="8299" t="s">
        <v>3362</v>
      </c>
      <c r="D502" s="8299" t="s">
        <v>3363</v>
      </c>
      <c r="E502" s="8299" t="s">
        <v>3364</v>
      </c>
      <c r="F502" s="8299" t="s">
        <v>2422</v>
      </c>
      <c r="G502" s="8299" t="s">
        <v>3365</v>
      </c>
      <c r="H502" s="8299" t="s">
        <v>22</v>
      </c>
      <c r="I502" s="8299" t="s">
        <v>1078</v>
      </c>
    </row>
    <row customHeight="1" ht="11.25">
      <c r="A503" s="8299" t="s">
        <v>2419</v>
      </c>
      <c r="B503" s="8299" t="s">
        <v>16</v>
      </c>
      <c r="C503" s="8299" t="s">
        <v>2829</v>
      </c>
      <c r="D503" s="8299" t="s">
        <v>2830</v>
      </c>
      <c r="E503" s="8299" t="s">
        <v>2831</v>
      </c>
      <c r="F503" s="8299" t="s">
        <v>2422</v>
      </c>
      <c r="G503" s="8299" t="s">
        <v>2832</v>
      </c>
      <c r="H503" s="8299" t="s">
        <v>22</v>
      </c>
      <c r="I503" s="8299" t="s">
        <v>1078</v>
      </c>
    </row>
    <row customHeight="1" ht="11.25">
      <c r="A504" s="8299" t="s">
        <v>2419</v>
      </c>
      <c r="B504" s="8299" t="s">
        <v>16</v>
      </c>
      <c r="C504" s="8299" t="s">
        <v>3482</v>
      </c>
      <c r="D504" s="8299" t="s">
        <v>3483</v>
      </c>
      <c r="E504" s="8299" t="s">
        <v>3484</v>
      </c>
      <c r="F504" s="8299" t="s">
        <v>2600</v>
      </c>
      <c r="G504" s="8299" t="s">
        <v>3485</v>
      </c>
      <c r="H504" s="8299" t="s">
        <v>22</v>
      </c>
      <c r="I504" s="8299" t="s">
        <v>1078</v>
      </c>
    </row>
    <row customHeight="1" ht="11.25">
      <c r="A505" s="8299" t="s">
        <v>2419</v>
      </c>
      <c r="B505" s="8299" t="s">
        <v>16</v>
      </c>
      <c r="C505" s="8299" t="s">
        <v>2833</v>
      </c>
      <c r="D505" s="8299" t="s">
        <v>2834</v>
      </c>
      <c r="E505" s="8299" t="s">
        <v>2835</v>
      </c>
      <c r="F505" s="8299" t="s">
        <v>2426</v>
      </c>
      <c r="G505" s="8299" t="s">
        <v>2836</v>
      </c>
      <c r="H505" s="8299" t="s">
        <v>22</v>
      </c>
      <c r="I505" s="8299" t="s">
        <v>1078</v>
      </c>
    </row>
    <row customHeight="1" ht="11.25">
      <c r="A506" s="8299" t="s">
        <v>2419</v>
      </c>
      <c r="B506" s="8299" t="s">
        <v>16</v>
      </c>
      <c r="C506" s="8299" t="s">
        <v>2837</v>
      </c>
      <c r="D506" s="8299" t="s">
        <v>2838</v>
      </c>
      <c r="E506" s="8299" t="s">
        <v>2839</v>
      </c>
      <c r="F506" s="8299" t="s">
        <v>2712</v>
      </c>
      <c r="G506" s="8299" t="s">
        <v>2840</v>
      </c>
      <c r="H506" s="8299" t="s">
        <v>22</v>
      </c>
      <c r="I506" s="8299" t="s">
        <v>1078</v>
      </c>
    </row>
    <row customHeight="1" ht="11.25">
      <c r="A507" s="8299" t="s">
        <v>2419</v>
      </c>
      <c r="B507" s="8299" t="s">
        <v>16</v>
      </c>
      <c r="C507" s="8299" t="s">
        <v>2845</v>
      </c>
      <c r="D507" s="8299" t="s">
        <v>2846</v>
      </c>
      <c r="E507" s="8299" t="s">
        <v>2847</v>
      </c>
      <c r="F507" s="8299" t="s">
        <v>2660</v>
      </c>
      <c r="G507" s="8299" t="s">
        <v>2848</v>
      </c>
      <c r="H507" s="8299" t="s">
        <v>22</v>
      </c>
      <c r="I507" s="8299" t="s">
        <v>1078</v>
      </c>
    </row>
    <row customHeight="1" ht="11.25">
      <c r="A508" s="8299" t="s">
        <v>2419</v>
      </c>
      <c r="B508" s="8299" t="s">
        <v>16</v>
      </c>
      <c r="C508" s="8299" t="s">
        <v>3486</v>
      </c>
      <c r="D508" s="8299" t="s">
        <v>3487</v>
      </c>
      <c r="E508" s="8299" t="s">
        <v>3488</v>
      </c>
      <c r="F508" s="8299" t="s">
        <v>2625</v>
      </c>
      <c r="G508" s="8299" t="s">
        <v>3489</v>
      </c>
      <c r="H508" s="8299" t="s">
        <v>22</v>
      </c>
      <c r="I508" s="8299" t="s">
        <v>1078</v>
      </c>
    </row>
    <row customHeight="1" ht="11.25">
      <c r="A509" s="8299" t="s">
        <v>2419</v>
      </c>
      <c r="B509" s="8299" t="s">
        <v>16</v>
      </c>
      <c r="C509" s="8299" t="s">
        <v>3490</v>
      </c>
      <c r="D509" s="8299" t="s">
        <v>3491</v>
      </c>
      <c r="E509" s="8299" t="s">
        <v>3492</v>
      </c>
      <c r="F509" s="8299" t="s">
        <v>2426</v>
      </c>
      <c r="G509" s="8299" t="s">
        <v>3493</v>
      </c>
      <c r="H509" s="8299" t="s">
        <v>22</v>
      </c>
      <c r="I509" s="8299" t="s">
        <v>1078</v>
      </c>
    </row>
    <row customHeight="1" ht="11.25">
      <c r="A510" s="8299" t="s">
        <v>2419</v>
      </c>
      <c r="B510" s="8299" t="s">
        <v>16</v>
      </c>
      <c r="C510" s="8299" t="s">
        <v>3660</v>
      </c>
      <c r="D510" s="8299" t="s">
        <v>3661</v>
      </c>
      <c r="E510" s="8299" t="s">
        <v>3662</v>
      </c>
      <c r="F510" s="8299" t="s">
        <v>2422</v>
      </c>
      <c r="G510" s="8299" t="s">
        <v>3663</v>
      </c>
      <c r="H510" s="8299" t="s">
        <v>22</v>
      </c>
      <c r="I510" s="8299" t="s">
        <v>1078</v>
      </c>
    </row>
    <row customHeight="1" ht="11.25">
      <c r="A511" s="8299" t="s">
        <v>2419</v>
      </c>
      <c r="B511" s="8299" t="s">
        <v>16</v>
      </c>
      <c r="C511" s="8299" t="s">
        <v>3498</v>
      </c>
      <c r="D511" s="8299" t="s">
        <v>3499</v>
      </c>
      <c r="E511" s="8299" t="s">
        <v>3500</v>
      </c>
      <c r="F511" s="8299" t="s">
        <v>2621</v>
      </c>
      <c r="G511" s="8299" t="s">
        <v>3501</v>
      </c>
      <c r="H511" s="8299" t="s">
        <v>22</v>
      </c>
      <c r="I511" s="8299" t="s">
        <v>1078</v>
      </c>
    </row>
    <row customHeight="1" ht="11.25">
      <c r="A512" s="8299" t="s">
        <v>2419</v>
      </c>
      <c r="B512" s="8299" t="s">
        <v>16</v>
      </c>
      <c r="C512" s="8299" t="s">
        <v>3502</v>
      </c>
      <c r="D512" s="8299" t="s">
        <v>3503</v>
      </c>
      <c r="E512" s="8299" t="s">
        <v>3504</v>
      </c>
      <c r="F512" s="8299" t="s">
        <v>3505</v>
      </c>
      <c r="G512" s="8299" t="s">
        <v>2581</v>
      </c>
      <c r="H512" s="8299" t="s">
        <v>22</v>
      </c>
      <c r="I512" s="8299" t="s">
        <v>1078</v>
      </c>
    </row>
    <row customHeight="1" ht="11.25">
      <c r="A513" s="8299" t="s">
        <v>2419</v>
      </c>
      <c r="B513" s="8299" t="s">
        <v>16</v>
      </c>
      <c r="C513" s="8299" t="s">
        <v>3664</v>
      </c>
      <c r="D513" s="8299" t="s">
        <v>3665</v>
      </c>
      <c r="E513" s="8299" t="s">
        <v>3666</v>
      </c>
      <c r="F513" s="8299" t="s">
        <v>2528</v>
      </c>
      <c r="G513" s="8299" t="s">
        <v>3667</v>
      </c>
      <c r="H513" s="8299" t="s">
        <v>22</v>
      </c>
      <c r="I513" s="8299" t="s">
        <v>1078</v>
      </c>
    </row>
    <row customHeight="1" ht="11.25">
      <c r="A514" s="8299" t="s">
        <v>2419</v>
      </c>
      <c r="B514" s="8299" t="s">
        <v>16</v>
      </c>
      <c r="C514" s="8299" t="s">
        <v>3506</v>
      </c>
      <c r="D514" s="8299" t="s">
        <v>3507</v>
      </c>
      <c r="E514" s="8299" t="s">
        <v>3508</v>
      </c>
      <c r="F514" s="8299" t="s">
        <v>2528</v>
      </c>
      <c r="G514" s="8299" t="s">
        <v>3509</v>
      </c>
      <c r="H514" s="8299" t="s">
        <v>22</v>
      </c>
      <c r="I514" s="8299" t="s">
        <v>1078</v>
      </c>
    </row>
    <row customHeight="1" ht="11.25">
      <c r="A515" s="8299" t="s">
        <v>2419</v>
      </c>
      <c r="B515" s="8299" t="s">
        <v>16</v>
      </c>
      <c r="C515" s="8299" t="s">
        <v>2882</v>
      </c>
      <c r="D515" s="8299" t="s">
        <v>2883</v>
      </c>
      <c r="E515" s="8299" t="s">
        <v>2884</v>
      </c>
      <c r="F515" s="8299" t="s">
        <v>2422</v>
      </c>
      <c r="G515" s="8299" t="s">
        <v>2885</v>
      </c>
      <c r="H515" s="8299" t="s">
        <v>22</v>
      </c>
      <c r="I515" s="8299" t="s">
        <v>1078</v>
      </c>
    </row>
    <row customHeight="1" ht="11.25">
      <c r="A516" s="8299" t="s">
        <v>2419</v>
      </c>
      <c r="B516" s="8299" t="s">
        <v>16</v>
      </c>
      <c r="C516" s="8299" t="s">
        <v>3510</v>
      </c>
      <c r="D516" s="8299" t="s">
        <v>3511</v>
      </c>
      <c r="E516" s="8299" t="s">
        <v>3512</v>
      </c>
      <c r="F516" s="8299" t="s">
        <v>2471</v>
      </c>
      <c r="G516" s="8299" t="s">
        <v>3427</v>
      </c>
      <c r="H516" s="8299" t="s">
        <v>22</v>
      </c>
      <c r="I516" s="8299" t="s">
        <v>1078</v>
      </c>
    </row>
    <row customHeight="1" ht="11.25">
      <c r="A517" s="8299" t="s">
        <v>2419</v>
      </c>
      <c r="B517" s="8299" t="s">
        <v>16</v>
      </c>
      <c r="C517" s="8299" t="s">
        <v>3668</v>
      </c>
      <c r="D517" s="8299" t="s">
        <v>3669</v>
      </c>
      <c r="E517" s="8299" t="s">
        <v>3670</v>
      </c>
      <c r="F517" s="8299" t="s">
        <v>2621</v>
      </c>
      <c r="G517" s="8299" t="s">
        <v>3671</v>
      </c>
      <c r="H517" s="8299" t="s">
        <v>22</v>
      </c>
      <c r="I517" s="8299" t="s">
        <v>1078</v>
      </c>
    </row>
    <row customHeight="1" ht="11.25">
      <c r="A518" s="8299" t="s">
        <v>2419</v>
      </c>
      <c r="B518" s="8299" t="s">
        <v>16</v>
      </c>
      <c r="C518" s="8299" t="s">
        <v>2906</v>
      </c>
      <c r="D518" s="8299" t="s">
        <v>2907</v>
      </c>
      <c r="E518" s="8299" t="s">
        <v>2908</v>
      </c>
      <c r="F518" s="8299" t="s">
        <v>2852</v>
      </c>
      <c r="G518" s="8299" t="s">
        <v>2909</v>
      </c>
      <c r="H518" s="8299" t="s">
        <v>22</v>
      </c>
      <c r="I518" s="8299" t="s">
        <v>1078</v>
      </c>
    </row>
    <row customHeight="1" ht="11.25">
      <c r="A519" s="8299" t="s">
        <v>2419</v>
      </c>
      <c r="B519" s="8299" t="s">
        <v>16</v>
      </c>
      <c r="C519" s="8299" t="s">
        <v>3513</v>
      </c>
      <c r="D519" s="8299" t="s">
        <v>3514</v>
      </c>
      <c r="E519" s="8299" t="s">
        <v>3515</v>
      </c>
      <c r="F519" s="8299" t="s">
        <v>2426</v>
      </c>
      <c r="G519" s="8299" t="s">
        <v>3516</v>
      </c>
      <c r="H519" s="8299" t="s">
        <v>22</v>
      </c>
      <c r="I519" s="8299" t="s">
        <v>1078</v>
      </c>
    </row>
    <row customHeight="1" ht="11.25">
      <c r="A520" s="8299" t="s">
        <v>2419</v>
      </c>
      <c r="B520" s="8299" t="s">
        <v>16</v>
      </c>
      <c r="C520" s="8299" t="s">
        <v>2910</v>
      </c>
      <c r="D520" s="8299" t="s">
        <v>2911</v>
      </c>
      <c r="E520" s="8299" t="s">
        <v>2912</v>
      </c>
      <c r="F520" s="8299" t="s">
        <v>2600</v>
      </c>
      <c r="G520" s="8299" t="s">
        <v>2913</v>
      </c>
      <c r="H520" s="8299" t="s">
        <v>22</v>
      </c>
      <c r="I520" s="8299" t="s">
        <v>1078</v>
      </c>
    </row>
    <row customHeight="1" ht="11.25">
      <c r="A521" s="8299" t="s">
        <v>2419</v>
      </c>
      <c r="B521" s="8299" t="s">
        <v>16</v>
      </c>
      <c r="C521" s="8299" t="s">
        <v>2922</v>
      </c>
      <c r="D521" s="8299" t="s">
        <v>2923</v>
      </c>
      <c r="E521" s="8299" t="s">
        <v>2924</v>
      </c>
      <c r="F521" s="8299" t="s">
        <v>2712</v>
      </c>
      <c r="G521" s="8299" t="s">
        <v>2925</v>
      </c>
      <c r="H521" s="8299" t="s">
        <v>22</v>
      </c>
      <c r="I521" s="8299" t="s">
        <v>1078</v>
      </c>
    </row>
    <row customHeight="1" ht="11.25">
      <c r="A522" s="8299" t="s">
        <v>2419</v>
      </c>
      <c r="B522" s="8299" t="s">
        <v>16</v>
      </c>
      <c r="C522" s="8299" t="s">
        <v>3521</v>
      </c>
      <c r="D522" s="8299" t="s">
        <v>3522</v>
      </c>
      <c r="E522" s="8299" t="s">
        <v>3523</v>
      </c>
      <c r="F522" s="8299" t="s">
        <v>2426</v>
      </c>
      <c r="G522" s="8299" t="s">
        <v>3524</v>
      </c>
      <c r="H522" s="8299" t="s">
        <v>22</v>
      </c>
      <c r="I522" s="8299" t="s">
        <v>1078</v>
      </c>
    </row>
    <row customHeight="1" ht="11.25">
      <c r="A523" s="8299" t="s">
        <v>2419</v>
      </c>
      <c r="B523" s="8299" t="s">
        <v>16</v>
      </c>
      <c r="C523" s="8299" t="s">
        <v>3672</v>
      </c>
      <c r="D523" s="8299" t="s">
        <v>3673</v>
      </c>
      <c r="E523" s="8299" t="s">
        <v>3674</v>
      </c>
      <c r="F523" s="8299" t="s">
        <v>2490</v>
      </c>
      <c r="G523" s="8299" t="s">
        <v>3675</v>
      </c>
      <c r="H523" s="8299" t="s">
        <v>22</v>
      </c>
      <c r="I523" s="8299" t="s">
        <v>1078</v>
      </c>
    </row>
    <row customHeight="1" ht="11.25">
      <c r="A524" s="8299" t="s">
        <v>2419</v>
      </c>
      <c r="B524" s="8299" t="s">
        <v>16</v>
      </c>
      <c r="C524" s="8299" t="s">
        <v>3528</v>
      </c>
      <c r="D524" s="8299" t="s">
        <v>3529</v>
      </c>
      <c r="E524" s="8299" t="s">
        <v>3530</v>
      </c>
      <c r="F524" s="8299" t="s">
        <v>2426</v>
      </c>
      <c r="G524" s="8299" t="s">
        <v>3531</v>
      </c>
      <c r="H524" s="8299" t="s">
        <v>22</v>
      </c>
      <c r="I524" s="8299" t="s">
        <v>1078</v>
      </c>
    </row>
    <row customHeight="1" ht="11.25">
      <c r="A525" s="8299" t="s">
        <v>2419</v>
      </c>
      <c r="B525" s="8299" t="s">
        <v>16</v>
      </c>
      <c r="C525" s="8299" t="s">
        <v>3532</v>
      </c>
      <c r="D525" s="8299" t="s">
        <v>3533</v>
      </c>
      <c r="E525" s="8299" t="s">
        <v>3534</v>
      </c>
      <c r="F525" s="8299" t="s">
        <v>2481</v>
      </c>
      <c r="G525" s="8299" t="s">
        <v>3535</v>
      </c>
      <c r="H525" s="8299" t="s">
        <v>22</v>
      </c>
      <c r="I525" s="8299" t="s">
        <v>1078</v>
      </c>
    </row>
    <row customHeight="1" ht="11.25">
      <c r="A526" s="8299" t="s">
        <v>2419</v>
      </c>
      <c r="B526" s="8299" t="s">
        <v>16</v>
      </c>
      <c r="C526" s="8299" t="s">
        <v>3536</v>
      </c>
      <c r="D526" s="8299" t="s">
        <v>3537</v>
      </c>
      <c r="E526" s="8299" t="s">
        <v>3538</v>
      </c>
      <c r="F526" s="8299" t="s">
        <v>2422</v>
      </c>
      <c r="G526" s="8299" t="s">
        <v>3539</v>
      </c>
      <c r="H526" s="8299" t="s">
        <v>22</v>
      </c>
      <c r="I526" s="8299" t="s">
        <v>1078</v>
      </c>
    </row>
    <row customHeight="1" ht="11.25">
      <c r="A527" s="8299" t="s">
        <v>2419</v>
      </c>
      <c r="B527" s="8299" t="s">
        <v>16</v>
      </c>
      <c r="C527" s="8299" t="s">
        <v>3545</v>
      </c>
      <c r="D527" s="8299" t="s">
        <v>3546</v>
      </c>
      <c r="E527" s="8299" t="s">
        <v>3547</v>
      </c>
      <c r="F527" s="8299" t="s">
        <v>2625</v>
      </c>
      <c r="G527" s="8299" t="s">
        <v>3548</v>
      </c>
      <c r="H527" s="8299" t="s">
        <v>22</v>
      </c>
      <c r="I527" s="8299" t="s">
        <v>1078</v>
      </c>
    </row>
    <row customHeight="1" ht="11.25">
      <c r="A528" s="8299" t="s">
        <v>2419</v>
      </c>
      <c r="B528" s="8299" t="s">
        <v>16</v>
      </c>
      <c r="C528" s="8299" t="s">
        <v>2938</v>
      </c>
      <c r="D528" s="8299" t="s">
        <v>2939</v>
      </c>
      <c r="E528" s="8299" t="s">
        <v>2940</v>
      </c>
      <c r="F528" s="8299" t="s">
        <v>2852</v>
      </c>
      <c r="G528" s="8299" t="s">
        <v>2941</v>
      </c>
      <c r="H528" s="8299" t="s">
        <v>22</v>
      </c>
      <c r="I528" s="8299" t="s">
        <v>1078</v>
      </c>
    </row>
    <row customHeight="1" ht="11.25">
      <c r="A529" s="8299" t="s">
        <v>2419</v>
      </c>
      <c r="B529" s="8299" t="s">
        <v>16</v>
      </c>
      <c r="C529" s="8299" t="s">
        <v>3549</v>
      </c>
      <c r="D529" s="8299" t="s">
        <v>3550</v>
      </c>
      <c r="E529" s="8299" t="s">
        <v>3551</v>
      </c>
      <c r="F529" s="8299" t="s">
        <v>2422</v>
      </c>
      <c r="G529" s="8299" t="s">
        <v>3552</v>
      </c>
      <c r="H529" s="8299" t="s">
        <v>22</v>
      </c>
      <c r="I529" s="8299" t="s">
        <v>1078</v>
      </c>
    </row>
    <row customHeight="1" ht="11.25">
      <c r="A530" s="8299" t="s">
        <v>2419</v>
      </c>
      <c r="B530" s="8299" t="s">
        <v>16</v>
      </c>
      <c r="C530" s="8299" t="s">
        <v>3676</v>
      </c>
      <c r="D530" s="8299" t="s">
        <v>3677</v>
      </c>
      <c r="E530" s="8299" t="s">
        <v>3678</v>
      </c>
      <c r="F530" s="8299" t="s">
        <v>2422</v>
      </c>
      <c r="G530" s="8299" t="s">
        <v>3679</v>
      </c>
      <c r="H530" s="8299" t="s">
        <v>22</v>
      </c>
      <c r="I530" s="8299" t="s">
        <v>1078</v>
      </c>
    </row>
    <row customHeight="1" ht="11.25">
      <c r="A531" s="8299" t="s">
        <v>2419</v>
      </c>
      <c r="B531" s="8299" t="s">
        <v>16</v>
      </c>
      <c r="C531" s="8299" t="s">
        <v>2942</v>
      </c>
      <c r="D531" s="8299" t="s">
        <v>2943</v>
      </c>
      <c r="E531" s="8299" t="s">
        <v>2944</v>
      </c>
      <c r="F531" s="8299" t="s">
        <v>2712</v>
      </c>
      <c r="G531" s="8299" t="s">
        <v>2945</v>
      </c>
      <c r="H531" s="8299" t="s">
        <v>22</v>
      </c>
      <c r="I531" s="8299" t="s">
        <v>1078</v>
      </c>
    </row>
    <row customHeight="1" ht="11.25">
      <c r="A532" s="8299" t="s">
        <v>2419</v>
      </c>
      <c r="B532" s="8299" t="s">
        <v>16</v>
      </c>
      <c r="C532" s="8299" t="s">
        <v>3557</v>
      </c>
      <c r="D532" s="8299" t="s">
        <v>3558</v>
      </c>
      <c r="E532" s="8299" t="s">
        <v>3559</v>
      </c>
      <c r="F532" s="8299" t="s">
        <v>2422</v>
      </c>
      <c r="G532" s="8299" t="s">
        <v>3560</v>
      </c>
      <c r="H532" s="8299" t="s">
        <v>22</v>
      </c>
      <c r="I532" s="8299" t="s">
        <v>1078</v>
      </c>
    </row>
    <row customHeight="1" ht="11.25">
      <c r="A533" s="8299" t="s">
        <v>2419</v>
      </c>
      <c r="B533" s="8299" t="s">
        <v>16</v>
      </c>
      <c r="C533" s="8299" t="s">
        <v>3561</v>
      </c>
      <c r="D533" s="8299" t="s">
        <v>3562</v>
      </c>
      <c r="E533" s="8299" t="s">
        <v>3563</v>
      </c>
      <c r="F533" s="8299" t="s">
        <v>2852</v>
      </c>
      <c r="G533" s="8299" t="s">
        <v>3564</v>
      </c>
      <c r="H533" s="8299" t="s">
        <v>22</v>
      </c>
      <c r="I533" s="8299" t="s">
        <v>1078</v>
      </c>
    </row>
    <row customHeight="1" ht="11.25">
      <c r="A534" s="8299" t="s">
        <v>2419</v>
      </c>
      <c r="B534" s="8299" t="s">
        <v>16</v>
      </c>
      <c r="C534" s="8299" t="s">
        <v>3565</v>
      </c>
      <c r="D534" s="8299" t="s">
        <v>3566</v>
      </c>
      <c r="E534" s="8299" t="s">
        <v>3567</v>
      </c>
      <c r="F534" s="8299" t="s">
        <v>2422</v>
      </c>
      <c r="G534" s="8299" t="s">
        <v>3568</v>
      </c>
      <c r="H534" s="8299" t="s">
        <v>22</v>
      </c>
      <c r="I534" s="8299" t="s">
        <v>1078</v>
      </c>
    </row>
    <row customHeight="1" ht="11.25">
      <c r="A535" s="8299" t="s">
        <v>2419</v>
      </c>
      <c r="B535" s="8299" t="s">
        <v>16</v>
      </c>
      <c r="C535" s="8299" t="s">
        <v>3569</v>
      </c>
      <c r="D535" s="8299" t="s">
        <v>3570</v>
      </c>
      <c r="E535" s="8299" t="s">
        <v>3571</v>
      </c>
      <c r="F535" s="8299" t="s">
        <v>2422</v>
      </c>
      <c r="G535" s="8299" t="s">
        <v>3572</v>
      </c>
      <c r="H535" s="8299" t="s">
        <v>22</v>
      </c>
      <c r="I535" s="8299" t="s">
        <v>1078</v>
      </c>
    </row>
    <row customHeight="1" ht="11.25">
      <c r="A536" s="8299" t="s">
        <v>2419</v>
      </c>
      <c r="B536" s="8299" t="s">
        <v>16</v>
      </c>
      <c r="C536" s="8299" t="s">
        <v>2961</v>
      </c>
      <c r="D536" s="8299" t="s">
        <v>2962</v>
      </c>
      <c r="E536" s="8299" t="s">
        <v>2963</v>
      </c>
      <c r="F536" s="8299" t="s">
        <v>2426</v>
      </c>
      <c r="G536" s="8299" t="s">
        <v>2964</v>
      </c>
      <c r="H536" s="8299" t="s">
        <v>22</v>
      </c>
      <c r="I536" s="8299" t="s">
        <v>1078</v>
      </c>
    </row>
    <row customHeight="1" ht="11.25">
      <c r="A537" s="8299" t="s">
        <v>2419</v>
      </c>
      <c r="B537" s="8299" t="s">
        <v>16</v>
      </c>
      <c r="C537" s="8299" t="s">
        <v>3573</v>
      </c>
      <c r="D537" s="8299" t="s">
        <v>3574</v>
      </c>
      <c r="E537" s="8299" t="s">
        <v>3575</v>
      </c>
      <c r="F537" s="8299" t="s">
        <v>2422</v>
      </c>
      <c r="G537" s="8299" t="s">
        <v>3576</v>
      </c>
      <c r="H537" s="8299" t="s">
        <v>22</v>
      </c>
      <c r="I537" s="8299" t="s">
        <v>1078</v>
      </c>
    </row>
    <row customHeight="1" ht="11.25">
      <c r="A538" s="8299" t="s">
        <v>2419</v>
      </c>
      <c r="B538" s="8299" t="s">
        <v>16</v>
      </c>
      <c r="C538" s="8299" t="s">
        <v>2977</v>
      </c>
      <c r="D538" s="8299" t="s">
        <v>2978</v>
      </c>
      <c r="E538" s="8299" t="s">
        <v>2979</v>
      </c>
      <c r="F538" s="8299" t="s">
        <v>2712</v>
      </c>
      <c r="G538" s="8299" t="s">
        <v>22</v>
      </c>
      <c r="H538" s="8299" t="s">
        <v>22</v>
      </c>
      <c r="I538" s="8299" t="s">
        <v>1078</v>
      </c>
    </row>
    <row customHeight="1" ht="11.25">
      <c r="A539" s="8299" t="s">
        <v>2419</v>
      </c>
      <c r="B539" s="8299" t="s">
        <v>16</v>
      </c>
      <c r="C539" s="8299" t="s">
        <v>3680</v>
      </c>
      <c r="D539" s="8299" t="s">
        <v>3681</v>
      </c>
      <c r="E539" s="8299" t="s">
        <v>3682</v>
      </c>
      <c r="F539" s="8299" t="s">
        <v>2422</v>
      </c>
      <c r="G539" s="8299" t="s">
        <v>3683</v>
      </c>
      <c r="H539" s="8299" t="s">
        <v>22</v>
      </c>
      <c r="I539" s="8299" t="s">
        <v>1078</v>
      </c>
    </row>
    <row customHeight="1" ht="11.25">
      <c r="A540" s="8299" t="s">
        <v>2419</v>
      </c>
      <c r="B540" s="8299" t="s">
        <v>16</v>
      </c>
      <c r="C540" s="8299" t="s">
        <v>3577</v>
      </c>
      <c r="D540" s="8299" t="s">
        <v>3578</v>
      </c>
      <c r="E540" s="8299" t="s">
        <v>3579</v>
      </c>
      <c r="F540" s="8299" t="s">
        <v>3580</v>
      </c>
      <c r="G540" s="8299" t="s">
        <v>3581</v>
      </c>
      <c r="H540" s="8299" t="s">
        <v>22</v>
      </c>
      <c r="I540" s="8299" t="s">
        <v>1078</v>
      </c>
    </row>
    <row customHeight="1" ht="11.25">
      <c r="A541" s="8299" t="s">
        <v>2419</v>
      </c>
      <c r="B541" s="8299" t="s">
        <v>16</v>
      </c>
      <c r="C541" s="8299" t="s">
        <v>3582</v>
      </c>
      <c r="D541" s="8299" t="s">
        <v>3583</v>
      </c>
      <c r="E541" s="8299" t="s">
        <v>3584</v>
      </c>
      <c r="F541" s="8299" t="s">
        <v>2422</v>
      </c>
      <c r="G541" s="8299" t="s">
        <v>3585</v>
      </c>
      <c r="H541" s="8299" t="s">
        <v>22</v>
      </c>
      <c r="I541" s="8299" t="s">
        <v>1078</v>
      </c>
    </row>
    <row customHeight="1" ht="11.25">
      <c r="A542" s="8299" t="s">
        <v>2419</v>
      </c>
      <c r="B542" s="8299" t="s">
        <v>16</v>
      </c>
      <c r="C542" s="8299" t="s">
        <v>2980</v>
      </c>
      <c r="D542" s="8299" t="s">
        <v>2981</v>
      </c>
      <c r="E542" s="8299" t="s">
        <v>2982</v>
      </c>
      <c r="F542" s="8299" t="s">
        <v>2422</v>
      </c>
      <c r="G542" s="8299" t="s">
        <v>2983</v>
      </c>
      <c r="H542" s="8299" t="s">
        <v>22</v>
      </c>
      <c r="I542" s="8299" t="s">
        <v>1078</v>
      </c>
    </row>
    <row customHeight="1" ht="11.25">
      <c r="A543" s="8299" t="s">
        <v>2419</v>
      </c>
      <c r="B543" s="8299" t="s">
        <v>16</v>
      </c>
      <c r="C543" s="8299" t="s">
        <v>2992</v>
      </c>
      <c r="D543" s="8299" t="s">
        <v>2993</v>
      </c>
      <c r="E543" s="8299" t="s">
        <v>2994</v>
      </c>
      <c r="F543" s="8299" t="s">
        <v>2625</v>
      </c>
      <c r="G543" s="8299" t="s">
        <v>2995</v>
      </c>
      <c r="H543" s="8299" t="s">
        <v>2996</v>
      </c>
      <c r="I543" s="8299" t="s">
        <v>1078</v>
      </c>
    </row>
    <row customHeight="1" ht="11.25">
      <c r="A544" s="8299" t="s">
        <v>2419</v>
      </c>
      <c r="B544" s="8299" t="s">
        <v>16</v>
      </c>
      <c r="C544" s="8299" t="s">
        <v>3586</v>
      </c>
      <c r="D544" s="8299" t="s">
        <v>3587</v>
      </c>
      <c r="E544" s="8299" t="s">
        <v>3588</v>
      </c>
      <c r="F544" s="8299" t="s">
        <v>2712</v>
      </c>
      <c r="G544" s="8299" t="s">
        <v>3589</v>
      </c>
      <c r="H544" s="8299" t="s">
        <v>22</v>
      </c>
      <c r="I544" s="8299" t="s">
        <v>1078</v>
      </c>
    </row>
    <row customHeight="1" ht="11.25">
      <c r="A545" s="8299" t="s">
        <v>2419</v>
      </c>
      <c r="B545" s="8299" t="s">
        <v>16</v>
      </c>
      <c r="C545" s="8299" t="s">
        <v>3590</v>
      </c>
      <c r="D545" s="8299" t="s">
        <v>3591</v>
      </c>
      <c r="E545" s="8299" t="s">
        <v>3592</v>
      </c>
      <c r="F545" s="8299" t="s">
        <v>2426</v>
      </c>
      <c r="G545" s="8299" t="s">
        <v>2869</v>
      </c>
      <c r="H545" s="8299" t="s">
        <v>22</v>
      </c>
      <c r="I545" s="8299" t="s">
        <v>1078</v>
      </c>
    </row>
    <row customHeight="1" ht="11.25">
      <c r="A546" s="8299" t="s">
        <v>2419</v>
      </c>
      <c r="B546" s="8299" t="s">
        <v>16</v>
      </c>
      <c r="C546" s="8299" t="s">
        <v>3593</v>
      </c>
      <c r="D546" s="8299" t="s">
        <v>3594</v>
      </c>
      <c r="E546" s="8299" t="s">
        <v>3595</v>
      </c>
      <c r="F546" s="8299" t="s">
        <v>2490</v>
      </c>
      <c r="G546" s="8299" t="s">
        <v>22</v>
      </c>
      <c r="H546" s="8299" t="s">
        <v>22</v>
      </c>
      <c r="I546" s="8299" t="s">
        <v>1078</v>
      </c>
    </row>
    <row customHeight="1" ht="11.25">
      <c r="A547" s="8299" t="s">
        <v>2419</v>
      </c>
      <c r="B547" s="8299" t="s">
        <v>16</v>
      </c>
      <c r="C547" s="8299" t="s">
        <v>3001</v>
      </c>
      <c r="D547" s="8299" t="s">
        <v>3002</v>
      </c>
      <c r="E547" s="8299" t="s">
        <v>3003</v>
      </c>
      <c r="F547" s="8299" t="s">
        <v>2712</v>
      </c>
      <c r="G547" s="8299" t="s">
        <v>3004</v>
      </c>
      <c r="H547" s="8299" t="s">
        <v>22</v>
      </c>
      <c r="I547" s="8299" t="s">
        <v>1078</v>
      </c>
    </row>
    <row customHeight="1" ht="11.25">
      <c r="A548" s="8299" t="s">
        <v>2419</v>
      </c>
      <c r="B548" s="8299" t="s">
        <v>16</v>
      </c>
      <c r="C548" s="8299" t="s">
        <v>3015</v>
      </c>
      <c r="D548" s="8299" t="s">
        <v>3016</v>
      </c>
      <c r="E548" s="8299" t="s">
        <v>3017</v>
      </c>
      <c r="F548" s="8299" t="s">
        <v>2625</v>
      </c>
      <c r="G548" s="8299" t="s">
        <v>3018</v>
      </c>
      <c r="H548" s="8299" t="s">
        <v>22</v>
      </c>
      <c r="I548" s="8299" t="s">
        <v>1078</v>
      </c>
    </row>
    <row customHeight="1" ht="11.25">
      <c r="A549" s="8299" t="s">
        <v>2419</v>
      </c>
      <c r="B549" s="8299" t="s">
        <v>16</v>
      </c>
      <c r="C549" s="8299" t="s">
        <v>3019</v>
      </c>
      <c r="D549" s="8299" t="s">
        <v>3020</v>
      </c>
      <c r="E549" s="8299" t="s">
        <v>3021</v>
      </c>
      <c r="F549" s="8299" t="s">
        <v>2595</v>
      </c>
      <c r="G549" s="8299" t="s">
        <v>3022</v>
      </c>
      <c r="H549" s="8299" t="s">
        <v>22</v>
      </c>
      <c r="I549" s="8299" t="s">
        <v>1078</v>
      </c>
    </row>
    <row customHeight="1" ht="11.25">
      <c r="A550" s="8299" t="s">
        <v>2419</v>
      </c>
      <c r="B550" s="8299" t="s">
        <v>16</v>
      </c>
      <c r="C550" s="8299" t="s">
        <v>3596</v>
      </c>
      <c r="D550" s="8299" t="s">
        <v>3597</v>
      </c>
      <c r="E550" s="8299" t="s">
        <v>3598</v>
      </c>
      <c r="F550" s="8299" t="s">
        <v>2422</v>
      </c>
      <c r="G550" s="8299" t="s">
        <v>3599</v>
      </c>
      <c r="H550" s="8299" t="s">
        <v>22</v>
      </c>
      <c r="I550" s="8299" t="s">
        <v>1078</v>
      </c>
    </row>
    <row customHeight="1" ht="11.25">
      <c r="A551" s="8299" t="s">
        <v>2419</v>
      </c>
      <c r="B551" s="8299" t="s">
        <v>16</v>
      </c>
      <c r="C551" s="8299" t="s">
        <v>3600</v>
      </c>
      <c r="D551" s="8299" t="s">
        <v>3601</v>
      </c>
      <c r="E551" s="8299" t="s">
        <v>3602</v>
      </c>
      <c r="F551" s="8299" t="s">
        <v>2712</v>
      </c>
      <c r="G551" s="8299" t="s">
        <v>3603</v>
      </c>
      <c r="H551" s="8299" t="s">
        <v>22</v>
      </c>
      <c r="I551" s="8299" t="s">
        <v>1078</v>
      </c>
    </row>
    <row customHeight="1" ht="11.25">
      <c r="A552" s="8299" t="s">
        <v>2419</v>
      </c>
      <c r="B552" s="8299" t="s">
        <v>16</v>
      </c>
      <c r="C552" s="8299" t="s">
        <v>3031</v>
      </c>
      <c r="D552" s="8299" t="s">
        <v>3032</v>
      </c>
      <c r="E552" s="8299" t="s">
        <v>3033</v>
      </c>
      <c r="F552" s="8299" t="s">
        <v>2426</v>
      </c>
      <c r="G552" s="8299" t="s">
        <v>3034</v>
      </c>
      <c r="H552" s="8299" t="s">
        <v>22</v>
      </c>
      <c r="I552" s="8299" t="s">
        <v>1078</v>
      </c>
    </row>
    <row customHeight="1" ht="11.25">
      <c r="A553" s="8299" t="s">
        <v>2419</v>
      </c>
      <c r="B553" s="8299" t="s">
        <v>16</v>
      </c>
      <c r="C553" s="8299" t="s">
        <v>3604</v>
      </c>
      <c r="D553" s="8299" t="s">
        <v>3605</v>
      </c>
      <c r="E553" s="8299" t="s">
        <v>3606</v>
      </c>
      <c r="F553" s="8299" t="s">
        <v>3505</v>
      </c>
      <c r="G553" s="8299" t="s">
        <v>3607</v>
      </c>
      <c r="H553" s="8299" t="s">
        <v>22</v>
      </c>
      <c r="I553" s="8299" t="s">
        <v>1078</v>
      </c>
    </row>
    <row customHeight="1" ht="11.25">
      <c r="A554" s="8299" t="s">
        <v>2419</v>
      </c>
      <c r="B554" s="8299" t="s">
        <v>16</v>
      </c>
      <c r="C554" s="8299" t="s">
        <v>3069</v>
      </c>
      <c r="D554" s="8299" t="s">
        <v>3070</v>
      </c>
      <c r="E554" s="8299" t="s">
        <v>3071</v>
      </c>
      <c r="F554" s="8299" t="s">
        <v>2660</v>
      </c>
      <c r="G554" s="8299" t="s">
        <v>3072</v>
      </c>
      <c r="H554" s="8299" t="s">
        <v>22</v>
      </c>
      <c r="I554" s="8299" t="s">
        <v>1078</v>
      </c>
    </row>
    <row customHeight="1" ht="11.25">
      <c r="A555" s="8299" t="s">
        <v>2419</v>
      </c>
      <c r="B555" s="8299" t="s">
        <v>16</v>
      </c>
      <c r="C555" s="8299" t="s">
        <v>3115</v>
      </c>
      <c r="D555" s="8299" t="s">
        <v>3116</v>
      </c>
      <c r="E555" s="8299" t="s">
        <v>3117</v>
      </c>
      <c r="F555" s="8299" t="s">
        <v>2621</v>
      </c>
      <c r="G555" s="8299" t="s">
        <v>3118</v>
      </c>
      <c r="H555" s="8299" t="s">
        <v>22</v>
      </c>
      <c r="I555" s="8299" t="s">
        <v>1078</v>
      </c>
    </row>
    <row customHeight="1" ht="11.25">
      <c r="A556" s="8299" t="s">
        <v>2419</v>
      </c>
      <c r="B556" s="8299" t="s">
        <v>16</v>
      </c>
      <c r="C556" s="8299" t="s">
        <v>3684</v>
      </c>
      <c r="D556" s="8299" t="s">
        <v>3685</v>
      </c>
      <c r="E556" s="8299" t="s">
        <v>3686</v>
      </c>
      <c r="F556" s="8299" t="s">
        <v>2422</v>
      </c>
      <c r="G556" s="8299" t="s">
        <v>3687</v>
      </c>
      <c r="H556" s="8299" t="s">
        <v>22</v>
      </c>
      <c r="I556" s="8299" t="s">
        <v>1078</v>
      </c>
    </row>
    <row customHeight="1" ht="11.25">
      <c r="A557" s="8299" t="s">
        <v>2419</v>
      </c>
      <c r="B557" s="8299" t="s">
        <v>16</v>
      </c>
      <c r="C557" s="8299" t="s">
        <v>3127</v>
      </c>
      <c r="D557" s="8299" t="s">
        <v>3128</v>
      </c>
      <c r="E557" s="8299" t="s">
        <v>3129</v>
      </c>
      <c r="F557" s="8299" t="s">
        <v>3113</v>
      </c>
      <c r="G557" s="8299" t="s">
        <v>3130</v>
      </c>
      <c r="H557" s="8299" t="s">
        <v>22</v>
      </c>
      <c r="I557" s="8299" t="s">
        <v>1078</v>
      </c>
    </row>
    <row customHeight="1" ht="11.25">
      <c r="A558" s="8299" t="s">
        <v>2419</v>
      </c>
      <c r="B558" s="8299" t="s">
        <v>16</v>
      </c>
      <c r="C558" s="8299" t="s">
        <v>3135</v>
      </c>
      <c r="D558" s="8299" t="s">
        <v>3136</v>
      </c>
      <c r="E558" s="8299" t="s">
        <v>3137</v>
      </c>
      <c r="F558" s="8299" t="s">
        <v>2426</v>
      </c>
      <c r="G558" s="8299" t="s">
        <v>3138</v>
      </c>
      <c r="H558" s="8299" t="s">
        <v>22</v>
      </c>
      <c r="I558" s="8299" t="s">
        <v>1078</v>
      </c>
    </row>
    <row customHeight="1" ht="11.25">
      <c r="A559" s="8299" t="s">
        <v>2419</v>
      </c>
      <c r="B559" s="8299" t="s">
        <v>16</v>
      </c>
      <c r="C559" s="8299" t="s">
        <v>3139</v>
      </c>
      <c r="D559" s="8299" t="s">
        <v>3140</v>
      </c>
      <c r="E559" s="8299" t="s">
        <v>3141</v>
      </c>
      <c r="F559" s="8299" t="s">
        <v>2625</v>
      </c>
      <c r="G559" s="8299" t="s">
        <v>3142</v>
      </c>
      <c r="H559" s="8299" t="s">
        <v>22</v>
      </c>
      <c r="I559" s="8299" t="s">
        <v>1078</v>
      </c>
    </row>
    <row customHeight="1" ht="11.25">
      <c r="A560" s="8299" t="s">
        <v>2419</v>
      </c>
      <c r="B560" s="8299" t="s">
        <v>16</v>
      </c>
      <c r="C560" s="8299" t="s">
        <v>3151</v>
      </c>
      <c r="D560" s="8299" t="s">
        <v>3152</v>
      </c>
      <c r="E560" s="8299" t="s">
        <v>3153</v>
      </c>
      <c r="F560" s="8299" t="s">
        <v>2422</v>
      </c>
      <c r="G560" s="8299" t="s">
        <v>3154</v>
      </c>
      <c r="H560" s="8299" t="s">
        <v>22</v>
      </c>
      <c r="I560" s="8299" t="s">
        <v>1078</v>
      </c>
    </row>
    <row customHeight="1" ht="11.25">
      <c r="A561" s="8299" t="s">
        <v>2419</v>
      </c>
      <c r="B561" s="8299" t="s">
        <v>16</v>
      </c>
      <c r="C561" s="8299" t="s">
        <v>3163</v>
      </c>
      <c r="D561" s="8299" t="s">
        <v>3164</v>
      </c>
      <c r="E561" s="8299" t="s">
        <v>3165</v>
      </c>
      <c r="F561" s="8299" t="s">
        <v>2660</v>
      </c>
      <c r="G561" s="8299" t="s">
        <v>3166</v>
      </c>
      <c r="H561" s="8299" t="s">
        <v>22</v>
      </c>
      <c r="I561" s="8299" t="s">
        <v>1078</v>
      </c>
    </row>
    <row customHeight="1" ht="11.25">
      <c r="A562" s="8299" t="s">
        <v>2419</v>
      </c>
      <c r="B562" s="8299" t="s">
        <v>16</v>
      </c>
      <c r="C562" s="8299" t="s">
        <v>3688</v>
      </c>
      <c r="D562" s="8299" t="s">
        <v>3689</v>
      </c>
      <c r="E562" s="8299" t="s">
        <v>3690</v>
      </c>
      <c r="F562" s="8299" t="s">
        <v>2717</v>
      </c>
      <c r="G562" s="8299" t="s">
        <v>3635</v>
      </c>
      <c r="H562" s="8299" t="s">
        <v>22</v>
      </c>
      <c r="I562" s="8299" t="s">
        <v>1078</v>
      </c>
    </row>
    <row customHeight="1" ht="11.25">
      <c r="A563" s="8299" t="s">
        <v>2419</v>
      </c>
      <c r="B563" s="8299" t="s">
        <v>16</v>
      </c>
      <c r="C563" s="8299" t="s">
        <v>3636</v>
      </c>
      <c r="D563" s="8299" t="s">
        <v>3637</v>
      </c>
      <c r="E563" s="8299" t="s">
        <v>3638</v>
      </c>
      <c r="F563" s="8299" t="s">
        <v>2541</v>
      </c>
      <c r="G563" s="8299" t="s">
        <v>3639</v>
      </c>
      <c r="H563" s="8299" t="s">
        <v>22</v>
      </c>
      <c r="I563" s="8299" t="s">
        <v>1078</v>
      </c>
    </row>
    <row customHeight="1" ht="11.25">
      <c r="A564" s="8299" t="s">
        <v>2419</v>
      </c>
      <c r="B564" s="8299" t="s">
        <v>16</v>
      </c>
      <c r="C564" s="8299" t="s">
        <v>3240</v>
      </c>
      <c r="D564" s="8299" t="s">
        <v>45</v>
      </c>
      <c r="E564" s="8299" t="s">
        <v>48</v>
      </c>
      <c r="F564" s="8299" t="s">
        <v>3241</v>
      </c>
      <c r="G564" s="8299" t="s">
        <v>3242</v>
      </c>
      <c r="H564" s="8299" t="s">
        <v>22</v>
      </c>
      <c r="I564" s="8299" t="s">
        <v>1078</v>
      </c>
    </row>
    <row customHeight="1" ht="11.25">
      <c r="A565" s="8299" t="s">
        <v>2419</v>
      </c>
      <c r="B565" s="8299" t="s">
        <v>16</v>
      </c>
      <c r="C565" s="8299" t="s">
        <v>13</v>
      </c>
      <c r="D565" s="8299" t="s">
        <v>45</v>
      </c>
      <c r="E565" s="8299" t="s">
        <v>48</v>
      </c>
      <c r="F565" s="8299" t="s">
        <v>50</v>
      </c>
      <c r="G565" s="8299" t="s">
        <v>22</v>
      </c>
      <c r="H565" s="8299" t="s">
        <v>22</v>
      </c>
      <c r="I565" s="8299" t="s">
        <v>1078</v>
      </c>
    </row>
    <row customHeight="1" ht="11.25">
      <c r="A566" s="8299" t="s">
        <v>2419</v>
      </c>
      <c r="B566" s="8299" t="s">
        <v>16</v>
      </c>
      <c r="C566" s="8299" t="s">
        <v>3248</v>
      </c>
      <c r="D566" s="8299" t="s">
        <v>3249</v>
      </c>
      <c r="E566" s="8299" t="s">
        <v>3250</v>
      </c>
      <c r="F566" s="8299" t="s">
        <v>2595</v>
      </c>
      <c r="G566" s="8299" t="s">
        <v>3251</v>
      </c>
      <c r="H566" s="8299" t="s">
        <v>22</v>
      </c>
      <c r="I566" s="8299" t="s">
        <v>1078</v>
      </c>
    </row>
    <row customHeight="1" ht="11.25">
      <c r="A567" s="8299" t="s">
        <v>2419</v>
      </c>
      <c r="B567" s="8299" t="s">
        <v>16</v>
      </c>
      <c r="C567" s="8299" t="s">
        <v>3256</v>
      </c>
      <c r="D567" s="8299" t="s">
        <v>3257</v>
      </c>
      <c r="E567" s="8299" t="s">
        <v>2444</v>
      </c>
      <c r="F567" s="8299" t="s">
        <v>3258</v>
      </c>
      <c r="G567" s="8299" t="s">
        <v>2445</v>
      </c>
      <c r="H567" s="8299" t="s">
        <v>22</v>
      </c>
      <c r="I567" s="8299" t="s">
        <v>1078</v>
      </c>
    </row>
    <row customHeight="1" ht="11.25">
      <c r="A568" s="8299" t="s">
        <v>2419</v>
      </c>
      <c r="B568" s="8299" t="s">
        <v>16</v>
      </c>
      <c r="C568" s="8299" t="s">
        <v>3267</v>
      </c>
      <c r="D568" s="8299" t="s">
        <v>3268</v>
      </c>
      <c r="E568" s="8299" t="s">
        <v>3269</v>
      </c>
      <c r="F568" s="8299" t="s">
        <v>2490</v>
      </c>
      <c r="G568" s="8299" t="s">
        <v>2893</v>
      </c>
      <c r="H568" s="8299" t="s">
        <v>22</v>
      </c>
      <c r="I568" s="8299" t="s">
        <v>1078</v>
      </c>
    </row>
    <row customHeight="1" ht="11.25">
      <c r="A569" s="8299" t="s">
        <v>2419</v>
      </c>
      <c r="B569" s="8299" t="s">
        <v>16</v>
      </c>
      <c r="C569" s="8299" t="s">
        <v>3277</v>
      </c>
      <c r="D569" s="8299" t="s">
        <v>3278</v>
      </c>
      <c r="E569" s="8299" t="s">
        <v>2506</v>
      </c>
      <c r="F569" s="8299" t="s">
        <v>3279</v>
      </c>
      <c r="G569" s="8299" t="s">
        <v>22</v>
      </c>
      <c r="H569" s="8299" t="s">
        <v>22</v>
      </c>
      <c r="I569" s="8299" t="s">
        <v>1078</v>
      </c>
    </row>
    <row customHeight="1" ht="11.25">
      <c r="A570" s="8299" t="s">
        <v>2419</v>
      </c>
      <c r="B570" s="8299" t="s">
        <v>16</v>
      </c>
      <c r="C570" s="8299" t="s">
        <v>3280</v>
      </c>
      <c r="D570" s="8299" t="s">
        <v>3281</v>
      </c>
      <c r="E570" s="8299" t="s">
        <v>3282</v>
      </c>
      <c r="F570" s="8299" t="s">
        <v>3283</v>
      </c>
      <c r="G570" s="8299" t="s">
        <v>3284</v>
      </c>
      <c r="H570" s="8299" t="s">
        <v>22</v>
      </c>
      <c r="I570" s="8299" t="s">
        <v>1078</v>
      </c>
    </row>
    <row customHeight="1" ht="11.25">
      <c r="A571" s="8299" t="s">
        <v>2419</v>
      </c>
      <c r="B571" s="8299" t="s">
        <v>16</v>
      </c>
      <c r="C571" s="8299" t="s">
        <v>3285</v>
      </c>
      <c r="D571" s="8299" t="s">
        <v>3286</v>
      </c>
      <c r="E571" s="8299" t="s">
        <v>3282</v>
      </c>
      <c r="F571" s="8299" t="s">
        <v>2580</v>
      </c>
      <c r="G571" s="8299" t="s">
        <v>3287</v>
      </c>
      <c r="H571" s="8299" t="s">
        <v>22</v>
      </c>
      <c r="I571" s="8299" t="s">
        <v>1078</v>
      </c>
    </row>
    <row customHeight="1" ht="11.25">
      <c r="A572" s="8299" t="s">
        <v>2419</v>
      </c>
      <c r="B572" s="8299" t="s">
        <v>16</v>
      </c>
      <c r="C572" s="8299" t="s">
        <v>3292</v>
      </c>
      <c r="D572" s="8299" t="s">
        <v>3293</v>
      </c>
      <c r="E572" s="8299" t="s">
        <v>2444</v>
      </c>
      <c r="F572" s="8299" t="s">
        <v>3294</v>
      </c>
      <c r="G572" s="8299" t="s">
        <v>22</v>
      </c>
      <c r="H572" s="8299" t="s">
        <v>22</v>
      </c>
      <c r="I572" s="8299" t="s">
        <v>1078</v>
      </c>
    </row>
    <row customHeight="1" ht="11.25">
      <c r="A573" s="8299" t="s">
        <v>2419</v>
      </c>
      <c r="B573" s="8299" t="s">
        <v>16</v>
      </c>
      <c r="C573" s="8299" t="s">
        <v>3295</v>
      </c>
      <c r="D573" s="8299" t="s">
        <v>3296</v>
      </c>
      <c r="E573" s="8299" t="s">
        <v>3297</v>
      </c>
      <c r="F573" s="8299" t="s">
        <v>2426</v>
      </c>
      <c r="G573" s="8299" t="s">
        <v>3298</v>
      </c>
      <c r="H573" s="8299" t="s">
        <v>2996</v>
      </c>
      <c r="I573" s="8299" t="s">
        <v>1078</v>
      </c>
    </row>
    <row customHeight="1" ht="11.25">
      <c r="A574" s="8299" t="s">
        <v>2419</v>
      </c>
      <c r="B574" s="8299" t="s">
        <v>16</v>
      </c>
      <c r="C574" s="8299" t="s">
        <v>3303</v>
      </c>
      <c r="D574" s="8299" t="s">
        <v>3304</v>
      </c>
      <c r="E574" s="8299" t="s">
        <v>3305</v>
      </c>
      <c r="F574" s="8299" t="s">
        <v>3306</v>
      </c>
      <c r="G574" s="8299" t="s">
        <v>3307</v>
      </c>
      <c r="H574" s="8299" t="s">
        <v>22</v>
      </c>
      <c r="I574" s="8299" t="s">
        <v>1078</v>
      </c>
    </row>
    <row customHeight="1" ht="11.25">
      <c r="A575" s="8299" t="s">
        <v>2419</v>
      </c>
      <c r="B575" s="8299" t="s">
        <v>16</v>
      </c>
      <c r="C575" s="8299" t="s">
        <v>3329</v>
      </c>
      <c r="D575" s="8299" t="s">
        <v>3330</v>
      </c>
      <c r="E575" s="8299" t="s">
        <v>3331</v>
      </c>
      <c r="F575" s="8299" t="s">
        <v>2625</v>
      </c>
      <c r="G575" s="8299" t="s">
        <v>3332</v>
      </c>
      <c r="H575" s="8299" t="s">
        <v>22</v>
      </c>
      <c r="I575" s="8299" t="s">
        <v>1078</v>
      </c>
    </row>
    <row customHeight="1" ht="11.25">
      <c r="A576" s="8299" t="s">
        <v>2419</v>
      </c>
      <c r="B576" s="8299" t="s">
        <v>16</v>
      </c>
      <c r="C576" s="8299" t="s">
        <v>22</v>
      </c>
      <c r="D576" s="8299" t="s">
        <v>2420</v>
      </c>
      <c r="E576" s="8299" t="s">
        <v>2421</v>
      </c>
      <c r="F576" s="8299" t="s">
        <v>2422</v>
      </c>
      <c r="G576" s="8299" t="s">
        <v>22</v>
      </c>
      <c r="H576" s="8299" t="s">
        <v>22</v>
      </c>
      <c r="I576" s="8299" t="s">
        <v>1813</v>
      </c>
    </row>
    <row customHeight="1" ht="11.25">
      <c r="A577" s="8299" t="s">
        <v>2419</v>
      </c>
      <c r="B577" s="8299" t="s">
        <v>16</v>
      </c>
      <c r="C577" s="8299" t="s">
        <v>3691</v>
      </c>
      <c r="D577" s="8299" t="s">
        <v>3692</v>
      </c>
      <c r="E577" s="8299" t="s">
        <v>3693</v>
      </c>
      <c r="F577" s="8299" t="s">
        <v>2422</v>
      </c>
      <c r="G577" s="8299" t="s">
        <v>22</v>
      </c>
      <c r="H577" s="8299" t="s">
        <v>22</v>
      </c>
      <c r="I577" s="8299" t="s">
        <v>1813</v>
      </c>
    </row>
    <row customHeight="1" ht="11.25">
      <c r="A578" s="8299" t="s">
        <v>2419</v>
      </c>
      <c r="B578" s="8299" t="s">
        <v>16</v>
      </c>
      <c r="C578" s="8299" t="s">
        <v>3694</v>
      </c>
      <c r="D578" s="8299" t="s">
        <v>3695</v>
      </c>
      <c r="E578" s="8299" t="s">
        <v>3696</v>
      </c>
      <c r="F578" s="8299" t="s">
        <v>2440</v>
      </c>
      <c r="G578" s="8299" t="s">
        <v>3697</v>
      </c>
      <c r="H578" s="8299" t="s">
        <v>22</v>
      </c>
      <c r="I578" s="8299" t="s">
        <v>1813</v>
      </c>
    </row>
    <row customHeight="1" ht="11.25">
      <c r="A579" s="8299" t="s">
        <v>2419</v>
      </c>
      <c r="B579" s="8299" t="s">
        <v>16</v>
      </c>
      <c r="C579" s="8299" t="s">
        <v>3698</v>
      </c>
      <c r="D579" s="8299" t="s">
        <v>3699</v>
      </c>
      <c r="E579" s="8299" t="s">
        <v>3700</v>
      </c>
      <c r="F579" s="8299" t="s">
        <v>2426</v>
      </c>
      <c r="G579" s="8299" t="s">
        <v>3701</v>
      </c>
      <c r="H579" s="8299" t="s">
        <v>22</v>
      </c>
      <c r="I579" s="8299" t="s">
        <v>1813</v>
      </c>
    </row>
    <row customHeight="1" ht="11.25">
      <c r="A580" s="8299" t="s">
        <v>2419</v>
      </c>
      <c r="B580" s="8299" t="s">
        <v>16</v>
      </c>
      <c r="C580" s="8299" t="s">
        <v>2662</v>
      </c>
      <c r="D580" s="8299" t="s">
        <v>2663</v>
      </c>
      <c r="E580" s="8299" t="s">
        <v>2664</v>
      </c>
      <c r="F580" s="8299" t="s">
        <v>2621</v>
      </c>
      <c r="G580" s="8299" t="s">
        <v>2665</v>
      </c>
      <c r="H580" s="8299" t="s">
        <v>22</v>
      </c>
      <c r="I580" s="8299" t="s">
        <v>1813</v>
      </c>
    </row>
    <row customHeight="1" ht="11.25">
      <c r="A581" s="8299" t="s">
        <v>2419</v>
      </c>
      <c r="B581" s="8299" t="s">
        <v>16</v>
      </c>
      <c r="C581" s="8299" t="s">
        <v>3702</v>
      </c>
      <c r="D581" s="8299" t="s">
        <v>3703</v>
      </c>
      <c r="E581" s="8299" t="s">
        <v>3704</v>
      </c>
      <c r="F581" s="8299" t="s">
        <v>2673</v>
      </c>
      <c r="G581" s="8299" t="s">
        <v>3705</v>
      </c>
      <c r="H581" s="8299" t="s">
        <v>22</v>
      </c>
      <c r="I581" s="8299" t="s">
        <v>1813</v>
      </c>
    </row>
    <row customHeight="1" ht="11.25">
      <c r="A582" s="8299" t="s">
        <v>2419</v>
      </c>
      <c r="B582" s="8299" t="s">
        <v>16</v>
      </c>
      <c r="C582" s="8299" t="s">
        <v>3706</v>
      </c>
      <c r="D582" s="8299" t="s">
        <v>3707</v>
      </c>
      <c r="E582" s="8299" t="s">
        <v>3708</v>
      </c>
      <c r="F582" s="8299" t="s">
        <v>2696</v>
      </c>
      <c r="G582" s="8299" t="s">
        <v>3709</v>
      </c>
      <c r="H582" s="8299" t="s">
        <v>22</v>
      </c>
      <c r="I582" s="8299" t="s">
        <v>1813</v>
      </c>
    </row>
    <row customHeight="1" ht="11.25">
      <c r="A583" s="8299" t="s">
        <v>2419</v>
      </c>
      <c r="B583" s="8299" t="s">
        <v>16</v>
      </c>
      <c r="C583" s="8299" t="s">
        <v>3710</v>
      </c>
      <c r="D583" s="8299" t="s">
        <v>3711</v>
      </c>
      <c r="E583" s="8299" t="s">
        <v>3712</v>
      </c>
      <c r="F583" s="8299" t="s">
        <v>2422</v>
      </c>
      <c r="G583" s="8299" t="s">
        <v>3713</v>
      </c>
      <c r="H583" s="8299" t="s">
        <v>22</v>
      </c>
      <c r="I583" s="8299" t="s">
        <v>1813</v>
      </c>
    </row>
    <row customHeight="1" ht="11.25">
      <c r="A584" s="8299" t="s">
        <v>2419</v>
      </c>
      <c r="B584" s="8299" t="s">
        <v>16</v>
      </c>
      <c r="C584" s="8299" t="s">
        <v>3714</v>
      </c>
      <c r="D584" s="8299" t="s">
        <v>2758</v>
      </c>
      <c r="E584" s="8299" t="s">
        <v>3715</v>
      </c>
      <c r="F584" s="8299" t="s">
        <v>3113</v>
      </c>
      <c r="G584" s="8299" t="s">
        <v>3716</v>
      </c>
      <c r="H584" s="8299" t="s">
        <v>22</v>
      </c>
      <c r="I584" s="8299" t="s">
        <v>1813</v>
      </c>
    </row>
    <row customHeight="1" ht="11.25">
      <c r="A585" s="8299" t="s">
        <v>2419</v>
      </c>
      <c r="B585" s="8299" t="s">
        <v>16</v>
      </c>
      <c r="C585" s="8299" t="s">
        <v>2761</v>
      </c>
      <c r="D585" s="8299" t="s">
        <v>2762</v>
      </c>
      <c r="E585" s="8299" t="s">
        <v>2763</v>
      </c>
      <c r="F585" s="8299" t="s">
        <v>2422</v>
      </c>
      <c r="G585" s="8299" t="s">
        <v>2764</v>
      </c>
      <c r="H585" s="8299" t="s">
        <v>22</v>
      </c>
      <c r="I585" s="8299" t="s">
        <v>1813</v>
      </c>
    </row>
    <row customHeight="1" ht="11.25">
      <c r="A586" s="8299" t="s">
        <v>2419</v>
      </c>
      <c r="B586" s="8299" t="s">
        <v>16</v>
      </c>
      <c r="C586" s="8299" t="s">
        <v>3717</v>
      </c>
      <c r="D586" s="8299" t="s">
        <v>3718</v>
      </c>
      <c r="E586" s="8299" t="s">
        <v>3719</v>
      </c>
      <c r="F586" s="8299" t="s">
        <v>3720</v>
      </c>
      <c r="G586" s="8299" t="s">
        <v>3721</v>
      </c>
      <c r="H586" s="8299" t="s">
        <v>22</v>
      </c>
      <c r="I586" s="8299" t="s">
        <v>1813</v>
      </c>
    </row>
    <row customHeight="1" ht="11.25">
      <c r="A587" s="8299" t="s">
        <v>2419</v>
      </c>
      <c r="B587" s="8299" t="s">
        <v>16</v>
      </c>
      <c r="C587" s="8299" t="s">
        <v>3722</v>
      </c>
      <c r="D587" s="8299" t="s">
        <v>3723</v>
      </c>
      <c r="E587" s="8299" t="s">
        <v>3724</v>
      </c>
      <c r="F587" s="8299" t="s">
        <v>3725</v>
      </c>
      <c r="G587" s="8299" t="s">
        <v>3726</v>
      </c>
      <c r="H587" s="8299" t="s">
        <v>22</v>
      </c>
      <c r="I587" s="8299" t="s">
        <v>1813</v>
      </c>
    </row>
    <row customHeight="1" ht="11.25">
      <c r="A588" s="8299" t="s">
        <v>2419</v>
      </c>
      <c r="B588" s="8299" t="s">
        <v>16</v>
      </c>
      <c r="C588" s="8299" t="s">
        <v>3727</v>
      </c>
      <c r="D588" s="8299" t="s">
        <v>3728</v>
      </c>
      <c r="E588" s="8299" t="s">
        <v>3729</v>
      </c>
      <c r="F588" s="8299" t="s">
        <v>2471</v>
      </c>
      <c r="G588" s="8299" t="s">
        <v>3730</v>
      </c>
      <c r="H588" s="8299" t="s">
        <v>22</v>
      </c>
      <c r="I588" s="8299" t="s">
        <v>1813</v>
      </c>
    </row>
    <row customHeight="1" ht="11.25">
      <c r="A589" s="8299" t="s">
        <v>2419</v>
      </c>
      <c r="B589" s="8299" t="s">
        <v>16</v>
      </c>
      <c r="C589" s="8299" t="s">
        <v>3731</v>
      </c>
      <c r="D589" s="8299" t="s">
        <v>3732</v>
      </c>
      <c r="E589" s="8299" t="s">
        <v>3733</v>
      </c>
      <c r="F589" s="8299" t="s">
        <v>2481</v>
      </c>
      <c r="G589" s="8299" t="s">
        <v>3734</v>
      </c>
      <c r="H589" s="8299" t="s">
        <v>22</v>
      </c>
      <c r="I589" s="8299" t="s">
        <v>1813</v>
      </c>
    </row>
    <row customHeight="1" ht="11.25">
      <c r="A590" s="8299" t="s">
        <v>2419</v>
      </c>
      <c r="B590" s="8299" t="s">
        <v>16</v>
      </c>
      <c r="C590" s="8299" t="s">
        <v>3735</v>
      </c>
      <c r="D590" s="8299" t="s">
        <v>3736</v>
      </c>
      <c r="E590" s="8299" t="s">
        <v>3737</v>
      </c>
      <c r="F590" s="8299" t="s">
        <v>2422</v>
      </c>
      <c r="G590" s="8299" t="s">
        <v>3738</v>
      </c>
      <c r="H590" s="8299" t="s">
        <v>22</v>
      </c>
      <c r="I590" s="8299" t="s">
        <v>1813</v>
      </c>
    </row>
    <row customHeight="1" ht="11.25">
      <c r="A591" s="8299" t="s">
        <v>2419</v>
      </c>
      <c r="B591" s="8299" t="s">
        <v>16</v>
      </c>
      <c r="C591" s="8299" t="s">
        <v>2837</v>
      </c>
      <c r="D591" s="8299" t="s">
        <v>2838</v>
      </c>
      <c r="E591" s="8299" t="s">
        <v>2839</v>
      </c>
      <c r="F591" s="8299" t="s">
        <v>2712</v>
      </c>
      <c r="G591" s="8299" t="s">
        <v>2840</v>
      </c>
      <c r="H591" s="8299" t="s">
        <v>22</v>
      </c>
      <c r="I591" s="8299" t="s">
        <v>1813</v>
      </c>
    </row>
    <row customHeight="1" ht="11.25">
      <c r="A592" s="8299" t="s">
        <v>2419</v>
      </c>
      <c r="B592" s="8299" t="s">
        <v>16</v>
      </c>
      <c r="C592" s="8299" t="s">
        <v>2906</v>
      </c>
      <c r="D592" s="8299" t="s">
        <v>2907</v>
      </c>
      <c r="E592" s="8299" t="s">
        <v>2908</v>
      </c>
      <c r="F592" s="8299" t="s">
        <v>2852</v>
      </c>
      <c r="G592" s="8299" t="s">
        <v>2909</v>
      </c>
      <c r="H592" s="8299" t="s">
        <v>22</v>
      </c>
      <c r="I592" s="8299" t="s">
        <v>1813</v>
      </c>
    </row>
    <row customHeight="1" ht="11.25">
      <c r="A593" s="8299" t="s">
        <v>2419</v>
      </c>
      <c r="B593" s="8299" t="s">
        <v>16</v>
      </c>
      <c r="C593" s="8299" t="s">
        <v>3739</v>
      </c>
      <c r="D593" s="8299" t="s">
        <v>3740</v>
      </c>
      <c r="E593" s="8299" t="s">
        <v>3741</v>
      </c>
      <c r="F593" s="8299" t="s">
        <v>2717</v>
      </c>
      <c r="G593" s="8299" t="s">
        <v>3742</v>
      </c>
      <c r="H593" s="8299" t="s">
        <v>22</v>
      </c>
      <c r="I593" s="8299" t="s">
        <v>1813</v>
      </c>
    </row>
    <row customHeight="1" ht="11.25">
      <c r="A594" s="8299" t="s">
        <v>2419</v>
      </c>
      <c r="B594" s="8299" t="s">
        <v>16</v>
      </c>
      <c r="C594" s="8299" t="s">
        <v>3743</v>
      </c>
      <c r="D594" s="8299" t="s">
        <v>3744</v>
      </c>
      <c r="E594" s="8299" t="s">
        <v>3745</v>
      </c>
      <c r="F594" s="8299" t="s">
        <v>3746</v>
      </c>
      <c r="G594" s="8299" t="s">
        <v>3747</v>
      </c>
      <c r="H594" s="8299" t="s">
        <v>22</v>
      </c>
      <c r="I594" s="8299" t="s">
        <v>1813</v>
      </c>
    </row>
    <row customHeight="1" ht="11.25">
      <c r="A595" s="8299" t="s">
        <v>2419</v>
      </c>
      <c r="B595" s="8299" t="s">
        <v>16</v>
      </c>
      <c r="C595" s="8299" t="s">
        <v>3748</v>
      </c>
      <c r="D595" s="8299" t="s">
        <v>3749</v>
      </c>
      <c r="E595" s="8299" t="s">
        <v>3750</v>
      </c>
      <c r="F595" s="8299" t="s">
        <v>2422</v>
      </c>
      <c r="G595" s="8299" t="s">
        <v>22</v>
      </c>
      <c r="H595" s="8299" t="s">
        <v>22</v>
      </c>
      <c r="I595" s="8299" t="s">
        <v>1813</v>
      </c>
    </row>
    <row customHeight="1" ht="11.25">
      <c r="A596" s="8299" t="s">
        <v>2419</v>
      </c>
      <c r="B596" s="8299" t="s">
        <v>16</v>
      </c>
      <c r="C596" s="8299" t="s">
        <v>3751</v>
      </c>
      <c r="D596" s="8299" t="s">
        <v>3752</v>
      </c>
      <c r="E596" s="8299" t="s">
        <v>3753</v>
      </c>
      <c r="F596" s="8299" t="s">
        <v>2520</v>
      </c>
      <c r="G596" s="8299" t="s">
        <v>3754</v>
      </c>
      <c r="H596" s="8299" t="s">
        <v>22</v>
      </c>
      <c r="I596" s="8299" t="s">
        <v>1813</v>
      </c>
    </row>
    <row customHeight="1" ht="11.25">
      <c r="A597" s="8299" t="s">
        <v>2419</v>
      </c>
      <c r="B597" s="8299" t="s">
        <v>16</v>
      </c>
      <c r="C597" s="8299" t="s">
        <v>3755</v>
      </c>
      <c r="D597" s="8299" t="s">
        <v>3756</v>
      </c>
      <c r="E597" s="8299" t="s">
        <v>3757</v>
      </c>
      <c r="F597" s="8299" t="s">
        <v>2422</v>
      </c>
      <c r="G597" s="8299" t="s">
        <v>3758</v>
      </c>
      <c r="H597" s="8299" t="s">
        <v>22</v>
      </c>
      <c r="I597" s="8299" t="s">
        <v>1813</v>
      </c>
    </row>
    <row customHeight="1" ht="11.25">
      <c r="A598" s="8299" t="s">
        <v>2419</v>
      </c>
      <c r="B598" s="8299" t="s">
        <v>16</v>
      </c>
      <c r="C598" s="8299" t="s">
        <v>2992</v>
      </c>
      <c r="D598" s="8299" t="s">
        <v>2993</v>
      </c>
      <c r="E598" s="8299" t="s">
        <v>2994</v>
      </c>
      <c r="F598" s="8299" t="s">
        <v>2625</v>
      </c>
      <c r="G598" s="8299" t="s">
        <v>2995</v>
      </c>
      <c r="H598" s="8299" t="s">
        <v>2996</v>
      </c>
      <c r="I598" s="8299" t="s">
        <v>1813</v>
      </c>
    </row>
    <row customHeight="1" ht="11.25">
      <c r="A599" s="8299" t="s">
        <v>2419</v>
      </c>
      <c r="B599" s="8299" t="s">
        <v>16</v>
      </c>
      <c r="C599" s="8299" t="s">
        <v>3759</v>
      </c>
      <c r="D599" s="8299" t="s">
        <v>3760</v>
      </c>
      <c r="E599" s="8299" t="s">
        <v>3761</v>
      </c>
      <c r="F599" s="8299" t="s">
        <v>2905</v>
      </c>
      <c r="G599" s="8299" t="s">
        <v>3762</v>
      </c>
      <c r="H599" s="8299" t="s">
        <v>22</v>
      </c>
      <c r="I599" s="8299" t="s">
        <v>1813</v>
      </c>
    </row>
    <row customHeight="1" ht="11.25">
      <c r="A600" s="8299" t="s">
        <v>2419</v>
      </c>
      <c r="B600" s="8299" t="s">
        <v>16</v>
      </c>
      <c r="C600" s="8299" t="s">
        <v>3586</v>
      </c>
      <c r="D600" s="8299" t="s">
        <v>3587</v>
      </c>
      <c r="E600" s="8299" t="s">
        <v>3588</v>
      </c>
      <c r="F600" s="8299" t="s">
        <v>2712</v>
      </c>
      <c r="G600" s="8299" t="s">
        <v>3589</v>
      </c>
      <c r="H600" s="8299" t="s">
        <v>22</v>
      </c>
      <c r="I600" s="8299" t="s">
        <v>1813</v>
      </c>
    </row>
    <row customHeight="1" ht="11.25">
      <c r="A601" s="8299" t="s">
        <v>2419</v>
      </c>
      <c r="B601" s="8299" t="s">
        <v>16</v>
      </c>
      <c r="C601" s="8299" t="s">
        <v>3763</v>
      </c>
      <c r="D601" s="8299" t="s">
        <v>3764</v>
      </c>
      <c r="E601" s="8299" t="s">
        <v>3765</v>
      </c>
      <c r="F601" s="8299" t="s">
        <v>2490</v>
      </c>
      <c r="G601" s="8299" t="s">
        <v>3766</v>
      </c>
      <c r="H601" s="8299" t="s">
        <v>22</v>
      </c>
      <c r="I601" s="8299" t="s">
        <v>1813</v>
      </c>
    </row>
    <row customHeight="1" ht="11.25">
      <c r="A602" s="8299" t="s">
        <v>2419</v>
      </c>
      <c r="B602" s="8299" t="s">
        <v>16</v>
      </c>
      <c r="C602" s="8299" t="s">
        <v>3767</v>
      </c>
      <c r="D602" s="8299" t="s">
        <v>3768</v>
      </c>
      <c r="E602" s="8299" t="s">
        <v>3769</v>
      </c>
      <c r="F602" s="8299" t="s">
        <v>2490</v>
      </c>
      <c r="G602" s="8299" t="s">
        <v>22</v>
      </c>
      <c r="H602" s="8299" t="s">
        <v>22</v>
      </c>
      <c r="I602" s="8299" t="s">
        <v>1813</v>
      </c>
    </row>
    <row customHeight="1" ht="11.25">
      <c r="A603" s="8299" t="s">
        <v>2419</v>
      </c>
      <c r="B603" s="8299" t="s">
        <v>16</v>
      </c>
      <c r="C603" s="8299" t="s">
        <v>3770</v>
      </c>
      <c r="D603" s="8299" t="s">
        <v>3771</v>
      </c>
      <c r="E603" s="8299" t="s">
        <v>3772</v>
      </c>
      <c r="F603" s="8299" t="s">
        <v>2422</v>
      </c>
      <c r="G603" s="8299" t="s">
        <v>3539</v>
      </c>
      <c r="H603" s="8299" t="s">
        <v>22</v>
      </c>
      <c r="I603" s="8299" t="s">
        <v>1813</v>
      </c>
    </row>
    <row customHeight="1" ht="11.25">
      <c r="A604" s="8299" t="s">
        <v>2419</v>
      </c>
      <c r="B604" s="8299" t="s">
        <v>16</v>
      </c>
      <c r="C604" s="8299" t="s">
        <v>3773</v>
      </c>
      <c r="D604" s="8299" t="s">
        <v>3774</v>
      </c>
      <c r="E604" s="8299" t="s">
        <v>3775</v>
      </c>
      <c r="F604" s="8299" t="s">
        <v>2776</v>
      </c>
      <c r="G604" s="8299" t="s">
        <v>22</v>
      </c>
      <c r="H604" s="8299" t="s">
        <v>22</v>
      </c>
      <c r="I604" s="8299" t="s">
        <v>1813</v>
      </c>
    </row>
    <row customHeight="1" ht="11.25">
      <c r="A605" s="8299" t="s">
        <v>2419</v>
      </c>
      <c r="B605" s="8299" t="s">
        <v>16</v>
      </c>
      <c r="C605" s="8299" t="s">
        <v>3776</v>
      </c>
      <c r="D605" s="8299" t="s">
        <v>3777</v>
      </c>
      <c r="E605" s="8299" t="s">
        <v>3775</v>
      </c>
      <c r="F605" s="8299" t="s">
        <v>2422</v>
      </c>
      <c r="G605" s="8299" t="s">
        <v>3778</v>
      </c>
      <c r="H605" s="8299" t="s">
        <v>22</v>
      </c>
      <c r="I605" s="8299" t="s">
        <v>1813</v>
      </c>
    </row>
    <row customHeight="1" ht="11.25">
      <c r="A606" s="8299" t="s">
        <v>2419</v>
      </c>
      <c r="B606" s="8299" t="s">
        <v>16</v>
      </c>
      <c r="C606" s="8299" t="s">
        <v>3779</v>
      </c>
      <c r="D606" s="8299" t="s">
        <v>3780</v>
      </c>
      <c r="E606" s="8299" t="s">
        <v>3781</v>
      </c>
      <c r="F606" s="8299" t="s">
        <v>2717</v>
      </c>
      <c r="G606" s="8299" t="s">
        <v>3782</v>
      </c>
      <c r="H606" s="8299" t="s">
        <v>22</v>
      </c>
      <c r="I606" s="8299" t="s">
        <v>1813</v>
      </c>
    </row>
    <row customHeight="1" ht="11.25">
      <c r="A607" s="8299" t="s">
        <v>2419</v>
      </c>
      <c r="B607" s="8299" t="s">
        <v>16</v>
      </c>
      <c r="C607" s="8299" t="s">
        <v>3127</v>
      </c>
      <c r="D607" s="8299" t="s">
        <v>3128</v>
      </c>
      <c r="E607" s="8299" t="s">
        <v>3129</v>
      </c>
      <c r="F607" s="8299" t="s">
        <v>3113</v>
      </c>
      <c r="G607" s="8299" t="s">
        <v>3130</v>
      </c>
      <c r="H607" s="8299" t="s">
        <v>22</v>
      </c>
      <c r="I607" s="8299" t="s">
        <v>1813</v>
      </c>
    </row>
    <row customHeight="1" ht="11.25">
      <c r="A608" s="8299" t="s">
        <v>2419</v>
      </c>
      <c r="B608" s="8299" t="s">
        <v>16</v>
      </c>
      <c r="C608" s="8299" t="s">
        <v>3783</v>
      </c>
      <c r="D608" s="8299" t="s">
        <v>3784</v>
      </c>
      <c r="E608" s="8299" t="s">
        <v>3785</v>
      </c>
      <c r="F608" s="8299" t="s">
        <v>2776</v>
      </c>
      <c r="G608" s="8299" t="s">
        <v>3786</v>
      </c>
      <c r="H608" s="8299" t="s">
        <v>22</v>
      </c>
      <c r="I608" s="8299" t="s">
        <v>1813</v>
      </c>
    </row>
    <row customHeight="1" ht="11.25">
      <c r="A609" s="8299" t="s">
        <v>2419</v>
      </c>
      <c r="B609" s="8299" t="s">
        <v>16</v>
      </c>
      <c r="C609" s="8299" t="s">
        <v>3139</v>
      </c>
      <c r="D609" s="8299" t="s">
        <v>3140</v>
      </c>
      <c r="E609" s="8299" t="s">
        <v>3141</v>
      </c>
      <c r="F609" s="8299" t="s">
        <v>2625</v>
      </c>
      <c r="G609" s="8299" t="s">
        <v>3142</v>
      </c>
      <c r="H609" s="8299" t="s">
        <v>22</v>
      </c>
      <c r="I609" s="8299" t="s">
        <v>1813</v>
      </c>
    </row>
    <row customHeight="1" ht="11.25">
      <c r="A610" s="8299" t="s">
        <v>2419</v>
      </c>
      <c r="B610" s="8299" t="s">
        <v>16</v>
      </c>
      <c r="C610" s="8299" t="s">
        <v>3787</v>
      </c>
      <c r="D610" s="8299" t="s">
        <v>3788</v>
      </c>
      <c r="E610" s="8299" t="s">
        <v>3789</v>
      </c>
      <c r="F610" s="8299" t="s">
        <v>2471</v>
      </c>
      <c r="G610" s="8299" t="s">
        <v>3790</v>
      </c>
      <c r="H610" s="8299" t="s">
        <v>22</v>
      </c>
      <c r="I610" s="8299" t="s">
        <v>1813</v>
      </c>
    </row>
    <row customHeight="1" ht="11.25">
      <c r="A611" s="8299" t="s">
        <v>2419</v>
      </c>
      <c r="B611" s="8299" t="s">
        <v>16</v>
      </c>
      <c r="C611" s="8299" t="s">
        <v>3791</v>
      </c>
      <c r="D611" s="8299" t="s">
        <v>3792</v>
      </c>
      <c r="E611" s="8299" t="s">
        <v>3793</v>
      </c>
      <c r="F611" s="8299" t="s">
        <v>2422</v>
      </c>
      <c r="G611" s="8299" t="s">
        <v>3794</v>
      </c>
      <c r="H611" s="8299" t="s">
        <v>22</v>
      </c>
      <c r="I611" s="8299" t="s">
        <v>1813</v>
      </c>
    </row>
    <row customHeight="1" ht="11.25">
      <c r="A612" s="8299" t="s">
        <v>2419</v>
      </c>
      <c r="B612" s="8299" t="s">
        <v>16</v>
      </c>
      <c r="C612" s="8299" t="s">
        <v>3795</v>
      </c>
      <c r="D612" s="8299" t="s">
        <v>3796</v>
      </c>
      <c r="E612" s="8299" t="s">
        <v>3797</v>
      </c>
      <c r="F612" s="8299" t="s">
        <v>2920</v>
      </c>
      <c r="G612" s="8299" t="s">
        <v>22</v>
      </c>
      <c r="H612" s="8299" t="s">
        <v>22</v>
      </c>
      <c r="I612" s="8299" t="s">
        <v>1813</v>
      </c>
    </row>
    <row customHeight="1" ht="11.25">
      <c r="A613" s="8299" t="s">
        <v>2419</v>
      </c>
      <c r="B613" s="8299" t="s">
        <v>16</v>
      </c>
      <c r="C613" s="8299" t="s">
        <v>3798</v>
      </c>
      <c r="D613" s="8299" t="s">
        <v>3799</v>
      </c>
      <c r="E613" s="8299" t="s">
        <v>3800</v>
      </c>
      <c r="F613" s="8299" t="s">
        <v>3801</v>
      </c>
      <c r="G613" s="8299" t="s">
        <v>22</v>
      </c>
      <c r="H613" s="8299" t="s">
        <v>22</v>
      </c>
      <c r="I613" s="8299" t="s">
        <v>1813</v>
      </c>
    </row>
    <row customHeight="1" ht="11.25">
      <c r="A614" s="8299" t="s">
        <v>2419</v>
      </c>
      <c r="B614" s="8299" t="s">
        <v>16</v>
      </c>
      <c r="C614" s="8299" t="s">
        <v>3802</v>
      </c>
      <c r="D614" s="8299" t="s">
        <v>3803</v>
      </c>
      <c r="E614" s="8299" t="s">
        <v>3804</v>
      </c>
      <c r="F614" s="8299" t="s">
        <v>2580</v>
      </c>
      <c r="G614" s="8299" t="s">
        <v>3805</v>
      </c>
      <c r="H614" s="8299" t="s">
        <v>22</v>
      </c>
      <c r="I614" s="8299" t="s">
        <v>1813</v>
      </c>
    </row>
    <row customHeight="1" ht="11.25">
      <c r="A615" s="8299" t="s">
        <v>2419</v>
      </c>
      <c r="B615" s="8299" t="s">
        <v>16</v>
      </c>
      <c r="C615" s="8299" t="s">
        <v>3806</v>
      </c>
      <c r="D615" s="8299" t="s">
        <v>3807</v>
      </c>
      <c r="E615" s="8299" t="s">
        <v>3808</v>
      </c>
      <c r="F615" s="8299" t="s">
        <v>2528</v>
      </c>
      <c r="G615" s="8299" t="s">
        <v>3809</v>
      </c>
      <c r="H615" s="8299" t="s">
        <v>22</v>
      </c>
      <c r="I615" s="8299" t="s">
        <v>1813</v>
      </c>
    </row>
    <row customHeight="1" ht="11.25">
      <c r="A616" s="8299" t="s">
        <v>2419</v>
      </c>
      <c r="B616" s="8299" t="s">
        <v>16</v>
      </c>
      <c r="C616" s="8299" t="s">
        <v>3810</v>
      </c>
      <c r="D616" s="8299" t="s">
        <v>3811</v>
      </c>
      <c r="E616" s="8299" t="s">
        <v>3812</v>
      </c>
      <c r="F616" s="8299" t="s">
        <v>2422</v>
      </c>
      <c r="G616" s="8299" t="s">
        <v>3813</v>
      </c>
      <c r="H616" s="8299" t="s">
        <v>22</v>
      </c>
      <c r="I616" s="8299" t="s">
        <v>1813</v>
      </c>
    </row>
    <row customHeight="1" ht="11.25">
      <c r="A617" s="8299" t="s">
        <v>2419</v>
      </c>
      <c r="B617" s="8299" t="s">
        <v>16</v>
      </c>
      <c r="C617" s="8299" t="s">
        <v>3814</v>
      </c>
      <c r="D617" s="8299" t="s">
        <v>3815</v>
      </c>
      <c r="E617" s="8299" t="s">
        <v>3816</v>
      </c>
      <c r="F617" s="8299" t="s">
        <v>2580</v>
      </c>
      <c r="G617" s="8299" t="s">
        <v>3817</v>
      </c>
      <c r="H617" s="8299" t="s">
        <v>22</v>
      </c>
      <c r="I617" s="8299" t="s">
        <v>1813</v>
      </c>
    </row>
    <row customHeight="1" ht="11.25">
      <c r="A618" s="8299" t="s">
        <v>2419</v>
      </c>
      <c r="B618" s="8299" t="s">
        <v>16</v>
      </c>
      <c r="C618" s="8299" t="s">
        <v>3243</v>
      </c>
      <c r="D618" s="8299" t="s">
        <v>3244</v>
      </c>
      <c r="E618" s="8299" t="s">
        <v>3245</v>
      </c>
      <c r="F618" s="8299" t="s">
        <v>3246</v>
      </c>
      <c r="G618" s="8299" t="s">
        <v>3247</v>
      </c>
      <c r="H618" s="8299" t="s">
        <v>22</v>
      </c>
      <c r="I618" s="8299" t="s">
        <v>1813</v>
      </c>
    </row>
    <row customHeight="1" ht="11.25">
      <c r="A619" s="8299" t="s">
        <v>2419</v>
      </c>
      <c r="B619" s="8299" t="s">
        <v>16</v>
      </c>
      <c r="C619" s="8299" t="s">
        <v>3248</v>
      </c>
      <c r="D619" s="8299" t="s">
        <v>3249</v>
      </c>
      <c r="E619" s="8299" t="s">
        <v>3250</v>
      </c>
      <c r="F619" s="8299" t="s">
        <v>2595</v>
      </c>
      <c r="G619" s="8299" t="s">
        <v>3251</v>
      </c>
      <c r="H619" s="8299" t="s">
        <v>22</v>
      </c>
      <c r="I619" s="8299" t="s">
        <v>1813</v>
      </c>
    </row>
    <row customHeight="1" ht="11.25">
      <c r="A620" s="8299" t="s">
        <v>2419</v>
      </c>
      <c r="B620" s="8299" t="s">
        <v>16</v>
      </c>
      <c r="C620" s="8299" t="s">
        <v>3818</v>
      </c>
      <c r="D620" s="8299" t="s">
        <v>3819</v>
      </c>
      <c r="E620" s="8299" t="s">
        <v>3820</v>
      </c>
      <c r="F620" s="8299" t="s">
        <v>2490</v>
      </c>
      <c r="G620" s="8299" t="s">
        <v>3821</v>
      </c>
      <c r="H620" s="8299" t="s">
        <v>22</v>
      </c>
      <c r="I620" s="8299" t="s">
        <v>1813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64C726-EB41-CF32-3DFC-8BA939E1DAEE}" mc:Ignorable="x14ac xr xr2 xr3">
  <sheetPr>
    <tabColor rgb="FFFFCC99"/>
  </sheetPr>
  <dimension ref="A1:G103"/>
  <sheetViews>
    <sheetView topLeftCell="A1" showGridLines="0" workbookViewId="0">
      <selection activeCell="A1" sqref="A1"/>
    </sheetView>
  </sheetViews>
  <sheetFormatPr customHeight="1" defaultRowHeight="11.25"/>
  <cols>
    <col min="1" max="1" style="67502" width="9.140625"/>
  </cols>
  <sheetData>
    <row customHeight="1" ht="11.25">
      <c r="A1" s="1584" t="s">
        <v>3822</v>
      </c>
      <c r="B1" s="1273" t="s">
        <v>3823</v>
      </c>
      <c r="C1" s="1273" t="s">
        <v>3824</v>
      </c>
      <c r="D1" s="1273" t="s">
        <v>3825</v>
      </c>
      <c r="E1" s="1103" t="s">
        <v>3826</v>
      </c>
      <c r="F1" s="1103" t="s">
        <v>3827</v>
      </c>
      <c r="G1" s="1103" t="s">
        <v>3828</v>
      </c>
    </row>
    <row customHeight="1" ht="11.25">
      <c r="A2" s="1584" t="s">
        <v>16</v>
      </c>
      <c r="B2" s="0" t="s">
        <v>100</v>
      </c>
      <c r="C2" s="0" t="s">
        <v>101</v>
      </c>
      <c r="D2" s="0" t="s">
        <v>100</v>
      </c>
      <c r="E2" s="0" t="s">
        <v>101</v>
      </c>
      <c r="F2" s="0" t="s">
        <v>3829</v>
      </c>
      <c r="G2" s="0" t="s">
        <v>99</v>
      </c>
    </row>
    <row customHeight="1" ht="11.25">
      <c r="A3" s="1584" t="s">
        <v>16</v>
      </c>
      <c r="B3" s="0" t="s">
        <v>3830</v>
      </c>
      <c r="C3" s="0" t="s">
        <v>3831</v>
      </c>
      <c r="D3" s="0" t="s">
        <v>3832</v>
      </c>
      <c r="E3" s="0" t="s">
        <v>3833</v>
      </c>
      <c r="F3" s="0" t="s">
        <v>3834</v>
      </c>
      <c r="G3" s="0" t="s">
        <v>102</v>
      </c>
    </row>
    <row customHeight="1" ht="11.25">
      <c r="A4" s="1584" t="s">
        <v>16</v>
      </c>
      <c r="B4" s="0" t="s">
        <v>3830</v>
      </c>
      <c r="C4" s="0" t="s">
        <v>3831</v>
      </c>
      <c r="D4" s="0" t="s">
        <v>3835</v>
      </c>
      <c r="E4" s="0" t="s">
        <v>3836</v>
      </c>
      <c r="F4" s="0" t="s">
        <v>3834</v>
      </c>
      <c r="G4" s="0" t="s">
        <v>90</v>
      </c>
    </row>
    <row customHeight="1" ht="11.25">
      <c r="A5" s="1584" t="s">
        <v>16</v>
      </c>
      <c r="B5" s="0" t="s">
        <v>3830</v>
      </c>
      <c r="C5" s="0" t="s">
        <v>3831</v>
      </c>
      <c r="D5" s="0" t="s">
        <v>3830</v>
      </c>
      <c r="E5" s="0" t="s">
        <v>3831</v>
      </c>
      <c r="F5" s="0" t="s">
        <v>3837</v>
      </c>
      <c r="G5" s="0" t="s">
        <v>91</v>
      </c>
    </row>
    <row customHeight="1" ht="11.25">
      <c r="A6" s="1584" t="s">
        <v>16</v>
      </c>
      <c r="B6" s="0" t="s">
        <v>3830</v>
      </c>
      <c r="C6" s="0" t="s">
        <v>3831</v>
      </c>
      <c r="D6" s="0" t="s">
        <v>3838</v>
      </c>
      <c r="E6" s="0" t="s">
        <v>3839</v>
      </c>
      <c r="F6" s="0" t="s">
        <v>3840</v>
      </c>
      <c r="G6" s="0" t="s">
        <v>122</v>
      </c>
    </row>
    <row customHeight="1" ht="11.25">
      <c r="A7" s="1584" t="s">
        <v>16</v>
      </c>
      <c r="B7" s="0" t="s">
        <v>3830</v>
      </c>
      <c r="C7" s="0" t="s">
        <v>3831</v>
      </c>
      <c r="D7" s="0" t="s">
        <v>3841</v>
      </c>
      <c r="E7" s="0" t="s">
        <v>3842</v>
      </c>
      <c r="F7" s="0" t="s">
        <v>3834</v>
      </c>
      <c r="G7" s="0" t="s">
        <v>92</v>
      </c>
    </row>
    <row customHeight="1" ht="11.25">
      <c r="A8" s="1584" t="s">
        <v>16</v>
      </c>
      <c r="B8" s="0" t="s">
        <v>3830</v>
      </c>
      <c r="C8" s="0" t="s">
        <v>3831</v>
      </c>
      <c r="D8" s="0" t="s">
        <v>3843</v>
      </c>
      <c r="E8" s="0" t="s">
        <v>3844</v>
      </c>
      <c r="F8" s="0" t="s">
        <v>3834</v>
      </c>
      <c r="G8" s="0" t="s">
        <v>93</v>
      </c>
    </row>
    <row customHeight="1" ht="11.25">
      <c r="A9" s="1584" t="s">
        <v>16</v>
      </c>
      <c r="B9" s="0" t="s">
        <v>3830</v>
      </c>
      <c r="C9" s="0" t="s">
        <v>3831</v>
      </c>
      <c r="D9" s="0" t="s">
        <v>3845</v>
      </c>
      <c r="E9" s="0" t="s">
        <v>3846</v>
      </c>
      <c r="F9" s="0" t="s">
        <v>3847</v>
      </c>
      <c r="G9" s="0" t="s">
        <v>123</v>
      </c>
    </row>
    <row customHeight="1" ht="11.25">
      <c r="A10" s="1584" t="s">
        <v>16</v>
      </c>
      <c r="B10" s="0" t="s">
        <v>3830</v>
      </c>
      <c r="C10" s="0" t="s">
        <v>3831</v>
      </c>
      <c r="D10" s="0" t="s">
        <v>3848</v>
      </c>
      <c r="E10" s="0" t="s">
        <v>3849</v>
      </c>
      <c r="F10" s="0" t="s">
        <v>3834</v>
      </c>
      <c r="G10" s="0" t="s">
        <v>168</v>
      </c>
    </row>
    <row customHeight="1" ht="11.25">
      <c r="A11" s="1584" t="s">
        <v>16</v>
      </c>
      <c r="B11" s="0" t="s">
        <v>3830</v>
      </c>
      <c r="C11" s="0" t="s">
        <v>3831</v>
      </c>
      <c r="D11" s="0" t="s">
        <v>3850</v>
      </c>
      <c r="E11" s="0" t="s">
        <v>3851</v>
      </c>
      <c r="F11" s="0" t="s">
        <v>3834</v>
      </c>
      <c r="G11" s="0" t="s">
        <v>169</v>
      </c>
    </row>
    <row customHeight="1" ht="11.25">
      <c r="A12" s="1584" t="s">
        <v>16</v>
      </c>
      <c r="B12" s="0" t="s">
        <v>3830</v>
      </c>
      <c r="C12" s="0" t="s">
        <v>3831</v>
      </c>
      <c r="D12" s="0" t="s">
        <v>3852</v>
      </c>
      <c r="E12" s="0" t="s">
        <v>3853</v>
      </c>
      <c r="F12" s="0" t="s">
        <v>3834</v>
      </c>
      <c r="G12" s="0" t="s">
        <v>170</v>
      </c>
    </row>
    <row customHeight="1" ht="11.25">
      <c r="A13" s="1584" t="s">
        <v>16</v>
      </c>
      <c r="B13" s="0" t="s">
        <v>3830</v>
      </c>
      <c r="C13" s="0" t="s">
        <v>3831</v>
      </c>
      <c r="D13" s="0" t="s">
        <v>3854</v>
      </c>
      <c r="E13" s="0" t="s">
        <v>3855</v>
      </c>
      <c r="F13" s="0" t="s">
        <v>3834</v>
      </c>
      <c r="G13" s="0" t="s">
        <v>171</v>
      </c>
    </row>
    <row customHeight="1" ht="11.25">
      <c r="A14" s="1584" t="s">
        <v>16</v>
      </c>
      <c r="B14" s="0" t="s">
        <v>3830</v>
      </c>
      <c r="C14" s="0" t="s">
        <v>3831</v>
      </c>
      <c r="D14" s="0" t="s">
        <v>3856</v>
      </c>
      <c r="E14" s="0" t="s">
        <v>3857</v>
      </c>
      <c r="F14" s="0" t="s">
        <v>3834</v>
      </c>
      <c r="G14" s="0" t="s">
        <v>172</v>
      </c>
    </row>
    <row customHeight="1" ht="11.25">
      <c r="A15" s="1584" t="s">
        <v>16</v>
      </c>
      <c r="B15" s="0" t="s">
        <v>3830</v>
      </c>
      <c r="C15" s="0" t="s">
        <v>3831</v>
      </c>
      <c r="D15" s="0" t="s">
        <v>3858</v>
      </c>
      <c r="E15" s="0" t="s">
        <v>3859</v>
      </c>
      <c r="F15" s="0" t="s">
        <v>3834</v>
      </c>
      <c r="G15" s="0" t="s">
        <v>173</v>
      </c>
    </row>
    <row customHeight="1" ht="11.25">
      <c r="A16" s="1584" t="s">
        <v>16</v>
      </c>
      <c r="B16" s="0" t="s">
        <v>3830</v>
      </c>
      <c r="C16" s="0" t="s">
        <v>3831</v>
      </c>
      <c r="D16" s="0" t="s">
        <v>3860</v>
      </c>
      <c r="E16" s="0" t="s">
        <v>3861</v>
      </c>
      <c r="F16" s="0" t="s">
        <v>3834</v>
      </c>
      <c r="G16" s="0" t="s">
        <v>1657</v>
      </c>
    </row>
    <row customHeight="1" ht="11.25">
      <c r="A17" s="1584" t="s">
        <v>16</v>
      </c>
      <c r="B17" s="0" t="s">
        <v>3830</v>
      </c>
      <c r="C17" s="0" t="s">
        <v>3831</v>
      </c>
      <c r="D17" s="0" t="s">
        <v>3862</v>
      </c>
      <c r="E17" s="0" t="s">
        <v>3863</v>
      </c>
      <c r="F17" s="0" t="s">
        <v>3834</v>
      </c>
      <c r="G17" s="0" t="s">
        <v>1663</v>
      </c>
    </row>
    <row customHeight="1" ht="11.25">
      <c r="A18" s="1584" t="s">
        <v>16</v>
      </c>
      <c r="B18" s="0" t="s">
        <v>3830</v>
      </c>
      <c r="C18" s="0" t="s">
        <v>3831</v>
      </c>
      <c r="D18" s="0" t="s">
        <v>3864</v>
      </c>
      <c r="E18" s="0" t="s">
        <v>3865</v>
      </c>
      <c r="F18" s="0" t="s">
        <v>3834</v>
      </c>
      <c r="G18" s="0" t="s">
        <v>1675</v>
      </c>
    </row>
    <row customHeight="1" ht="11.25">
      <c r="A19" s="1584" t="s">
        <v>16</v>
      </c>
      <c r="B19" s="0" t="s">
        <v>3830</v>
      </c>
      <c r="C19" s="0" t="s">
        <v>3831</v>
      </c>
      <c r="D19" s="0" t="s">
        <v>3866</v>
      </c>
      <c r="E19" s="0" t="s">
        <v>3867</v>
      </c>
      <c r="F19" s="0" t="s">
        <v>3834</v>
      </c>
      <c r="G19" s="0" t="s">
        <v>1689</v>
      </c>
    </row>
    <row customHeight="1" ht="11.25">
      <c r="A20" s="1584" t="s">
        <v>16</v>
      </c>
      <c r="B20" s="0" t="s">
        <v>3830</v>
      </c>
      <c r="C20" s="0" t="s">
        <v>3831</v>
      </c>
      <c r="D20" s="0" t="s">
        <v>3868</v>
      </c>
      <c r="E20" s="0" t="s">
        <v>3869</v>
      </c>
      <c r="F20" s="0" t="s">
        <v>3834</v>
      </c>
      <c r="G20" s="0" t="s">
        <v>1701</v>
      </c>
    </row>
    <row customHeight="1" ht="11.25">
      <c r="A21" s="1584" t="s">
        <v>16</v>
      </c>
      <c r="B21" s="0" t="s">
        <v>3830</v>
      </c>
      <c r="C21" s="0" t="s">
        <v>3831</v>
      </c>
      <c r="D21" s="0" t="s">
        <v>3870</v>
      </c>
      <c r="E21" s="0" t="s">
        <v>3871</v>
      </c>
      <c r="F21" s="0" t="s">
        <v>3834</v>
      </c>
      <c r="G21" s="0" t="s">
        <v>1710</v>
      </c>
    </row>
    <row customHeight="1" ht="11.25">
      <c r="A22" s="1584" t="s">
        <v>16</v>
      </c>
      <c r="B22" s="0" t="s">
        <v>3830</v>
      </c>
      <c r="C22" s="0" t="s">
        <v>3831</v>
      </c>
      <c r="D22" s="0" t="s">
        <v>3872</v>
      </c>
      <c r="E22" s="0" t="s">
        <v>3873</v>
      </c>
      <c r="F22" s="0" t="s">
        <v>3834</v>
      </c>
      <c r="G22" s="0" t="s">
        <v>1726</v>
      </c>
    </row>
    <row customHeight="1" ht="11.25">
      <c r="A23" s="1584" t="s">
        <v>16</v>
      </c>
      <c r="B23" s="0" t="s">
        <v>3830</v>
      </c>
      <c r="C23" s="0" t="s">
        <v>3831</v>
      </c>
      <c r="D23" s="0" t="s">
        <v>3874</v>
      </c>
      <c r="E23" s="0" t="s">
        <v>3875</v>
      </c>
      <c r="F23" s="0" t="s">
        <v>3834</v>
      </c>
      <c r="G23" s="0" t="s">
        <v>1733</v>
      </c>
    </row>
    <row customHeight="1" ht="11.25">
      <c r="A24" s="1584" t="s">
        <v>16</v>
      </c>
      <c r="B24" s="0" t="s">
        <v>3830</v>
      </c>
      <c r="C24" s="0" t="s">
        <v>3831</v>
      </c>
      <c r="D24" s="0" t="s">
        <v>3876</v>
      </c>
      <c r="E24" s="0" t="s">
        <v>3877</v>
      </c>
      <c r="F24" s="0" t="s">
        <v>3834</v>
      </c>
      <c r="G24" s="0" t="s">
        <v>1741</v>
      </c>
    </row>
    <row customHeight="1" ht="11.25">
      <c r="A25" s="1584" t="s">
        <v>16</v>
      </c>
      <c r="B25" s="0" t="s">
        <v>3878</v>
      </c>
      <c r="C25" s="0" t="s">
        <v>3879</v>
      </c>
      <c r="D25" s="0" t="s">
        <v>3878</v>
      </c>
      <c r="E25" s="0" t="s">
        <v>3879</v>
      </c>
      <c r="F25" s="0" t="s">
        <v>3880</v>
      </c>
      <c r="G25" s="0" t="s">
        <v>1747</v>
      </c>
    </row>
    <row customHeight="1" ht="11.25">
      <c r="A26" s="1584" t="s">
        <v>16</v>
      </c>
      <c r="B26" s="0" t="s">
        <v>3881</v>
      </c>
      <c r="C26" s="0" t="s">
        <v>3882</v>
      </c>
      <c r="D26" s="0" t="s">
        <v>3881</v>
      </c>
      <c r="E26" s="0" t="s">
        <v>3882</v>
      </c>
      <c r="F26" s="0" t="s">
        <v>3880</v>
      </c>
      <c r="G26" s="0" t="s">
        <v>1751</v>
      </c>
    </row>
    <row customHeight="1" ht="11.25">
      <c r="A27" s="1584" t="s">
        <v>16</v>
      </c>
      <c r="B27" s="0" t="s">
        <v>3883</v>
      </c>
      <c r="C27" s="0" t="s">
        <v>3884</v>
      </c>
      <c r="D27" s="0" t="s">
        <v>3883</v>
      </c>
      <c r="E27" s="0" t="s">
        <v>3884</v>
      </c>
      <c r="F27" s="0" t="s">
        <v>3880</v>
      </c>
      <c r="G27" s="0" t="s">
        <v>1756</v>
      </c>
    </row>
    <row customHeight="1" ht="11.25">
      <c r="A28" s="1584" t="s">
        <v>16</v>
      </c>
      <c r="B28" s="0" t="s">
        <v>3885</v>
      </c>
      <c r="C28" s="0" t="s">
        <v>3886</v>
      </c>
      <c r="D28" s="0" t="s">
        <v>3885</v>
      </c>
      <c r="E28" s="0" t="s">
        <v>3886</v>
      </c>
      <c r="F28" s="0" t="s">
        <v>3829</v>
      </c>
      <c r="G28" s="0" t="s">
        <v>1764</v>
      </c>
    </row>
    <row customHeight="1" ht="11.25">
      <c r="A29" s="1584" t="s">
        <v>16</v>
      </c>
      <c r="B29" s="0" t="s">
        <v>3887</v>
      </c>
      <c r="C29" s="0" t="s">
        <v>3888</v>
      </c>
      <c r="D29" s="0" t="s">
        <v>3887</v>
      </c>
      <c r="E29" s="0" t="s">
        <v>3888</v>
      </c>
      <c r="F29" s="0" t="s">
        <v>3880</v>
      </c>
      <c r="G29" s="0" t="s">
        <v>1766</v>
      </c>
    </row>
    <row customHeight="1" ht="11.25">
      <c r="A30" s="1584" t="s">
        <v>16</v>
      </c>
      <c r="B30" s="0" t="s">
        <v>3889</v>
      </c>
      <c r="C30" s="0" t="s">
        <v>3890</v>
      </c>
      <c r="D30" s="0" t="s">
        <v>3891</v>
      </c>
      <c r="E30" s="0" t="s">
        <v>3892</v>
      </c>
      <c r="F30" s="0" t="s">
        <v>3834</v>
      </c>
      <c r="G30" s="0" t="s">
        <v>1769</v>
      </c>
    </row>
    <row customHeight="1" ht="11.25">
      <c r="A31" s="1584" t="s">
        <v>16</v>
      </c>
      <c r="B31" s="0" t="s">
        <v>3889</v>
      </c>
      <c r="C31" s="0" t="s">
        <v>3890</v>
      </c>
      <c r="D31" s="0" t="s">
        <v>3893</v>
      </c>
      <c r="E31" s="0" t="s">
        <v>3894</v>
      </c>
      <c r="F31" s="0" t="s">
        <v>3834</v>
      </c>
      <c r="G31" s="0" t="s">
        <v>1775</v>
      </c>
    </row>
    <row customHeight="1" ht="11.25">
      <c r="A32" s="1584" t="s">
        <v>16</v>
      </c>
      <c r="B32" s="0" t="s">
        <v>3889</v>
      </c>
      <c r="C32" s="0" t="s">
        <v>3890</v>
      </c>
      <c r="D32" s="0" t="s">
        <v>3895</v>
      </c>
      <c r="E32" s="0" t="s">
        <v>3896</v>
      </c>
      <c r="F32" s="0" t="s">
        <v>3834</v>
      </c>
      <c r="G32" s="0" t="s">
        <v>1777</v>
      </c>
    </row>
    <row customHeight="1" ht="11.25">
      <c r="A33" s="1584" t="s">
        <v>16</v>
      </c>
      <c r="B33" s="0" t="s">
        <v>3889</v>
      </c>
      <c r="C33" s="0" t="s">
        <v>3890</v>
      </c>
      <c r="D33" s="0" t="s">
        <v>3897</v>
      </c>
      <c r="E33" s="0" t="s">
        <v>3898</v>
      </c>
      <c r="F33" s="0" t="s">
        <v>3834</v>
      </c>
      <c r="G33" s="0" t="s">
        <v>1779</v>
      </c>
    </row>
    <row customHeight="1" ht="11.25">
      <c r="A34" s="1584" t="s">
        <v>16</v>
      </c>
      <c r="B34" s="0" t="s">
        <v>3889</v>
      </c>
      <c r="C34" s="0" t="s">
        <v>3890</v>
      </c>
      <c r="D34" s="0" t="s">
        <v>3889</v>
      </c>
      <c r="E34" s="0" t="s">
        <v>3890</v>
      </c>
      <c r="F34" s="0" t="s">
        <v>3837</v>
      </c>
      <c r="G34" s="0" t="s">
        <v>1781</v>
      </c>
    </row>
    <row customHeight="1" ht="11.25">
      <c r="A35" s="1584" t="s">
        <v>16</v>
      </c>
      <c r="B35" s="0" t="s">
        <v>3889</v>
      </c>
      <c r="C35" s="0" t="s">
        <v>3890</v>
      </c>
      <c r="D35" s="0" t="s">
        <v>3899</v>
      </c>
      <c r="E35" s="0" t="s">
        <v>3900</v>
      </c>
      <c r="F35" s="0" t="s">
        <v>3847</v>
      </c>
      <c r="G35" s="0" t="s">
        <v>1786</v>
      </c>
    </row>
    <row customHeight="1" ht="11.25">
      <c r="A36" s="1584" t="s">
        <v>16</v>
      </c>
      <c r="B36" s="0" t="s">
        <v>3889</v>
      </c>
      <c r="C36" s="0" t="s">
        <v>3890</v>
      </c>
      <c r="D36" s="0" t="s">
        <v>3901</v>
      </c>
      <c r="E36" s="0" t="s">
        <v>3902</v>
      </c>
      <c r="F36" s="0" t="s">
        <v>3834</v>
      </c>
      <c r="G36" s="0" t="s">
        <v>1791</v>
      </c>
    </row>
    <row customHeight="1" ht="11.25">
      <c r="A37" s="1584" t="s">
        <v>16</v>
      </c>
      <c r="B37" s="0" t="s">
        <v>3889</v>
      </c>
      <c r="C37" s="0" t="s">
        <v>3890</v>
      </c>
      <c r="D37" s="0" t="s">
        <v>3903</v>
      </c>
      <c r="E37" s="0" t="s">
        <v>3904</v>
      </c>
      <c r="F37" s="0" t="s">
        <v>3834</v>
      </c>
      <c r="G37" s="0" t="s">
        <v>1795</v>
      </c>
    </row>
    <row customHeight="1" ht="11.25">
      <c r="A38" s="1584" t="s">
        <v>16</v>
      </c>
      <c r="B38" s="0" t="s">
        <v>3889</v>
      </c>
      <c r="C38" s="0" t="s">
        <v>3890</v>
      </c>
      <c r="D38" s="0" t="s">
        <v>3905</v>
      </c>
      <c r="E38" s="0" t="s">
        <v>3906</v>
      </c>
      <c r="F38" s="0" t="s">
        <v>3834</v>
      </c>
      <c r="G38" s="0" t="s">
        <v>1803</v>
      </c>
    </row>
    <row customHeight="1" ht="11.25">
      <c r="A39" s="1584" t="s">
        <v>16</v>
      </c>
      <c r="B39" s="0" t="s">
        <v>3907</v>
      </c>
      <c r="C39" s="0" t="s">
        <v>3908</v>
      </c>
      <c r="D39" s="0" t="s">
        <v>3907</v>
      </c>
      <c r="E39" s="0" t="s">
        <v>3908</v>
      </c>
      <c r="F39" s="0" t="s">
        <v>3829</v>
      </c>
      <c r="G39" s="0" t="s">
        <v>1809</v>
      </c>
    </row>
    <row customHeight="1" ht="11.25">
      <c r="A40" s="1584" t="s">
        <v>16</v>
      </c>
      <c r="B40" s="0" t="s">
        <v>3909</v>
      </c>
      <c r="C40" s="0" t="s">
        <v>3910</v>
      </c>
      <c r="D40" s="0" t="s">
        <v>3909</v>
      </c>
      <c r="E40" s="0" t="s">
        <v>3910</v>
      </c>
      <c r="F40" s="0" t="s">
        <v>3829</v>
      </c>
      <c r="G40" s="0" t="s">
        <v>1814</v>
      </c>
    </row>
    <row customHeight="1" ht="11.25">
      <c r="A41" s="1584" t="s">
        <v>16</v>
      </c>
      <c r="B41" s="0" t="s">
        <v>3911</v>
      </c>
      <c r="C41" s="0" t="s">
        <v>3912</v>
      </c>
      <c r="D41" s="0" t="s">
        <v>3911</v>
      </c>
      <c r="E41" s="0" t="s">
        <v>3912</v>
      </c>
      <c r="F41" s="0" t="s">
        <v>3880</v>
      </c>
      <c r="G41" s="0" t="s">
        <v>1818</v>
      </c>
    </row>
    <row customHeight="1" ht="11.25">
      <c r="A42" s="1584" t="s">
        <v>16</v>
      </c>
      <c r="B42" s="0" t="s">
        <v>3913</v>
      </c>
      <c r="C42" s="0" t="s">
        <v>3914</v>
      </c>
      <c r="D42" s="0" t="s">
        <v>3913</v>
      </c>
      <c r="E42" s="0" t="s">
        <v>3914</v>
      </c>
      <c r="F42" s="0" t="s">
        <v>3880</v>
      </c>
      <c r="G42" s="0" t="s">
        <v>1821</v>
      </c>
    </row>
    <row customHeight="1" ht="11.25">
      <c r="A43" s="1584" t="s">
        <v>16</v>
      </c>
      <c r="B43" s="0" t="s">
        <v>3915</v>
      </c>
      <c r="C43" s="0" t="s">
        <v>3916</v>
      </c>
      <c r="D43" s="0" t="s">
        <v>3917</v>
      </c>
      <c r="E43" s="0" t="s">
        <v>3918</v>
      </c>
      <c r="F43" s="0" t="s">
        <v>3834</v>
      </c>
      <c r="G43" s="0" t="s">
        <v>1828</v>
      </c>
    </row>
    <row customHeight="1" ht="11.25">
      <c r="A44" s="1584" t="s">
        <v>16</v>
      </c>
      <c r="B44" s="0" t="s">
        <v>3915</v>
      </c>
      <c r="C44" s="0" t="s">
        <v>3916</v>
      </c>
      <c r="D44" s="0" t="s">
        <v>3919</v>
      </c>
      <c r="E44" s="0" t="s">
        <v>3920</v>
      </c>
      <c r="F44" s="0" t="s">
        <v>3834</v>
      </c>
      <c r="G44" s="0" t="s">
        <v>1837</v>
      </c>
    </row>
    <row customHeight="1" ht="11.25">
      <c r="A45" s="1584" t="s">
        <v>16</v>
      </c>
      <c r="B45" s="0" t="s">
        <v>3915</v>
      </c>
      <c r="C45" s="0" t="s">
        <v>3916</v>
      </c>
      <c r="D45" s="0" t="s">
        <v>3921</v>
      </c>
      <c r="E45" s="0" t="s">
        <v>3922</v>
      </c>
      <c r="F45" s="0" t="s">
        <v>3834</v>
      </c>
      <c r="G45" s="0" t="s">
        <v>1842</v>
      </c>
    </row>
    <row customHeight="1" ht="11.25">
      <c r="A46" s="1584" t="s">
        <v>16</v>
      </c>
      <c r="B46" s="0" t="s">
        <v>3915</v>
      </c>
      <c r="C46" s="0" t="s">
        <v>3916</v>
      </c>
      <c r="D46" s="0" t="s">
        <v>3915</v>
      </c>
      <c r="E46" s="0" t="s">
        <v>3916</v>
      </c>
      <c r="F46" s="0" t="s">
        <v>3837</v>
      </c>
      <c r="G46" s="0" t="s">
        <v>1846</v>
      </c>
    </row>
    <row customHeight="1" ht="11.25">
      <c r="A47" s="1584" t="s">
        <v>16</v>
      </c>
      <c r="B47" s="0" t="s">
        <v>3915</v>
      </c>
      <c r="C47" s="0" t="s">
        <v>3916</v>
      </c>
      <c r="D47" s="0" t="s">
        <v>3923</v>
      </c>
      <c r="E47" s="0" t="s">
        <v>3924</v>
      </c>
      <c r="F47" s="0" t="s">
        <v>3834</v>
      </c>
      <c r="G47" s="0" t="s">
        <v>1851</v>
      </c>
    </row>
    <row customHeight="1" ht="11.25">
      <c r="A48" s="1584" t="s">
        <v>16</v>
      </c>
      <c r="B48" s="0" t="s">
        <v>3915</v>
      </c>
      <c r="C48" s="0" t="s">
        <v>3916</v>
      </c>
      <c r="D48" s="0" t="s">
        <v>3925</v>
      </c>
      <c r="E48" s="0" t="s">
        <v>3926</v>
      </c>
      <c r="F48" s="0" t="s">
        <v>3834</v>
      </c>
      <c r="G48" s="0" t="s">
        <v>1856</v>
      </c>
    </row>
    <row customHeight="1" ht="11.25">
      <c r="A49" s="1584" t="s">
        <v>16</v>
      </c>
      <c r="B49" s="0" t="s">
        <v>3915</v>
      </c>
      <c r="C49" s="0" t="s">
        <v>3916</v>
      </c>
      <c r="D49" s="0" t="s">
        <v>3927</v>
      </c>
      <c r="E49" s="0" t="s">
        <v>3928</v>
      </c>
      <c r="F49" s="0" t="s">
        <v>3834</v>
      </c>
      <c r="G49" s="0" t="s">
        <v>1859</v>
      </c>
    </row>
    <row customHeight="1" ht="11.25">
      <c r="A50" s="1584" t="s">
        <v>16</v>
      </c>
      <c r="B50" s="0" t="s">
        <v>3915</v>
      </c>
      <c r="C50" s="0" t="s">
        <v>3916</v>
      </c>
      <c r="D50" s="0" t="s">
        <v>3929</v>
      </c>
      <c r="E50" s="0" t="s">
        <v>3930</v>
      </c>
      <c r="F50" s="0" t="s">
        <v>3834</v>
      </c>
      <c r="G50" s="0" t="s">
        <v>1863</v>
      </c>
    </row>
    <row customHeight="1" ht="11.25">
      <c r="A51" s="1584" t="s">
        <v>16</v>
      </c>
      <c r="B51" s="0" t="s">
        <v>3931</v>
      </c>
      <c r="C51" s="0" t="s">
        <v>3932</v>
      </c>
      <c r="D51" s="0" t="s">
        <v>3933</v>
      </c>
      <c r="E51" s="0" t="s">
        <v>3934</v>
      </c>
      <c r="F51" s="0" t="s">
        <v>3834</v>
      </c>
      <c r="G51" s="0" t="s">
        <v>1868</v>
      </c>
    </row>
    <row customHeight="1" ht="11.25">
      <c r="A52" s="1584" t="s">
        <v>16</v>
      </c>
      <c r="B52" s="0" t="s">
        <v>3931</v>
      </c>
      <c r="C52" s="0" t="s">
        <v>3932</v>
      </c>
      <c r="D52" s="0" t="s">
        <v>3931</v>
      </c>
      <c r="E52" s="0" t="s">
        <v>3932</v>
      </c>
      <c r="F52" s="0" t="s">
        <v>3837</v>
      </c>
      <c r="G52" s="0" t="s">
        <v>1872</v>
      </c>
    </row>
    <row customHeight="1" ht="11.25">
      <c r="A53" s="1584" t="s">
        <v>16</v>
      </c>
      <c r="B53" s="0" t="s">
        <v>3931</v>
      </c>
      <c r="C53" s="0" t="s">
        <v>3932</v>
      </c>
      <c r="D53" s="0" t="s">
        <v>3935</v>
      </c>
      <c r="E53" s="0" t="s">
        <v>3936</v>
      </c>
      <c r="F53" s="0" t="s">
        <v>3834</v>
      </c>
      <c r="G53" s="0" t="s">
        <v>1874</v>
      </c>
    </row>
    <row customHeight="1" ht="11.25">
      <c r="A54" s="1584" t="s">
        <v>16</v>
      </c>
      <c r="B54" s="0" t="s">
        <v>3931</v>
      </c>
      <c r="C54" s="0" t="s">
        <v>3932</v>
      </c>
      <c r="D54" s="0" t="s">
        <v>3937</v>
      </c>
      <c r="E54" s="0" t="s">
        <v>3938</v>
      </c>
      <c r="F54" s="0" t="s">
        <v>3834</v>
      </c>
      <c r="G54" s="0" t="s">
        <v>1877</v>
      </c>
    </row>
    <row customHeight="1" ht="11.25">
      <c r="A55" s="1584" t="s">
        <v>16</v>
      </c>
      <c r="B55" s="0" t="s">
        <v>3931</v>
      </c>
      <c r="C55" s="0" t="s">
        <v>3932</v>
      </c>
      <c r="D55" s="0" t="s">
        <v>3939</v>
      </c>
      <c r="E55" s="0" t="s">
        <v>3940</v>
      </c>
      <c r="F55" s="0" t="s">
        <v>3847</v>
      </c>
      <c r="G55" s="0" t="s">
        <v>1881</v>
      </c>
    </row>
    <row customHeight="1" ht="11.25">
      <c r="A56" s="1584" t="s">
        <v>16</v>
      </c>
      <c r="B56" s="0" t="s">
        <v>3941</v>
      </c>
      <c r="C56" s="0" t="s">
        <v>3942</v>
      </c>
      <c r="D56" s="0" t="s">
        <v>3941</v>
      </c>
      <c r="E56" s="0" t="s">
        <v>3942</v>
      </c>
      <c r="F56" s="0" t="s">
        <v>3880</v>
      </c>
      <c r="G56" s="0" t="s">
        <v>1885</v>
      </c>
    </row>
    <row customHeight="1" ht="11.25">
      <c r="A57" s="1584" t="s">
        <v>16</v>
      </c>
      <c r="B57" s="0" t="s">
        <v>3943</v>
      </c>
      <c r="C57" s="0" t="s">
        <v>3944</v>
      </c>
      <c r="D57" s="0" t="s">
        <v>3943</v>
      </c>
      <c r="E57" s="0" t="s">
        <v>3944</v>
      </c>
      <c r="F57" s="0" t="s">
        <v>3880</v>
      </c>
      <c r="G57" s="0" t="s">
        <v>1888</v>
      </c>
    </row>
    <row customHeight="1" ht="11.25">
      <c r="A58" s="1584" t="s">
        <v>16</v>
      </c>
      <c r="B58" s="0" t="s">
        <v>3945</v>
      </c>
      <c r="C58" s="0" t="s">
        <v>3946</v>
      </c>
      <c r="D58" s="0" t="s">
        <v>3945</v>
      </c>
      <c r="E58" s="0" t="s">
        <v>3946</v>
      </c>
      <c r="F58" s="0" t="s">
        <v>3829</v>
      </c>
      <c r="G58" s="0" t="s">
        <v>1891</v>
      </c>
    </row>
    <row customHeight="1" ht="11.25">
      <c r="A59" s="1584" t="s">
        <v>16</v>
      </c>
      <c r="B59" s="0" t="s">
        <v>3947</v>
      </c>
      <c r="C59" s="0" t="s">
        <v>3948</v>
      </c>
      <c r="D59" s="0" t="s">
        <v>3947</v>
      </c>
      <c r="E59" s="0" t="s">
        <v>3948</v>
      </c>
      <c r="F59" s="0" t="s">
        <v>3829</v>
      </c>
      <c r="G59" s="0" t="s">
        <v>1895</v>
      </c>
    </row>
    <row customHeight="1" ht="11.25">
      <c r="A60" s="1584" t="s">
        <v>16</v>
      </c>
      <c r="B60" s="0" t="s">
        <v>3949</v>
      </c>
      <c r="C60" s="0" t="s">
        <v>3950</v>
      </c>
      <c r="D60" s="0" t="s">
        <v>3949</v>
      </c>
      <c r="E60" s="0" t="s">
        <v>3950</v>
      </c>
      <c r="F60" s="0" t="s">
        <v>3880</v>
      </c>
      <c r="G60" s="0" t="s">
        <v>1898</v>
      </c>
    </row>
    <row customHeight="1" ht="11.25">
      <c r="A61" s="1584" t="s">
        <v>16</v>
      </c>
      <c r="B61" s="0" t="s">
        <v>3951</v>
      </c>
      <c r="C61" s="0" t="s">
        <v>3952</v>
      </c>
      <c r="D61" s="0" t="s">
        <v>3953</v>
      </c>
      <c r="E61" s="0" t="s">
        <v>3954</v>
      </c>
      <c r="F61" s="0" t="s">
        <v>3834</v>
      </c>
      <c r="G61" s="0" t="s">
        <v>3955</v>
      </c>
    </row>
    <row customHeight="1" ht="11.25">
      <c r="A62" s="1584" t="s">
        <v>16</v>
      </c>
      <c r="B62" s="0" t="s">
        <v>3951</v>
      </c>
      <c r="C62" s="0" t="s">
        <v>3952</v>
      </c>
      <c r="D62" s="0" t="s">
        <v>3956</v>
      </c>
      <c r="E62" s="0" t="s">
        <v>3957</v>
      </c>
      <c r="F62" s="0" t="s">
        <v>3834</v>
      </c>
      <c r="G62" s="0" t="s">
        <v>3958</v>
      </c>
    </row>
    <row customHeight="1" ht="11.25">
      <c r="A63" s="1584" t="s">
        <v>16</v>
      </c>
      <c r="B63" s="0" t="s">
        <v>3951</v>
      </c>
      <c r="C63" s="0" t="s">
        <v>3952</v>
      </c>
      <c r="D63" s="0" t="s">
        <v>3959</v>
      </c>
      <c r="E63" s="0" t="s">
        <v>3960</v>
      </c>
      <c r="F63" s="0" t="s">
        <v>3847</v>
      </c>
      <c r="G63" s="0" t="s">
        <v>3961</v>
      </c>
    </row>
    <row customHeight="1" ht="11.25">
      <c r="A64" s="1584" t="s">
        <v>16</v>
      </c>
      <c r="B64" s="0" t="s">
        <v>3951</v>
      </c>
      <c r="C64" s="0" t="s">
        <v>3952</v>
      </c>
      <c r="D64" s="0" t="s">
        <v>3962</v>
      </c>
      <c r="E64" s="0" t="s">
        <v>3963</v>
      </c>
      <c r="F64" s="0" t="s">
        <v>3964</v>
      </c>
      <c r="G64" s="0" t="s">
        <v>3965</v>
      </c>
    </row>
    <row customHeight="1" ht="11.25">
      <c r="A65" s="1584" t="s">
        <v>16</v>
      </c>
      <c r="B65" s="0" t="s">
        <v>3951</v>
      </c>
      <c r="C65" s="0" t="s">
        <v>3952</v>
      </c>
      <c r="D65" s="0" t="s">
        <v>3966</v>
      </c>
      <c r="E65" s="0" t="s">
        <v>3967</v>
      </c>
      <c r="F65" s="0" t="s">
        <v>3834</v>
      </c>
      <c r="G65" s="0" t="s">
        <v>3968</v>
      </c>
    </row>
    <row customHeight="1" ht="11.25">
      <c r="A66" s="1584" t="s">
        <v>16</v>
      </c>
      <c r="B66" s="0" t="s">
        <v>3951</v>
      </c>
      <c r="C66" s="0" t="s">
        <v>3952</v>
      </c>
      <c r="D66" s="0" t="s">
        <v>3951</v>
      </c>
      <c r="E66" s="0" t="s">
        <v>3952</v>
      </c>
      <c r="F66" s="0" t="s">
        <v>3837</v>
      </c>
      <c r="G66" s="0" t="s">
        <v>3969</v>
      </c>
    </row>
    <row customHeight="1" ht="11.25">
      <c r="A67" s="1584" t="s">
        <v>16</v>
      </c>
      <c r="B67" s="0" t="s">
        <v>3951</v>
      </c>
      <c r="C67" s="0" t="s">
        <v>3952</v>
      </c>
      <c r="D67" s="0" t="s">
        <v>3970</v>
      </c>
      <c r="E67" s="0" t="s">
        <v>3971</v>
      </c>
      <c r="F67" s="0" t="s">
        <v>3840</v>
      </c>
      <c r="G67" s="0" t="s">
        <v>2196</v>
      </c>
    </row>
    <row customHeight="1" ht="11.25">
      <c r="A68" s="1584" t="s">
        <v>16</v>
      </c>
      <c r="B68" s="0" t="s">
        <v>3951</v>
      </c>
      <c r="C68" s="0" t="s">
        <v>3952</v>
      </c>
      <c r="D68" s="0" t="s">
        <v>3972</v>
      </c>
      <c r="E68" s="0" t="s">
        <v>3973</v>
      </c>
      <c r="F68" s="0" t="s">
        <v>3834</v>
      </c>
      <c r="G68" s="0" t="s">
        <v>3974</v>
      </c>
    </row>
    <row customHeight="1" ht="11.25">
      <c r="A69" s="1584" t="s">
        <v>16</v>
      </c>
      <c r="B69" s="0" t="s">
        <v>3951</v>
      </c>
      <c r="C69" s="0" t="s">
        <v>3952</v>
      </c>
      <c r="D69" s="0" t="s">
        <v>3975</v>
      </c>
      <c r="E69" s="0" t="s">
        <v>3976</v>
      </c>
      <c r="F69" s="0" t="s">
        <v>3834</v>
      </c>
      <c r="G69" s="0" t="s">
        <v>2396</v>
      </c>
    </row>
    <row customHeight="1" ht="11.25">
      <c r="A70" s="1584" t="s">
        <v>16</v>
      </c>
      <c r="B70" s="0" t="s">
        <v>3951</v>
      </c>
      <c r="C70" s="0" t="s">
        <v>3952</v>
      </c>
      <c r="D70" s="0" t="s">
        <v>3977</v>
      </c>
      <c r="E70" s="0" t="s">
        <v>3978</v>
      </c>
      <c r="F70" s="0" t="s">
        <v>3834</v>
      </c>
      <c r="G70" s="0" t="s">
        <v>3979</v>
      </c>
    </row>
    <row customHeight="1" ht="11.25">
      <c r="A71" s="1584" t="s">
        <v>16</v>
      </c>
      <c r="B71" s="0" t="s">
        <v>3980</v>
      </c>
      <c r="C71" s="0" t="s">
        <v>3981</v>
      </c>
      <c r="D71" s="0" t="s">
        <v>3980</v>
      </c>
      <c r="E71" s="0" t="s">
        <v>3981</v>
      </c>
      <c r="F71" s="0" t="s">
        <v>3880</v>
      </c>
      <c r="G71" s="0" t="s">
        <v>3982</v>
      </c>
    </row>
    <row customHeight="1" ht="11.25">
      <c r="A72" s="1584" t="s">
        <v>16</v>
      </c>
      <c r="B72" s="0" t="s">
        <v>3983</v>
      </c>
      <c r="C72" s="0" t="s">
        <v>3984</v>
      </c>
      <c r="D72" s="0" t="s">
        <v>3985</v>
      </c>
      <c r="E72" s="0" t="s">
        <v>3986</v>
      </c>
      <c r="F72" s="0" t="s">
        <v>3834</v>
      </c>
      <c r="G72" s="0" t="s">
        <v>3987</v>
      </c>
    </row>
    <row customHeight="1" ht="11.25">
      <c r="A73" s="1584" t="s">
        <v>16</v>
      </c>
      <c r="B73" s="0" t="s">
        <v>3983</v>
      </c>
      <c r="C73" s="0" t="s">
        <v>3984</v>
      </c>
      <c r="D73" s="0" t="s">
        <v>3988</v>
      </c>
      <c r="E73" s="0" t="s">
        <v>3989</v>
      </c>
      <c r="F73" s="0" t="s">
        <v>3834</v>
      </c>
      <c r="G73" s="0" t="s">
        <v>3990</v>
      </c>
    </row>
    <row customHeight="1" ht="11.25">
      <c r="A74" s="1584" t="s">
        <v>16</v>
      </c>
      <c r="B74" s="0" t="s">
        <v>3983</v>
      </c>
      <c r="C74" s="0" t="s">
        <v>3984</v>
      </c>
      <c r="D74" s="0" t="s">
        <v>3991</v>
      </c>
      <c r="E74" s="0" t="s">
        <v>3992</v>
      </c>
      <c r="F74" s="0" t="s">
        <v>3834</v>
      </c>
      <c r="G74" s="0" t="s">
        <v>3993</v>
      </c>
    </row>
    <row customHeight="1" ht="11.25">
      <c r="A75" s="1584" t="s">
        <v>16</v>
      </c>
      <c r="B75" s="0" t="s">
        <v>3983</v>
      </c>
      <c r="C75" s="0" t="s">
        <v>3984</v>
      </c>
      <c r="D75" s="0" t="s">
        <v>3994</v>
      </c>
      <c r="E75" s="0" t="s">
        <v>3995</v>
      </c>
      <c r="F75" s="0" t="s">
        <v>3834</v>
      </c>
      <c r="G75" s="0" t="s">
        <v>3996</v>
      </c>
    </row>
    <row customHeight="1" ht="11.25">
      <c r="A76" s="1584" t="s">
        <v>16</v>
      </c>
      <c r="B76" s="0" t="s">
        <v>3983</v>
      </c>
      <c r="C76" s="0" t="s">
        <v>3984</v>
      </c>
      <c r="D76" s="0" t="s">
        <v>3997</v>
      </c>
      <c r="E76" s="0" t="s">
        <v>3998</v>
      </c>
      <c r="F76" s="0" t="s">
        <v>3834</v>
      </c>
      <c r="G76" s="0" t="s">
        <v>3999</v>
      </c>
    </row>
    <row customHeight="1" ht="11.25">
      <c r="A77" s="1584" t="s">
        <v>16</v>
      </c>
      <c r="B77" s="0" t="s">
        <v>3983</v>
      </c>
      <c r="C77" s="0" t="s">
        <v>3984</v>
      </c>
      <c r="D77" s="0" t="s">
        <v>4000</v>
      </c>
      <c r="E77" s="0" t="s">
        <v>4001</v>
      </c>
      <c r="F77" s="0" t="s">
        <v>3834</v>
      </c>
      <c r="G77" s="0" t="s">
        <v>4002</v>
      </c>
    </row>
    <row customHeight="1" ht="11.25">
      <c r="A78" s="1584" t="s">
        <v>16</v>
      </c>
      <c r="B78" s="0" t="s">
        <v>3983</v>
      </c>
      <c r="C78" s="0" t="s">
        <v>3984</v>
      </c>
      <c r="D78" s="0" t="s">
        <v>4003</v>
      </c>
      <c r="E78" s="0" t="s">
        <v>4004</v>
      </c>
      <c r="F78" s="0" t="s">
        <v>3834</v>
      </c>
      <c r="G78" s="0" t="s">
        <v>4005</v>
      </c>
    </row>
    <row customHeight="1" ht="11.25">
      <c r="A79" s="1584" t="s">
        <v>16</v>
      </c>
      <c r="B79" s="0" t="s">
        <v>3983</v>
      </c>
      <c r="C79" s="0" t="s">
        <v>3984</v>
      </c>
      <c r="D79" s="0" t="s">
        <v>3983</v>
      </c>
      <c r="E79" s="0" t="s">
        <v>3984</v>
      </c>
      <c r="F79" s="0" t="s">
        <v>3837</v>
      </c>
      <c r="G79" s="0" t="s">
        <v>4006</v>
      </c>
    </row>
    <row customHeight="1" ht="11.25">
      <c r="A80" s="1584" t="s">
        <v>16</v>
      </c>
      <c r="B80" s="0" t="s">
        <v>3983</v>
      </c>
      <c r="C80" s="0" t="s">
        <v>3984</v>
      </c>
      <c r="D80" s="0" t="s">
        <v>4007</v>
      </c>
      <c r="E80" s="0" t="s">
        <v>4008</v>
      </c>
      <c r="F80" s="0" t="s">
        <v>3834</v>
      </c>
      <c r="G80" s="0" t="s">
        <v>4009</v>
      </c>
    </row>
    <row customHeight="1" ht="11.25">
      <c r="A81" s="1584" t="s">
        <v>16</v>
      </c>
      <c r="B81" s="0" t="s">
        <v>3983</v>
      </c>
      <c r="C81" s="0" t="s">
        <v>3984</v>
      </c>
      <c r="D81" s="0" t="s">
        <v>4010</v>
      </c>
      <c r="E81" s="0" t="s">
        <v>4011</v>
      </c>
      <c r="F81" s="0" t="s">
        <v>3834</v>
      </c>
      <c r="G81" s="0" t="s">
        <v>4012</v>
      </c>
    </row>
    <row customHeight="1" ht="11.25">
      <c r="A82" s="1584" t="s">
        <v>16</v>
      </c>
      <c r="B82" s="0" t="s">
        <v>3983</v>
      </c>
      <c r="C82" s="0" t="s">
        <v>3984</v>
      </c>
      <c r="D82" s="0" t="s">
        <v>4013</v>
      </c>
      <c r="E82" s="0" t="s">
        <v>4014</v>
      </c>
      <c r="F82" s="0" t="s">
        <v>3834</v>
      </c>
      <c r="G82" s="0" t="s">
        <v>4015</v>
      </c>
    </row>
    <row customHeight="1" ht="11.25">
      <c r="A83" s="1584" t="s">
        <v>16</v>
      </c>
      <c r="B83" s="0" t="s">
        <v>3983</v>
      </c>
      <c r="C83" s="0" t="s">
        <v>3984</v>
      </c>
      <c r="D83" s="0" t="s">
        <v>4016</v>
      </c>
      <c r="E83" s="0" t="s">
        <v>4017</v>
      </c>
      <c r="F83" s="0" t="s">
        <v>3834</v>
      </c>
      <c r="G83" s="0" t="s">
        <v>4018</v>
      </c>
    </row>
    <row customHeight="1" ht="11.25">
      <c r="A84" s="1584" t="s">
        <v>16</v>
      </c>
      <c r="B84" s="0" t="s">
        <v>3983</v>
      </c>
      <c r="C84" s="0" t="s">
        <v>3984</v>
      </c>
      <c r="D84" s="0" t="s">
        <v>4019</v>
      </c>
      <c r="E84" s="0" t="s">
        <v>4020</v>
      </c>
      <c r="F84" s="0" t="s">
        <v>3834</v>
      </c>
      <c r="G84" s="0" t="s">
        <v>4021</v>
      </c>
    </row>
    <row customHeight="1" ht="11.25">
      <c r="A85" s="1584" t="s">
        <v>16</v>
      </c>
      <c r="B85" s="0" t="s">
        <v>3983</v>
      </c>
      <c r="C85" s="0" t="s">
        <v>3984</v>
      </c>
      <c r="D85" s="0" t="s">
        <v>4022</v>
      </c>
      <c r="E85" s="0" t="s">
        <v>4023</v>
      </c>
      <c r="F85" s="0" t="s">
        <v>3834</v>
      </c>
      <c r="G85" s="0" t="s">
        <v>4024</v>
      </c>
    </row>
    <row customHeight="1" ht="11.25">
      <c r="A86" s="1584" t="s">
        <v>16</v>
      </c>
      <c r="B86" s="0" t="s">
        <v>3983</v>
      </c>
      <c r="C86" s="0" t="s">
        <v>3984</v>
      </c>
      <c r="D86" s="0" t="s">
        <v>4025</v>
      </c>
      <c r="E86" s="0" t="s">
        <v>4026</v>
      </c>
      <c r="F86" s="0" t="s">
        <v>3834</v>
      </c>
      <c r="G86" s="0" t="s">
        <v>4027</v>
      </c>
    </row>
    <row customHeight="1" ht="11.25">
      <c r="A87" s="1584" t="s">
        <v>16</v>
      </c>
      <c r="B87" s="0" t="s">
        <v>4028</v>
      </c>
      <c r="C87" s="0" t="s">
        <v>4029</v>
      </c>
      <c r="D87" s="0" t="s">
        <v>4028</v>
      </c>
      <c r="E87" s="0" t="s">
        <v>4029</v>
      </c>
      <c r="F87" s="0" t="s">
        <v>3880</v>
      </c>
      <c r="G87" s="0" t="s">
        <v>4030</v>
      </c>
    </row>
    <row customHeight="1" ht="11.25">
      <c r="A88" s="1584" t="s">
        <v>16</v>
      </c>
      <c r="B88" s="0" t="s">
        <v>4031</v>
      </c>
      <c r="C88" s="0" t="s">
        <v>4032</v>
      </c>
      <c r="D88" s="0" t="s">
        <v>4031</v>
      </c>
      <c r="E88" s="0" t="s">
        <v>4032</v>
      </c>
      <c r="F88" s="0" t="s">
        <v>3880</v>
      </c>
      <c r="G88" s="0" t="s">
        <v>4033</v>
      </c>
    </row>
    <row customHeight="1" ht="11.25">
      <c r="A89" s="1584" t="s">
        <v>16</v>
      </c>
      <c r="B89" s="0" t="s">
        <v>105</v>
      </c>
      <c r="C89" s="0" t="s">
        <v>4034</v>
      </c>
      <c r="D89" s="0" t="s">
        <v>4035</v>
      </c>
      <c r="E89" s="0" t="s">
        <v>4036</v>
      </c>
      <c r="F89" s="0" t="s">
        <v>3834</v>
      </c>
      <c r="G89" s="0" t="s">
        <v>4037</v>
      </c>
    </row>
    <row customHeight="1" ht="11.25">
      <c r="A90" s="1584" t="s">
        <v>16</v>
      </c>
      <c r="B90" s="0" t="s">
        <v>105</v>
      </c>
      <c r="C90" s="0" t="s">
        <v>4034</v>
      </c>
      <c r="D90" s="0" t="s">
        <v>4038</v>
      </c>
      <c r="E90" s="0" t="s">
        <v>4039</v>
      </c>
      <c r="F90" s="0" t="s">
        <v>3834</v>
      </c>
      <c r="G90" s="0" t="s">
        <v>4040</v>
      </c>
    </row>
    <row customHeight="1" ht="11.25">
      <c r="A91" s="1584" t="s">
        <v>16</v>
      </c>
      <c r="B91" s="0" t="s">
        <v>105</v>
      </c>
      <c r="C91" s="0" t="s">
        <v>4034</v>
      </c>
      <c r="D91" s="0" t="s">
        <v>4041</v>
      </c>
      <c r="E91" s="0" t="s">
        <v>4042</v>
      </c>
      <c r="F91" s="0" t="s">
        <v>3834</v>
      </c>
      <c r="G91" s="0" t="s">
        <v>4043</v>
      </c>
    </row>
    <row customHeight="1" ht="11.25">
      <c r="A92" s="1584" t="s">
        <v>16</v>
      </c>
      <c r="B92" s="0" t="s">
        <v>105</v>
      </c>
      <c r="C92" s="0" t="s">
        <v>4034</v>
      </c>
      <c r="D92" s="0" t="s">
        <v>109</v>
      </c>
      <c r="E92" s="0" t="s">
        <v>110</v>
      </c>
      <c r="F92" s="0" t="s">
        <v>3834</v>
      </c>
      <c r="G92" s="0" t="s">
        <v>108</v>
      </c>
    </row>
    <row customHeight="1" ht="11.25">
      <c r="A93" s="1584" t="s">
        <v>16</v>
      </c>
      <c r="B93" s="0" t="s">
        <v>105</v>
      </c>
      <c r="C93" s="0" t="s">
        <v>4034</v>
      </c>
      <c r="D93" s="0" t="s">
        <v>4044</v>
      </c>
      <c r="E93" s="0" t="s">
        <v>4045</v>
      </c>
      <c r="F93" s="0" t="s">
        <v>3834</v>
      </c>
      <c r="G93" s="0" t="s">
        <v>4046</v>
      </c>
    </row>
    <row customHeight="1" ht="11.25">
      <c r="A94" s="1584" t="s">
        <v>16</v>
      </c>
      <c r="B94" s="0" t="s">
        <v>105</v>
      </c>
      <c r="C94" s="0" t="s">
        <v>4034</v>
      </c>
      <c r="D94" s="0" t="s">
        <v>4047</v>
      </c>
      <c r="E94" s="0" t="s">
        <v>4048</v>
      </c>
      <c r="F94" s="0" t="s">
        <v>3834</v>
      </c>
      <c r="G94" s="0" t="s">
        <v>4049</v>
      </c>
    </row>
    <row customHeight="1" ht="11.25">
      <c r="A95" s="1584" t="s">
        <v>16</v>
      </c>
      <c r="B95" s="0" t="s">
        <v>105</v>
      </c>
      <c r="C95" s="0" t="s">
        <v>4034</v>
      </c>
      <c r="D95" s="0" t="s">
        <v>105</v>
      </c>
      <c r="E95" s="0" t="s">
        <v>4034</v>
      </c>
      <c r="F95" s="0" t="s">
        <v>3837</v>
      </c>
      <c r="G95" s="0" t="s">
        <v>4050</v>
      </c>
    </row>
    <row customHeight="1" ht="11.25">
      <c r="A96" s="1584" t="s">
        <v>16</v>
      </c>
      <c r="B96" s="0" t="s">
        <v>105</v>
      </c>
      <c r="C96" s="0" t="s">
        <v>4034</v>
      </c>
      <c r="D96" s="0" t="s">
        <v>4051</v>
      </c>
      <c r="E96" s="0" t="s">
        <v>4052</v>
      </c>
      <c r="F96" s="0" t="s">
        <v>3834</v>
      </c>
      <c r="G96" s="0" t="s">
        <v>4053</v>
      </c>
    </row>
    <row customHeight="1" ht="11.25">
      <c r="A97" s="1584" t="s">
        <v>16</v>
      </c>
      <c r="B97" s="0" t="s">
        <v>105</v>
      </c>
      <c r="C97" s="0" t="s">
        <v>4034</v>
      </c>
      <c r="D97" s="0" t="s">
        <v>4054</v>
      </c>
      <c r="E97" s="0" t="s">
        <v>4055</v>
      </c>
      <c r="F97" s="0" t="s">
        <v>3834</v>
      </c>
      <c r="G97" s="0" t="s">
        <v>4056</v>
      </c>
    </row>
    <row customHeight="1" ht="11.25">
      <c r="A98" s="1584" t="s">
        <v>16</v>
      </c>
      <c r="B98" s="0" t="s">
        <v>105</v>
      </c>
      <c r="C98" s="0" t="s">
        <v>4034</v>
      </c>
      <c r="D98" s="0" t="s">
        <v>106</v>
      </c>
      <c r="E98" s="0" t="s">
        <v>107</v>
      </c>
      <c r="F98" s="0" t="s">
        <v>3834</v>
      </c>
      <c r="G98" s="0" t="s">
        <v>104</v>
      </c>
    </row>
    <row customHeight="1" ht="11.25">
      <c r="A99" s="1584" t="s">
        <v>16</v>
      </c>
      <c r="B99" s="0" t="s">
        <v>105</v>
      </c>
      <c r="C99" s="0" t="s">
        <v>4034</v>
      </c>
      <c r="D99" s="0" t="s">
        <v>4057</v>
      </c>
      <c r="E99" s="0" t="s">
        <v>4058</v>
      </c>
      <c r="F99" s="0" t="s">
        <v>3834</v>
      </c>
      <c r="G99" s="0" t="s">
        <v>4059</v>
      </c>
    </row>
    <row customHeight="1" ht="11.25">
      <c r="A100" s="1584" t="s">
        <v>16</v>
      </c>
      <c r="B100" s="0" t="s">
        <v>114</v>
      </c>
      <c r="C100" s="0" t="s">
        <v>115</v>
      </c>
      <c r="D100" s="0" t="s">
        <v>114</v>
      </c>
      <c r="E100" s="0" t="s">
        <v>115</v>
      </c>
      <c r="F100" s="0" t="s">
        <v>3829</v>
      </c>
      <c r="G100" s="0" t="s">
        <v>113</v>
      </c>
    </row>
    <row customHeight="1" ht="11.25">
      <c r="A101" s="1584" t="s">
        <v>16</v>
      </c>
      <c r="B101" s="0" t="s">
        <v>4060</v>
      </c>
      <c r="C101" s="0" t="s">
        <v>4061</v>
      </c>
      <c r="D101" s="0" t="s">
        <v>4060</v>
      </c>
      <c r="E101" s="0" t="s">
        <v>4061</v>
      </c>
      <c r="F101" s="0" t="s">
        <v>3880</v>
      </c>
      <c r="G101" s="0" t="s">
        <v>4062</v>
      </c>
    </row>
    <row customHeight="1" ht="11.25">
      <c r="A102" s="1584" t="s">
        <v>16</v>
      </c>
      <c r="B102" s="0" t="s">
        <v>4063</v>
      </c>
      <c r="C102" s="0" t="s">
        <v>4064</v>
      </c>
      <c r="D102" s="0" t="s">
        <v>4063</v>
      </c>
      <c r="E102" s="0" t="s">
        <v>4064</v>
      </c>
      <c r="F102" s="0" t="s">
        <v>3880</v>
      </c>
      <c r="G102" s="0" t="s">
        <v>4065</v>
      </c>
    </row>
    <row customHeight="1" ht="11.25">
      <c r="A103" s="1584" t="s">
        <v>16</v>
      </c>
      <c r="B103" s="0" t="s">
        <v>4066</v>
      </c>
      <c r="C103" s="0" t="s">
        <v>4067</v>
      </c>
      <c r="D103" s="0" t="s">
        <v>4066</v>
      </c>
      <c r="E103" s="0" t="s">
        <v>4067</v>
      </c>
      <c r="F103" s="0" t="s">
        <v>3880</v>
      </c>
      <c r="G103" s="0" t="s">
        <v>4068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46904-B354-5CA2-5DBD-CDD0D3529628}"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67498" width="13.8515625" customWidth="1"/>
    <col min="2" max="2" style="67498" width="10.421875" customWidth="1"/>
    <col min="3" max="3" style="67498" width="7.57421875" customWidth="1"/>
    <col min="4" max="4" style="67498" width="13.8515625" customWidth="1"/>
    <col min="5" max="5" style="67498" width="11.57421875" customWidth="1"/>
    <col min="6" max="6" style="67498" width="16.28125" customWidth="1"/>
    <col min="7" max="7" style="67498" width="16.00390625" customWidth="1"/>
    <col min="8" max="9" style="67498" width="16.140625" customWidth="1"/>
  </cols>
  <sheetData>
    <row customHeight="1" ht="11.25">
      <c r="A1" s="2046" t="s">
        <v>4069</v>
      </c>
      <c r="B1" s="2046" t="s">
        <v>4070</v>
      </c>
      <c r="C1" s="2370" t="s">
        <v>4071</v>
      </c>
      <c r="D1" s="2046" t="s">
        <v>4072</v>
      </c>
      <c r="E1" s="2046" t="s">
        <v>4073</v>
      </c>
      <c r="F1" s="2370" t="s">
        <v>4074</v>
      </c>
      <c r="G1" s="2370" t="s">
        <v>4075</v>
      </c>
      <c r="H1" s="2370" t="s">
        <v>4076</v>
      </c>
      <c r="I1" s="2370" t="s">
        <v>4077</v>
      </c>
    </row>
    <row customHeight="1" ht="11.25">
      <c r="A2" s="9206" t="s">
        <v>99</v>
      </c>
      <c r="B2" s="9206" t="s">
        <v>1155</v>
      </c>
      <c r="C2" s="9206" t="s">
        <v>4078</v>
      </c>
      <c r="D2" s="9206" t="s">
        <v>1159</v>
      </c>
      <c r="E2" s="9206" t="s">
        <v>1160</v>
      </c>
      <c r="F2" s="9206" t="s">
        <v>1161</v>
      </c>
      <c r="G2" s="9206" t="s">
        <v>1162</v>
      </c>
      <c r="H2" s="9206" t="s">
        <v>1163</v>
      </c>
      <c r="I2" s="9206" t="s">
        <v>1164</v>
      </c>
    </row>
    <row customHeight="1" ht="11.25">
      <c r="A3" s="9206" t="s">
        <v>102</v>
      </c>
      <c r="B3" s="9206" t="s">
        <v>1155</v>
      </c>
      <c r="C3" s="9206" t="s">
        <v>4078</v>
      </c>
      <c r="D3" s="9206" t="s">
        <v>1159</v>
      </c>
      <c r="E3" s="9206" t="s">
        <v>1160</v>
      </c>
      <c r="F3" s="9206" t="s">
        <v>4079</v>
      </c>
      <c r="G3" s="9206" t="s">
        <v>1162</v>
      </c>
      <c r="H3" s="9206" t="s">
        <v>4080</v>
      </c>
      <c r="I3" s="9206" t="s">
        <v>1159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DAC9F-05F5-F168-3CD2-878C07F19AD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BBF951-55F8-19F6-7D06-DF185EE009F6}"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67156" width="9.140625" hidden="1" customWidth="1"/>
    <col min="2" max="2" style="66903" width="9.140625" hidden="1" customWidth="1"/>
    <col min="3" max="3" style="67282" width="3.00390625" customWidth="1"/>
    <col min="4" max="4" style="66903" width="5.00390625" customWidth="1"/>
    <col min="5" max="5" style="66903" width="48.00390625" customWidth="1"/>
    <col min="6" max="6" style="66903" width="38.00390625" customWidth="1"/>
    <col min="7" max="7" style="66903" width="1.7109375" hidden="1" customWidth="1"/>
    <col min="8" max="11" style="66903" width="19.8515625" customWidth="1"/>
    <col min="12" max="12" style="66903" width="9.7109375" customWidth="1"/>
    <col min="13" max="18" style="66903" width="19.8515625" customWidth="1"/>
    <col min="19" max="19" style="66903" width="1.7109375" hidden="1" customWidth="1"/>
    <col min="20" max="22" style="66903" width="19.8515625" hidden="1" customWidth="1"/>
    <col min="23" max="23" style="66903" width="1.7109375" hidden="1" customWidth="1"/>
    <col min="24" max="26" style="66903" width="19.8515625" hidden="1" customWidth="1"/>
    <col min="27" max="27" style="66903" width="1.7109375" hidden="1" customWidth="1"/>
    <col min="28" max="29" style="66903" width="19.8515625" hidden="1" customWidth="1"/>
    <col min="30" max="30" style="66903" width="1.7109375" hidden="1" customWidth="1"/>
    <col min="31" max="31" style="66903" width="103.7109375" customWidth="1"/>
    <col min="32" max="34" style="66903" width="103.7109375" hidden="1" customWidth="1"/>
    <col min="35" max="35" style="65153" width="3.00390625" customWidth="1"/>
    <col min="36" max="38" style="65923" width="10.00390625" customWidth="1"/>
    <col min="39" max="39" style="65923" width="13.7109375" hidden="1" customWidth="1"/>
    <col min="40" max="40" style="65923" width="15.00390625" customWidth="1"/>
    <col min="41" max="41" style="65923" width="16.00390625" customWidth="1"/>
    <col min="42" max="45" style="65923" width="10.00390625" customWidth="1"/>
    <col min="46" max="46" style="66903" width="10.57421875" hidden="1"/>
  </cols>
  <sheetData>
    <row customHeight="1" ht="22.5" hidden="1">
      <c r="E1" s="1623"/>
      <c r="F1" s="1623"/>
      <c r="G1" s="1623"/>
      <c r="H1" s="3428" t="s">
        <v>370</v>
      </c>
      <c r="I1" s="3428"/>
      <c r="J1" s="3428"/>
      <c r="K1" s="3428"/>
      <c r="L1" s="3428"/>
      <c r="M1" s="3428"/>
      <c r="N1" s="3428"/>
      <c r="O1" s="3428"/>
      <c r="P1" s="3428"/>
      <c r="Q1" s="3428"/>
      <c r="R1" s="3428"/>
      <c r="T1" s="3428" t="s">
        <v>371</v>
      </c>
      <c r="U1" s="3428"/>
      <c r="V1" s="3428"/>
      <c r="X1" s="3428" t="s">
        <v>372</v>
      </c>
      <c r="Y1" s="3428"/>
      <c r="Z1" s="3428"/>
      <c r="AB1" s="3428" t="s">
        <v>373</v>
      </c>
      <c r="AC1" s="3428"/>
      <c r="AT1" s="1658" t="s">
        <v>14</v>
      </c>
    </row>
    <row customHeight="1" ht="14.25" hidden="1">
      <c r="AT2" s="1658">
        <v>0</v>
      </c>
    </row>
    <row s="65167" customFormat="1" customHeight="1" ht="5.25">
      <c r="C3" s="1912"/>
      <c r="D3" s="1913"/>
      <c r="E3" s="1913"/>
      <c r="F3" s="1913"/>
      <c r="G3" s="1913"/>
      <c r="H3" s="1913" t="s">
        <v>374</v>
      </c>
      <c r="I3" s="1913"/>
      <c r="J3" s="1913"/>
      <c r="K3" s="1913"/>
      <c r="L3" s="1913"/>
      <c r="M3" s="1913"/>
      <c r="N3" s="1913"/>
      <c r="O3" s="1913"/>
      <c r="P3" s="1913"/>
      <c r="Q3" s="1913"/>
      <c r="R3" s="1913"/>
      <c r="S3" s="1913"/>
      <c r="T3" s="1913"/>
      <c r="U3" s="1913"/>
      <c r="V3" s="1913"/>
      <c r="W3" s="1913"/>
      <c r="X3" s="1913"/>
      <c r="Y3" s="1913"/>
      <c r="Z3" s="1913"/>
      <c r="AA3" s="1913"/>
      <c r="AB3" s="1913"/>
      <c r="AC3" s="1913"/>
      <c r="AD3" s="1913"/>
      <c r="AE3" s="1913"/>
      <c r="AF3" s="1913"/>
      <c r="AG3" s="1913"/>
      <c r="AH3" s="1913"/>
      <c r="AJ3" s="1722"/>
      <c r="AK3" s="1722"/>
      <c r="AL3" s="1722"/>
      <c r="AM3" s="1722"/>
      <c r="AN3" s="1722"/>
      <c r="AO3" s="1722"/>
      <c r="AP3" s="1722"/>
      <c r="AQ3" s="1722"/>
      <c r="AR3" s="1722"/>
      <c r="AS3" s="1722"/>
      <c r="AT3" s="1911">
        <v>5</v>
      </c>
    </row>
    <row customHeight="1" ht="39.75">
      <c r="C4" s="1661"/>
      <c r="D4" s="336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3369"/>
      <c r="F4" s="3369"/>
      <c r="G4" s="3369"/>
      <c r="H4" s="3369"/>
      <c r="I4" s="3369"/>
      <c r="J4" s="3369"/>
      <c r="K4" s="3369"/>
      <c r="L4" s="3369"/>
      <c r="M4" s="3369"/>
      <c r="N4" s="3369"/>
      <c r="O4" s="3369"/>
      <c r="P4" s="3369"/>
      <c r="Q4" s="3369"/>
      <c r="R4" s="3370"/>
      <c r="S4" s="2064"/>
      <c r="T4" s="1910"/>
      <c r="U4" s="1910"/>
      <c r="V4" s="1910"/>
      <c r="W4" s="1910"/>
      <c r="X4" s="1910"/>
      <c r="Y4" s="1910"/>
      <c r="Z4" s="1910"/>
      <c r="AA4" s="1910"/>
      <c r="AB4" s="1910"/>
      <c r="AC4" s="1910"/>
      <c r="AD4" s="1910"/>
      <c r="AE4" s="1702"/>
      <c r="AF4" s="1702"/>
      <c r="AG4" s="1702"/>
      <c r="AH4" s="1702"/>
      <c r="AI4" s="1699"/>
      <c r="AT4" s="1658">
        <v>38</v>
      </c>
    </row>
    <row s="66903" customFormat="1" customHeight="1" ht="18">
      <c r="A5" s="1970"/>
      <c r="C5" s="2033"/>
      <c r="D5" s="3425" t="str">
        <f>IF(org=0,"Не определено",org)</f>
        <v>ПАО "ТГК-2"</v>
      </c>
      <c r="E5" s="3426"/>
      <c r="F5" s="3426"/>
      <c r="G5" s="3426"/>
      <c r="H5" s="3426"/>
      <c r="I5" s="3426"/>
      <c r="J5" s="3426"/>
      <c r="K5" s="3426"/>
      <c r="L5" s="3426"/>
      <c r="M5" s="3426"/>
      <c r="N5" s="3426"/>
      <c r="O5" s="3426"/>
      <c r="P5" s="3426"/>
      <c r="Q5" s="3426"/>
      <c r="R5" s="3427"/>
      <c r="S5" s="2064"/>
      <c r="T5" s="1910"/>
      <c r="U5" s="1910"/>
      <c r="V5" s="1910"/>
      <c r="W5" s="1910"/>
      <c r="X5" s="1910"/>
      <c r="Y5" s="1910"/>
      <c r="Z5" s="1910"/>
      <c r="AA5" s="1910"/>
      <c r="AB5" s="1910"/>
      <c r="AC5" s="1910"/>
      <c r="AD5" s="1910"/>
      <c r="AE5" s="1702"/>
      <c r="AF5" s="1702"/>
      <c r="AG5" s="1702"/>
      <c r="AH5" s="1702"/>
      <c r="AI5" s="1699"/>
      <c r="AJ5" s="1722"/>
      <c r="AK5" s="1722"/>
      <c r="AL5" s="1722"/>
      <c r="AM5" s="1722"/>
      <c r="AN5" s="1722"/>
      <c r="AO5" s="1722"/>
      <c r="AP5" s="1722"/>
      <c r="AQ5" s="1722"/>
      <c r="AR5" s="1722"/>
      <c r="AS5" s="1722"/>
      <c r="AT5" s="1969">
        <v>17</v>
      </c>
    </row>
    <row s="65172" customFormat="1" customHeight="1" ht="11.549999999999999">
      <c r="A6" s="1690"/>
      <c r="C6" s="1697"/>
      <c r="D6" s="1696"/>
      <c r="E6" s="1696"/>
      <c r="F6" s="1696"/>
      <c r="G6" s="1696"/>
      <c r="H6" s="1696"/>
      <c r="I6" s="1696"/>
      <c r="J6" s="1696"/>
      <c r="K6" s="1696"/>
      <c r="L6" s="1696"/>
      <c r="M6" s="1696"/>
      <c r="N6" s="1696"/>
      <c r="O6" s="1696"/>
      <c r="P6" s="1696"/>
      <c r="Q6" s="1696"/>
      <c r="R6" s="1963"/>
      <c r="S6" s="1963"/>
      <c r="T6" s="1696"/>
      <c r="U6" s="1696"/>
      <c r="V6" s="1923"/>
      <c r="W6" s="1923"/>
      <c r="X6" s="1696"/>
      <c r="Y6" s="1696"/>
      <c r="Z6" s="1923"/>
      <c r="AA6" s="1923"/>
      <c r="AB6" s="1696"/>
      <c r="AC6" s="1923"/>
      <c r="AD6" s="1923"/>
      <c r="AE6" s="1696"/>
      <c r="AF6" s="1696"/>
      <c r="AG6" s="1696"/>
      <c r="AH6" s="1696"/>
      <c r="AJ6" s="1700"/>
      <c r="AK6" s="1700"/>
      <c r="AL6" s="1700"/>
      <c r="AM6" s="1700"/>
      <c r="AN6" s="1700"/>
      <c r="AO6" s="1700"/>
      <c r="AP6" s="1700"/>
      <c r="AQ6" s="1700"/>
      <c r="AR6" s="1700"/>
      <c r="AS6" s="1700"/>
      <c r="AT6" s="1691">
        <v>11</v>
      </c>
    </row>
    <row customHeight="1" ht="14.699999999999998">
      <c r="C7" s="1661"/>
      <c r="D7" s="3429" t="s">
        <v>318</v>
      </c>
      <c r="E7" s="3430"/>
      <c r="F7" s="3430"/>
      <c r="G7" s="3430"/>
      <c r="H7" s="3430"/>
      <c r="I7" s="3430"/>
      <c r="J7" s="3430"/>
      <c r="K7" s="3430"/>
      <c r="L7" s="3430"/>
      <c r="M7" s="3430"/>
      <c r="N7" s="3430"/>
      <c r="O7" s="3430"/>
      <c r="P7" s="3430"/>
      <c r="Q7" s="3430"/>
      <c r="R7" s="3430"/>
      <c r="S7" s="3430"/>
      <c r="T7" s="3430"/>
      <c r="U7" s="3430"/>
      <c r="V7" s="3430"/>
      <c r="W7" s="3430"/>
      <c r="X7" s="3430"/>
      <c r="Y7" s="3430"/>
      <c r="Z7" s="3430"/>
      <c r="AA7" s="3430"/>
      <c r="AB7" s="3430"/>
      <c r="AC7" s="3430"/>
      <c r="AD7" s="3431"/>
      <c r="AE7" s="3434" t="s">
        <v>319</v>
      </c>
      <c r="AF7" s="3434" t="s">
        <v>319</v>
      </c>
      <c r="AG7" s="3434" t="s">
        <v>319</v>
      </c>
      <c r="AH7" s="3434" t="s">
        <v>319</v>
      </c>
      <c r="AT7" s="1658">
        <v>14</v>
      </c>
    </row>
    <row customHeight="1" ht="27.299999999999997">
      <c r="C8" s="1661"/>
      <c r="D8" s="3338" t="s">
        <v>88</v>
      </c>
      <c r="E8" s="3434" t="str">
        <f>"Наименование "&amp;IF(TEMPLATE_SPHERE&lt;&gt;"HEAT","централизованной ","")&amp;"системы "&amp;TEMPLATE_SPHERE_RUS</f>
        <v>Наименование системы теплоснабжения</v>
      </c>
      <c r="F8" s="3434" t="str">
        <f>IF(TEMPLATE_SPHERE&lt;&gt;"HEAT","Регулируемый вид деятельности","Вид регулируемой деятельности")</f>
        <v>Вид регулируемой деятельности</v>
      </c>
      <c r="G8" s="2039"/>
      <c r="H8" s="3435" t="s">
        <v>375</v>
      </c>
      <c r="I8" s="3437" t="s">
        <v>376</v>
      </c>
      <c r="J8" s="3434" t="s">
        <v>377</v>
      </c>
      <c r="K8" s="3434"/>
      <c r="L8" s="3434"/>
      <c r="M8" s="3429"/>
      <c r="N8" s="3434" t="s">
        <v>378</v>
      </c>
      <c r="O8" s="3434"/>
      <c r="P8" s="3434" t="s">
        <v>379</v>
      </c>
      <c r="Q8" s="3434"/>
      <c r="R8" s="3441" t="s">
        <v>380</v>
      </c>
      <c r="S8" s="2035"/>
      <c r="T8" s="3439" t="s">
        <v>381</v>
      </c>
      <c r="U8" s="3439" t="s">
        <v>382</v>
      </c>
      <c r="V8" s="3439" t="s">
        <v>383</v>
      </c>
      <c r="W8" s="2037"/>
      <c r="X8" s="3439" t="s">
        <v>384</v>
      </c>
      <c r="Y8" s="3439" t="s">
        <v>385</v>
      </c>
      <c r="Z8" s="3439" t="s">
        <v>386</v>
      </c>
      <c r="AA8" s="2037"/>
      <c r="AB8" s="3439" t="s">
        <v>387</v>
      </c>
      <c r="AC8" s="3439" t="s">
        <v>380</v>
      </c>
      <c r="AD8" s="2037"/>
      <c r="AE8" s="3434"/>
      <c r="AF8" s="3434"/>
      <c r="AG8" s="3434"/>
      <c r="AH8" s="3434"/>
      <c r="AT8" s="1658">
        <v>26</v>
      </c>
    </row>
    <row customHeight="1" ht="46.199999999999996">
      <c r="C9" s="1661"/>
      <c r="D9" s="3338"/>
      <c r="E9" s="3434"/>
      <c r="F9" s="3434"/>
      <c r="G9" s="2040"/>
      <c r="H9" s="3436"/>
      <c r="I9" s="3438"/>
      <c r="J9" s="1636" t="s">
        <v>388</v>
      </c>
      <c r="K9" s="1636" t="s">
        <v>389</v>
      </c>
      <c r="L9" s="1636" t="s">
        <v>390</v>
      </c>
      <c r="M9" s="1642" t="s">
        <v>391</v>
      </c>
      <c r="N9" s="1636" t="s">
        <v>392</v>
      </c>
      <c r="O9" s="1636" t="s">
        <v>391</v>
      </c>
      <c r="P9" s="1636" t="s">
        <v>393</v>
      </c>
      <c r="Q9" s="1636" t="s">
        <v>391</v>
      </c>
      <c r="R9" s="3442"/>
      <c r="S9" s="2036"/>
      <c r="T9" s="3440"/>
      <c r="U9" s="3440"/>
      <c r="V9" s="3440"/>
      <c r="W9" s="2038"/>
      <c r="X9" s="3440"/>
      <c r="Y9" s="3440"/>
      <c r="Z9" s="3440"/>
      <c r="AA9" s="2038"/>
      <c r="AB9" s="3440"/>
      <c r="AC9" s="3440"/>
      <c r="AD9" s="2038"/>
      <c r="AE9" s="3434"/>
      <c r="AF9" s="3434"/>
      <c r="AG9" s="3434"/>
      <c r="AH9" s="3434"/>
      <c r="AT9" s="1658">
        <v>44</v>
      </c>
    </row>
    <row customHeight="1" ht="12" hidden="1">
      <c r="C10" s="1698"/>
      <c r="D10" s="1659"/>
      <c r="E10" s="1659"/>
      <c r="F10" s="1659"/>
      <c r="G10" s="1659"/>
      <c r="H10" s="1659"/>
      <c r="I10" s="1659"/>
      <c r="J10" s="1659"/>
      <c r="K10" s="1659"/>
      <c r="L10" s="1659"/>
      <c r="M10" s="1659"/>
      <c r="N10" s="1659"/>
      <c r="O10" s="1659"/>
      <c r="P10" s="1659"/>
      <c r="Q10" s="1659"/>
      <c r="R10" s="1659"/>
      <c r="S10" s="1659"/>
      <c r="T10" s="1659"/>
      <c r="U10" s="1659"/>
      <c r="V10" s="1659"/>
      <c r="W10" s="1659"/>
      <c r="X10" s="1659"/>
      <c r="Y10" s="1659"/>
      <c r="Z10" s="1659"/>
      <c r="AA10" s="1659"/>
      <c r="AB10" s="1659"/>
      <c r="AC10" s="1659"/>
      <c r="AD10" s="1659"/>
      <c r="AE10" s="1659"/>
      <c r="AF10" s="1659"/>
      <c r="AG10" s="1659"/>
      <c r="AH10" s="1659"/>
      <c r="AI10" s="1658"/>
      <c r="AP10" s="1711"/>
      <c r="AQ10" s="1711"/>
      <c r="AT10" s="1658">
        <v>0</v>
      </c>
    </row>
    <row s="65897" customFormat="1" customHeight="1" ht="11.25" hidden="1">
      <c r="C11" s="1709"/>
      <c r="D11" s="1710" t="s">
        <v>394</v>
      </c>
      <c r="E11" s="1710"/>
      <c r="F11" s="1710"/>
      <c r="G11" s="1710"/>
      <c r="H11" s="1708"/>
      <c r="I11" s="1708"/>
      <c r="J11" s="1708"/>
      <c r="K11" s="1708"/>
      <c r="L11" s="1708"/>
      <c r="M11" s="1708"/>
      <c r="N11" s="1708"/>
      <c r="O11" s="1708"/>
      <c r="P11" s="1708"/>
      <c r="Q11" s="1708"/>
      <c r="R11" s="1708"/>
      <c r="S11" s="1708"/>
      <c r="T11" s="1708"/>
      <c r="U11" s="1708"/>
      <c r="V11" s="1708"/>
      <c r="W11" s="1708"/>
      <c r="X11" s="1708"/>
      <c r="Y11" s="1708"/>
      <c r="Z11" s="1708"/>
      <c r="AA11" s="1708"/>
      <c r="AB11" s="1708"/>
      <c r="AC11" s="1708"/>
      <c r="AD11" s="1708"/>
      <c r="AE11" s="1646"/>
      <c r="AF11" s="1646"/>
      <c r="AG11" s="1646"/>
      <c r="AH11" s="1646"/>
      <c r="AJ11" s="1700"/>
      <c r="AK11" s="1700"/>
      <c r="AL11" s="1700"/>
      <c r="AM11" s="1700"/>
      <c r="AN11" s="1700"/>
      <c r="AO11" s="1700"/>
      <c r="AP11" s="1700"/>
      <c r="AQ11" s="1700"/>
      <c r="AR11" s="1700"/>
      <c r="AS11" s="1700"/>
      <c r="AT11" s="1707">
        <v>0</v>
      </c>
    </row>
    <row customHeight="1" ht="14.699999999999998">
      <c r="A12" s="1658"/>
      <c r="C12" s="1661"/>
      <c r="D12" s="1645" t="s">
        <v>99</v>
      </c>
      <c r="E12" s="2988" t="s">
        <v>22</v>
      </c>
      <c r="F12" s="2066"/>
      <c r="G12" s="2067"/>
      <c r="H12" s="2989"/>
      <c r="I12" s="2989"/>
      <c r="J12" s="1644"/>
      <c r="K12" s="3074"/>
      <c r="L12" s="1643"/>
      <c r="M12" s="3074"/>
      <c r="N12" s="1644"/>
      <c r="O12" s="3074"/>
      <c r="P12" s="1644"/>
      <c r="Q12" s="3074"/>
      <c r="R12" s="1644"/>
      <c r="S12" s="2065"/>
      <c r="T12" s="2989"/>
      <c r="U12" s="1644"/>
      <c r="V12" s="1644"/>
      <c r="W12" s="2038"/>
      <c r="X12" s="2989"/>
      <c r="Y12" s="1644"/>
      <c r="Z12" s="1644"/>
      <c r="AA12" s="2038"/>
      <c r="AB12" s="2989"/>
      <c r="AC12" s="1644"/>
      <c r="AD12" s="2038"/>
      <c r="AE12" s="3432" t="s">
        <v>395</v>
      </c>
      <c r="AF12" s="3432" t="s">
        <v>396</v>
      </c>
      <c r="AG12" s="3432" t="s">
        <v>397</v>
      </c>
      <c r="AH12" s="3432" t="s">
        <v>398</v>
      </c>
      <c r="AI12" s="1658"/>
      <c r="AM12" s="1722"/>
      <c r="AP12" s="1711" t="s">
        <v>399</v>
      </c>
      <c r="AQ12" s="1711" t="s">
        <v>399</v>
      </c>
      <c r="AT12" s="1658">
        <v>14</v>
      </c>
    </row>
    <row customHeight="1" ht="18">
      <c r="A13" s="1658"/>
      <c r="C13" s="1661"/>
      <c r="D13" s="1616"/>
      <c r="E13" s="2080" t="str">
        <f>IF(TITLE_DIFFERENTIATION_TYPE="нет","","Добавить систему")</f>
        <v/>
      </c>
      <c r="F13" s="2080" t="str">
        <f>IF(TITLE_DIFFERENTIATION_TYPE="нет","Добавить вид деятельности","")</f>
        <v>Добавить вид деятельности</v>
      </c>
      <c r="G13" s="1524"/>
      <c r="H13" s="1617"/>
      <c r="I13" s="1617"/>
      <c r="J13" s="1617"/>
      <c r="K13" s="1617"/>
      <c r="L13" s="1617"/>
      <c r="M13" s="1617"/>
      <c r="N13" s="1617"/>
      <c r="O13" s="1617"/>
      <c r="P13" s="1617"/>
      <c r="Q13" s="1617"/>
      <c r="R13" s="1617"/>
      <c r="S13" s="1617"/>
      <c r="T13" s="1617"/>
      <c r="U13" s="1617"/>
      <c r="V13" s="1617"/>
      <c r="W13" s="1617"/>
      <c r="X13" s="1617"/>
      <c r="Y13" s="1617"/>
      <c r="Z13" s="1617"/>
      <c r="AA13" s="1617"/>
      <c r="AB13" s="1617"/>
      <c r="AC13" s="1617"/>
      <c r="AD13" s="2068"/>
      <c r="AE13" s="3433"/>
      <c r="AF13" s="3433"/>
      <c r="AG13" s="3433"/>
      <c r="AH13" s="3433"/>
      <c r="AI13" s="1658"/>
      <c r="AT13" s="1658">
        <v>17</v>
      </c>
    </row>
    <row customHeight="1" ht="14.699999999999998">
      <c r="AI14" s="1658"/>
      <c r="AT14" s="1658">
        <v>14</v>
      </c>
    </row>
    <row customHeight="1" ht="14.699999999999998">
      <c r="E15" s="1969"/>
      <c r="L15" s="1969"/>
      <c r="AT15" s="1658">
        <v>14</v>
      </c>
    </row>
    <row customHeight="1" ht="14.699999999999998">
      <c r="L16" s="1969"/>
      <c r="AT16" s="1658">
        <v>14</v>
      </c>
    </row>
    <row customHeight="1" ht="14.699999999999998">
      <c r="L17" s="1969"/>
      <c r="AT17" s="1658">
        <v>14</v>
      </c>
    </row>
    <row customHeight="1" ht="22.5" hidden="1">
      <c r="A18" s="1660" t="s">
        <v>82</v>
      </c>
      <c r="B18" s="1658">
        <v>0</v>
      </c>
      <c r="C18" s="1662">
        <v>3</v>
      </c>
      <c r="D18" s="1658">
        <v>5</v>
      </c>
      <c r="E18" s="1658">
        <v>48</v>
      </c>
      <c r="F18" s="1658">
        <v>38</v>
      </c>
      <c r="G18" s="1969">
        <v>0</v>
      </c>
      <c r="H18" s="1658">
        <v>0</v>
      </c>
      <c r="I18" s="1658">
        <v>0</v>
      </c>
      <c r="J18" s="1658">
        <v>0</v>
      </c>
      <c r="K18" s="1658">
        <v>0</v>
      </c>
      <c r="L18" s="1658">
        <v>0</v>
      </c>
      <c r="M18" s="1658">
        <v>0</v>
      </c>
      <c r="N18" s="1658">
        <v>0</v>
      </c>
      <c r="O18" s="1658">
        <v>0</v>
      </c>
      <c r="P18" s="1658">
        <v>0</v>
      </c>
      <c r="Q18" s="1658">
        <v>0</v>
      </c>
      <c r="R18" s="1658">
        <v>0</v>
      </c>
      <c r="S18" s="1969">
        <v>0</v>
      </c>
      <c r="T18" s="1716">
        <v>0</v>
      </c>
      <c r="U18" s="1716">
        <v>0</v>
      </c>
      <c r="V18" s="1716">
        <v>0</v>
      </c>
      <c r="W18" s="1969">
        <v>0</v>
      </c>
      <c r="X18" s="1716">
        <v>0</v>
      </c>
      <c r="Y18" s="1716">
        <v>0</v>
      </c>
      <c r="Z18" s="1716">
        <v>0</v>
      </c>
      <c r="AA18" s="1969">
        <v>0</v>
      </c>
      <c r="AB18" s="1716">
        <v>0</v>
      </c>
      <c r="AC18" s="1716">
        <v>0</v>
      </c>
      <c r="AD18" s="1969">
        <v>0</v>
      </c>
      <c r="AE18" s="1658">
        <v>0</v>
      </c>
      <c r="AF18" s="1716">
        <v>0</v>
      </c>
      <c r="AG18" s="1716">
        <v>0</v>
      </c>
      <c r="AH18" s="1716">
        <v>0</v>
      </c>
      <c r="AI18" s="1663">
        <v>3</v>
      </c>
      <c r="AJ18" s="1700">
        <v>10</v>
      </c>
      <c r="AK18" s="1700">
        <v>10</v>
      </c>
      <c r="AL18" s="1700">
        <v>10</v>
      </c>
      <c r="AM18" s="1700">
        <v>0</v>
      </c>
      <c r="AN18" s="1700">
        <v>15</v>
      </c>
      <c r="AO18" s="1700">
        <v>16</v>
      </c>
      <c r="AP18" s="1700">
        <v>10</v>
      </c>
      <c r="AQ18" s="1700">
        <v>10</v>
      </c>
      <c r="AR18" s="1700">
        <v>10</v>
      </c>
      <c r="AS18" s="1700">
        <v>10</v>
      </c>
      <c r="AT18" s="165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35044-1355-F08C-1013-A34165060525}"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67490" width="9.140625"/>
  </cols>
  <sheetData>
    <row customHeight="1" ht="11.25">
      <c r="A1" s="1394" t="s">
        <v>150</v>
      </c>
      <c r="B1" s="1394" t="s">
        <v>4081</v>
      </c>
    </row>
    <row customHeight="1" ht="11.25">
      <c r="A2" s="15070" t="s">
        <v>98</v>
      </c>
      <c r="B2" s="15070" t="s">
        <v>4082</v>
      </c>
    </row>
    <row customHeight="1" ht="11.25">
      <c r="A3" s="15070" t="s">
        <v>112</v>
      </c>
      <c r="B3" s="15070" t="s">
        <v>4083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1511F-C7AE-6D84-1064-0ACA5D5F5C1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7498" width="9.140625"/>
    <col min="2" max="2" style="67498" width="65.28125" customWidth="1"/>
  </cols>
  <sheetData>
    <row customHeight="1" ht="11.25">
      <c r="A1" s="2046" t="s">
        <v>4084</v>
      </c>
      <c r="B1" s="2046" t="s">
        <v>4085</v>
      </c>
    </row>
    <row customHeight="1" ht="11.25">
      <c r="A2" s="2046">
        <v>4213775</v>
      </c>
      <c r="B2" s="2046" t="s">
        <v>1429</v>
      </c>
    </row>
    <row customHeight="1" ht="11.25">
      <c r="A3" s="2046">
        <v>4213784</v>
      </c>
      <c r="B3" s="2046" t="s">
        <v>1461</v>
      </c>
    </row>
    <row customHeight="1" ht="11.25">
      <c r="A4" s="2046">
        <v>4213781</v>
      </c>
      <c r="B4" s="2046" t="s">
        <v>1454</v>
      </c>
    </row>
    <row customHeight="1" ht="11.25">
      <c r="A5" s="2046">
        <v>4213776</v>
      </c>
      <c r="B5" s="2046" t="s">
        <v>186</v>
      </c>
    </row>
    <row customHeight="1" ht="11.25">
      <c r="A6" s="2046">
        <v>4213777</v>
      </c>
      <c r="B6" s="2046" t="s">
        <v>192</v>
      </c>
    </row>
    <row customHeight="1" ht="11.25">
      <c r="A7" s="2046">
        <v>4213778</v>
      </c>
      <c r="B7" s="2046" t="s">
        <v>198</v>
      </c>
    </row>
    <row customHeight="1" ht="11.25">
      <c r="A8" s="2046">
        <v>4213780</v>
      </c>
      <c r="B8" s="2046" t="s">
        <v>204</v>
      </c>
    </row>
    <row customHeight="1" ht="11.25">
      <c r="A9" s="2046">
        <v>4213779</v>
      </c>
      <c r="B9" s="2046" t="s">
        <v>1587</v>
      </c>
    </row>
    <row customHeight="1" ht="11.25">
      <c r="A10" s="2046">
        <v>4213783</v>
      </c>
      <c r="B10" s="2046" t="s">
        <v>1600</v>
      </c>
    </row>
    <row customHeight="1" ht="11.25">
      <c r="A11" s="2046">
        <v>4213782</v>
      </c>
      <c r="B11" s="2046" t="s">
        <v>210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17D08-F5F4-8E91-188F-43DB99EC63F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7498" width="9.140625"/>
    <col min="2" max="2" style="67498" width="65.28125" customWidth="1"/>
  </cols>
  <sheetData>
    <row customHeight="1" ht="11.25">
      <c r="A1" s="2046" t="s">
        <v>4084</v>
      </c>
      <c r="B1" s="2046" t="s">
        <v>4086</v>
      </c>
    </row>
    <row customHeight="1" ht="11.25">
      <c r="A2" s="2046" t="s">
        <v>135</v>
      </c>
      <c r="B2" s="2046" t="s">
        <v>1695</v>
      </c>
    </row>
    <row customHeight="1" ht="11.25">
      <c r="A3" s="2046" t="s">
        <v>4087</v>
      </c>
      <c r="B3" s="2046" t="s">
        <v>1705</v>
      </c>
    </row>
    <row customHeight="1" ht="11.25">
      <c r="A4" s="2046" t="s">
        <v>129</v>
      </c>
      <c r="B4" s="2046" t="s">
        <v>1714</v>
      </c>
    </row>
    <row customHeight="1" ht="11.25">
      <c r="A5" s="2046" t="s">
        <v>4088</v>
      </c>
      <c r="B5" s="2046" t="s">
        <v>1723</v>
      </c>
    </row>
    <row customHeight="1" ht="11.25">
      <c r="A6" s="2046" t="s">
        <v>4089</v>
      </c>
      <c r="B6" s="2046" t="s">
        <v>1729</v>
      </c>
    </row>
    <row customHeight="1" ht="11.25">
      <c r="A7" s="2046" t="s">
        <v>4090</v>
      </c>
      <c r="B7" s="2046" t="s">
        <v>1737</v>
      </c>
    </row>
    <row customHeight="1" ht="11.25">
      <c r="A8" s="2046" t="s">
        <v>4091</v>
      </c>
      <c r="B8" s="2046" t="s">
        <v>1743</v>
      </c>
    </row>
    <row customHeight="1" ht="11.25">
      <c r="A9" s="2046" t="s">
        <v>4092</v>
      </c>
      <c r="B9" s="2046" t="s">
        <v>1749</v>
      </c>
    </row>
    <row customHeight="1" ht="11.25">
      <c r="A10" s="2046" t="s">
        <v>4093</v>
      </c>
      <c r="B10" s="2046" t="s">
        <v>1753</v>
      </c>
    </row>
    <row customHeight="1" ht="11.25">
      <c r="A11" s="2046" t="s">
        <v>4094</v>
      </c>
      <c r="B11" s="2046" t="s">
        <v>1760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92694-C255-04A2-039E-A65CAA9D6FE6}" mc:Ignorable="x14ac xr xr2 xr3">
  <sheetPr>
    <tabColor rgb="FFFFCC99"/>
  </sheetPr>
  <dimension ref="A1:G101"/>
  <sheetViews>
    <sheetView topLeftCell="A1" showGridLines="0" workbookViewId="0">
      <selection activeCell="A1" sqref="A1"/>
    </sheetView>
  </sheetViews>
  <sheetFormatPr customHeight="1" defaultRowHeight="11.25"/>
  <sheetData>
    <row customHeight="1" ht="11.25">
      <c r="A1" s="1584" t="s">
        <v>3822</v>
      </c>
      <c r="B1" s="1584" t="s">
        <v>3823</v>
      </c>
      <c r="C1" s="1584" t="s">
        <v>3824</v>
      </c>
      <c r="D1" s="1584" t="s">
        <v>3825</v>
      </c>
      <c r="E1" s="0" t="s">
        <v>3826</v>
      </c>
      <c r="F1" s="0" t="s">
        <v>3827</v>
      </c>
      <c r="G1" s="0" t="s">
        <v>3828</v>
      </c>
    </row>
    <row customHeight="1" ht="11.25">
      <c r="A2" s="0" t="s">
        <v>16</v>
      </c>
      <c r="B2" s="0" t="s">
        <v>3830</v>
      </c>
      <c r="C2" s="0" t="s">
        <v>3831</v>
      </c>
      <c r="D2" s="0" t="s">
        <v>3832</v>
      </c>
      <c r="E2" s="0" t="s">
        <v>3833</v>
      </c>
      <c r="F2" s="0" t="s">
        <v>3834</v>
      </c>
      <c r="G2" s="0" t="s">
        <v>102</v>
      </c>
    </row>
    <row customHeight="1" ht="11.25">
      <c r="A3" s="0" t="s">
        <v>16</v>
      </c>
      <c r="B3" s="0" t="s">
        <v>3830</v>
      </c>
      <c r="C3" s="0" t="s">
        <v>3831</v>
      </c>
      <c r="D3" s="0" t="s">
        <v>3835</v>
      </c>
      <c r="E3" s="0" t="s">
        <v>3836</v>
      </c>
      <c r="F3" s="0" t="s">
        <v>3834</v>
      </c>
      <c r="G3" s="0" t="s">
        <v>90</v>
      </c>
    </row>
    <row customHeight="1" ht="11.25">
      <c r="A4" s="0" t="s">
        <v>16</v>
      </c>
      <c r="B4" s="0" t="s">
        <v>3830</v>
      </c>
      <c r="C4" s="0" t="s">
        <v>3831</v>
      </c>
      <c r="D4" s="0" t="s">
        <v>3830</v>
      </c>
      <c r="E4" s="0" t="s">
        <v>3831</v>
      </c>
      <c r="F4" s="0" t="s">
        <v>3837</v>
      </c>
      <c r="G4" s="0" t="s">
        <v>91</v>
      </c>
    </row>
    <row customHeight="1" ht="11.25">
      <c r="A5" s="0" t="s">
        <v>16</v>
      </c>
      <c r="B5" s="0" t="s">
        <v>3830</v>
      </c>
      <c r="C5" s="0" t="s">
        <v>3831</v>
      </c>
      <c r="D5" s="0" t="s">
        <v>3838</v>
      </c>
      <c r="E5" s="0" t="s">
        <v>3839</v>
      </c>
      <c r="F5" s="0" t="s">
        <v>3840</v>
      </c>
      <c r="G5" s="0" t="s">
        <v>122</v>
      </c>
    </row>
    <row customHeight="1" ht="11.25">
      <c r="A6" s="0" t="s">
        <v>16</v>
      </c>
      <c r="B6" s="0" t="s">
        <v>3830</v>
      </c>
      <c r="C6" s="0" t="s">
        <v>3831</v>
      </c>
      <c r="D6" s="0" t="s">
        <v>3841</v>
      </c>
      <c r="E6" s="0" t="s">
        <v>3842</v>
      </c>
      <c r="F6" s="0" t="s">
        <v>3834</v>
      </c>
      <c r="G6" s="0" t="s">
        <v>92</v>
      </c>
    </row>
    <row customHeight="1" ht="11.25">
      <c r="A7" s="0" t="s">
        <v>16</v>
      </c>
      <c r="B7" s="0" t="s">
        <v>3830</v>
      </c>
      <c r="C7" s="0" t="s">
        <v>3831</v>
      </c>
      <c r="D7" s="0" t="s">
        <v>3843</v>
      </c>
      <c r="E7" s="0" t="s">
        <v>3844</v>
      </c>
      <c r="F7" s="0" t="s">
        <v>3834</v>
      </c>
      <c r="G7" s="0" t="s">
        <v>93</v>
      </c>
    </row>
    <row customHeight="1" ht="11.25">
      <c r="A8" s="0" t="s">
        <v>16</v>
      </c>
      <c r="B8" s="0" t="s">
        <v>3830</v>
      </c>
      <c r="C8" s="0" t="s">
        <v>3831</v>
      </c>
      <c r="D8" s="0" t="s">
        <v>3845</v>
      </c>
      <c r="E8" s="0" t="s">
        <v>3846</v>
      </c>
      <c r="F8" s="0" t="s">
        <v>3847</v>
      </c>
      <c r="G8" s="0" t="s">
        <v>123</v>
      </c>
    </row>
    <row customHeight="1" ht="11.25">
      <c r="A9" s="0" t="s">
        <v>16</v>
      </c>
      <c r="B9" s="0" t="s">
        <v>3830</v>
      </c>
      <c r="C9" s="0" t="s">
        <v>3831</v>
      </c>
      <c r="D9" s="0" t="s">
        <v>3848</v>
      </c>
      <c r="E9" s="0" t="s">
        <v>3849</v>
      </c>
      <c r="F9" s="0" t="s">
        <v>3834</v>
      </c>
      <c r="G9" s="0" t="s">
        <v>168</v>
      </c>
    </row>
    <row customHeight="1" ht="11.25">
      <c r="A10" s="0" t="s">
        <v>16</v>
      </c>
      <c r="B10" s="0" t="s">
        <v>3830</v>
      </c>
      <c r="C10" s="0" t="s">
        <v>3831</v>
      </c>
      <c r="D10" s="0" t="s">
        <v>3850</v>
      </c>
      <c r="E10" s="0" t="s">
        <v>3851</v>
      </c>
      <c r="F10" s="0" t="s">
        <v>3834</v>
      </c>
      <c r="G10" s="0" t="s">
        <v>169</v>
      </c>
    </row>
    <row customHeight="1" ht="11.25">
      <c r="A11" s="0" t="s">
        <v>16</v>
      </c>
      <c r="B11" s="0" t="s">
        <v>3830</v>
      </c>
      <c r="C11" s="0" t="s">
        <v>3831</v>
      </c>
      <c r="D11" s="0" t="s">
        <v>3852</v>
      </c>
      <c r="E11" s="0" t="s">
        <v>3853</v>
      </c>
      <c r="F11" s="0" t="s">
        <v>3834</v>
      </c>
      <c r="G11" s="0" t="s">
        <v>170</v>
      </c>
    </row>
    <row customHeight="1" ht="11.25">
      <c r="A12" s="0" t="s">
        <v>16</v>
      </c>
      <c r="B12" s="0" t="s">
        <v>3830</v>
      </c>
      <c r="C12" s="0" t="s">
        <v>3831</v>
      </c>
      <c r="D12" s="0" t="s">
        <v>3854</v>
      </c>
      <c r="E12" s="0" t="s">
        <v>3855</v>
      </c>
      <c r="F12" s="0" t="s">
        <v>3834</v>
      </c>
      <c r="G12" s="0" t="s">
        <v>171</v>
      </c>
    </row>
    <row customHeight="1" ht="11.25">
      <c r="A13" s="0" t="s">
        <v>16</v>
      </c>
      <c r="B13" s="0" t="s">
        <v>3830</v>
      </c>
      <c r="C13" s="0" t="s">
        <v>3831</v>
      </c>
      <c r="D13" s="0" t="s">
        <v>3856</v>
      </c>
      <c r="E13" s="0" t="s">
        <v>3857</v>
      </c>
      <c r="F13" s="0" t="s">
        <v>3834</v>
      </c>
      <c r="G13" s="0" t="s">
        <v>172</v>
      </c>
    </row>
    <row customHeight="1" ht="11.25">
      <c r="A14" s="0" t="s">
        <v>16</v>
      </c>
      <c r="B14" s="0" t="s">
        <v>3830</v>
      </c>
      <c r="C14" s="0" t="s">
        <v>3831</v>
      </c>
      <c r="D14" s="0" t="s">
        <v>3858</v>
      </c>
      <c r="E14" s="0" t="s">
        <v>3859</v>
      </c>
      <c r="F14" s="0" t="s">
        <v>3834</v>
      </c>
      <c r="G14" s="0" t="s">
        <v>173</v>
      </c>
    </row>
    <row customHeight="1" ht="11.25">
      <c r="A15" s="0" t="s">
        <v>16</v>
      </c>
      <c r="B15" s="0" t="s">
        <v>3830</v>
      </c>
      <c r="C15" s="0" t="s">
        <v>3831</v>
      </c>
      <c r="D15" s="0" t="s">
        <v>3860</v>
      </c>
      <c r="E15" s="0" t="s">
        <v>3861</v>
      </c>
      <c r="F15" s="0" t="s">
        <v>3834</v>
      </c>
      <c r="G15" s="0" t="s">
        <v>1657</v>
      </c>
    </row>
    <row customHeight="1" ht="11.25">
      <c r="A16" s="0" t="s">
        <v>16</v>
      </c>
      <c r="B16" s="0" t="s">
        <v>3830</v>
      </c>
      <c r="C16" s="0" t="s">
        <v>3831</v>
      </c>
      <c r="D16" s="0" t="s">
        <v>3862</v>
      </c>
      <c r="E16" s="0" t="s">
        <v>3863</v>
      </c>
      <c r="F16" s="0" t="s">
        <v>3834</v>
      </c>
      <c r="G16" s="0" t="s">
        <v>1663</v>
      </c>
    </row>
    <row customHeight="1" ht="11.25">
      <c r="A17" s="0" t="s">
        <v>16</v>
      </c>
      <c r="B17" s="0" t="s">
        <v>3830</v>
      </c>
      <c r="C17" s="0" t="s">
        <v>3831</v>
      </c>
      <c r="D17" s="0" t="s">
        <v>3864</v>
      </c>
      <c r="E17" s="0" t="s">
        <v>3865</v>
      </c>
      <c r="F17" s="0" t="s">
        <v>3834</v>
      </c>
      <c r="G17" s="0" t="s">
        <v>1675</v>
      </c>
    </row>
    <row customHeight="1" ht="11.25">
      <c r="A18" s="0" t="s">
        <v>16</v>
      </c>
      <c r="B18" s="0" t="s">
        <v>3830</v>
      </c>
      <c r="C18" s="0" t="s">
        <v>3831</v>
      </c>
      <c r="D18" s="0" t="s">
        <v>3866</v>
      </c>
      <c r="E18" s="0" t="s">
        <v>3867</v>
      </c>
      <c r="F18" s="0" t="s">
        <v>3834</v>
      </c>
      <c r="G18" s="0" t="s">
        <v>1689</v>
      </c>
    </row>
    <row customHeight="1" ht="11.25">
      <c r="A19" s="0" t="s">
        <v>16</v>
      </c>
      <c r="B19" s="0" t="s">
        <v>3830</v>
      </c>
      <c r="C19" s="0" t="s">
        <v>3831</v>
      </c>
      <c r="D19" s="0" t="s">
        <v>3868</v>
      </c>
      <c r="E19" s="0" t="s">
        <v>3869</v>
      </c>
      <c r="F19" s="0" t="s">
        <v>3834</v>
      </c>
      <c r="G19" s="0" t="s">
        <v>1701</v>
      </c>
    </row>
    <row customHeight="1" ht="11.25">
      <c r="A20" s="0" t="s">
        <v>16</v>
      </c>
      <c r="B20" s="0" t="s">
        <v>3830</v>
      </c>
      <c r="C20" s="0" t="s">
        <v>3831</v>
      </c>
      <c r="D20" s="0" t="s">
        <v>3870</v>
      </c>
      <c r="E20" s="0" t="s">
        <v>3871</v>
      </c>
      <c r="F20" s="0" t="s">
        <v>3834</v>
      </c>
      <c r="G20" s="0" t="s">
        <v>1710</v>
      </c>
    </row>
    <row customHeight="1" ht="11.25">
      <c r="A21" s="0" t="s">
        <v>16</v>
      </c>
      <c r="B21" s="0" t="s">
        <v>3830</v>
      </c>
      <c r="C21" s="0" t="s">
        <v>3831</v>
      </c>
      <c r="D21" s="0" t="s">
        <v>3872</v>
      </c>
      <c r="E21" s="0" t="s">
        <v>3873</v>
      </c>
      <c r="F21" s="0" t="s">
        <v>3834</v>
      </c>
      <c r="G21" s="0" t="s">
        <v>1726</v>
      </c>
    </row>
    <row customHeight="1" ht="11.25">
      <c r="A22" s="0" t="s">
        <v>16</v>
      </c>
      <c r="B22" s="0" t="s">
        <v>3830</v>
      </c>
      <c r="C22" s="0" t="s">
        <v>3831</v>
      </c>
      <c r="D22" s="0" t="s">
        <v>3874</v>
      </c>
      <c r="E22" s="0" t="s">
        <v>3875</v>
      </c>
      <c r="F22" s="0" t="s">
        <v>3834</v>
      </c>
      <c r="G22" s="0" t="s">
        <v>1733</v>
      </c>
    </row>
    <row customHeight="1" ht="11.25">
      <c r="A23" s="0" t="s">
        <v>16</v>
      </c>
      <c r="B23" s="0" t="s">
        <v>3830</v>
      </c>
      <c r="C23" s="0" t="s">
        <v>3831</v>
      </c>
      <c r="D23" s="0" t="s">
        <v>3876</v>
      </c>
      <c r="E23" s="0" t="s">
        <v>3877</v>
      </c>
      <c r="F23" s="0" t="s">
        <v>3834</v>
      </c>
      <c r="G23" s="0" t="s">
        <v>1741</v>
      </c>
    </row>
    <row customHeight="1" ht="11.25">
      <c r="A24" s="0" t="s">
        <v>16</v>
      </c>
      <c r="B24" s="0" t="s">
        <v>3878</v>
      </c>
      <c r="C24" s="0" t="s">
        <v>3879</v>
      </c>
      <c r="D24" s="0" t="s">
        <v>3878</v>
      </c>
      <c r="E24" s="0" t="s">
        <v>3879</v>
      </c>
      <c r="F24" s="0" t="s">
        <v>3880</v>
      </c>
      <c r="G24" s="0" t="s">
        <v>1747</v>
      </c>
    </row>
    <row customHeight="1" ht="11.25">
      <c r="A25" s="0" t="s">
        <v>16</v>
      </c>
      <c r="B25" s="0" t="s">
        <v>3881</v>
      </c>
      <c r="C25" s="0" t="s">
        <v>3882</v>
      </c>
      <c r="D25" s="0" t="s">
        <v>3881</v>
      </c>
      <c r="E25" s="0" t="s">
        <v>3882</v>
      </c>
      <c r="F25" s="0" t="s">
        <v>3880</v>
      </c>
      <c r="G25" s="0" t="s">
        <v>1751</v>
      </c>
    </row>
    <row customHeight="1" ht="11.25">
      <c r="A26" s="0" t="s">
        <v>16</v>
      </c>
      <c r="B26" s="0" t="s">
        <v>3883</v>
      </c>
      <c r="C26" s="0" t="s">
        <v>3884</v>
      </c>
      <c r="D26" s="0" t="s">
        <v>3883</v>
      </c>
      <c r="E26" s="0" t="s">
        <v>3884</v>
      </c>
      <c r="F26" s="0" t="s">
        <v>3880</v>
      </c>
      <c r="G26" s="0" t="s">
        <v>1756</v>
      </c>
    </row>
    <row customHeight="1" ht="11.25">
      <c r="A27" s="0" t="s">
        <v>16</v>
      </c>
      <c r="B27" s="0" t="s">
        <v>3885</v>
      </c>
      <c r="C27" s="0" t="s">
        <v>3886</v>
      </c>
      <c r="D27" s="0" t="s">
        <v>3885</v>
      </c>
      <c r="E27" s="0" t="s">
        <v>3886</v>
      </c>
      <c r="F27" s="0" t="s">
        <v>3829</v>
      </c>
      <c r="G27" s="0" t="s">
        <v>1764</v>
      </c>
    </row>
    <row customHeight="1" ht="11.25">
      <c r="A28" s="0" t="s">
        <v>16</v>
      </c>
      <c r="B28" s="0" t="s">
        <v>3887</v>
      </c>
      <c r="C28" s="0" t="s">
        <v>3888</v>
      </c>
      <c r="D28" s="0" t="s">
        <v>3887</v>
      </c>
      <c r="E28" s="0" t="s">
        <v>3888</v>
      </c>
      <c r="F28" s="0" t="s">
        <v>3880</v>
      </c>
      <c r="G28" s="0" t="s">
        <v>1766</v>
      </c>
    </row>
    <row customHeight="1" ht="11.25">
      <c r="A29" s="0" t="s">
        <v>16</v>
      </c>
      <c r="B29" s="0" t="s">
        <v>3889</v>
      </c>
      <c r="C29" s="0" t="s">
        <v>3890</v>
      </c>
      <c r="D29" s="0" t="s">
        <v>3891</v>
      </c>
      <c r="E29" s="0" t="s">
        <v>3892</v>
      </c>
      <c r="F29" s="0" t="s">
        <v>3834</v>
      </c>
      <c r="G29" s="0" t="s">
        <v>1769</v>
      </c>
    </row>
    <row customHeight="1" ht="11.25">
      <c r="A30" s="0" t="s">
        <v>16</v>
      </c>
      <c r="B30" s="0" t="s">
        <v>3889</v>
      </c>
      <c r="C30" s="0" t="s">
        <v>3890</v>
      </c>
      <c r="D30" s="0" t="s">
        <v>3893</v>
      </c>
      <c r="E30" s="0" t="s">
        <v>3894</v>
      </c>
      <c r="F30" s="0" t="s">
        <v>3834</v>
      </c>
      <c r="G30" s="0" t="s">
        <v>1775</v>
      </c>
    </row>
    <row customHeight="1" ht="11.25">
      <c r="A31" s="0" t="s">
        <v>16</v>
      </c>
      <c r="B31" s="0" t="s">
        <v>3889</v>
      </c>
      <c r="C31" s="0" t="s">
        <v>3890</v>
      </c>
      <c r="D31" s="0" t="s">
        <v>3895</v>
      </c>
      <c r="E31" s="0" t="s">
        <v>3896</v>
      </c>
      <c r="F31" s="0" t="s">
        <v>3834</v>
      </c>
      <c r="G31" s="0" t="s">
        <v>1777</v>
      </c>
    </row>
    <row customHeight="1" ht="11.25">
      <c r="A32" s="0" t="s">
        <v>16</v>
      </c>
      <c r="B32" s="0" t="s">
        <v>3889</v>
      </c>
      <c r="C32" s="0" t="s">
        <v>3890</v>
      </c>
      <c r="D32" s="0" t="s">
        <v>3897</v>
      </c>
      <c r="E32" s="0" t="s">
        <v>3898</v>
      </c>
      <c r="F32" s="0" t="s">
        <v>3834</v>
      </c>
      <c r="G32" s="0" t="s">
        <v>1779</v>
      </c>
    </row>
    <row customHeight="1" ht="11.25">
      <c r="A33" s="0" t="s">
        <v>16</v>
      </c>
      <c r="B33" s="0" t="s">
        <v>3889</v>
      </c>
      <c r="C33" s="0" t="s">
        <v>3890</v>
      </c>
      <c r="D33" s="0" t="s">
        <v>3889</v>
      </c>
      <c r="E33" s="0" t="s">
        <v>3890</v>
      </c>
      <c r="F33" s="0" t="s">
        <v>3837</v>
      </c>
      <c r="G33" s="0" t="s">
        <v>1781</v>
      </c>
    </row>
    <row customHeight="1" ht="11.25">
      <c r="A34" s="0" t="s">
        <v>16</v>
      </c>
      <c r="B34" s="0" t="s">
        <v>3889</v>
      </c>
      <c r="C34" s="0" t="s">
        <v>3890</v>
      </c>
      <c r="D34" s="0" t="s">
        <v>3899</v>
      </c>
      <c r="E34" s="0" t="s">
        <v>3900</v>
      </c>
      <c r="F34" s="0" t="s">
        <v>3847</v>
      </c>
      <c r="G34" s="0" t="s">
        <v>1786</v>
      </c>
    </row>
    <row customHeight="1" ht="11.25">
      <c r="A35" s="0" t="s">
        <v>16</v>
      </c>
      <c r="B35" s="0" t="s">
        <v>3889</v>
      </c>
      <c r="C35" s="0" t="s">
        <v>3890</v>
      </c>
      <c r="D35" s="0" t="s">
        <v>3901</v>
      </c>
      <c r="E35" s="0" t="s">
        <v>3902</v>
      </c>
      <c r="F35" s="0" t="s">
        <v>3834</v>
      </c>
      <c r="G35" s="0" t="s">
        <v>1791</v>
      </c>
    </row>
    <row customHeight="1" ht="11.25">
      <c r="A36" s="0" t="s">
        <v>16</v>
      </c>
      <c r="B36" s="0" t="s">
        <v>3889</v>
      </c>
      <c r="C36" s="0" t="s">
        <v>3890</v>
      </c>
      <c r="D36" s="0" t="s">
        <v>3903</v>
      </c>
      <c r="E36" s="0" t="s">
        <v>3904</v>
      </c>
      <c r="F36" s="0" t="s">
        <v>3834</v>
      </c>
      <c r="G36" s="0" t="s">
        <v>1795</v>
      </c>
    </row>
    <row customHeight="1" ht="11.25">
      <c r="A37" s="0" t="s">
        <v>16</v>
      </c>
      <c r="B37" s="0" t="s">
        <v>3889</v>
      </c>
      <c r="C37" s="0" t="s">
        <v>3890</v>
      </c>
      <c r="D37" s="0" t="s">
        <v>3905</v>
      </c>
      <c r="E37" s="0" t="s">
        <v>3906</v>
      </c>
      <c r="F37" s="0" t="s">
        <v>3834</v>
      </c>
      <c r="G37" s="0" t="s">
        <v>1803</v>
      </c>
    </row>
    <row customHeight="1" ht="11.25">
      <c r="A38" s="0" t="s">
        <v>16</v>
      </c>
      <c r="B38" s="0" t="s">
        <v>3907</v>
      </c>
      <c r="C38" s="0" t="s">
        <v>3908</v>
      </c>
      <c r="D38" s="0" t="s">
        <v>3907</v>
      </c>
      <c r="E38" s="0" t="s">
        <v>3908</v>
      </c>
      <c r="F38" s="0" t="s">
        <v>3829</v>
      </c>
      <c r="G38" s="0" t="s">
        <v>1809</v>
      </c>
    </row>
    <row customHeight="1" ht="11.25">
      <c r="A39" s="0" t="s">
        <v>16</v>
      </c>
      <c r="B39" s="0" t="s">
        <v>3909</v>
      </c>
      <c r="C39" s="0" t="s">
        <v>3910</v>
      </c>
      <c r="D39" s="0" t="s">
        <v>3909</v>
      </c>
      <c r="E39" s="0" t="s">
        <v>3910</v>
      </c>
      <c r="F39" s="0" t="s">
        <v>3829</v>
      </c>
      <c r="G39" s="0" t="s">
        <v>1814</v>
      </c>
    </row>
    <row customHeight="1" ht="11.25">
      <c r="A40" s="0" t="s">
        <v>16</v>
      </c>
      <c r="B40" s="0" t="s">
        <v>3911</v>
      </c>
      <c r="C40" s="0" t="s">
        <v>3912</v>
      </c>
      <c r="D40" s="0" t="s">
        <v>3911</v>
      </c>
      <c r="E40" s="0" t="s">
        <v>3912</v>
      </c>
      <c r="F40" s="0" t="s">
        <v>3880</v>
      </c>
      <c r="G40" s="0" t="s">
        <v>1818</v>
      </c>
    </row>
    <row customHeight="1" ht="11.25">
      <c r="A41" s="0" t="s">
        <v>16</v>
      </c>
      <c r="B41" s="0" t="s">
        <v>3913</v>
      </c>
      <c r="C41" s="0" t="s">
        <v>3914</v>
      </c>
      <c r="D41" s="0" t="s">
        <v>3913</v>
      </c>
      <c r="E41" s="0" t="s">
        <v>3914</v>
      </c>
      <c r="F41" s="0" t="s">
        <v>3880</v>
      </c>
      <c r="G41" s="0" t="s">
        <v>1821</v>
      </c>
    </row>
    <row customHeight="1" ht="11.25">
      <c r="A42" s="0" t="s">
        <v>16</v>
      </c>
      <c r="B42" s="0" t="s">
        <v>3915</v>
      </c>
      <c r="C42" s="0" t="s">
        <v>3916</v>
      </c>
      <c r="D42" s="0" t="s">
        <v>3917</v>
      </c>
      <c r="E42" s="0" t="s">
        <v>3918</v>
      </c>
      <c r="F42" s="0" t="s">
        <v>3834</v>
      </c>
      <c r="G42" s="0" t="s">
        <v>1828</v>
      </c>
    </row>
    <row customHeight="1" ht="11.25">
      <c r="A43" s="0" t="s">
        <v>16</v>
      </c>
      <c r="B43" s="0" t="s">
        <v>3915</v>
      </c>
      <c r="C43" s="0" t="s">
        <v>3916</v>
      </c>
      <c r="D43" s="0" t="s">
        <v>3919</v>
      </c>
      <c r="E43" s="0" t="s">
        <v>3920</v>
      </c>
      <c r="F43" s="0" t="s">
        <v>3834</v>
      </c>
      <c r="G43" s="0" t="s">
        <v>1837</v>
      </c>
    </row>
    <row customHeight="1" ht="11.25">
      <c r="A44" s="0" t="s">
        <v>16</v>
      </c>
      <c r="B44" s="0" t="s">
        <v>3915</v>
      </c>
      <c r="C44" s="0" t="s">
        <v>3916</v>
      </c>
      <c r="D44" s="0" t="s">
        <v>3921</v>
      </c>
      <c r="E44" s="0" t="s">
        <v>3922</v>
      </c>
      <c r="F44" s="0" t="s">
        <v>3834</v>
      </c>
      <c r="G44" s="0" t="s">
        <v>1842</v>
      </c>
    </row>
    <row customHeight="1" ht="11.25">
      <c r="A45" s="0" t="s">
        <v>16</v>
      </c>
      <c r="B45" s="0" t="s">
        <v>3915</v>
      </c>
      <c r="C45" s="0" t="s">
        <v>3916</v>
      </c>
      <c r="D45" s="0" t="s">
        <v>3915</v>
      </c>
      <c r="E45" s="0" t="s">
        <v>3916</v>
      </c>
      <c r="F45" s="0" t="s">
        <v>3837</v>
      </c>
      <c r="G45" s="0" t="s">
        <v>1846</v>
      </c>
    </row>
    <row customHeight="1" ht="11.25">
      <c r="A46" s="0" t="s">
        <v>16</v>
      </c>
      <c r="B46" s="0" t="s">
        <v>3915</v>
      </c>
      <c r="C46" s="0" t="s">
        <v>3916</v>
      </c>
      <c r="D46" s="0" t="s">
        <v>3923</v>
      </c>
      <c r="E46" s="0" t="s">
        <v>3924</v>
      </c>
      <c r="F46" s="0" t="s">
        <v>3834</v>
      </c>
      <c r="G46" s="0" t="s">
        <v>1851</v>
      </c>
    </row>
    <row customHeight="1" ht="11.25">
      <c r="A47" s="0" t="s">
        <v>16</v>
      </c>
      <c r="B47" s="0" t="s">
        <v>3915</v>
      </c>
      <c r="C47" s="0" t="s">
        <v>3916</v>
      </c>
      <c r="D47" s="0" t="s">
        <v>3925</v>
      </c>
      <c r="E47" s="0" t="s">
        <v>3926</v>
      </c>
      <c r="F47" s="0" t="s">
        <v>3834</v>
      </c>
      <c r="G47" s="0" t="s">
        <v>1856</v>
      </c>
    </row>
    <row customHeight="1" ht="11.25">
      <c r="A48" s="0" t="s">
        <v>16</v>
      </c>
      <c r="B48" s="0" t="s">
        <v>3915</v>
      </c>
      <c r="C48" s="0" t="s">
        <v>3916</v>
      </c>
      <c r="D48" s="0" t="s">
        <v>3927</v>
      </c>
      <c r="E48" s="0" t="s">
        <v>3928</v>
      </c>
      <c r="F48" s="0" t="s">
        <v>3834</v>
      </c>
      <c r="G48" s="0" t="s">
        <v>1859</v>
      </c>
    </row>
    <row customHeight="1" ht="11.25">
      <c r="A49" s="0" t="s">
        <v>16</v>
      </c>
      <c r="B49" s="0" t="s">
        <v>3915</v>
      </c>
      <c r="C49" s="0" t="s">
        <v>3916</v>
      </c>
      <c r="D49" s="0" t="s">
        <v>3929</v>
      </c>
      <c r="E49" s="0" t="s">
        <v>3930</v>
      </c>
      <c r="F49" s="0" t="s">
        <v>3834</v>
      </c>
      <c r="G49" s="0" t="s">
        <v>1863</v>
      </c>
    </row>
    <row customHeight="1" ht="11.25">
      <c r="A50" s="0" t="s">
        <v>16</v>
      </c>
      <c r="B50" s="0" t="s">
        <v>3931</v>
      </c>
      <c r="C50" s="0" t="s">
        <v>3932</v>
      </c>
      <c r="D50" s="0" t="s">
        <v>3933</v>
      </c>
      <c r="E50" s="0" t="s">
        <v>3934</v>
      </c>
      <c r="F50" s="0" t="s">
        <v>3834</v>
      </c>
      <c r="G50" s="0" t="s">
        <v>1868</v>
      </c>
    </row>
    <row customHeight="1" ht="11.25">
      <c r="A51" s="0" t="s">
        <v>16</v>
      </c>
      <c r="B51" s="0" t="s">
        <v>3931</v>
      </c>
      <c r="C51" s="0" t="s">
        <v>3932</v>
      </c>
      <c r="D51" s="0" t="s">
        <v>3931</v>
      </c>
      <c r="E51" s="0" t="s">
        <v>3932</v>
      </c>
      <c r="F51" s="0" t="s">
        <v>3837</v>
      </c>
      <c r="G51" s="0" t="s">
        <v>1872</v>
      </c>
    </row>
    <row customHeight="1" ht="11.25">
      <c r="A52" s="0" t="s">
        <v>16</v>
      </c>
      <c r="B52" s="0" t="s">
        <v>3931</v>
      </c>
      <c r="C52" s="0" t="s">
        <v>3932</v>
      </c>
      <c r="D52" s="0" t="s">
        <v>3935</v>
      </c>
      <c r="E52" s="0" t="s">
        <v>3936</v>
      </c>
      <c r="F52" s="0" t="s">
        <v>3834</v>
      </c>
      <c r="G52" s="0" t="s">
        <v>1874</v>
      </c>
    </row>
    <row customHeight="1" ht="11.25">
      <c r="A53" s="0" t="s">
        <v>16</v>
      </c>
      <c r="B53" s="0" t="s">
        <v>3931</v>
      </c>
      <c r="C53" s="0" t="s">
        <v>3932</v>
      </c>
      <c r="D53" s="0" t="s">
        <v>3937</v>
      </c>
      <c r="E53" s="0" t="s">
        <v>3938</v>
      </c>
      <c r="F53" s="0" t="s">
        <v>3834</v>
      </c>
      <c r="G53" s="0" t="s">
        <v>1877</v>
      </c>
    </row>
    <row customHeight="1" ht="11.25">
      <c r="A54" s="0" t="s">
        <v>16</v>
      </c>
      <c r="B54" s="0" t="s">
        <v>3931</v>
      </c>
      <c r="C54" s="0" t="s">
        <v>3932</v>
      </c>
      <c r="D54" s="0" t="s">
        <v>3939</v>
      </c>
      <c r="E54" s="0" t="s">
        <v>3940</v>
      </c>
      <c r="F54" s="0" t="s">
        <v>3847</v>
      </c>
      <c r="G54" s="0" t="s">
        <v>1881</v>
      </c>
    </row>
    <row customHeight="1" ht="11.25">
      <c r="A55" s="0" t="s">
        <v>16</v>
      </c>
      <c r="B55" s="0" t="s">
        <v>3941</v>
      </c>
      <c r="C55" s="0" t="s">
        <v>3942</v>
      </c>
      <c r="D55" s="0" t="s">
        <v>3941</v>
      </c>
      <c r="E55" s="0" t="s">
        <v>3942</v>
      </c>
      <c r="F55" s="0" t="s">
        <v>3880</v>
      </c>
      <c r="G55" s="0" t="s">
        <v>1885</v>
      </c>
    </row>
    <row customHeight="1" ht="11.25">
      <c r="A56" s="0" t="s">
        <v>16</v>
      </c>
      <c r="B56" s="0" t="s">
        <v>3943</v>
      </c>
      <c r="C56" s="0" t="s">
        <v>3944</v>
      </c>
      <c r="D56" s="0" t="s">
        <v>3943</v>
      </c>
      <c r="E56" s="0" t="s">
        <v>3944</v>
      </c>
      <c r="F56" s="0" t="s">
        <v>3880</v>
      </c>
      <c r="G56" s="0" t="s">
        <v>1888</v>
      </c>
    </row>
    <row customHeight="1" ht="11.25">
      <c r="A57" s="0" t="s">
        <v>16</v>
      </c>
      <c r="B57" s="0" t="s">
        <v>3945</v>
      </c>
      <c r="C57" s="0" t="s">
        <v>3946</v>
      </c>
      <c r="D57" s="0" t="s">
        <v>3945</v>
      </c>
      <c r="E57" s="0" t="s">
        <v>3946</v>
      </c>
      <c r="F57" s="0" t="s">
        <v>3829</v>
      </c>
      <c r="G57" s="0" t="s">
        <v>1891</v>
      </c>
    </row>
    <row customHeight="1" ht="11.25">
      <c r="A58" s="0" t="s">
        <v>16</v>
      </c>
      <c r="B58" s="0" t="s">
        <v>3947</v>
      </c>
      <c r="C58" s="0" t="s">
        <v>3948</v>
      </c>
      <c r="D58" s="0" t="s">
        <v>3947</v>
      </c>
      <c r="E58" s="0" t="s">
        <v>3948</v>
      </c>
      <c r="F58" s="0" t="s">
        <v>3829</v>
      </c>
      <c r="G58" s="0" t="s">
        <v>1895</v>
      </c>
    </row>
    <row customHeight="1" ht="11.25">
      <c r="A59" s="0" t="s">
        <v>16</v>
      </c>
      <c r="B59" s="0" t="s">
        <v>3949</v>
      </c>
      <c r="C59" s="0" t="s">
        <v>3950</v>
      </c>
      <c r="D59" s="0" t="s">
        <v>3949</v>
      </c>
      <c r="E59" s="0" t="s">
        <v>3950</v>
      </c>
      <c r="F59" s="0" t="s">
        <v>3880</v>
      </c>
      <c r="G59" s="0" t="s">
        <v>1898</v>
      </c>
    </row>
    <row customHeight="1" ht="11.25">
      <c r="A60" s="0" t="s">
        <v>16</v>
      </c>
      <c r="B60" s="0" t="s">
        <v>3951</v>
      </c>
      <c r="C60" s="0" t="s">
        <v>3952</v>
      </c>
      <c r="D60" s="0" t="s">
        <v>3953</v>
      </c>
      <c r="E60" s="0" t="s">
        <v>3954</v>
      </c>
      <c r="F60" s="0" t="s">
        <v>3834</v>
      </c>
      <c r="G60" s="0" t="s">
        <v>3955</v>
      </c>
    </row>
    <row customHeight="1" ht="11.25">
      <c r="A61" s="0" t="s">
        <v>16</v>
      </c>
      <c r="B61" s="0" t="s">
        <v>3951</v>
      </c>
      <c r="C61" s="0" t="s">
        <v>3952</v>
      </c>
      <c r="D61" s="0" t="s">
        <v>3956</v>
      </c>
      <c r="E61" s="0" t="s">
        <v>3957</v>
      </c>
      <c r="F61" s="0" t="s">
        <v>3834</v>
      </c>
      <c r="G61" s="0" t="s">
        <v>3958</v>
      </c>
    </row>
    <row customHeight="1" ht="11.25">
      <c r="A62" s="0" t="s">
        <v>16</v>
      </c>
      <c r="B62" s="0" t="s">
        <v>3951</v>
      </c>
      <c r="C62" s="0" t="s">
        <v>3952</v>
      </c>
      <c r="D62" s="0" t="s">
        <v>3959</v>
      </c>
      <c r="E62" s="0" t="s">
        <v>3960</v>
      </c>
      <c r="F62" s="0" t="s">
        <v>3847</v>
      </c>
      <c r="G62" s="0" t="s">
        <v>3961</v>
      </c>
    </row>
    <row customHeight="1" ht="11.25">
      <c r="A63" s="0" t="s">
        <v>16</v>
      </c>
      <c r="B63" s="0" t="s">
        <v>3951</v>
      </c>
      <c r="C63" s="0" t="s">
        <v>3952</v>
      </c>
      <c r="D63" s="0" t="s">
        <v>3962</v>
      </c>
      <c r="E63" s="0" t="s">
        <v>3963</v>
      </c>
      <c r="F63" s="0" t="s">
        <v>3964</v>
      </c>
      <c r="G63" s="0" t="s">
        <v>3965</v>
      </c>
    </row>
    <row customHeight="1" ht="11.25">
      <c r="A64" s="0" t="s">
        <v>16</v>
      </c>
      <c r="B64" s="0" t="s">
        <v>3951</v>
      </c>
      <c r="C64" s="0" t="s">
        <v>3952</v>
      </c>
      <c r="D64" s="0" t="s">
        <v>3966</v>
      </c>
      <c r="E64" s="0" t="s">
        <v>3967</v>
      </c>
      <c r="F64" s="0" t="s">
        <v>3834</v>
      </c>
      <c r="G64" s="0" t="s">
        <v>3968</v>
      </c>
    </row>
    <row customHeight="1" ht="11.25">
      <c r="A65" s="0" t="s">
        <v>16</v>
      </c>
      <c r="B65" s="0" t="s">
        <v>3951</v>
      </c>
      <c r="C65" s="0" t="s">
        <v>3952</v>
      </c>
      <c r="D65" s="0" t="s">
        <v>3951</v>
      </c>
      <c r="E65" s="0" t="s">
        <v>3952</v>
      </c>
      <c r="F65" s="0" t="s">
        <v>3837</v>
      </c>
      <c r="G65" s="0" t="s">
        <v>3969</v>
      </c>
    </row>
    <row customHeight="1" ht="11.25">
      <c r="A66" s="0" t="s">
        <v>16</v>
      </c>
      <c r="B66" s="0" t="s">
        <v>3951</v>
      </c>
      <c r="C66" s="0" t="s">
        <v>3952</v>
      </c>
      <c r="D66" s="0" t="s">
        <v>3970</v>
      </c>
      <c r="E66" s="0" t="s">
        <v>3971</v>
      </c>
      <c r="F66" s="0" t="s">
        <v>3840</v>
      </c>
      <c r="G66" s="0" t="s">
        <v>2196</v>
      </c>
    </row>
    <row customHeight="1" ht="11.25">
      <c r="A67" s="0" t="s">
        <v>16</v>
      </c>
      <c r="B67" s="0" t="s">
        <v>3951</v>
      </c>
      <c r="C67" s="0" t="s">
        <v>3952</v>
      </c>
      <c r="D67" s="0" t="s">
        <v>3972</v>
      </c>
      <c r="E67" s="0" t="s">
        <v>3973</v>
      </c>
      <c r="F67" s="0" t="s">
        <v>3834</v>
      </c>
      <c r="G67" s="0" t="s">
        <v>3974</v>
      </c>
    </row>
    <row customHeight="1" ht="11.25">
      <c r="A68" s="0" t="s">
        <v>16</v>
      </c>
      <c r="B68" s="0" t="s">
        <v>3951</v>
      </c>
      <c r="C68" s="0" t="s">
        <v>3952</v>
      </c>
      <c r="D68" s="0" t="s">
        <v>3975</v>
      </c>
      <c r="E68" s="0" t="s">
        <v>3976</v>
      </c>
      <c r="F68" s="0" t="s">
        <v>3834</v>
      </c>
      <c r="G68" s="0" t="s">
        <v>2396</v>
      </c>
    </row>
    <row customHeight="1" ht="11.25">
      <c r="A69" s="0" t="s">
        <v>16</v>
      </c>
      <c r="B69" s="0" t="s">
        <v>3951</v>
      </c>
      <c r="C69" s="0" t="s">
        <v>3952</v>
      </c>
      <c r="D69" s="0" t="s">
        <v>3977</v>
      </c>
      <c r="E69" s="0" t="s">
        <v>3978</v>
      </c>
      <c r="F69" s="0" t="s">
        <v>3834</v>
      </c>
      <c r="G69" s="0" t="s">
        <v>3979</v>
      </c>
    </row>
    <row customHeight="1" ht="11.25">
      <c r="A70" s="0" t="s">
        <v>16</v>
      </c>
      <c r="B70" s="0" t="s">
        <v>3980</v>
      </c>
      <c r="C70" s="0" t="s">
        <v>3981</v>
      </c>
      <c r="D70" s="0" t="s">
        <v>3980</v>
      </c>
      <c r="E70" s="0" t="s">
        <v>3981</v>
      </c>
      <c r="F70" s="0" t="s">
        <v>3880</v>
      </c>
      <c r="G70" s="0" t="s">
        <v>3982</v>
      </c>
    </row>
    <row customHeight="1" ht="11.25">
      <c r="A71" s="0" t="s">
        <v>16</v>
      </c>
      <c r="B71" s="0" t="s">
        <v>3983</v>
      </c>
      <c r="C71" s="0" t="s">
        <v>3984</v>
      </c>
      <c r="D71" s="0" t="s">
        <v>3985</v>
      </c>
      <c r="E71" s="0" t="s">
        <v>3986</v>
      </c>
      <c r="F71" s="0" t="s">
        <v>3834</v>
      </c>
      <c r="G71" s="0" t="s">
        <v>3987</v>
      </c>
    </row>
    <row customHeight="1" ht="11.25">
      <c r="A72" s="0" t="s">
        <v>16</v>
      </c>
      <c r="B72" s="0" t="s">
        <v>3983</v>
      </c>
      <c r="C72" s="0" t="s">
        <v>3984</v>
      </c>
      <c r="D72" s="0" t="s">
        <v>3988</v>
      </c>
      <c r="E72" s="0" t="s">
        <v>3989</v>
      </c>
      <c r="F72" s="0" t="s">
        <v>3834</v>
      </c>
      <c r="G72" s="0" t="s">
        <v>3990</v>
      </c>
    </row>
    <row customHeight="1" ht="11.25">
      <c r="A73" s="0" t="s">
        <v>16</v>
      </c>
      <c r="B73" s="0" t="s">
        <v>3983</v>
      </c>
      <c r="C73" s="0" t="s">
        <v>3984</v>
      </c>
      <c r="D73" s="0" t="s">
        <v>3991</v>
      </c>
      <c r="E73" s="0" t="s">
        <v>3992</v>
      </c>
      <c r="F73" s="0" t="s">
        <v>3834</v>
      </c>
      <c r="G73" s="0" t="s">
        <v>3993</v>
      </c>
    </row>
    <row customHeight="1" ht="11.25">
      <c r="A74" s="0" t="s">
        <v>16</v>
      </c>
      <c r="B74" s="0" t="s">
        <v>3983</v>
      </c>
      <c r="C74" s="0" t="s">
        <v>3984</v>
      </c>
      <c r="D74" s="0" t="s">
        <v>3994</v>
      </c>
      <c r="E74" s="0" t="s">
        <v>3995</v>
      </c>
      <c r="F74" s="0" t="s">
        <v>3834</v>
      </c>
      <c r="G74" s="0" t="s">
        <v>3996</v>
      </c>
    </row>
    <row customHeight="1" ht="11.25">
      <c r="A75" s="0" t="s">
        <v>16</v>
      </c>
      <c r="B75" s="0" t="s">
        <v>3983</v>
      </c>
      <c r="C75" s="0" t="s">
        <v>3984</v>
      </c>
      <c r="D75" s="0" t="s">
        <v>3997</v>
      </c>
      <c r="E75" s="0" t="s">
        <v>3998</v>
      </c>
      <c r="F75" s="0" t="s">
        <v>3834</v>
      </c>
      <c r="G75" s="0" t="s">
        <v>3999</v>
      </c>
    </row>
    <row customHeight="1" ht="11.25">
      <c r="A76" s="0" t="s">
        <v>16</v>
      </c>
      <c r="B76" s="0" t="s">
        <v>3983</v>
      </c>
      <c r="C76" s="0" t="s">
        <v>3984</v>
      </c>
      <c r="D76" s="0" t="s">
        <v>4000</v>
      </c>
      <c r="E76" s="0" t="s">
        <v>4001</v>
      </c>
      <c r="F76" s="0" t="s">
        <v>3834</v>
      </c>
      <c r="G76" s="0" t="s">
        <v>4002</v>
      </c>
    </row>
    <row customHeight="1" ht="11.25">
      <c r="A77" s="0" t="s">
        <v>16</v>
      </c>
      <c r="B77" s="0" t="s">
        <v>3983</v>
      </c>
      <c r="C77" s="0" t="s">
        <v>3984</v>
      </c>
      <c r="D77" s="0" t="s">
        <v>4003</v>
      </c>
      <c r="E77" s="0" t="s">
        <v>4004</v>
      </c>
      <c r="F77" s="0" t="s">
        <v>3834</v>
      </c>
      <c r="G77" s="0" t="s">
        <v>4005</v>
      </c>
    </row>
    <row customHeight="1" ht="11.25">
      <c r="A78" s="0" t="s">
        <v>16</v>
      </c>
      <c r="B78" s="0" t="s">
        <v>3983</v>
      </c>
      <c r="C78" s="0" t="s">
        <v>3984</v>
      </c>
      <c r="D78" s="0" t="s">
        <v>3983</v>
      </c>
      <c r="E78" s="0" t="s">
        <v>3984</v>
      </c>
      <c r="F78" s="0" t="s">
        <v>3837</v>
      </c>
      <c r="G78" s="0" t="s">
        <v>4006</v>
      </c>
    </row>
    <row customHeight="1" ht="11.25">
      <c r="A79" s="0" t="s">
        <v>16</v>
      </c>
      <c r="B79" s="0" t="s">
        <v>3983</v>
      </c>
      <c r="C79" s="0" t="s">
        <v>3984</v>
      </c>
      <c r="D79" s="0" t="s">
        <v>4007</v>
      </c>
      <c r="E79" s="0" t="s">
        <v>4008</v>
      </c>
      <c r="F79" s="0" t="s">
        <v>3834</v>
      </c>
      <c r="G79" s="0" t="s">
        <v>4009</v>
      </c>
    </row>
    <row customHeight="1" ht="11.25">
      <c r="A80" s="0" t="s">
        <v>16</v>
      </c>
      <c r="B80" s="0" t="s">
        <v>3983</v>
      </c>
      <c r="C80" s="0" t="s">
        <v>3984</v>
      </c>
      <c r="D80" s="0" t="s">
        <v>4010</v>
      </c>
      <c r="E80" s="0" t="s">
        <v>4011</v>
      </c>
      <c r="F80" s="0" t="s">
        <v>3834</v>
      </c>
      <c r="G80" s="0" t="s">
        <v>4012</v>
      </c>
    </row>
    <row customHeight="1" ht="11.25">
      <c r="A81" s="0" t="s">
        <v>16</v>
      </c>
      <c r="B81" s="0" t="s">
        <v>3983</v>
      </c>
      <c r="C81" s="0" t="s">
        <v>3984</v>
      </c>
      <c r="D81" s="0" t="s">
        <v>4013</v>
      </c>
      <c r="E81" s="0" t="s">
        <v>4014</v>
      </c>
      <c r="F81" s="0" t="s">
        <v>3834</v>
      </c>
      <c r="G81" s="0" t="s">
        <v>4015</v>
      </c>
    </row>
    <row customHeight="1" ht="11.25">
      <c r="A82" s="0" t="s">
        <v>16</v>
      </c>
      <c r="B82" s="0" t="s">
        <v>3983</v>
      </c>
      <c r="C82" s="0" t="s">
        <v>3984</v>
      </c>
      <c r="D82" s="0" t="s">
        <v>4016</v>
      </c>
      <c r="E82" s="0" t="s">
        <v>4017</v>
      </c>
      <c r="F82" s="0" t="s">
        <v>3834</v>
      </c>
      <c r="G82" s="0" t="s">
        <v>4018</v>
      </c>
    </row>
    <row customHeight="1" ht="11.25">
      <c r="A83" s="0" t="s">
        <v>16</v>
      </c>
      <c r="B83" s="0" t="s">
        <v>3983</v>
      </c>
      <c r="C83" s="0" t="s">
        <v>3984</v>
      </c>
      <c r="D83" s="0" t="s">
        <v>4019</v>
      </c>
      <c r="E83" s="0" t="s">
        <v>4020</v>
      </c>
      <c r="F83" s="0" t="s">
        <v>3834</v>
      </c>
      <c r="G83" s="0" t="s">
        <v>4021</v>
      </c>
    </row>
    <row customHeight="1" ht="11.25">
      <c r="A84" s="0" t="s">
        <v>16</v>
      </c>
      <c r="B84" s="0" t="s">
        <v>3983</v>
      </c>
      <c r="C84" s="0" t="s">
        <v>3984</v>
      </c>
      <c r="D84" s="0" t="s">
        <v>4022</v>
      </c>
      <c r="E84" s="0" t="s">
        <v>4023</v>
      </c>
      <c r="F84" s="0" t="s">
        <v>3834</v>
      </c>
      <c r="G84" s="0" t="s">
        <v>4024</v>
      </c>
    </row>
    <row customHeight="1" ht="11.25">
      <c r="A85" s="0" t="s">
        <v>16</v>
      </c>
      <c r="B85" s="0" t="s">
        <v>3983</v>
      </c>
      <c r="C85" s="0" t="s">
        <v>3984</v>
      </c>
      <c r="D85" s="0" t="s">
        <v>4025</v>
      </c>
      <c r="E85" s="0" t="s">
        <v>4026</v>
      </c>
      <c r="F85" s="0" t="s">
        <v>3834</v>
      </c>
      <c r="G85" s="0" t="s">
        <v>4027</v>
      </c>
    </row>
    <row customHeight="1" ht="11.25">
      <c r="A86" s="0" t="s">
        <v>16</v>
      </c>
      <c r="B86" s="0" t="s">
        <v>4028</v>
      </c>
      <c r="C86" s="0" t="s">
        <v>4029</v>
      </c>
      <c r="D86" s="0" t="s">
        <v>4028</v>
      </c>
      <c r="E86" s="0" t="s">
        <v>4029</v>
      </c>
      <c r="F86" s="0" t="s">
        <v>3880</v>
      </c>
      <c r="G86" s="0" t="s">
        <v>4030</v>
      </c>
    </row>
    <row customHeight="1" ht="11.25">
      <c r="A87" s="0" t="s">
        <v>16</v>
      </c>
      <c r="B87" s="0" t="s">
        <v>4031</v>
      </c>
      <c r="C87" s="0" t="s">
        <v>4032</v>
      </c>
      <c r="D87" s="0" t="s">
        <v>4031</v>
      </c>
      <c r="E87" s="0" t="s">
        <v>4032</v>
      </c>
      <c r="F87" s="0" t="s">
        <v>3880</v>
      </c>
      <c r="G87" s="0" t="s">
        <v>4033</v>
      </c>
    </row>
    <row customHeight="1" ht="11.25">
      <c r="A88" s="0" t="s">
        <v>16</v>
      </c>
      <c r="B88" s="0" t="s">
        <v>105</v>
      </c>
      <c r="C88" s="0" t="s">
        <v>4034</v>
      </c>
      <c r="D88" s="0" t="s">
        <v>4035</v>
      </c>
      <c r="E88" s="0" t="s">
        <v>4036</v>
      </c>
      <c r="F88" s="0" t="s">
        <v>3834</v>
      </c>
      <c r="G88" s="0" t="s">
        <v>4037</v>
      </c>
    </row>
    <row customHeight="1" ht="11.25">
      <c r="A89" s="0" t="s">
        <v>16</v>
      </c>
      <c r="B89" s="0" t="s">
        <v>105</v>
      </c>
      <c r="C89" s="0" t="s">
        <v>4034</v>
      </c>
      <c r="D89" s="0" t="s">
        <v>4038</v>
      </c>
      <c r="E89" s="0" t="s">
        <v>4039</v>
      </c>
      <c r="F89" s="0" t="s">
        <v>3834</v>
      </c>
      <c r="G89" s="0" t="s">
        <v>4040</v>
      </c>
    </row>
    <row customHeight="1" ht="11.25">
      <c r="A90" s="0" t="s">
        <v>16</v>
      </c>
      <c r="B90" s="0" t="s">
        <v>105</v>
      </c>
      <c r="C90" s="0" t="s">
        <v>4034</v>
      </c>
      <c r="D90" s="0" t="s">
        <v>4041</v>
      </c>
      <c r="E90" s="0" t="s">
        <v>4042</v>
      </c>
      <c r="F90" s="0" t="s">
        <v>3834</v>
      </c>
      <c r="G90" s="0" t="s">
        <v>4043</v>
      </c>
    </row>
    <row customHeight="1" ht="11.25">
      <c r="A91" s="0" t="s">
        <v>16</v>
      </c>
      <c r="B91" s="0" t="s">
        <v>105</v>
      </c>
      <c r="C91" s="0" t="s">
        <v>4034</v>
      </c>
      <c r="D91" s="0" t="s">
        <v>109</v>
      </c>
      <c r="E91" s="0" t="s">
        <v>110</v>
      </c>
      <c r="F91" s="0" t="s">
        <v>3834</v>
      </c>
      <c r="G91" s="0" t="s">
        <v>108</v>
      </c>
    </row>
    <row customHeight="1" ht="11.25">
      <c r="A92" s="0" t="s">
        <v>16</v>
      </c>
      <c r="B92" s="0" t="s">
        <v>105</v>
      </c>
      <c r="C92" s="0" t="s">
        <v>4034</v>
      </c>
      <c r="D92" s="0" t="s">
        <v>4044</v>
      </c>
      <c r="E92" s="0" t="s">
        <v>4045</v>
      </c>
      <c r="F92" s="0" t="s">
        <v>3834</v>
      </c>
      <c r="G92" s="0" t="s">
        <v>4046</v>
      </c>
    </row>
    <row customHeight="1" ht="11.25">
      <c r="A93" s="0" t="s">
        <v>16</v>
      </c>
      <c r="B93" s="0" t="s">
        <v>105</v>
      </c>
      <c r="C93" s="0" t="s">
        <v>4034</v>
      </c>
      <c r="D93" s="0" t="s">
        <v>4047</v>
      </c>
      <c r="E93" s="0" t="s">
        <v>4048</v>
      </c>
      <c r="F93" s="0" t="s">
        <v>3834</v>
      </c>
      <c r="G93" s="0" t="s">
        <v>4049</v>
      </c>
    </row>
    <row customHeight="1" ht="11.25">
      <c r="A94" s="0" t="s">
        <v>16</v>
      </c>
      <c r="B94" s="0" t="s">
        <v>105</v>
      </c>
      <c r="C94" s="0" t="s">
        <v>4034</v>
      </c>
      <c r="D94" s="0" t="s">
        <v>105</v>
      </c>
      <c r="E94" s="0" t="s">
        <v>4034</v>
      </c>
      <c r="F94" s="0" t="s">
        <v>3837</v>
      </c>
      <c r="G94" s="0" t="s">
        <v>4050</v>
      </c>
    </row>
    <row customHeight="1" ht="11.25">
      <c r="A95" s="0" t="s">
        <v>16</v>
      </c>
      <c r="B95" s="0" t="s">
        <v>105</v>
      </c>
      <c r="C95" s="0" t="s">
        <v>4034</v>
      </c>
      <c r="D95" s="0" t="s">
        <v>4051</v>
      </c>
      <c r="E95" s="0" t="s">
        <v>4052</v>
      </c>
      <c r="F95" s="0" t="s">
        <v>3834</v>
      </c>
      <c r="G95" s="0" t="s">
        <v>4053</v>
      </c>
    </row>
    <row customHeight="1" ht="11.25">
      <c r="A96" s="0" t="s">
        <v>16</v>
      </c>
      <c r="B96" s="0" t="s">
        <v>105</v>
      </c>
      <c r="C96" s="0" t="s">
        <v>4034</v>
      </c>
      <c r="D96" s="0" t="s">
        <v>4054</v>
      </c>
      <c r="E96" s="0" t="s">
        <v>4055</v>
      </c>
      <c r="F96" s="0" t="s">
        <v>3834</v>
      </c>
      <c r="G96" s="0" t="s">
        <v>4056</v>
      </c>
    </row>
    <row customHeight="1" ht="11.25">
      <c r="A97" s="0" t="s">
        <v>16</v>
      </c>
      <c r="B97" s="0" t="s">
        <v>105</v>
      </c>
      <c r="C97" s="0" t="s">
        <v>4034</v>
      </c>
      <c r="D97" s="0" t="s">
        <v>4057</v>
      </c>
      <c r="E97" s="0" t="s">
        <v>4058</v>
      </c>
      <c r="F97" s="0" t="s">
        <v>3834</v>
      </c>
      <c r="G97" s="0" t="s">
        <v>4059</v>
      </c>
    </row>
    <row customHeight="1" ht="11.25">
      <c r="A98" s="0" t="s">
        <v>16</v>
      </c>
      <c r="B98" s="0" t="s">
        <v>114</v>
      </c>
      <c r="C98" s="0" t="s">
        <v>115</v>
      </c>
      <c r="D98" s="0" t="s">
        <v>114</v>
      </c>
      <c r="E98" s="0" t="s">
        <v>115</v>
      </c>
      <c r="F98" s="0" t="s">
        <v>3829</v>
      </c>
      <c r="G98" s="0" t="s">
        <v>113</v>
      </c>
    </row>
    <row customHeight="1" ht="11.25">
      <c r="A99" s="0" t="s">
        <v>16</v>
      </c>
      <c r="B99" s="0" t="s">
        <v>4060</v>
      </c>
      <c r="C99" s="0" t="s">
        <v>4061</v>
      </c>
      <c r="D99" s="0" t="s">
        <v>4060</v>
      </c>
      <c r="E99" s="0" t="s">
        <v>4061</v>
      </c>
      <c r="F99" s="0" t="s">
        <v>3880</v>
      </c>
      <c r="G99" s="0" t="s">
        <v>4062</v>
      </c>
    </row>
    <row customHeight="1" ht="11.25">
      <c r="A100" s="0" t="s">
        <v>16</v>
      </c>
      <c r="B100" s="0" t="s">
        <v>4063</v>
      </c>
      <c r="C100" s="0" t="s">
        <v>4064</v>
      </c>
      <c r="D100" s="0" t="s">
        <v>4063</v>
      </c>
      <c r="E100" s="0" t="s">
        <v>4064</v>
      </c>
      <c r="F100" s="0" t="s">
        <v>3880</v>
      </c>
      <c r="G100" s="0" t="s">
        <v>4065</v>
      </c>
    </row>
    <row customHeight="1" ht="11.25">
      <c r="A101" s="0" t="s">
        <v>16</v>
      </c>
      <c r="B101" s="0" t="s">
        <v>4066</v>
      </c>
      <c r="C101" s="0" t="s">
        <v>4067</v>
      </c>
      <c r="D101" s="0" t="s">
        <v>4066</v>
      </c>
      <c r="E101" s="0" t="s">
        <v>4067</v>
      </c>
      <c r="F101" s="0" t="s">
        <v>3880</v>
      </c>
      <c r="G101" s="0" t="s">
        <v>4068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923D6F-DAA1-1067-B4E1-EBA99D31DC6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67498" width="9.140625"/>
    <col min="2" max="2" style="67498" width="84.28125" customWidth="1"/>
    <col min="3" max="3" style="67498" width="9.140625"/>
  </cols>
  <sheetData>
    <row customHeight="1" ht="11.25">
      <c r="A1" s="2046" t="s">
        <v>4095</v>
      </c>
      <c r="B1" s="2046" t="s">
        <v>4096</v>
      </c>
      <c r="C1" s="2046" t="s">
        <v>1374</v>
      </c>
    </row>
    <row customHeight="1" ht="11.25">
      <c r="A2" s="2046">
        <v>4189678</v>
      </c>
      <c r="B2" s="2046" t="s">
        <v>4097</v>
      </c>
      <c r="C2" s="2046" t="s">
        <v>4098</v>
      </c>
    </row>
    <row customHeight="1" ht="11.25">
      <c r="A3" s="2046">
        <v>4190415</v>
      </c>
      <c r="B3" s="2046" t="s">
        <v>4099</v>
      </c>
      <c r="C3" s="2046" t="s">
        <v>4098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89F9A-87AA-E6A2-A29C-8BDB0F949E4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67492" width="38.421875" customWidth="1"/>
    <col min="2" max="5" style="67492" width="9.140625"/>
  </cols>
  <sheetData>
    <row customHeight="1" ht="15">
      <c r="A1" s="1374" t="s">
        <v>4100</v>
      </c>
      <c r="B1" s="1374" t="s">
        <v>4101</v>
      </c>
      <c r="C1" s="1374"/>
      <c r="D1" s="1374"/>
      <c r="E1" s="1374"/>
    </row>
    <row customHeight="1" ht="15">
      <c r="A2" s="1374"/>
      <c r="B2" s="1374"/>
      <c r="C2" s="1374"/>
      <c r="D2" s="1374"/>
      <c r="E2" s="1374"/>
    </row>
    <row customHeight="1" ht="15">
      <c r="A3" s="1374"/>
      <c r="B3" s="1374"/>
      <c r="C3" s="1374"/>
      <c r="D3" s="1374"/>
      <c r="E3" s="1374"/>
    </row>
    <row customHeight="1" ht="15">
      <c r="A4" s="1374"/>
      <c r="B4" s="1374"/>
      <c r="C4" s="1374"/>
      <c r="D4" s="1374"/>
      <c r="E4" s="1374"/>
    </row>
    <row customHeight="1" ht="15">
      <c r="A5" s="1374"/>
      <c r="B5" s="1374"/>
      <c r="C5" s="1374"/>
      <c r="D5" s="1374"/>
      <c r="E5" s="1374"/>
    </row>
    <row customHeight="1" ht="15">
      <c r="A6" s="1374"/>
      <c r="B6" s="1374"/>
      <c r="C6" s="1374"/>
      <c r="D6" s="1374"/>
      <c r="E6" s="1374"/>
    </row>
    <row customHeight="1" ht="15">
      <c r="A7" s="1374"/>
      <c r="B7" s="1374"/>
      <c r="C7" s="1374"/>
      <c r="D7" s="1374"/>
      <c r="E7" s="1374"/>
    </row>
    <row customHeight="1" ht="15">
      <c r="A8" s="1374"/>
      <c r="B8" s="1374"/>
      <c r="C8" s="1374"/>
      <c r="D8" s="1374"/>
      <c r="E8" s="137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46339-D4D5-AFA5-95CB-27BEED58CFF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4102</v>
      </c>
      <c r="B1" s="0" t="b">
        <v>1</v>
      </c>
    </row>
    <row customHeight="1" ht="11.25">
      <c r="A2" s="0" t="s">
        <v>4103</v>
      </c>
      <c r="B2" s="0" t="b">
        <v>0</v>
      </c>
    </row>
    <row customHeight="1" ht="11.25">
      <c r="A3" s="0" t="s">
        <v>4104</v>
      </c>
      <c r="B3" s="0" t="b">
        <v>1</v>
      </c>
    </row>
    <row customHeight="1" ht="11.25">
      <c r="A4" s="0" t="s">
        <v>4105</v>
      </c>
      <c r="B4" s="0" t="b">
        <v>0</v>
      </c>
    </row>
    <row customHeight="1" ht="11.25">
      <c r="A5" s="0" t="s">
        <v>4106</v>
      </c>
      <c r="B5" s="0" t="b">
        <v>0</v>
      </c>
    </row>
    <row customHeight="1" ht="11.25">
      <c r="A6" s="0" t="s">
        <v>4107</v>
      </c>
      <c r="B6" s="0" t="b">
        <v>0</v>
      </c>
    </row>
    <row customHeight="1" ht="11.25">
      <c r="A7" s="0" t="s">
        <v>4108</v>
      </c>
      <c r="B7" s="0" t="b">
        <v>0</v>
      </c>
    </row>
    <row customHeight="1" ht="11.25">
      <c r="A8" s="0" t="s">
        <v>4109</v>
      </c>
      <c r="B8" s="0" t="b">
        <v>0</v>
      </c>
    </row>
    <row customHeight="1" ht="11.25">
      <c r="A9" s="0" t="s">
        <v>4110</v>
      </c>
      <c r="B9" s="0" t="b">
        <v>0</v>
      </c>
    </row>
    <row customHeight="1" ht="11.25">
      <c r="A10" s="0" t="s">
        <v>4111</v>
      </c>
      <c r="B10" s="0" t="b">
        <v>1</v>
      </c>
    </row>
    <row customHeight="1" ht="11.25">
      <c r="A11" s="0" t="s">
        <v>4112</v>
      </c>
      <c r="B11" s="0" t="b">
        <v>0</v>
      </c>
    </row>
    <row customHeight="1" ht="11.25">
      <c r="A12" s="0" t="s">
        <v>4113</v>
      </c>
      <c r="B12" s="0" t="b">
        <v>0</v>
      </c>
    </row>
    <row customHeight="1" ht="11.25">
      <c r="A13" s="0" t="s">
        <v>4114</v>
      </c>
      <c r="B13" s="0" t="b">
        <v>0</v>
      </c>
    </row>
    <row customHeight="1" ht="11.25">
      <c r="A14" s="0" t="s">
        <v>4115</v>
      </c>
      <c r="B14" s="0" t="b">
        <v>0</v>
      </c>
    </row>
    <row customHeight="1" ht="11.25">
      <c r="A15" s="0" t="s">
        <v>4116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99651-3F41-E9C6-E0C7-4AB84182416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67493" width="9.140625"/>
  </cols>
  <sheetData>
    <row customHeight="1" ht="12.75">
      <c r="A1" s="127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38DF1-21D9-5BC8-5AAC-0704F6C86DE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67502" width="36.28125" customWidth="1"/>
    <col min="2" max="2" style="67502" width="21.140625" customWidth="1"/>
  </cols>
  <sheetData>
    <row customHeight="1" ht="11.25">
      <c r="A1" s="1278" t="s">
        <v>4117</v>
      </c>
      <c r="B1" s="1278" t="s">
        <v>4118</v>
      </c>
    </row>
    <row customHeight="1" ht="11.25">
      <c r="A2" s="1273" t="s">
        <v>4119</v>
      </c>
      <c r="B2" s="1273" t="s">
        <v>4120</v>
      </c>
    </row>
    <row customHeight="1" ht="11.25">
      <c r="A3" s="1273" t="s">
        <v>4121</v>
      </c>
      <c r="B3" s="1273" t="s">
        <v>4122</v>
      </c>
    </row>
    <row customHeight="1" ht="11.25">
      <c r="A4" s="1273" t="s">
        <v>4123</v>
      </c>
      <c r="B4" s="1273" t="s">
        <v>4124</v>
      </c>
    </row>
    <row customHeight="1" ht="11.25">
      <c r="A5" s="1273" t="s">
        <v>4125</v>
      </c>
      <c r="B5" s="1273" t="s">
        <v>4126</v>
      </c>
    </row>
    <row customHeight="1" ht="11.25">
      <c r="A6" s="1273" t="s">
        <v>4127</v>
      </c>
      <c r="B6" s="1273" t="s">
        <v>4128</v>
      </c>
    </row>
    <row customHeight="1" ht="11.25">
      <c r="A7" s="1273" t="s">
        <v>4129</v>
      </c>
      <c r="B7" s="1273" t="s">
        <v>4130</v>
      </c>
    </row>
    <row customHeight="1" ht="11.25">
      <c r="A8" s="1273" t="s">
        <v>4131</v>
      </c>
      <c r="B8" s="1273" t="s">
        <v>4132</v>
      </c>
    </row>
    <row customHeight="1" ht="11.25">
      <c r="A9" s="1273" t="s">
        <v>4133</v>
      </c>
      <c r="B9" s="1273" t="s">
        <v>4134</v>
      </c>
    </row>
    <row customHeight="1" ht="11.25">
      <c r="A10" s="1273" t="s">
        <v>4135</v>
      </c>
      <c r="B10" s="1273" t="s">
        <v>4136</v>
      </c>
    </row>
    <row customHeight="1" ht="11.25">
      <c r="A11" s="1273" t="s">
        <v>4137</v>
      </c>
      <c r="B11" s="1273" t="s">
        <v>4138</v>
      </c>
    </row>
    <row customHeight="1" ht="11.25">
      <c r="A12" s="1273" t="s">
        <v>4139</v>
      </c>
      <c r="B12" s="1273" t="s">
        <v>4140</v>
      </c>
    </row>
    <row customHeight="1" ht="11.25">
      <c r="A13" s="1273" t="s">
        <v>4141</v>
      </c>
      <c r="B13" s="1273" t="s">
        <v>4142</v>
      </c>
    </row>
    <row customHeight="1" ht="11.25">
      <c r="A14" s="1273" t="s">
        <v>4143</v>
      </c>
      <c r="B14" s="1273" t="s">
        <v>4144</v>
      </c>
    </row>
    <row customHeight="1" ht="11.25">
      <c r="A15" s="1273" t="s">
        <v>4145</v>
      </c>
      <c r="B15" s="1273" t="s">
        <v>4146</v>
      </c>
    </row>
    <row customHeight="1" ht="11.25">
      <c r="A16" s="1273" t="s">
        <v>4147</v>
      </c>
      <c r="B16" s="1273" t="s">
        <v>4148</v>
      </c>
    </row>
    <row customHeight="1" ht="11.25">
      <c r="A17" s="1273" t="s">
        <v>4149</v>
      </c>
      <c r="B17" s="1273" t="s">
        <v>4150</v>
      </c>
    </row>
    <row customHeight="1" ht="11.25">
      <c r="A18" s="1273" t="s">
        <v>4151</v>
      </c>
      <c r="B18" s="1273" t="s">
        <v>4152</v>
      </c>
    </row>
    <row customHeight="1" ht="11.25">
      <c r="A19" s="1273" t="s">
        <v>4153</v>
      </c>
      <c r="B19" s="1273" t="s">
        <v>4154</v>
      </c>
    </row>
    <row customHeight="1" ht="11.25">
      <c r="A20" s="1273" t="s">
        <v>4155</v>
      </c>
      <c r="B20" s="1273" t="s">
        <v>4156</v>
      </c>
    </row>
    <row customHeight="1" ht="11.25">
      <c r="A21" s="1273" t="s">
        <v>4157</v>
      </c>
      <c r="B21" s="1273" t="s">
        <v>4158</v>
      </c>
    </row>
    <row customHeight="1" ht="11.25">
      <c r="A22" s="1273" t="s">
        <v>4159</v>
      </c>
      <c r="B22" s="1273" t="s">
        <v>4160</v>
      </c>
    </row>
    <row customHeight="1" ht="11.25">
      <c r="A23" s="1273" t="s">
        <v>4161</v>
      </c>
      <c r="B23" s="1273" t="s">
        <v>4162</v>
      </c>
    </row>
    <row customHeight="1" ht="11.25">
      <c r="A24" s="1273" t="s">
        <v>4163</v>
      </c>
      <c r="B24" s="1273" t="s">
        <v>4164</v>
      </c>
    </row>
    <row customHeight="1" ht="11.25">
      <c r="A25" s="1273" t="s">
        <v>4165</v>
      </c>
      <c r="B25" s="1273" t="s">
        <v>4166</v>
      </c>
    </row>
    <row customHeight="1" ht="11.25">
      <c r="A26" s="1273" t="s">
        <v>4167</v>
      </c>
      <c r="B26" s="1273" t="s">
        <v>4168</v>
      </c>
    </row>
    <row customHeight="1" ht="11.25">
      <c r="A27" s="1273" t="s">
        <v>4169</v>
      </c>
      <c r="B27" s="1273" t="s">
        <v>4170</v>
      </c>
    </row>
    <row customHeight="1" ht="11.25">
      <c r="A28" s="1273" t="s">
        <v>4171</v>
      </c>
      <c r="B28" s="1273" t="s">
        <v>4172</v>
      </c>
    </row>
    <row customHeight="1" ht="11.25">
      <c r="A29" s="1273" t="s">
        <v>4173</v>
      </c>
      <c r="B29" s="1273" t="s">
        <v>4174</v>
      </c>
    </row>
    <row customHeight="1" ht="11.25">
      <c r="A30" s="1273" t="s">
        <v>4175</v>
      </c>
      <c r="B30" s="1273" t="s">
        <v>4176</v>
      </c>
    </row>
    <row customHeight="1" ht="11.25">
      <c r="A31" s="1273" t="s">
        <v>4177</v>
      </c>
      <c r="B31" s="1273" t="s">
        <v>4178</v>
      </c>
    </row>
    <row customHeight="1" ht="11.25">
      <c r="A32" s="1273" t="s">
        <v>4179</v>
      </c>
      <c r="B32" s="1273" t="s">
        <v>4180</v>
      </c>
    </row>
    <row customHeight="1" ht="11.25">
      <c r="A33" s="1273" t="s">
        <v>4181</v>
      </c>
      <c r="B33" s="1273" t="s">
        <v>4182</v>
      </c>
    </row>
    <row customHeight="1" ht="11.25">
      <c r="A34" s="1273" t="s">
        <v>4183</v>
      </c>
      <c r="B34" s="1273" t="s">
        <v>4184</v>
      </c>
    </row>
    <row customHeight="1" ht="11.25">
      <c r="A35" s="1273" t="s">
        <v>4185</v>
      </c>
      <c r="B35" s="1273" t="s">
        <v>4186</v>
      </c>
    </row>
    <row customHeight="1" ht="11.25">
      <c r="A36" s="1273" t="s">
        <v>4187</v>
      </c>
      <c r="B36" s="1273" t="s">
        <v>4188</v>
      </c>
    </row>
    <row customHeight="1" ht="11.25">
      <c r="A37" s="1273" t="s">
        <v>4189</v>
      </c>
      <c r="B37" s="1273" t="s">
        <v>4190</v>
      </c>
    </row>
    <row customHeight="1" ht="11.25">
      <c r="A38" s="1273" t="s">
        <v>4191</v>
      </c>
      <c r="B38" s="1273" t="s">
        <v>4192</v>
      </c>
    </row>
    <row customHeight="1" ht="11.25">
      <c r="A39" s="1273" t="s">
        <v>4193</v>
      </c>
      <c r="B39" s="1273" t="s">
        <v>4194</v>
      </c>
    </row>
    <row customHeight="1" ht="11.25">
      <c r="A40" s="1273" t="s">
        <v>4195</v>
      </c>
      <c r="B40" s="1273" t="s">
        <v>4196</v>
      </c>
    </row>
    <row customHeight="1" ht="11.25">
      <c r="A41" s="1273" t="s">
        <v>4197</v>
      </c>
      <c r="B41" s="1273" t="s">
        <v>4198</v>
      </c>
    </row>
    <row customHeight="1" ht="11.25">
      <c r="A42" s="1273" t="s">
        <v>4199</v>
      </c>
      <c r="B42" s="1273" t="s">
        <v>4200</v>
      </c>
    </row>
    <row customHeight="1" ht="11.25">
      <c r="A43" s="1273" t="s">
        <v>4201</v>
      </c>
      <c r="B43" s="1273" t="s">
        <v>4202</v>
      </c>
    </row>
    <row customHeight="1" ht="11.25">
      <c r="A44" s="1273" t="s">
        <v>4203</v>
      </c>
      <c r="B44" s="1273" t="s">
        <v>4204</v>
      </c>
    </row>
    <row customHeight="1" ht="11.25">
      <c r="A45" s="1273" t="s">
        <v>4205</v>
      </c>
      <c r="B45" s="1273" t="s">
        <v>4206</v>
      </c>
    </row>
    <row customHeight="1" ht="11.25">
      <c r="A46" s="1273" t="s">
        <v>4207</v>
      </c>
      <c r="B46" s="1273" t="s">
        <v>4208</v>
      </c>
    </row>
    <row customHeight="1" ht="11.25">
      <c r="A47" s="1273" t="s">
        <v>4209</v>
      </c>
      <c r="B47" s="1273" t="s">
        <v>4210</v>
      </c>
    </row>
    <row customHeight="1" ht="11.25">
      <c r="A48" s="1273" t="s">
        <v>4211</v>
      </c>
      <c r="B48" s="1273" t="s">
        <v>4212</v>
      </c>
    </row>
    <row customHeight="1" ht="11.25">
      <c r="A49" s="1273" t="s">
        <v>4213</v>
      </c>
      <c r="B49" s="1273" t="s">
        <v>4214</v>
      </c>
    </row>
    <row customHeight="1" ht="11.25">
      <c r="A50" s="1273" t="s">
        <v>4215</v>
      </c>
      <c r="B50" s="1273" t="s">
        <v>4216</v>
      </c>
    </row>
    <row customHeight="1" ht="11.25">
      <c r="A51" s="1273" t="s">
        <v>4217</v>
      </c>
      <c r="B51" s="1273" t="s">
        <v>4218</v>
      </c>
    </row>
    <row customHeight="1" ht="11.25">
      <c r="A52" s="1273" t="s">
        <v>4219</v>
      </c>
      <c r="B52" s="1273" t="s">
        <v>4220</v>
      </c>
    </row>
    <row customHeight="1" ht="11.25">
      <c r="A53" s="1273" t="s">
        <v>4221</v>
      </c>
      <c r="B53" s="1273" t="s">
        <v>4222</v>
      </c>
    </row>
    <row customHeight="1" ht="11.25">
      <c r="A54" s="1273" t="s">
        <v>4223</v>
      </c>
      <c r="B54" s="1273" t="s">
        <v>4224</v>
      </c>
    </row>
    <row customHeight="1" ht="11.25">
      <c r="A55" s="1273" t="s">
        <v>4225</v>
      </c>
      <c r="B55" s="1273" t="s">
        <v>4226</v>
      </c>
    </row>
    <row customHeight="1" ht="11.25">
      <c r="A56" s="1273" t="s">
        <v>4227</v>
      </c>
      <c r="B56" s="1273" t="s">
        <v>4228</v>
      </c>
    </row>
    <row customHeight="1" ht="11.25">
      <c r="A57" s="1273" t="s">
        <v>4229</v>
      </c>
      <c r="B57" s="1273" t="s">
        <v>4230</v>
      </c>
    </row>
    <row customHeight="1" ht="11.25">
      <c r="A58" s="1273" t="s">
        <v>4231</v>
      </c>
      <c r="B58" s="1273" t="s">
        <v>4232</v>
      </c>
    </row>
    <row customHeight="1" ht="11.25">
      <c r="A59" s="1273" t="s">
        <v>4233</v>
      </c>
      <c r="B59" s="1273" t="s">
        <v>4234</v>
      </c>
    </row>
    <row customHeight="1" ht="11.25">
      <c r="A60" s="1273" t="s">
        <v>4235</v>
      </c>
      <c r="B60" s="1273" t="s">
        <v>4236</v>
      </c>
    </row>
    <row customHeight="1" ht="11.25">
      <c r="A61" s="1273"/>
      <c r="B61" s="1273" t="s">
        <v>4237</v>
      </c>
    </row>
    <row customHeight="1" ht="11.25">
      <c r="A62" s="1273"/>
      <c r="B62" s="1273" t="s">
        <v>4238</v>
      </c>
    </row>
    <row customHeight="1" ht="11.25">
      <c r="A63" s="1273"/>
      <c r="B63" s="1273" t="s">
        <v>4239</v>
      </c>
    </row>
    <row customHeight="1" ht="11.25">
      <c r="A64" s="1273"/>
      <c r="B64" s="1273" t="s">
        <v>4240</v>
      </c>
    </row>
    <row customHeight="1" ht="11.25">
      <c r="A65" s="1273"/>
      <c r="B65" s="1273" t="s">
        <v>4241</v>
      </c>
    </row>
    <row customHeight="1" ht="11.25">
      <c r="A66" s="1273"/>
      <c r="B66" s="1273" t="s">
        <v>4242</v>
      </c>
    </row>
    <row customHeight="1" ht="11.25">
      <c r="A67" s="1273"/>
      <c r="B67" s="1273" t="s">
        <v>4243</v>
      </c>
    </row>
    <row customHeight="1" ht="11.25">
      <c r="A68" s="1273"/>
      <c r="B68" s="1273" t="s">
        <v>4244</v>
      </c>
    </row>
    <row customHeight="1" ht="11.25">
      <c r="A69" s="1273"/>
      <c r="B69" s="1273" t="s">
        <v>4245</v>
      </c>
    </row>
    <row customHeight="1" ht="11.25">
      <c r="A70" s="1273"/>
      <c r="B70" s="1273" t="s">
        <v>4246</v>
      </c>
    </row>
    <row customHeight="1" ht="11.25">
      <c r="A71" s="1273"/>
      <c r="B71" s="1273"/>
    </row>
    <row customHeight="1" ht="11.25">
      <c r="A72" s="1273"/>
      <c r="B72" s="1273"/>
    </row>
    <row customHeight="1" ht="11.25">
      <c r="A73" s="1273"/>
      <c r="B73" s="1273"/>
    </row>
    <row customHeight="1" ht="11.25">
      <c r="A74" s="1273"/>
      <c r="B74" s="1273"/>
    </row>
    <row customHeight="1" ht="11.25">
      <c r="A75" s="1273"/>
      <c r="B75" s="1273"/>
    </row>
    <row customHeight="1" ht="11.25">
      <c r="A76" s="1273"/>
      <c r="B76" s="1273"/>
    </row>
    <row customHeight="1" ht="11.25">
      <c r="A77" s="1273"/>
      <c r="B77" s="1273"/>
    </row>
    <row customHeight="1" ht="11.25">
      <c r="A78" s="1273"/>
      <c r="B78" s="1273"/>
    </row>
    <row customHeight="1" ht="11.25">
      <c r="A79" s="1273"/>
      <c r="B79" s="1273"/>
    </row>
    <row customHeight="1" ht="11.25">
      <c r="A80" s="1273"/>
      <c r="B80" s="1273"/>
    </row>
    <row customHeight="1" ht="11.25">
      <c r="A81" s="1273"/>
      <c r="B81" s="1273"/>
    </row>
    <row customHeight="1" ht="11.25">
      <c r="A82" s="1273"/>
      <c r="B82" s="1273"/>
    </row>
    <row customHeight="1" ht="11.25">
      <c r="A83" s="1273"/>
      <c r="B83" s="1273"/>
    </row>
    <row customHeight="1" ht="11.25">
      <c r="A84" s="1273"/>
      <c r="B84" s="1273"/>
    </row>
    <row customHeight="1" ht="11.25">
      <c r="A85" s="1273"/>
      <c r="B85" s="1273"/>
    </row>
    <row customHeight="1" ht="11.25">
      <c r="A86" s="1273"/>
      <c r="B86" s="1273"/>
    </row>
    <row customHeight="1" ht="11.25">
      <c r="A87" s="1273"/>
      <c r="B87" s="1273"/>
    </row>
    <row customHeight="1" ht="11.25">
      <c r="A88" s="1273"/>
      <c r="B88" s="1273"/>
    </row>
    <row customHeight="1" ht="11.25">
      <c r="A89" s="1273"/>
      <c r="B89" s="1273"/>
    </row>
    <row customHeight="1" ht="11.25">
      <c r="A90" s="1273"/>
      <c r="B90" s="1273"/>
    </row>
    <row customHeight="1" ht="11.25">
      <c r="A91" s="1273"/>
      <c r="B91" s="1273"/>
    </row>
    <row customHeight="1" ht="11.25">
      <c r="A92" s="1273"/>
      <c r="B92" s="1273"/>
    </row>
    <row customHeight="1" ht="11.25">
      <c r="A93" s="1273"/>
      <c r="B93" s="1273"/>
    </row>
    <row customHeight="1" ht="11.25">
      <c r="A94" s="1273"/>
      <c r="B94" s="1273"/>
    </row>
    <row customHeight="1" ht="11.25">
      <c r="A95" s="1273"/>
      <c r="B95" s="1273"/>
    </row>
    <row customHeight="1" ht="11.25">
      <c r="A96" s="1273"/>
      <c r="B96" s="1273"/>
    </row>
    <row customHeight="1" ht="11.25">
      <c r="A97" s="1273"/>
      <c r="B97" s="1273"/>
    </row>
    <row customHeight="1" ht="11.25">
      <c r="A98" s="1273"/>
      <c r="B98" s="1273"/>
    </row>
    <row customHeight="1" ht="11.25">
      <c r="A99" s="1273"/>
      <c r="B99" s="1273"/>
    </row>
    <row customHeight="1" ht="11.25">
      <c r="A100" s="1273"/>
      <c r="B100" s="1273"/>
    </row>
    <row customHeight="1" ht="11.25">
      <c r="A101" s="1273"/>
      <c r="B101" s="1273"/>
    </row>
    <row customHeight="1" ht="11.25">
      <c r="A102" s="1273"/>
      <c r="B102" s="1273"/>
    </row>
    <row customHeight="1" ht="11.25">
      <c r="A103" s="1273"/>
      <c r="B103" s="1273"/>
    </row>
    <row customHeight="1" ht="11.25">
      <c r="A104" s="1273"/>
      <c r="B104" s="1273"/>
    </row>
    <row customHeight="1" ht="11.25">
      <c r="A105" s="1273"/>
      <c r="B105" s="1273"/>
    </row>
    <row customHeight="1" ht="11.25">
      <c r="A106" s="1273"/>
      <c r="B106" s="1273"/>
    </row>
    <row customHeight="1" ht="11.25">
      <c r="A107" s="1273"/>
      <c r="B107" s="1273"/>
    </row>
    <row customHeight="1" ht="11.25">
      <c r="A108" s="1273"/>
      <c r="B108" s="1273"/>
    </row>
    <row customHeight="1" ht="11.25">
      <c r="A109" s="1273"/>
      <c r="B109" s="1273"/>
    </row>
    <row customHeight="1" ht="11.25">
      <c r="A110" s="1273"/>
      <c r="B110" s="1273"/>
    </row>
    <row customHeight="1" ht="11.25">
      <c r="A111" s="1273"/>
      <c r="B111" s="1273"/>
    </row>
    <row customHeight="1" ht="11.25">
      <c r="A112" s="1273"/>
      <c r="B112" s="1273"/>
    </row>
    <row customHeight="1" ht="11.25">
      <c r="A113" s="1273"/>
      <c r="B113" s="1273"/>
    </row>
    <row customHeight="1" ht="11.25">
      <c r="A114" s="1273"/>
      <c r="B114" s="1273"/>
    </row>
    <row customHeight="1" ht="11.25">
      <c r="A115" s="1273"/>
      <c r="B115" s="1273"/>
    </row>
    <row customHeight="1" ht="11.25">
      <c r="A116" s="1273"/>
      <c r="B116" s="1273"/>
    </row>
    <row customHeight="1" ht="11.25">
      <c r="A117" s="1273"/>
      <c r="B117" s="1273"/>
    </row>
    <row customHeight="1" ht="11.25">
      <c r="A118" s="1273"/>
      <c r="B118" s="1273"/>
    </row>
    <row customHeight="1" ht="11.25">
      <c r="A119" s="1273"/>
      <c r="B119" s="1273"/>
    </row>
    <row customHeight="1" ht="11.25">
      <c r="A120" s="1273"/>
      <c r="B120" s="1273"/>
    </row>
    <row customHeight="1" ht="11.25">
      <c r="A121" s="1273"/>
      <c r="B121" s="1273"/>
    </row>
    <row customHeight="1" ht="11.25">
      <c r="A122" s="1273"/>
      <c r="B122" s="1273"/>
    </row>
    <row customHeight="1" ht="11.25">
      <c r="A123" s="1273"/>
      <c r="B123" s="1273"/>
    </row>
    <row customHeight="1" ht="11.25">
      <c r="A124" s="1273"/>
      <c r="B124" s="1273"/>
    </row>
    <row customHeight="1" ht="11.25">
      <c r="A125" s="1273"/>
      <c r="B125" s="1273"/>
    </row>
    <row customHeight="1" ht="11.25">
      <c r="A126" s="1273"/>
      <c r="B126" s="1273"/>
    </row>
    <row customHeight="1" ht="11.25">
      <c r="A127" s="1273"/>
      <c r="B127" s="1273"/>
    </row>
    <row customHeight="1" ht="11.25">
      <c r="A128" s="1273"/>
      <c r="B128" s="1273"/>
    </row>
    <row customHeight="1" ht="11.25">
      <c r="A129" s="1273"/>
      <c r="B129" s="1273"/>
    </row>
    <row customHeight="1" ht="11.25">
      <c r="A130" s="1273"/>
      <c r="B130" s="1273"/>
    </row>
    <row customHeight="1" ht="11.25">
      <c r="A131" s="1273"/>
      <c r="B131" s="1273"/>
    </row>
    <row customHeight="1" ht="11.25">
      <c r="A132" s="1273"/>
      <c r="B132" s="1273"/>
    </row>
    <row customHeight="1" ht="11.25">
      <c r="A133" s="1273"/>
      <c r="B133" s="1273"/>
    </row>
    <row customHeight="1" ht="11.25">
      <c r="A134" s="1273"/>
      <c r="B134" s="1273"/>
    </row>
    <row customHeight="1" ht="11.25">
      <c r="A135" s="1273"/>
      <c r="B135" s="1273"/>
    </row>
    <row customHeight="1" ht="11.25">
      <c r="A136" s="1273"/>
      <c r="B136" s="1273"/>
    </row>
    <row customHeight="1" ht="11.25">
      <c r="A137" s="1273"/>
      <c r="B137" s="1273"/>
    </row>
    <row customHeight="1" ht="11.25">
      <c r="A138" s="1273"/>
      <c r="B138" s="1273"/>
    </row>
    <row customHeight="1" ht="11.25">
      <c r="A139" s="1273"/>
      <c r="B139" s="1273"/>
    </row>
    <row customHeight="1" ht="11.25">
      <c r="A140" s="1273"/>
      <c r="B140" s="1273"/>
    </row>
    <row customHeight="1" ht="11.25">
      <c r="A141" s="1273"/>
      <c r="B141" s="1273"/>
    </row>
    <row customHeight="1" ht="11.25">
      <c r="A142" s="1273"/>
      <c r="B142" s="1273"/>
    </row>
    <row customHeight="1" ht="11.25">
      <c r="A143" s="1273"/>
      <c r="B143" s="1273"/>
    </row>
    <row customHeight="1" ht="11.25">
      <c r="A144" s="1273"/>
      <c r="B144" s="1273"/>
    </row>
    <row customHeight="1" ht="11.25">
      <c r="A145" s="1273"/>
      <c r="B145" s="1273"/>
    </row>
    <row customHeight="1" ht="11.25">
      <c r="A146" s="1273"/>
      <c r="B146" s="1273"/>
    </row>
    <row customHeight="1" ht="11.25">
      <c r="A147" s="1273"/>
      <c r="B147" s="1273"/>
    </row>
    <row customHeight="1" ht="11.25">
      <c r="A148" s="1273"/>
      <c r="B148" s="1273"/>
    </row>
    <row customHeight="1" ht="11.25">
      <c r="A149" s="1273"/>
      <c r="B149" s="1273"/>
    </row>
    <row customHeight="1" ht="11.25">
      <c r="A150" s="1273"/>
      <c r="B150" s="1273"/>
    </row>
    <row customHeight="1" ht="11.25">
      <c r="A151" s="1273"/>
      <c r="B151" s="1273"/>
    </row>
    <row customHeight="1" ht="11.25">
      <c r="A152" s="1273"/>
      <c r="B152" s="1273"/>
    </row>
    <row customHeight="1" ht="11.25">
      <c r="A153" s="1273"/>
      <c r="B153" s="1273"/>
    </row>
    <row customHeight="1" ht="11.25">
      <c r="A154" s="1273"/>
      <c r="B154" s="1273"/>
    </row>
    <row customHeight="1" ht="11.25">
      <c r="A155" s="1273"/>
      <c r="B155" s="1273"/>
    </row>
    <row customHeight="1" ht="11.25">
      <c r="A156" s="1273"/>
      <c r="B156" s="1273"/>
    </row>
    <row customHeight="1" ht="11.25">
      <c r="A157" s="1273"/>
      <c r="B157" s="1273"/>
    </row>
    <row customHeight="1" ht="11.25">
      <c r="A158" s="1273"/>
      <c r="B158" s="1273"/>
    </row>
    <row customHeight="1" ht="11.25">
      <c r="A159" s="1273"/>
      <c r="B159" s="1273"/>
    </row>
    <row customHeight="1" ht="11.25">
      <c r="A160" s="1273"/>
      <c r="B160" s="1273"/>
    </row>
    <row customHeight="1" ht="11.25">
      <c r="A161" s="1273"/>
      <c r="B161" s="1273"/>
    </row>
    <row customHeight="1" ht="11.25">
      <c r="A162" s="1273"/>
      <c r="B162" s="1273"/>
    </row>
    <row customHeight="1" ht="11.25">
      <c r="A163" s="1273"/>
      <c r="B163" s="1273"/>
    </row>
    <row customHeight="1" ht="11.25">
      <c r="A164" s="1273"/>
      <c r="B164" s="1273"/>
    </row>
    <row customHeight="1" ht="11.25">
      <c r="A165" s="1273"/>
      <c r="B165" s="1273"/>
    </row>
    <row customHeight="1" ht="11.25">
      <c r="A166" s="1273"/>
      <c r="B166" s="1273"/>
    </row>
    <row customHeight="1" ht="11.25">
      <c r="A167" s="1273"/>
      <c r="B167" s="1273"/>
    </row>
    <row customHeight="1" ht="11.25">
      <c r="A168" s="1273"/>
      <c r="B168" s="1273"/>
    </row>
    <row customHeight="1" ht="11.25">
      <c r="A169" s="1273"/>
      <c r="B169" s="1273"/>
    </row>
    <row customHeight="1" ht="11.25">
      <c r="A170" s="1273"/>
      <c r="B170" s="1273"/>
    </row>
    <row customHeight="1" ht="11.25">
      <c r="A171" s="1273"/>
      <c r="B171" s="1273"/>
    </row>
    <row customHeight="1" ht="11.25">
      <c r="A172" s="1273"/>
      <c r="B172" s="1273"/>
    </row>
    <row customHeight="1" ht="11.25">
      <c r="A173" s="1273"/>
      <c r="B173" s="1273"/>
    </row>
    <row customHeight="1" ht="11.25">
      <c r="A174" s="1273"/>
      <c r="B174" s="1273"/>
    </row>
    <row customHeight="1" ht="11.25">
      <c r="A175" s="1273"/>
      <c r="B175" s="1273"/>
    </row>
    <row customHeight="1" ht="11.25">
      <c r="A176" s="1273"/>
      <c r="B176" s="1273"/>
    </row>
    <row customHeight="1" ht="11.25">
      <c r="A177" s="1273"/>
      <c r="B177" s="1273"/>
    </row>
    <row customHeight="1" ht="11.25">
      <c r="A178" s="1273"/>
      <c r="B178" s="1273"/>
    </row>
    <row customHeight="1" ht="11.25">
      <c r="A179" s="1273"/>
      <c r="B179" s="1273"/>
    </row>
    <row customHeight="1" ht="11.25">
      <c r="A180" s="1273"/>
      <c r="B180" s="1273"/>
    </row>
    <row customHeight="1" ht="11.25">
      <c r="A181" s="1273"/>
      <c r="B181" s="1273"/>
    </row>
    <row customHeight="1" ht="11.25">
      <c r="A182" s="1273"/>
      <c r="B182" s="1273"/>
    </row>
    <row customHeight="1" ht="11.25">
      <c r="A183" s="1273"/>
      <c r="B183" s="1273"/>
    </row>
    <row customHeight="1" ht="11.25">
      <c r="A184" s="1273"/>
      <c r="B184" s="1273"/>
    </row>
    <row customHeight="1" ht="11.25">
      <c r="A185" s="1273"/>
      <c r="B185" s="1273"/>
    </row>
    <row customHeight="1" ht="11.25">
      <c r="A186" s="1273"/>
      <c r="B186" s="1273"/>
    </row>
    <row customHeight="1" ht="11.25">
      <c r="A187" s="1273"/>
      <c r="B187" s="1273"/>
    </row>
    <row customHeight="1" ht="11.25">
      <c r="A188" s="1273"/>
      <c r="B188" s="1273"/>
    </row>
    <row customHeight="1" ht="11.25">
      <c r="A189" s="1273"/>
      <c r="B189" s="1273"/>
    </row>
    <row customHeight="1" ht="11.25">
      <c r="A190" s="1273"/>
      <c r="B190" s="1273"/>
    </row>
    <row customHeight="1" ht="11.25">
      <c r="A191" s="1273"/>
      <c r="B191" s="1273"/>
    </row>
    <row customHeight="1" ht="11.25">
      <c r="A192" s="1273"/>
      <c r="B192" s="1273"/>
    </row>
    <row customHeight="1" ht="11.25">
      <c r="A193" s="1273"/>
      <c r="B193" s="1273"/>
    </row>
    <row customHeight="1" ht="11.25">
      <c r="A194" s="1273"/>
      <c r="B194" s="1273"/>
    </row>
    <row customHeight="1" ht="11.25">
      <c r="A195" s="1273"/>
      <c r="B195" s="1273"/>
    </row>
    <row customHeight="1" ht="11.25">
      <c r="A196" s="1273"/>
      <c r="B196" s="1273"/>
    </row>
    <row customHeight="1" ht="11.25">
      <c r="A197" s="1273"/>
      <c r="B197" s="1273"/>
    </row>
    <row customHeight="1" ht="11.25">
      <c r="A198" s="1273"/>
      <c r="B198" s="1273"/>
    </row>
    <row customHeight="1" ht="11.25">
      <c r="A199" s="1273"/>
      <c r="B199" s="1273"/>
    </row>
    <row customHeight="1" ht="11.25">
      <c r="A200" s="1273"/>
      <c r="B200" s="1273"/>
    </row>
    <row customHeight="1" ht="11.25">
      <c r="A201" s="1273"/>
      <c r="B201" s="1273"/>
    </row>
    <row customHeight="1" ht="11.25">
      <c r="A202" s="1273"/>
      <c r="B202" s="1273"/>
    </row>
    <row customHeight="1" ht="11.25">
      <c r="A203" s="1273"/>
      <c r="B203" s="1273"/>
    </row>
    <row customHeight="1" ht="11.25">
      <c r="A204" s="1273"/>
      <c r="B204" s="1273"/>
    </row>
    <row customHeight="1" ht="11.25">
      <c r="A205" s="1273"/>
      <c r="B205" s="1273"/>
    </row>
    <row customHeight="1" ht="11.25">
      <c r="A206" s="1273"/>
      <c r="B206" s="1273"/>
    </row>
    <row customHeight="1" ht="11.25">
      <c r="A207" s="1273"/>
      <c r="B207" s="1273"/>
    </row>
    <row customHeight="1" ht="11.25">
      <c r="A208" s="1273"/>
      <c r="B208" s="1273"/>
    </row>
    <row customHeight="1" ht="11.25">
      <c r="A209" s="1273"/>
      <c r="B209" s="1273"/>
    </row>
    <row customHeight="1" ht="11.25">
      <c r="A210" s="1273"/>
      <c r="B210" s="1273"/>
    </row>
    <row customHeight="1" ht="11.25">
      <c r="A211" s="1273"/>
      <c r="B211" s="1273"/>
    </row>
    <row customHeight="1" ht="11.25">
      <c r="A212" s="1273"/>
      <c r="B212" s="1273"/>
    </row>
    <row customHeight="1" ht="11.25">
      <c r="A213" s="1273"/>
      <c r="B213" s="1273"/>
    </row>
    <row customHeight="1" ht="11.25">
      <c r="A214" s="1273"/>
      <c r="B214" s="1273"/>
    </row>
    <row customHeight="1" ht="11.25">
      <c r="A215" s="1273"/>
      <c r="B215" s="1273"/>
    </row>
    <row customHeight="1" ht="11.25">
      <c r="A216" s="1273"/>
      <c r="B216" s="1273"/>
    </row>
    <row customHeight="1" ht="11.25">
      <c r="A217" s="1273"/>
      <c r="B217" s="1273"/>
    </row>
    <row customHeight="1" ht="11.25">
      <c r="A218" s="1273"/>
      <c r="B218" s="1273"/>
    </row>
    <row customHeight="1" ht="11.25">
      <c r="A219" s="1273"/>
      <c r="B219" s="1273"/>
    </row>
    <row customHeight="1" ht="11.25">
      <c r="A220" s="1273"/>
      <c r="B220" s="1273"/>
    </row>
    <row customHeight="1" ht="11.25">
      <c r="A221" s="1273"/>
      <c r="B221" s="1273"/>
    </row>
    <row customHeight="1" ht="11.25">
      <c r="A222" s="1273"/>
      <c r="B222" s="1273"/>
    </row>
    <row customHeight="1" ht="11.25">
      <c r="A223" s="1273"/>
      <c r="B223" s="1273"/>
    </row>
    <row customHeight="1" ht="11.25">
      <c r="A224" s="1273"/>
      <c r="B224" s="1273"/>
    </row>
    <row customHeight="1" ht="11.25">
      <c r="A225" s="1273"/>
      <c r="B225" s="1273"/>
    </row>
    <row customHeight="1" ht="11.25">
      <c r="A226" s="1273"/>
      <c r="B226" s="1273"/>
    </row>
    <row customHeight="1" ht="11.25">
      <c r="A227" s="1273"/>
      <c r="B227" s="1273"/>
    </row>
    <row customHeight="1" ht="11.25">
      <c r="A228" s="1273"/>
      <c r="B228" s="1273"/>
    </row>
    <row customHeight="1" ht="11.25">
      <c r="A229" s="1273"/>
      <c r="B229" s="1273"/>
    </row>
    <row customHeight="1" ht="11.25">
      <c r="A230" s="1273"/>
      <c r="B230" s="1273"/>
    </row>
    <row customHeight="1" ht="11.25">
      <c r="A231" s="1273"/>
      <c r="B231" s="1273"/>
    </row>
    <row customHeight="1" ht="11.25">
      <c r="A232" s="1273"/>
      <c r="B232" s="1273"/>
    </row>
    <row customHeight="1" ht="11.25">
      <c r="A233" s="1273"/>
      <c r="B233" s="1273"/>
    </row>
    <row customHeight="1" ht="11.25">
      <c r="A234" s="1273"/>
      <c r="B234" s="1273"/>
    </row>
    <row customHeight="1" ht="11.25">
      <c r="A235" s="1273"/>
      <c r="B235" s="1273"/>
    </row>
    <row customHeight="1" ht="11.25">
      <c r="A236" s="1273"/>
      <c r="B236" s="1273"/>
    </row>
    <row customHeight="1" ht="11.25">
      <c r="A237" s="1273"/>
      <c r="B237" s="1273"/>
    </row>
    <row customHeight="1" ht="11.25">
      <c r="A238" s="1273"/>
      <c r="B238" s="1273"/>
    </row>
    <row customHeight="1" ht="11.25">
      <c r="A239" s="1273"/>
      <c r="B239" s="1273"/>
    </row>
    <row customHeight="1" ht="11.25">
      <c r="A240" s="1273"/>
      <c r="B240" s="1273"/>
    </row>
    <row customHeight="1" ht="11.25">
      <c r="A241" s="1273"/>
      <c r="B241" s="1273"/>
    </row>
    <row customHeight="1" ht="11.25">
      <c r="A242" s="1273"/>
      <c r="B242" s="1273"/>
    </row>
    <row customHeight="1" ht="11.25">
      <c r="A243" s="1273"/>
      <c r="B243" s="1273"/>
    </row>
    <row customHeight="1" ht="11.25">
      <c r="A244" s="1273"/>
      <c r="B244" s="1273"/>
    </row>
    <row customHeight="1" ht="11.25">
      <c r="A245" s="1273"/>
      <c r="B245" s="1273"/>
    </row>
    <row customHeight="1" ht="11.25">
      <c r="A246" s="1273"/>
      <c r="B246" s="1273"/>
    </row>
    <row customHeight="1" ht="11.25">
      <c r="A247" s="1273"/>
      <c r="B247" s="1273"/>
    </row>
    <row customHeight="1" ht="11.25">
      <c r="A248" s="1273"/>
      <c r="B248" s="1273"/>
    </row>
    <row customHeight="1" ht="11.25">
      <c r="A249" s="1273"/>
      <c r="B249" s="1273"/>
    </row>
    <row customHeight="1" ht="11.25">
      <c r="A250" s="1273"/>
      <c r="B250" s="1273"/>
    </row>
    <row customHeight="1" ht="11.25">
      <c r="A251" s="1273"/>
      <c r="B251" s="1273"/>
    </row>
    <row customHeight="1" ht="11.25">
      <c r="A252" s="1273"/>
      <c r="B252" s="1273"/>
    </row>
    <row customHeight="1" ht="11.25">
      <c r="A253" s="1273"/>
      <c r="B253" s="12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EEE21-0506-0616-8673-4B6779B8CC6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67502" width="3.7109375" customWidth="1"/>
    <col min="2" max="2" style="67502" width="90.7109375" customWidth="1"/>
    <col min="3" max="4" style="67502" width="9.140625"/>
  </cols>
  <sheetData>
    <row customHeight="1" ht="11.25">
      <c r="B1" s="1304" t="s">
        <v>4247</v>
      </c>
    </row>
    <row customHeight="1" ht="90">
      <c r="B2" s="1305" t="s">
        <v>4248</v>
      </c>
    </row>
    <row customHeight="1" ht="67.5">
      <c r="B3" s="1305" t="s">
        <v>4249</v>
      </c>
    </row>
    <row customHeight="1" ht="33.75">
      <c r="B4" s="1305" t="s">
        <v>4250</v>
      </c>
    </row>
    <row customHeight="1" ht="11.25">
      <c r="B5" s="1305" t="s">
        <v>4251</v>
      </c>
    </row>
    <row customHeight="1" ht="22.5">
      <c r="B6" s="1305" t="s">
        <v>4252</v>
      </c>
    </row>
    <row customHeight="1" ht="22.5">
      <c r="B7" s="1305" t="s">
        <v>4253</v>
      </c>
    </row>
    <row customHeight="1" ht="22.5">
      <c r="B8" s="1305" t="s">
        <v>4254</v>
      </c>
    </row>
    <row customHeight="1" ht="22.5">
      <c r="B9" s="1305" t="s">
        <v>4255</v>
      </c>
    </row>
    <row customHeight="1" ht="56.25">
      <c r="B10" s="1305" t="s">
        <v>4256</v>
      </c>
    </row>
    <row customHeight="1" ht="12.75">
      <c r="B11" s="1370" t="s">
        <v>4257</v>
      </c>
    </row>
    <row customHeight="1" ht="11.25">
      <c r="B12" s="1304" t="s">
        <v>4258</v>
      </c>
    </row>
    <row customHeight="1" ht="22.5">
      <c r="B13" s="1305" t="s">
        <v>4259</v>
      </c>
    </row>
    <row customHeight="1" ht="67.5">
      <c r="B14" s="1305" t="s">
        <v>4260</v>
      </c>
    </row>
    <row customHeight="1" ht="22.5">
      <c r="B15" s="1305" t="s">
        <v>4261</v>
      </c>
    </row>
    <row customHeight="1" ht="11.25">
      <c r="B16" s="1304" t="s">
        <v>4262</v>
      </c>
      <c r="D16" s="1311"/>
    </row>
    <row customHeight="1" ht="33.75">
      <c r="B17" s="1305" t="s">
        <v>4263</v>
      </c>
    </row>
    <row customHeight="1" ht="33.75">
      <c r="B18" s="1305" t="s">
        <v>4264</v>
      </c>
    </row>
    <row customHeight="1" ht="11.25">
      <c r="B19" s="1305" t="s">
        <v>4265</v>
      </c>
    </row>
    <row customHeight="1" ht="33.75">
      <c r="B20" s="1305" t="s">
        <v>4266</v>
      </c>
    </row>
    <row customHeight="1" ht="11.25">
      <c r="B21" s="1304" t="s">
        <v>4267</v>
      </c>
    </row>
    <row customHeight="1" ht="11.25">
      <c r="B22" s="1305" t="s">
        <v>4268</v>
      </c>
    </row>
    <row r="24" customHeight="1" ht="22.5">
      <c r="B24" s="1372" t="s">
        <v>4269</v>
      </c>
    </row>
    <row r="26" customHeight="1" ht="11.25">
      <c r="B26" s="1304" t="s">
        <v>4270</v>
      </c>
    </row>
    <row customHeight="1" ht="22.5">
      <c r="B27" s="1371" t="s">
        <v>414</v>
      </c>
    </row>
    <row customHeight="1" ht="56.25">
      <c r="B28" s="1371" t="s">
        <v>4271</v>
      </c>
    </row>
    <row customHeight="1" ht="11.25">
      <c r="B29" s="1421" t="s">
        <v>4272</v>
      </c>
    </row>
    <row customHeight="1" ht="22.5">
      <c r="B30" s="1371" t="s">
        <v>4273</v>
      </c>
    </row>
    <row r="32" customHeight="1" ht="11.25">
      <c r="A32" s="1399"/>
      <c r="B32" s="1400" t="s">
        <v>4274</v>
      </c>
    </row>
    <row customHeight="1" ht="14.25">
      <c r="A33" s="1401">
        <v>1</v>
      </c>
      <c r="B33" s="1402" t="s">
        <v>4275</v>
      </c>
    </row>
    <row customHeight="1" ht="14.25">
      <c r="A34" s="1401">
        <v>2</v>
      </c>
      <c r="B34" s="1402" t="s">
        <v>4276</v>
      </c>
    </row>
    <row customHeight="1" ht="11.25">
      <c r="B35" s="1400" t="s">
        <v>4277</v>
      </c>
    </row>
    <row customHeight="1" ht="11.25">
      <c r="B36" s="1402" t="s">
        <v>4278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8678F-78D2-E204-B579-C744D6C8655D}"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67156" width="9.140625" hidden="1" customWidth="1"/>
    <col min="2" max="2" style="66903" width="9.140625" hidden="1" customWidth="1"/>
    <col min="3" max="3" style="67282" width="3.00390625" customWidth="1"/>
    <col min="4" max="4" style="66903" width="5.00390625" customWidth="1"/>
    <col min="5" max="5" style="66903" width="38.00390625" customWidth="1"/>
    <col min="6" max="7" style="66903" width="3.00390625" customWidth="1"/>
    <col min="8" max="8" style="66903" width="38.00390625" customWidth="1"/>
    <col min="9" max="9" style="66903" width="35.00390625" customWidth="1"/>
    <col min="10" max="10" style="66903" width="103.00390625" customWidth="1"/>
    <col min="11" max="11" style="65153" width="3.00390625" customWidth="1"/>
    <col min="12" max="14" style="65923" width="10.00390625" customWidth="1"/>
    <col min="15" max="15" style="65923" width="13.00390625" customWidth="1"/>
    <col min="16" max="16" style="65923" width="15.00390625" customWidth="1"/>
    <col min="17" max="17" style="65923" width="16.00390625" customWidth="1"/>
    <col min="18" max="21" style="65923" width="10.00390625" customWidth="1"/>
    <col min="22" max="22" style="66903" width="10.57421875" hidden="1"/>
  </cols>
  <sheetData>
    <row customHeight="1" ht="22.5" hidden="1">
      <c r="E1" s="1623"/>
      <c r="F1" s="1623"/>
      <c r="G1" s="1623"/>
      <c r="H1" s="3428" t="s">
        <v>370</v>
      </c>
      <c r="I1" s="3428"/>
      <c r="V1" s="2818" t="s">
        <v>14</v>
      </c>
    </row>
    <row s="66903" customFormat="1" customHeight="1" ht="14.25" hidden="1">
      <c r="C2" s="2830"/>
      <c r="D2" s="3444" t="s">
        <v>99</v>
      </c>
      <c r="E2" s="3446"/>
      <c r="F2" s="2836"/>
      <c r="G2" s="2831" t="s">
        <v>99</v>
      </c>
      <c r="H2" s="2834"/>
      <c r="I2" s="2832"/>
      <c r="L2" s="2833"/>
      <c r="M2" s="2833"/>
      <c r="N2" s="2833"/>
      <c r="O2" s="2833" t="s">
        <v>400</v>
      </c>
      <c r="P2" s="2833"/>
      <c r="Q2" s="2833"/>
      <c r="R2" s="2835" t="s">
        <v>399</v>
      </c>
      <c r="S2" s="2835" t="s">
        <v>399</v>
      </c>
      <c r="T2" s="2833"/>
      <c r="U2" s="2833"/>
      <c r="V2" s="2829">
        <v>0</v>
      </c>
    </row>
    <row s="66903" customFormat="1" customHeight="1" ht="14.25" hidden="1">
      <c r="C3" s="2830"/>
      <c r="D3" s="3445"/>
      <c r="E3" s="3447"/>
      <c r="F3" s="1616"/>
      <c r="G3" s="2080"/>
      <c r="H3" s="2080" t="s">
        <v>401</v>
      </c>
      <c r="I3" s="1524"/>
      <c r="L3" s="2833"/>
      <c r="M3" s="2833"/>
      <c r="N3" s="2833"/>
      <c r="O3" s="2833"/>
      <c r="P3" s="2833"/>
      <c r="Q3" s="2833"/>
      <c r="R3" s="2835"/>
      <c r="S3" s="2835"/>
      <c r="T3" s="2833"/>
      <c r="U3" s="2833"/>
      <c r="V3" s="2829">
        <v>0</v>
      </c>
    </row>
    <row customHeight="1" ht="14.25" hidden="1">
      <c r="V4" s="2818">
        <v>0</v>
      </c>
    </row>
    <row s="65167" customFormat="1" customHeight="1" ht="5.25">
      <c r="C5" s="1912"/>
      <c r="D5" s="1913"/>
      <c r="E5" s="1913"/>
      <c r="F5" s="1913"/>
      <c r="G5" s="1913"/>
      <c r="H5" s="1913" t="s">
        <v>374</v>
      </c>
      <c r="I5" s="1913"/>
      <c r="J5" s="1913"/>
      <c r="L5" s="2825"/>
      <c r="M5" s="2825"/>
      <c r="N5" s="2825"/>
      <c r="O5" s="2825"/>
      <c r="P5" s="2825"/>
      <c r="Q5" s="2825"/>
      <c r="R5" s="2825"/>
      <c r="S5" s="2825"/>
      <c r="T5" s="2825"/>
      <c r="U5" s="2825"/>
      <c r="V5" s="2824">
        <v>5</v>
      </c>
    </row>
    <row customHeight="1" ht="29.25">
      <c r="C6" s="2727"/>
      <c r="D6" s="3448" t="s">
        <v>402</v>
      </c>
      <c r="E6" s="3448"/>
      <c r="F6" s="3448"/>
      <c r="G6" s="3448"/>
      <c r="H6" s="3448"/>
      <c r="I6" s="3448"/>
      <c r="J6" s="1702"/>
      <c r="K6" s="2826"/>
      <c r="V6" s="2818">
        <v>28</v>
      </c>
    </row>
    <row customHeight="1" ht="18">
      <c r="C7" s="2727"/>
      <c r="D7" s="3387" t="str">
        <f>IF(org=0,"Не определено",org)</f>
        <v>ПАО "ТГК-2"</v>
      </c>
      <c r="E7" s="3387"/>
      <c r="F7" s="3387"/>
      <c r="G7" s="3387"/>
      <c r="H7" s="3387"/>
      <c r="I7" s="3387"/>
      <c r="J7" s="1702"/>
      <c r="K7" s="2826"/>
      <c r="V7" s="2818">
        <v>17</v>
      </c>
    </row>
    <row s="65172" customFormat="1" customHeight="1" ht="5.25">
      <c r="A8" s="2822"/>
      <c r="C8" s="1697"/>
      <c r="D8" s="1696"/>
      <c r="E8" s="1696"/>
      <c r="F8" s="1696"/>
      <c r="G8" s="1696"/>
      <c r="H8" s="1696"/>
      <c r="I8" s="1696"/>
      <c r="J8" s="1696"/>
      <c r="L8" s="2825"/>
      <c r="M8" s="2825"/>
      <c r="N8" s="2825"/>
      <c r="O8" s="2825"/>
      <c r="P8" s="2825"/>
      <c r="Q8" s="2825"/>
      <c r="R8" s="2825"/>
      <c r="S8" s="2825"/>
      <c r="T8" s="2825"/>
      <c r="U8" s="2825"/>
      <c r="V8" s="2823">
        <v>5</v>
      </c>
    </row>
    <row s="65172" customFormat="1" customHeight="1" ht="5.25">
      <c r="A9" s="2822"/>
      <c r="C9" s="1697"/>
      <c r="D9" s="1696"/>
      <c r="E9" s="1696"/>
      <c r="F9" s="1696"/>
      <c r="G9" s="1696"/>
      <c r="H9" s="1696"/>
      <c r="I9" s="1696"/>
      <c r="J9" s="1696"/>
      <c r="L9" s="2833"/>
      <c r="M9" s="2833"/>
      <c r="N9" s="2833"/>
      <c r="O9" s="2833"/>
      <c r="P9" s="2833"/>
      <c r="Q9" s="2833"/>
      <c r="R9" s="2833"/>
      <c r="S9" s="2833"/>
      <c r="T9" s="2833"/>
      <c r="U9" s="2833"/>
      <c r="V9" s="2823">
        <v>5</v>
      </c>
    </row>
    <row customHeight="1" ht="14.699999999999998">
      <c r="C10" s="2727"/>
      <c r="D10" s="3429" t="s">
        <v>318</v>
      </c>
      <c r="E10" s="3430"/>
      <c r="F10" s="3430"/>
      <c r="G10" s="3430"/>
      <c r="H10" s="3430"/>
      <c r="I10" s="3430"/>
      <c r="J10" s="3434" t="s">
        <v>319</v>
      </c>
      <c r="V10" s="2818">
        <v>14</v>
      </c>
    </row>
    <row customHeight="1" ht="27.299999999999997">
      <c r="C11" s="2727"/>
      <c r="D11" s="3338" t="s">
        <v>88</v>
      </c>
      <c r="E11" s="3434" t="s">
        <v>118</v>
      </c>
      <c r="F11" s="3403" t="s">
        <v>88</v>
      </c>
      <c r="G11" s="3404"/>
      <c r="H11" s="3386" t="s">
        <v>403</v>
      </c>
      <c r="I11" s="3386" t="s">
        <v>404</v>
      </c>
      <c r="J11" s="3434"/>
      <c r="V11" s="2818">
        <v>26</v>
      </c>
    </row>
    <row customHeight="1" ht="14.699999999999998">
      <c r="C12" s="2727"/>
      <c r="D12" s="3338"/>
      <c r="E12" s="3434"/>
      <c r="F12" s="3411"/>
      <c r="G12" s="3412"/>
      <c r="H12" s="3443"/>
      <c r="I12" s="3443"/>
      <c r="J12" s="3434"/>
      <c r="V12" s="2818">
        <v>14</v>
      </c>
    </row>
    <row s="65897" customFormat="1" customHeight="1" ht="11.25" hidden="1">
      <c r="C13" s="1709"/>
      <c r="D13" s="1710" t="s">
        <v>394</v>
      </c>
      <c r="E13" s="1710"/>
      <c r="F13" s="1710"/>
      <c r="G13" s="1710"/>
      <c r="H13" s="1708"/>
      <c r="I13" s="1708"/>
      <c r="J13" s="1646"/>
      <c r="L13" s="2825"/>
      <c r="M13" s="2825"/>
      <c r="N13" s="2825"/>
      <c r="O13" s="2825"/>
      <c r="P13" s="2825"/>
      <c r="Q13" s="2825"/>
      <c r="R13" s="2825"/>
      <c r="S13" s="2825"/>
      <c r="T13" s="2825"/>
      <c r="U13" s="2825"/>
      <c r="V13" s="1707">
        <v>0</v>
      </c>
    </row>
    <row customHeight="1" ht="14.699999999999998">
      <c r="A14" s="2818"/>
      <c r="C14" s="2727"/>
      <c r="D14" s="3444" t="s">
        <v>99</v>
      </c>
      <c r="E14" s="3446"/>
      <c r="F14" s="2828"/>
      <c r="G14" s="2827" t="s">
        <v>99</v>
      </c>
      <c r="H14" s="2834"/>
      <c r="I14" s="2832"/>
      <c r="J14" s="3380" t="s">
        <v>405</v>
      </c>
      <c r="K14" s="2818"/>
      <c r="R14" s="1711" t="s">
        <v>399</v>
      </c>
      <c r="S14" s="1711" t="s">
        <v>399</v>
      </c>
      <c r="V14" s="2818">
        <v>14</v>
      </c>
    </row>
    <row customHeight="1" ht="14.699999999999998">
      <c r="A15" s="2818"/>
      <c r="C15" s="2727"/>
      <c r="D15" s="3445"/>
      <c r="E15" s="3447"/>
      <c r="F15" s="1616"/>
      <c r="G15" s="2080"/>
      <c r="H15" s="2080" t="s">
        <v>401</v>
      </c>
      <c r="I15" s="1524"/>
      <c r="J15" s="3381"/>
      <c r="K15" s="2818"/>
      <c r="R15" s="1711"/>
      <c r="S15" s="1711"/>
      <c r="V15" s="2818">
        <v>14</v>
      </c>
    </row>
    <row customHeight="1" ht="14.699999999999998">
      <c r="A16" s="2818"/>
      <c r="C16" s="2727"/>
      <c r="D16" s="1616"/>
      <c r="E16" s="2080" t="s">
        <v>141</v>
      </c>
      <c r="F16" s="1524"/>
      <c r="G16" s="1524"/>
      <c r="H16" s="1617"/>
      <c r="I16" s="1617"/>
      <c r="J16" s="3382"/>
      <c r="K16" s="2818"/>
      <c r="V16" s="2818">
        <v>14</v>
      </c>
    </row>
    <row customHeight="1" ht="14.699999999999998">
      <c r="K17" s="2818"/>
      <c r="V17" s="2818">
        <v>14</v>
      </c>
    </row>
    <row customHeight="1" ht="22.5" hidden="1">
      <c r="A18" s="2819" t="s">
        <v>82</v>
      </c>
      <c r="B18" s="2818">
        <v>0</v>
      </c>
      <c r="C18" s="1662">
        <v>3</v>
      </c>
      <c r="D18" s="2818">
        <v>5</v>
      </c>
      <c r="E18" s="2818">
        <v>38</v>
      </c>
      <c r="F18" s="2818">
        <v>3</v>
      </c>
      <c r="G18" s="2818">
        <v>3</v>
      </c>
      <c r="H18" s="2818">
        <v>38</v>
      </c>
      <c r="I18" s="2818">
        <v>35</v>
      </c>
      <c r="J18" s="2818">
        <v>103</v>
      </c>
      <c r="K18" s="2820">
        <v>3</v>
      </c>
      <c r="L18" s="2825">
        <v>10</v>
      </c>
      <c r="M18" s="2825">
        <v>10</v>
      </c>
      <c r="N18" s="2825">
        <v>10</v>
      </c>
      <c r="O18" s="2825">
        <v>13</v>
      </c>
      <c r="P18" s="2825">
        <v>15</v>
      </c>
      <c r="Q18" s="2825">
        <v>16</v>
      </c>
      <c r="R18" s="2825">
        <v>10</v>
      </c>
      <c r="S18" s="2825">
        <v>10</v>
      </c>
      <c r="T18" s="2825">
        <v>10</v>
      </c>
      <c r="U18" s="2825">
        <v>10</v>
      </c>
      <c r="V18" s="281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2024-04-01T13:16:25Z</dcterms:modified>
</cp:coreProperties>
</file>

<file path=docProps/custom.xml><?xml version="1.0" encoding="utf-8"?>
<Properties xmlns="http://schemas.openxmlformats.org/officeDocument/2006/custom-properties" xmlns:vt="http://schemas.openxmlformats.org/officeDocument/2006/docPropsVTypes"/>
</file>