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omments2.xml" ContentType="application/vnd.openxmlformats-officedocument.spreadsheetml.comments+xml"/>
  <Override PartName="/xl/worksheets/sheet22.xml" ContentType="application/vnd.openxmlformats-officedocument.spreadsheetml.worksheet+xml"/>
  <Override PartName="/xl/worksheets/sheet23.xml" ContentType="application/vnd.openxmlformats-officedocument.spreadsheetml.worksheet+xml"/>
  <Override PartName="/xl/comments3.xml" ContentType="application/vnd.openxmlformats-officedocument.spreadsheetml.comments+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drawings/drawing4.xml" ContentType="application/vnd.openxmlformats-officedocument.drawing+xml"/>
  <Override PartName="/xl/worksheets/sheet29.xml" ContentType="application/vnd.openxmlformats-officedocument.spreadsheetml.worksheet+xml"/>
  <Override PartName="/xl/drawings/drawing5.xml" ContentType="application/vnd.openxmlformats-officedocument.drawing+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drawings/drawing6.xml" ContentType="application/vnd.openxmlformats-officedocument.drawing+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751" firstSheet="3" activeTab="66"/>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et_union_hor" sheetId="11" state="hidden" r:id="rId12"/>
    <sheet name="Договоры" sheetId="12" state="hidden" r:id="rId13"/>
    <sheet name="ТС. Т-ТЭ | &gt;=25МВт" sheetId="13" state="hidden" r:id="rId14"/>
    <sheet name="ТС. Т-ТЭ | ТСО"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TEHSHEET" sheetId="21" state="hidden" r:id="rId22"/>
    <sheet name="DATA_FORMS" sheetId="22" state="hidden" r:id="rId23"/>
    <sheet name="DATA_NPA" sheetId="23" state="hidden" r:id="rId24"/>
    <sheet name="Т-ТЭ | потр" sheetId="24" state="hidden" r:id="rId25"/>
    <sheet name="Т-ТЭ | предел" sheetId="25" state="hidden" r:id="rId26"/>
    <sheet name="Т-ТЭ | индикат" sheetId="26" state="hidden" r:id="rId27"/>
    <sheet name="Т-подкл(инд)" sheetId="27" state="hidden" r:id="rId28"/>
    <sheet name="Порядок ТП" sheetId="28" state="hidden" r:id="rId29"/>
    <sheet name="Сведения о закупках" sheetId="29" state="hidden" r:id="rId30"/>
    <sheet name="modMainProcedures" sheetId="30" state="hidden" r:id="rId31"/>
    <sheet name="Потребительские характеристики" sheetId="31" state="hidden" r:id="rId32"/>
    <sheet name="ТП" sheetId="32" state="hidden" r:id="rId33"/>
    <sheet name="Ограничения" sheetId="33" state="hidden" r:id="rId34"/>
    <sheet name="Предложение" sheetId="34" state="hidden" r:id="rId35"/>
    <sheet name="ХВС. Т-пит" sheetId="35" state="hidden" r:id="rId36"/>
    <sheet name="ХВС. Т-тех" sheetId="36" state="hidden" r:id="rId37"/>
    <sheet name="ХВС. Т-транс" sheetId="37" state="hidden" r:id="rId38"/>
    <sheet name="ХВС. Т-подвоз" sheetId="38" state="hidden" r:id="rId39"/>
    <sheet name="ХВС. Т-подкл" sheetId="39" state="hidden" r:id="rId40"/>
    <sheet name="Показатели ФХД" sheetId="40" r:id="rId41"/>
    <sheet name="Показатели ФХД &gt;20%" sheetId="41" state="hidden" r:id="rId42"/>
    <sheet name="ТКО. Показатели ФХД" sheetId="42" state="hidden" r:id="rId43"/>
    <sheet name="ТКО. Транс. Показатели ФХД" sheetId="43" state="hidden" r:id="rId44"/>
    <sheet name="Показатели КНЭ" sheetId="44" r:id="rId45"/>
    <sheet name="ИП" sheetId="45" r:id="rId46"/>
    <sheet name="ИП. Детализация" sheetId="46" r:id="rId47"/>
    <sheet name="ИП. Финансовый план" sheetId="47" state="hidden" r:id="rId48"/>
    <sheet name="ИП. КНЭ" sheetId="48" r:id="rId49"/>
    <sheet name="ГВС. Т-гор.вода" sheetId="49" state="hidden" r:id="rId50"/>
    <sheet name="ГВС. Т-транс" sheetId="50" state="hidden" r:id="rId51"/>
    <sheet name="ГВС. Т-подкл" sheetId="51" state="hidden" r:id="rId52"/>
    <sheet name="ВО. Т-во" sheetId="52" state="hidden" r:id="rId53"/>
    <sheet name="ВО. Т-транс" sheetId="53" state="hidden" r:id="rId54"/>
    <sheet name="ВО. Т-подкл" sheetId="54" state="hidden" r:id="rId55"/>
    <sheet name="modB_FHD" sheetId="55" state="hidden" r:id="rId56"/>
    <sheet name="modB_FHD20" sheetId="56" state="hidden" r:id="rId57"/>
    <sheet name="modB_KNE" sheetId="57" state="hidden" r:id="rId58"/>
    <sheet name="modIP_MAIN" sheetId="58" state="hidden" r:id="rId59"/>
    <sheet name="modIP_QRE" sheetId="59" state="hidden" r:id="rId60"/>
    <sheet name="modIP_DETAILED" sheetId="60" state="hidden" r:id="rId61"/>
    <sheet name="ЭД" sheetId="61" state="hidden" r:id="rId62"/>
    <sheet name="Сведения об изменении" sheetId="62" state="hidden" r:id="rId63"/>
    <sheet name="Орган регулирования" sheetId="63" state="hidden" r:id="rId64"/>
    <sheet name="Перечень организаций" sheetId="64" state="hidden" r:id="rId65"/>
    <sheet name="Дела об установлении тарифов" sheetId="65" state="hidden" r:id="rId66"/>
    <sheet name="Привлечение к ответственности" sheetId="66" state="hidden" r:id="rId67"/>
    <sheet name="Комментарии" sheetId="67" r:id="rId68"/>
    <sheet name="Проверка"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_HEAT">et_union_hor!$115:$123</definedName>
    <definedName name="et_B_FHD20_1_NOT_HEAT">et_union_hor!$103:$111</definedName>
    <definedName name="et_B_FHD20_2">et_union_hor!$127:$130</definedName>
    <definedName name="et_B_FHD20_3">et_union_hor!$135:$136</definedName>
    <definedName name="et_B_FHD20_4">et_union_hor!$138:$138</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et_union_hor!$25:$26</definedName>
    <definedName name="et_DIFFERENTIATION_SYSTEM">et_union_hor!$30:$30</definedName>
    <definedName name="et_DIFFERENTIATION_TARIFF_COLOR">et_union_hor!$H$142:$W$146</definedName>
    <definedName name="et_DIFFERENTIATION_TARIFF_CS">et_union_hor!$157:$158</definedName>
    <definedName name="et_DIFFERENTIATION_TARIFF_IST_TE">et_union_hor!$160:$160</definedName>
    <definedName name="et_DIFFERENTIATION_TARIFF_NOT_COLOR">et_union_hor!$H$182:$W$186</definedName>
    <definedName name="et_DIFFERENTIATION_TARIFF_NOT_HEAT_COLOR">et_union_hor!$H$164:$W$168</definedName>
    <definedName name="et_DIFFERENTIATION_TARIFF_NOT_HEAT_CS">et_union_hor!$179:$180</definedName>
    <definedName name="et_DIFFERENTIATION_TARIFF_NOT_HEAT_NTAR">et_union_hor!$170:$173</definedName>
    <definedName name="et_DIFFERENTIATION_TARIFF_NOT_HEAT_TER">et_union_hor!$175:$177</definedName>
    <definedName name="et_DIFFERENTIATION_TARIFF_NOT_HEAT_VTAR">et_union_hor!$164:$168</definedName>
    <definedName name="et_DIFFERENTIATION_TARIFF_NTAR">et_union_hor!$148:$151</definedName>
    <definedName name="et_DIFFERENTIATION_TARIFF_TER">et_union_hor!$153:$155</definedName>
    <definedName name="et_DIFFERENTIATION_TARIFF_VTAR">et_union_hor!$142:$146</definedName>
    <definedName name="et_DIFFERENTIATION_TKO_CLASS_TKO">et_union_hor!$190:$190</definedName>
    <definedName name="et_DIFFERENTIATION_TKO_COLOR">et_union_hor!$H$190:$AI$195</definedName>
    <definedName name="et_DIFFERENTIATION_TKO_NOT_COLOR">et_union_hor!$H$197:$AI$202</definedName>
    <definedName name="et_DIFFERENTIATION_TKO_NTAR">et_union_hor!$190:$194</definedName>
    <definedName name="et_DIFFERENTIATION_TKO_TER">et_union_hor!$190:$192</definedName>
    <definedName name="et_DIFFERENTIATION_TKO_TO">et_union_hor!$190:$193</definedName>
    <definedName name="et_DIFFERENTIATION_TKO_TYPE_TKO">et_union_hor!$190:$191</definedName>
    <definedName name="et_DIFFERENTIATION_TKO_VTAR">et_union_hor!$190:$195</definedName>
    <definedName name="et_DIFFERENTIATION_VD">et_union_hor!$19:$21</definedName>
    <definedName name="et_ED">et_union_hor!$52:$52</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et_union_hor!$69:$75</definedName>
    <definedName name="et_IP_DETAILED_EVENT">et_union_hor!$89:$93</definedName>
    <definedName name="et_IP_DETAILED_IST_FIN">et_union_hor!$85:$85</definedName>
    <definedName name="et_IP_DETAILED_OBJECT">et_union_hor!$79:$81</definedName>
    <definedName name="et_IP_DETAILED_YEAR">et_union_hor!$70:$75</definedName>
    <definedName name="et_IP_MAIN">et_union_hor!$60:$61</definedName>
    <definedName name="et_IP_MAIN_PROPERTY">et_union_hor!$65:$65</definedName>
    <definedName name="et_IP_QRE">et_union_hor!$97:$99</definedName>
    <definedName name="et_IP_QRE_CLAIM">et_union_hor!$98:$98</definedName>
    <definedName name="et_List02">et_union_hor!$142:$146</definedName>
    <definedName name="et_List02_1_wd">et_union_hor!$182:$185</definedName>
    <definedName name="et_List02_2_wd">et_union_hor!$182:$184</definedName>
    <definedName name="et_List02_3_wd">et_union_hor!$182:$183</definedName>
    <definedName name="et_List02_4_wd">et_union_hor!$182:$182</definedName>
    <definedName name="et_List02_changeColor_1">et_union_hor!$J$142:$J$145</definedName>
    <definedName name="et_List02_changeColor_1_wd">et_union_hor!$J$182:$J$185</definedName>
    <definedName name="et_List02_changeColor_2">et_union_hor!$N$142:$N$144</definedName>
    <definedName name="et_List02_changeColor_2_wd">et_union_hor!$N$182:$N$184</definedName>
    <definedName name="et_List02_changeColor_3">et_union_hor!$R$142:$R$143</definedName>
    <definedName name="et_List02_changeColor_3_wd">et_union_hor!$R$182:$R$183</definedName>
    <definedName name="et_List02_changeColor_4">et_union_hor!$V$142</definedName>
    <definedName name="et_List02_changeColor_4_wd">et_union_hor!$V$182</definedName>
    <definedName name="et_List02_wd">et_union_hor!$182:$186</definedName>
    <definedName name="et_OFFER_p1">Предложение!$2:$2</definedName>
    <definedName name="et_OFFER_p2">Предложение!$4:$4</definedName>
    <definedName name="et_ORG_INFO_1">et_union_hor!$35:$35</definedName>
    <definedName name="et_ORG_INFO_2">et_union_hor!$39:$39</definedName>
    <definedName name="et_ORG_TERRITORY_MO">et_union_hor!$44:$44</definedName>
    <definedName name="et_ORG_TERRITORY_MO_FLAG_INTERNET">et_union_hor!$J$44</definedName>
    <definedName name="et_ORG_TERRITORY_MO_LINK">et_union_hor!$K$44</definedName>
    <definedName name="et_ORG_VD">et_union_hor!$48:$48</definedName>
    <definedName name="et_ORG_VD_COLDVSNA">et_union_hor!$X$48:$Z$48</definedName>
    <definedName name="et_ORG_VD_FIRST_SYSTEM">et_union_hor!$E$48</definedName>
    <definedName name="et_ORG_VD_HEAT">et_union_hor!$H$48:$R$48</definedName>
    <definedName name="et_ORG_VD_HOTVSNA">et_union_hor!$AB$48:$AC$48</definedName>
    <definedName name="et_ORG_VD_TKO_ACTIVITY">'Виды объектов'!$2:$3</definedName>
    <definedName name="et_ORG_VD_TKO_TYPE_OBJECT">'Виды объектов'!$2:$2</definedName>
    <definedName name="et_ORG_VD_VOTV">et_union_hor!$T$48:$V$48</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et_union_hor!$56:$56</definedName>
    <definedName name="et_Q_TP_DIFFERENTIATION">ТП!$G:$G</definedName>
    <definedName name="et_QRE">et_union_hor!$97:$99</definedName>
    <definedName name="et_QRE_CLAIM">et_union_hor!$98:$98</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et_union_hor!$56:$56</definedName>
    <definedName name="et_TERRITORY_AREA">et_union_hor!$13:$15</definedName>
    <definedName name="et_TERRITORY_MO">et_union_hor!$14:$14</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TARIFF_A_1">Предложение!$18:$19</definedName>
    <definedName name="OFFER_TARIFF_A_2">Предложение!$59:$60</definedName>
    <definedName name="OFFER_TARIFF_A_3">Предложение!$98:$99</definedName>
    <definedName name="OFFER_TARIFF_A_4">Предложение!$137:$138</definedName>
    <definedName name="OFFER_TARIFF_A_5">Предложение!$176:$177</definedName>
    <definedName name="OFFER_TARIFF_A_COLDVSNA_1">Предложение!$34:$35</definedName>
    <definedName name="OFFER_TARIFF_A_COLDVSNA_2">Предложение!$75:$76</definedName>
    <definedName name="OFFER_TARIFF_A_COLDVSNA_3">Предложение!$114:$115</definedName>
    <definedName name="OFFER_TARIFF_A_COLDVSNA_4">Предложение!$153:$154</definedName>
    <definedName name="OFFER_TARIFF_A_COLDVSNA_5">Предложение!$192:$193</definedName>
    <definedName name="OFFER_TARIFF_A_HOTVSNA_1">Предложение!$44:$45</definedName>
    <definedName name="OFFER_TARIFF_A_HOTVSNA_2">Предложение!$85:$86</definedName>
    <definedName name="OFFER_TARIFF_A_HOTVSNA_3">Предложение!$124:$125</definedName>
    <definedName name="OFFER_TARIFF_A_HOTVSNA_4">Предложение!$163:$164</definedName>
    <definedName name="OFFER_TARIFF_A_HOTVSNA_5">Предложение!$202:$203</definedName>
    <definedName name="OFFER_TARIFF_A_VOTV_1">Предложение!$50:$51</definedName>
    <definedName name="OFFER_TARIFF_A_VOTV_2">Предложение!$91:$92</definedName>
    <definedName name="OFFER_TARIFF_A_VOTV_3">Предложение!$130:$131</definedName>
    <definedName name="OFFER_TARIFF_A_VOTV_4">Предложение!$169:$170</definedName>
    <definedName name="OFFER_TARIFF_A_VOTV_5">Предложение!$208:$209</definedName>
    <definedName name="OFFER_TARIFF_B_1">Предложение!$20:$21</definedName>
    <definedName name="OFFER_TARIFF_B_2">Предложение!$61:$62</definedName>
    <definedName name="OFFER_TARIFF_B_3">Предложение!$100:$101</definedName>
    <definedName name="OFFER_TARIFF_B_4">Предложение!$139:$140</definedName>
    <definedName name="OFFER_TARIFF_B_5">Предложение!$178:$179</definedName>
    <definedName name="OFFER_TARIFF_B_COLDVSNA_1">Предложение!$36:$37</definedName>
    <definedName name="OFFER_TARIFF_B_COLDVSNA_2">Предложение!$77:$78</definedName>
    <definedName name="OFFER_TARIFF_B_COLDVSNA_3">Предложение!$116:$117</definedName>
    <definedName name="OFFER_TARIFF_B_COLDVSNA_4">Предложение!$155:$156</definedName>
    <definedName name="OFFER_TARIFF_B_COLDVSNA_5">Предложение!$194:$195</definedName>
    <definedName name="OFFER_TARIFF_B_HOTVSNA_1">Предложение!$46:$47</definedName>
    <definedName name="OFFER_TARIFF_B_HOTVSNA_2">Предложение!$87:$88</definedName>
    <definedName name="OFFER_TARIFF_B_HOTVSNA_3">Предложение!$126:$127</definedName>
    <definedName name="OFFER_TARIFF_B_HOTVSNA_4">Предложение!$165:$166</definedName>
    <definedName name="OFFER_TARIFF_B_HOTVSNA_5">Предложение!$204:$205</definedName>
    <definedName name="OFFER_TARIFF_B_VOTV_1">Предложение!$52:$53</definedName>
    <definedName name="OFFER_TARIFF_B_VOTV_2">Предложение!$93:$94</definedName>
    <definedName name="OFFER_TARIFF_B_VOTV_3">Предложение!$132:$133</definedName>
    <definedName name="OFFER_TARIFF_B_VOTV_4">Предложение!$171:$172</definedName>
    <definedName name="OFFER_TARIFF_B_VOTV_5">Предложение!$210:$211</definedName>
    <definedName name="OFFER_TARIFF_C_1">Предложение!$22:$23</definedName>
    <definedName name="OFFER_TARIFF_C_2">Предложение!$63:$64</definedName>
    <definedName name="OFFER_TARIFF_C_3">Предложение!$102:$103</definedName>
    <definedName name="OFFER_TARIFF_C_4">Предложение!$141:$142</definedName>
    <definedName name="OFFER_TARIFF_C_5">Предложение!$180:$181</definedName>
    <definedName name="OFFER_TARIFF_C_COLDVSNA_1">Предложение!$38:$39</definedName>
    <definedName name="OFFER_TARIFF_C_COLDVSNA_2">Предложение!$79:$80</definedName>
    <definedName name="OFFER_TARIFF_C_COLDVSNA_3">Предложение!$118:$119</definedName>
    <definedName name="OFFER_TARIFF_C_COLDVSNA_4">Предложение!$157:$158</definedName>
    <definedName name="OFFER_TARIFF_C_COLDVSNA_5">Предложение!$196:$197</definedName>
    <definedName name="OFFER_TARIFF_C_HOTVSNA_1">Предложение!$48:$49</definedName>
    <definedName name="OFFER_TARIFF_C_HOTVSNA_2">Предложение!$89:$90</definedName>
    <definedName name="OFFER_TARIFF_C_HOTVSNA_3">Предложение!$128:$129</definedName>
    <definedName name="OFFER_TARIFF_C_HOTVSNA_4">Предложение!$167:$168</definedName>
    <definedName name="OFFER_TARIFF_C_HOTVSNA_5">Предложение!$206:$207</definedName>
    <definedName name="OFFER_TARIFF_C_VOTV_1">Предложение!$54:$55</definedName>
    <definedName name="OFFER_TARIFF_C_VOTV_2">Предложение!$95:$96</definedName>
    <definedName name="OFFER_TARIFF_C_VOTV_3">Предложение!$134:$135</definedName>
    <definedName name="OFFER_TARIFF_C_VOTV_4">Предложение!$173:$174</definedName>
    <definedName name="OFFER_TARIFF_C_VOTV_5">Предложение!$212:$213</definedName>
    <definedName name="OFFER_TARIFF_D_1">Предложение!$24:$25</definedName>
    <definedName name="OFFER_TARIFF_D_2">Предложение!$65:$66</definedName>
    <definedName name="OFFER_TARIFF_D_3">Предложение!$104:$105</definedName>
    <definedName name="OFFER_TARIFF_D_4">Предложение!$143:$144</definedName>
    <definedName name="OFFER_TARIFF_D_5">Предложение!$182:$183</definedName>
    <definedName name="OFFER_TARIFF_D_COLDVSNA_1">Предложение!$40:$41</definedName>
    <definedName name="OFFER_TARIFF_D_COLDVSNA_2">Предложение!$81:$82</definedName>
    <definedName name="OFFER_TARIFF_D_COLDVSNA_3">Предложение!$120:$121</definedName>
    <definedName name="OFFER_TARIFF_D_COLDVSNA_4">Предложение!$159:$160</definedName>
    <definedName name="OFFER_TARIFF_D_COLDVSNA_5">Предложение!$198:$199</definedName>
    <definedName name="OFFER_TARIFF_E_COLDVSNA_1">Предложение!$42:$43</definedName>
    <definedName name="OFFER_TARIFF_E_COLDVSNA_2">Предложение!$83:$84</definedName>
    <definedName name="OFFER_TARIFF_E_COLDVSNA_3">Предложение!$122:$123</definedName>
    <definedName name="OFFER_TARIFF_E_COLDVSNA_4">Предложение!$161:$162</definedName>
    <definedName name="OFFER_TARIFF_E_COLDVSNA_5">Предложение!$200:$201</definedName>
    <definedName name="OFFER_TARIFF_E1_1">Предложение!$26:$27</definedName>
    <definedName name="OFFER_TARIFF_E1_2">Предложение!$67:$68</definedName>
    <definedName name="OFFER_TARIFF_E1_3">Предложение!$106:$107</definedName>
    <definedName name="OFFER_TARIFF_E1_4">Предложение!$145:$146</definedName>
    <definedName name="OFFER_TARIFF_E1_5">Предложение!$184:$185</definedName>
    <definedName name="OFFER_TARIFF_E2_1">Предложение!$28:$29</definedName>
    <definedName name="OFFER_TARIFF_E2_2">Предложение!$69:$70</definedName>
    <definedName name="OFFER_TARIFF_E2_3">Предложение!$108:$109</definedName>
    <definedName name="OFFER_TARIFF_E2_4">Предложение!$147:$148</definedName>
    <definedName name="OFFER_TARIFF_E2_5">Предложение!$186:$187</definedName>
    <definedName name="OFFER_TARIFF_F_1">Предложение!$30:$31</definedName>
    <definedName name="OFFER_TARIFF_F_2">Предложение!$71:$72</definedName>
    <definedName name="OFFER_TARIFF_F_3">Предложение!$110:$111</definedName>
    <definedName name="OFFER_TARIFF_F_4">Предложение!$149:$150</definedName>
    <definedName name="OFFER_TARIFF_F_5">Предложение!$188:$189</definedName>
    <definedName name="OFFER_TARIFF_G_1">Предложение!$32:$33</definedName>
    <definedName name="OFFER_TARIFF_G_2">Предложение!$73:$74</definedName>
    <definedName name="OFFER_TARIFF_G_3">Предложение!$112:$113</definedName>
    <definedName name="OFFER_TARIFF_G_4">Предложение!$151:$152</definedName>
    <definedName name="OFFER_TARIFF_G_5">Предложение!$190:$191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Комментарии!$C$11:$C$16</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CHANGE_INFO">'Сведения об изменении'!$E$13</definedName>
    <definedName name="pIns_Comm">Комментарии!$E$16</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HOTVSNA">'ГВС. Т-гор.вода'!$T$53</definedName>
    <definedName name="pIns_PT_VTAR_A_VOTV">'ВО. Т-во'!$T$53</definedName>
    <definedName name="pIns_PT_VTAR_B">'ТС. Т-ТЭ | ТСО'!$T$57</definedName>
    <definedName name="pIns_PT_VTAR_B_COLDVSNA">'ХВС. Т-тех'!$T$53</definedName>
    <definedName name="pIns_PT_VTAR_B_HOTVSNA">'ГВС. Т-транс'!$T$53</definedName>
    <definedName name="pIns_PT_VTAR_B_VOTV">'ВО. Т-транс'!$T$53</definedName>
    <definedName name="pIns_PT_VTAR_C">'ТС. Т-ТН'!$T$57</definedName>
    <definedName name="pIns_PT_VTAR_C_COLDVSNA">'ХВС. Т-транс'!$T$53</definedName>
    <definedName name="pIns_PT_VTAR_C_HOTVSNA">'ГВС. Т-подкл'!$T$63</definedName>
    <definedName name="pIns_PT_VTAR_C_VOTV">'ВО. Т-подкл'!$T$63</definedName>
    <definedName name="pIns_PT_VTAR_D">'ТС. Т-гор.вода'!$V$65</definedName>
    <definedName name="pIns_PT_VTAR_D_COLDVSNA">'ХВС. Т-подвоз'!$T$53</definedName>
    <definedName name="pIns_PT_VTAR_E_COLDVSNA">'ХВС. Т-подкл'!$T$63</definedName>
    <definedName name="pIns_PT_VTAR_E1">'ТС. Т-передача ТЭ'!$T$57</definedName>
    <definedName name="pIns_PT_VTAR_E2">'ТС. Т-передача ТН'!$T$57</definedName>
    <definedName name="pIns_PT_VTAR_F">'ТС. Резерв мощности'!$T$57</definedName>
    <definedName name="pIns_PT_VTAR_G">'ТС. Т-подкл'!$T$62</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Ограничения!$F$36:$M$36</definedName>
    <definedName name="Q_LIMIT_p4">Ограничения!$F$38:$M$38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EESTR_LINK_RANGE">REESTR_LINK!$A$2:$C$3</definedName>
    <definedName name="REESTR_VT_RANGE">REESTR_VT!$A$2:$B$11</definedName>
    <definedName name="REGION">TEHSHEET!$A$2:$A$87</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Титульный!$F$27</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Титульный!$F$26</definedName>
    <definedName name="TITLE_NAME_ROIV">Титульный!#REF!</definedName>
    <definedName name="TITLE_NUMBER_PR">Титульный!$F$22</definedName>
    <definedName name="TITLE_NUMBER_PR_CHANGE">Титульный!$F$28</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 name="REESTR_IP_RANGE">REESTR_IP!$A$2:$D$6</definedName>
    <definedName name="VD_LIST">REESTR_VED!$A$2:$B$8</definedName>
    <definedName name="VD_ID_LIST">REESTR_VED!$A$2:$A$8</definedName>
    <definedName name="VD_NAME_LIST">REESTR_VED!$B$2:$B$8</definedName>
    <definedName name="et_B_FHD20_1">et_union_hor!$103:$111</definedName>
    <definedName name="DESCRIPTION_TERRITORY">REESTR_DS!$B$2</definedName>
    <definedName name="Q_PH_diff_66">'Потребительские характеристики'!$K$9:$L$11</definedName>
    <definedName name="Q_TP_diff_66">ТП!$I$9:$I$11</definedName>
    <definedName name="Q_Limit_diff_66">Ограничения!$K$26:$L$28</definedName>
    <definedName name="B_FHD_diff_66">'Показатели ФХД'!$J$25:$J$27</definedName>
    <definedName name="B_FHD_TKO_diff_66">'ТКО. Показатели ФХД'!$J$10:$J$12</definedName>
    <definedName name="B_FHD_TKO_TRANS_diff_66">'ТКО. Транс. Показатели ФХД'!$J$10:$J$12</definedName>
    <definedName name="B_FHD20_diff_66">'Показатели ФХД &gt;20%'!$H$23:$R$25</definedName>
    <definedName name="B_KNE_diff_66">'Показатели КНЭ'!$K$7:$L$9</definedName>
    <definedName name="_xlnm._FilterDatabase" localSheetId="6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<sst xmlns="http://schemas.openxmlformats.org/spreadsheetml/2006/main" count="13344" uniqueCount="3499">
  <si>
    <t xml:space="preserve"> (требуется обновление)</t>
  </si>
  <si>
    <t>Код отчёта: PP108.OPEN.INFO.BALANCE.COLDVSNA.EIAS</t>
  </si>
  <si>
    <t>Версия отчёта: 1.0.2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</si>
  <si>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</si>
  <si>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</si>
  <si>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</si>
  <si>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</si>
  <si>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</si>
  <si>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</si>
  <si>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</si>
  <si>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</si>
  <si>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</si>
  <si>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</si>
  <si>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</si>
  <si>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</si>
  <si>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</si>
  <si>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</si>
  <si>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</si>
  <si>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</si>
  <si>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</si>
  <si>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</si>
  <si>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</si>
  <si>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</si>
  <si>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</si>
  <si>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</si>
  <si>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</si>
  <si>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</si>
  <si>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</si>
  <si>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</si>
  <si>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</si>
  <si>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</si>
  <si>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</si>
  <si>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</si>
  <si>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</si>
  <si>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</si>
  <si>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04.07.2023</t>
  </si>
  <si>
    <t>Отображается, если тип отчёта - изменение</t>
  </si>
  <si>
    <t>Дата периода регулирования, с которой вводятся изменения в тарифы</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</si>
  <si>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</si>
  <si>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</si>
  <si>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</si>
  <si>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</si>
  <si>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</si>
  <si>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Дата принятия решения об изменении тарифов</t>
  </si>
  <si>
    <t>Номер принятия решения об изменении тарифов</t>
  </si>
  <si>
    <t>Наименование ЮЛ / ИП</t>
  </si>
  <si>
    <t>ПАО "ТГК-2"</t>
  </si>
  <si>
    <t>Наименование (описание) обособленного подразделения</t>
  </si>
  <si>
    <t>ИНН</t>
  </si>
  <si>
    <t>7606053324</t>
  </si>
  <si>
    <t>КПП</t>
  </si>
  <si>
    <t>440132002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</si>
  <si>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</si>
  <si>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</si>
  <si>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</si>
  <si>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</si>
  <si>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</si>
  <si>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</si>
  <si>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</si>
  <si>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</si>
  <si>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</si>
  <si>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</si>
  <si>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</si>
  <si>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</si>
  <si>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</si>
  <si>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</si>
  <si>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</si>
  <si>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</si>
  <si>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</si>
  <si>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</si>
  <si>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</si>
  <si>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</si>
  <si>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</si>
  <si>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</si>
  <si>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</si>
  <si>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Пурик Ирина Сергеевна</t>
  </si>
  <si>
    <t>Должность</t>
  </si>
  <si>
    <t>Ведущий экономист по планированию</t>
  </si>
  <si>
    <t>Контактный телефон</t>
  </si>
  <si>
    <t>+7 (4942) 649-056</t>
  </si>
  <si>
    <t>E-mail</t>
  </si>
  <si>
    <t>PurikIS@tgc-2.ru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</si>
  <si>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</si>
  <si>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</si>
  <si>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</si>
  <si>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</si>
  <si>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</si>
  <si>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</si>
  <si>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</si>
  <si>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</si>
  <si>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</si>
  <si>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</si>
  <si>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</si>
  <si>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</si>
  <si>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</si>
  <si>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</si>
  <si>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</si>
  <si>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</si>
  <si>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</si>
  <si>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129</t>
  </si>
  <si>
    <t>34701000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</si>
  <si>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</si>
  <si>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</si>
  <si>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</si>
  <si>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</si>
  <si>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</si>
  <si>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</si>
  <si>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</si>
  <si>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</si>
  <si>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</si>
  <si>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</si>
  <si>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</si>
  <si>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</si>
  <si>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</si>
  <si>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</si>
  <si>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</si>
  <si>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холодного водоснабжения Костромской ТЭЦ-1</t>
  </si>
  <si>
    <t>diff_1</t>
  </si>
  <si>
    <t>4189672</t>
  </si>
  <si>
    <t>a</t>
  </si>
  <si>
    <t>×</t>
  </si>
  <si>
    <t>система холодного водоснабжения Костромской ТЭЦ-2</t>
  </si>
  <si>
    <t>diff_66</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</si>
  <si>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</si>
  <si>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</si>
  <si>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</si>
  <si>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</si>
  <si>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</si>
  <si>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</si>
  <si>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</si>
  <si>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</si>
  <si>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</si>
  <si>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</si>
  <si>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</si>
  <si>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</si>
  <si>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</si>
  <si>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</si>
  <si>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</si>
  <si>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</si>
  <si>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</si>
  <si>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</si>
  <si>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</si>
  <si>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</si>
  <si>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</si>
  <si>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</si>
  <si>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</si>
  <si>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</si>
  <si>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</si>
  <si>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</si>
  <si>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</si>
  <si>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</si>
  <si>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</si>
  <si>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</si>
  <si>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</si>
  <si>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</si>
  <si>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</si>
  <si>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</si>
  <si>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</si>
  <si>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</si>
  <si>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</si>
  <si>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</si>
  <si>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</si>
  <si>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</si>
  <si>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</si>
  <si>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</si>
  <si>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</si>
  <si>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</si>
  <si>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</si>
  <si>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</si>
  <si>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</si>
  <si>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</si>
  <si>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</si>
  <si>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</si>
  <si>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</si>
  <si>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</si>
  <si>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</si>
  <si>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</si>
  <si>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</si>
  <si>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</si>
  <si>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</si>
  <si>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</si>
  <si>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</si>
  <si>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</si>
  <si>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</si>
  <si>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</si>
  <si>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</si>
  <si>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</si>
  <si>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</si>
  <si>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</si>
  <si>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</si>
  <si>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</si>
  <si>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</si>
  <si>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</si>
  <si>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</si>
  <si>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</si>
  <si>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</si>
  <si>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</si>
  <si>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</si>
  <si>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</si>
  <si>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</si>
  <si>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</si>
  <si>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</si>
  <si>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</si>
  <si>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</si>
  <si>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</si>
  <si>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</si>
  <si>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</si>
  <si>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</si>
  <si>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</si>
  <si>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</si>
  <si>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</si>
  <si>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</si>
  <si>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</si>
  <si>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</si>
  <si>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</si>
  <si>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</si>
  <si>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</si>
  <si>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</si>
  <si>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</si>
  <si>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</si>
  <si>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</si>
  <si>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</si>
  <si>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</si>
  <si>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</si>
  <si>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</si>
  <si>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</si>
  <si>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</si>
  <si>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</si>
  <si>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</si>
  <si>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</si>
  <si>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</si>
  <si>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</si>
  <si>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</si>
  <si>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</si>
  <si>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</si>
  <si>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</si>
  <si>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</si>
  <si>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</si>
  <si>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</si>
  <si>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</si>
  <si>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</si>
  <si>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</si>
  <si>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</si>
  <si>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</si>
  <si>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</si>
  <si>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</si>
  <si>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</si>
  <si>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</si>
  <si>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</si>
  <si>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</si>
  <si>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</si>
  <si>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</si>
  <si>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</si>
  <si>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</si>
  <si>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</si>
  <si>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</si>
  <si>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</si>
  <si>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</si>
  <si>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</si>
  <si>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</si>
  <si>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</si>
  <si>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</si>
  <si>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</si>
  <si>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</si>
  <si>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</si>
  <si>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</si>
  <si>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</si>
  <si>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</si>
  <si>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</si>
  <si>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</si>
  <si>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</si>
  <si>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</si>
  <si>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</si>
  <si>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</si>
  <si>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</si>
  <si>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</si>
  <si>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</si>
  <si>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</si>
  <si>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</si>
  <si>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</si>
  <si>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</si>
  <si>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</si>
  <si>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</si>
  <si>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</si>
  <si>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</si>
  <si>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</si>
  <si>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</si>
  <si>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</si>
  <si>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</si>
  <si>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</si>
  <si>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</si>
  <si>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</si>
  <si>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</si>
  <si>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</si>
  <si>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</si>
  <si>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</si>
  <si>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</si>
  <si>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</si>
  <si>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</si>
  <si>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</si>
  <si>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</si>
  <si>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</si>
  <si>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</si>
  <si>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</si>
  <si>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</si>
  <si>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</si>
  <si>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</si>
  <si>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</si>
  <si>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</si>
  <si>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</si>
  <si>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</si>
  <si>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</si>
  <si>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</si>
  <si>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</si>
  <si>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</si>
  <si>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</si>
  <si>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</si>
  <si>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</si>
  <si>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</si>
  <si>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</si>
  <si>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</si>
  <si>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</si>
  <si>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</si>
  <si>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</si>
  <si>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</si>
  <si>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</si>
  <si>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</si>
  <si>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</si>
  <si>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</si>
  <si>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</si>
  <si>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</si>
  <si>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</si>
  <si>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</si>
  <si>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</si>
  <si>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</si>
  <si>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</si>
  <si>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</si>
  <si>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</si>
  <si>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</si>
  <si>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</si>
  <si>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</si>
  <si>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</si>
  <si>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</si>
  <si>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</si>
  <si>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</si>
  <si>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</si>
  <si>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</si>
  <si>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</si>
  <si>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</si>
  <si>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</si>
  <si>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</si>
  <si>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</si>
  <si>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</si>
  <si>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</si>
  <si>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</si>
  <si>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</si>
  <si>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</si>
  <si>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</si>
  <si>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</si>
  <si>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</si>
  <si>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</si>
  <si>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</si>
  <si>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</si>
  <si>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</si>
  <si>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</si>
  <si>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</si>
  <si>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</si>
  <si>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</si>
  <si>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</si>
  <si>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</si>
  <si>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</si>
  <si>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</si>
  <si>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</si>
  <si>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</si>
  <si>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</si>
  <si>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</si>
  <si>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</si>
  <si>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</si>
  <si>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</si>
  <si>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</si>
  <si>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</si>
  <si>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</si>
  <si>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</si>
  <si>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</si>
  <si>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</si>
  <si>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</si>
  <si>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</si>
  <si>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</si>
  <si>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et_CHANGE_INFO</t>
  </si>
  <si>
    <t>et_Comm</t>
  </si>
  <si>
    <t>et_TERRITORY_AREA, 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</si>
  <si>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</si>
  <si>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</si>
  <si>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</si>
  <si>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</si>
  <si>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</si>
  <si>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</si>
  <si>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</si>
  <si>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</si>
  <si>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</si>
  <si>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</si>
  <si>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</si>
  <si>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</si>
  <si>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</si>
  <si>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</si>
  <si>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</si>
  <si>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</si>
  <si>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</si>
  <si>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</si>
  <si>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</si>
  <si>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</si>
  <si>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</si>
  <si>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</si>
  <si>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</si>
  <si>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NOTSHOW</t>
  </si>
  <si>
    <t>Территория оказания услуг</t>
  </si>
  <si>
    <t>Централизованная система</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</si>
  <si>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</si>
  <si>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</si>
  <si>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</si>
  <si>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отсутствует</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</si>
  <si>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</si>
  <si>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</si>
  <si>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</si>
  <si>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et_B_FHD20_1_HEAT</t>
  </si>
  <si>
    <t>et_B_FHD20_2, _3, _4</t>
  </si>
  <si>
    <t>Итого по поставщику, в том числе</t>
  </si>
  <si>
    <t>х</t>
  </si>
  <si>
    <t>1.1</t>
  </si>
  <si>
    <t>Добавить товар/услугу</t>
  </si>
  <si>
    <t>Добавить способ</t>
  </si>
  <si>
    <t>et_DIFFERENTIATION_TARIFF(_etc)</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</si>
  <si>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</si>
  <si>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</si>
  <si>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</si>
  <si>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</si>
  <si>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et_DIFFERENTIATION_TARIFF_NOT_HEAT(_etc)</t>
  </si>
  <si>
    <t>et_DIFFERENTIATION_TKO(_etc)</t>
  </si>
  <si>
    <t>Добавить класс ТКО</t>
  </si>
  <si>
    <t>Добавить вид ТКО</t>
  </si>
  <si>
    <t>Добавить технологическую особенность</t>
  </si>
  <si>
    <t>1.1.1</t>
  </si>
  <si>
    <t>Добавить описание формы публичного договора</t>
  </si>
  <si>
    <t>1.2</t>
  </si>
  <si>
    <t>1.2.1</t>
  </si>
  <si>
    <t>Добавить описание договора</t>
  </si>
  <si>
    <t>1.3</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</si>
  <si>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</si>
  <si>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</si>
  <si>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</si>
  <si>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2.0</t>
  </si>
  <si>
    <t>Добавить сведения</t>
  </si>
  <si>
    <t>Сведения об условиях договоров на оказание услуг по транспортированию твердых коммунальных отходов</t>
  </si>
  <si>
    <t>2.1</t>
  </si>
  <si>
    <t xml:space="preserve"> Форма договора на оказание услуг</t>
  </si>
  <si>
    <t>2.1.1</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</si>
  <si>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</si>
  <si>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</si>
  <si>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</si>
  <si>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</si>
  <si>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</si>
  <si>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</si>
  <si>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</si>
  <si>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</si>
  <si>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</si>
  <si>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</si>
  <si>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</si>
  <si>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</si>
  <si>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</si>
  <si>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</si>
  <si>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</si>
  <si>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</si>
  <si>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</si>
  <si>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</si>
  <si>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</si>
  <si>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</si>
  <si>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</si>
  <si>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</si>
  <si>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</si>
  <si>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</si>
  <si>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</si>
  <si>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</si>
  <si>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</si>
  <si>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</si>
  <si>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</si>
  <si>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</si>
  <si>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</si>
  <si>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</si>
  <si>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</si>
  <si>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</si>
  <si>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</si>
  <si>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</si>
  <si>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</si>
  <si>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</si>
  <si>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</si>
  <si>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</si>
  <si>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</si>
  <si>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</si>
  <si>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</si>
  <si>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</si>
  <si>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</si>
  <si>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</si>
  <si>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</si>
  <si>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</si>
  <si>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</si>
  <si>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</si>
  <si>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</si>
  <si>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&lt;1&gt;</t>
  </si>
  <si>
    <t>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</si>
  <si>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</si>
  <si>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t>
  </si>
  <si>
    <t>По этой форме раскрывается информация о расчетной величине тарифов в сфере теплоснабжения на товары (услуги) в случаях, указанных в частях 12.1 - 12.4 статьи 10 Федерального закона "О теплоснабжении"</t>
  </si>
  <si>
    <t>В случае представления регулируемой организацией по своей инициативе в исполнительный орган субъекта Российской Федерации в области государственного регулирования цен (тарифов) дополнительных документов и материалов к предложению об установлении цен (тарифов) в сфере теплоснабжения указанная в абзаце первом настоящего пункта информация в части, содержащейся в таких дополнительных документах и материалах, раскрывается регулируемой организацией в течение 7 дней со дня их представления</t>
  </si>
  <si>
    <t>Период действия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</si>
  <si>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</si>
  <si>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</si>
  <si>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</si>
  <si>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При размещении информации по данной форме дополнительно указываются: наименование органа регулирования тарифов, принявшего решение об утверждении установлении цены (тарифа) в сфере теплоснабжения, реквизиты (дата и номер) решения документа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</si>
  <si>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а также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</si>
  <si>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</si>
  <si>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</si>
  <si>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</si>
  <si>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</si>
  <si>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</si>
  <si>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</si>
  <si>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</si>
  <si>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</si>
  <si>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</si>
  <si>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</si>
  <si>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</si>
  <si>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</si>
  <si>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</si>
  <si>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</si>
  <si>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</si>
  <si>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t>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</si>
  <si>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</si>
  <si>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</si>
  <si>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</si>
  <si>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</si>
  <si>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</si>
  <si>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</si>
  <si>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</si>
  <si>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</si>
  <si>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</si>
  <si>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</si>
  <si>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</si>
  <si>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</si>
  <si>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</si>
  <si>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</si>
  <si>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</si>
  <si>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</si>
  <si>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</si>
  <si>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</si>
  <si>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При размещении информации по данной форме дополнительно указываются: наименование органа регулирования тарифов,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</si>
  <si>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 190-ФЗ.</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</si>
  <si>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</si>
  <si>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</si>
  <si>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</si>
  <si>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</si>
  <si>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</si>
  <si>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</si>
  <si>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</si>
  <si>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</si>
  <si>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</si>
  <si>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</si>
  <si>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</si>
  <si>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</si>
  <si>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</si>
  <si>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</si>
  <si>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</si>
  <si>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</si>
  <si>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</si>
  <si>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</si>
  <si>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</si>
  <si>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</si>
  <si>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</si>
  <si>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</si>
  <si>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</si>
  <si>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</si>
  <si>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</si>
  <si>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</si>
  <si>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</si>
  <si>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</si>
  <si>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</si>
  <si>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</si>
  <si>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</si>
  <si>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</si>
  <si>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</si>
  <si>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</si>
  <si>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</si>
  <si>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</si>
  <si>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</si>
  <si>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</si>
  <si>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</si>
  <si>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HEAT</t>
  </si>
  <si>
    <t>COLDVSNA/HOTVSNA</t>
  </si>
  <si>
    <t>VOTV</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</si>
  <si>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</si>
  <si>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</si>
  <si>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</si>
  <si>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</si>
  <si>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</si>
  <si>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</si>
  <si>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</si>
  <si>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</si>
  <si>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</si>
  <si>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</si>
  <si>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</si>
  <si>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</si>
  <si>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</si>
  <si>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</si>
  <si>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</si>
  <si>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</si>
  <si>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</si>
  <si>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</si>
  <si>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</si>
  <si>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</si>
  <si>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</si>
  <si>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</si>
  <si>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</si>
  <si>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</si>
  <si>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</si>
  <si>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</si>
  <si>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</si>
  <si>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</si>
  <si>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</si>
  <si>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</si>
  <si>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</si>
  <si>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</si>
  <si>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</si>
  <si>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Гкал/ч</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</si>
  <si>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</si>
  <si>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</si>
  <si>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</si>
  <si>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</si>
  <si>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</si>
  <si>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</si>
  <si>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</si>
  <si>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</si>
  <si>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</si>
  <si>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</si>
  <si>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</si>
  <si>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</si>
  <si>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</si>
  <si>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</si>
  <si>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</si>
  <si>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</si>
  <si>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</si>
  <si>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</si>
  <si>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</si>
  <si>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</si>
  <si>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</si>
  <si>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</si>
  <si>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</si>
  <si>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</si>
  <si>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</si>
  <si>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</si>
  <si>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</si>
  <si>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</si>
  <si>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</si>
  <si>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</si>
  <si>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</si>
  <si>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</si>
  <si>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</si>
  <si>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</si>
  <si>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</si>
  <si>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</si>
  <si>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</si>
  <si>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</si>
  <si>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</si>
  <si>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</si>
  <si>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</si>
  <si>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</si>
  <si>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</si>
  <si>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</si>
  <si>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</si>
  <si>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</si>
  <si>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</si>
  <si>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</si>
  <si>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</si>
  <si>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</si>
  <si>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</si>
  <si>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</si>
  <si>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</si>
  <si>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</si>
  <si>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</si>
  <si>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</si>
  <si>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</si>
  <si>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</si>
  <si>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</si>
  <si>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</si>
  <si>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</si>
  <si>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</si>
  <si>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</si>
  <si>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</si>
  <si>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</si>
  <si>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</si>
  <si>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</si>
  <si>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</si>
  <si>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</si>
  <si>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</si>
  <si>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</si>
  <si>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</si>
  <si>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</si>
  <si>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</si>
  <si>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</si>
  <si>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</si>
  <si>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</si>
  <si>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</si>
  <si>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</si>
  <si>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</si>
  <si>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</si>
  <si>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</si>
  <si>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</si>
  <si>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</si>
  <si>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</si>
  <si>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</si>
  <si>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</si>
  <si>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</si>
  <si>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</si>
  <si>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</si>
  <si>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</si>
  <si>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</si>
  <si>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</si>
  <si>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</si>
  <si>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</si>
  <si>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</si>
  <si>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</si>
  <si>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</si>
  <si>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</si>
  <si>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</si>
  <si>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</si>
  <si>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</si>
  <si>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</si>
  <si>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</si>
  <si>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</si>
  <si>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</si>
  <si>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</si>
  <si>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</si>
  <si>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</si>
  <si>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</si>
  <si>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</si>
  <si>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</si>
  <si>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</si>
  <si>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</si>
  <si>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</si>
  <si>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</si>
  <si>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</si>
  <si>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</si>
  <si>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</si>
  <si>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</si>
  <si>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</si>
  <si>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</si>
  <si>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</si>
  <si>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</si>
  <si>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</si>
  <si>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</si>
  <si>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</si>
  <si>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</si>
  <si>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</si>
  <si>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</si>
  <si>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</si>
  <si>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</si>
  <si>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</si>
  <si>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</si>
  <si>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</si>
  <si>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</si>
  <si>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</si>
  <si>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</si>
  <si>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</si>
  <si>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</si>
  <si>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</si>
  <si>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</si>
  <si>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</si>
  <si>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</si>
  <si>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</si>
  <si>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</si>
  <si>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</si>
  <si>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</si>
  <si>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</si>
  <si>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</si>
  <si>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</si>
  <si>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</si>
  <si>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</si>
  <si>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</si>
  <si>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</si>
  <si>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</si>
  <si>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</si>
  <si>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</si>
  <si>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</si>
  <si>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</si>
  <si>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</si>
  <si>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</si>
  <si>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</si>
  <si>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</si>
  <si>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</si>
  <si>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</si>
  <si>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</si>
  <si>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</si>
  <si>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</si>
  <si>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</si>
  <si>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</si>
  <si>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</si>
  <si>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</si>
  <si>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</si>
  <si>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</si>
  <si>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</si>
  <si>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</si>
  <si>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</si>
  <si>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</si>
  <si>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</si>
  <si>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</si>
  <si>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</si>
  <si>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</si>
  <si>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</si>
  <si>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</si>
  <si>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</si>
  <si>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</si>
  <si>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</si>
  <si>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</si>
  <si>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</si>
  <si>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</si>
  <si>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</si>
  <si>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</si>
  <si>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</si>
  <si>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</si>
  <si>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</si>
  <si>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</si>
  <si>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</si>
  <si>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</si>
  <si>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</si>
  <si>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</si>
  <si>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</si>
  <si>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</si>
  <si>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</si>
  <si>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</si>
  <si>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</si>
  <si>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</si>
  <si>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</si>
  <si>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</si>
  <si>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</si>
  <si>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</si>
  <si>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</si>
  <si>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</si>
  <si>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</si>
  <si>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</si>
  <si>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</si>
  <si>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тыс. Гкал</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</si>
  <si>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</si>
  <si>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</si>
  <si>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</si>
  <si>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</si>
  <si>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Еврейская автономная область</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</si>
  <si>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</si>
  <si>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</si>
  <si>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</si>
  <si>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</si>
  <si>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</si>
  <si>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</si>
  <si>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</si>
  <si>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</si>
  <si>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Забайкальский край</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</si>
  <si>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</si>
  <si>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</si>
  <si>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</si>
  <si>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</si>
  <si>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</si>
  <si>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</si>
  <si>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</si>
  <si>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</si>
  <si>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</si>
  <si>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</si>
  <si>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Ивановская область</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</si>
  <si>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</si>
  <si>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</si>
  <si>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</si>
  <si>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</si>
  <si>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</si>
  <si>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</si>
  <si>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</si>
  <si>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</si>
  <si>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</si>
  <si>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</si>
  <si>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</si>
  <si>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</si>
  <si>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</si>
  <si>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Иркутская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</si>
  <si>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</si>
  <si>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</si>
  <si>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</si>
  <si>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</si>
  <si>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</si>
  <si>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</si>
  <si>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</si>
  <si>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</si>
  <si>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</si>
  <si>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</si>
  <si>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</si>
  <si>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Кабардино-Балкарская республика</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</si>
  <si>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</si>
  <si>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</si>
  <si>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</si>
  <si>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</si>
  <si>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</si>
  <si>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</si>
  <si>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</si>
  <si>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</si>
  <si>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Калининградская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</si>
  <si>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</si>
  <si>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</si>
  <si>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</si>
  <si>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</si>
  <si>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</si>
  <si>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</si>
  <si>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</si>
  <si>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</si>
  <si>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</si>
  <si>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Калужская область</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</si>
  <si>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</si>
  <si>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</si>
  <si>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</si>
  <si>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</si>
  <si>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</si>
  <si>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Камчатский край</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</si>
  <si>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</si>
  <si>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</si>
  <si>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</si>
  <si>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</si>
  <si>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</si>
  <si>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</si>
  <si>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Карачаево-Черкесская республика</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</si>
  <si>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</si>
  <si>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</si>
  <si>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</si>
  <si>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</si>
  <si>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</si>
  <si>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</si>
  <si>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</si>
  <si>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Кемеровская область</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</si>
  <si>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</si>
  <si>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</si>
  <si>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</si>
  <si>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</si>
  <si>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</si>
  <si>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Кировская область</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</si>
  <si>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</si>
  <si>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</si>
  <si>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</si>
  <si>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</si>
  <si>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</si>
  <si>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</si>
  <si>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</si>
  <si>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Краснодарский край</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</si>
  <si>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</si>
  <si>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</si>
  <si>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</si>
  <si>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</si>
  <si>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</si>
  <si>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</si>
  <si>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Красноярский край</t>
  </si>
  <si>
    <t>Организация</t>
  </si>
  <si>
    <t>25.07.2023 22:51:32</t>
  </si>
  <si>
    <t>27</t>
  </si>
  <si>
    <t>Курганская область</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</si>
  <si>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</si>
  <si>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</si>
  <si>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Курская область</t>
  </si>
  <si>
    <t>29</t>
  </si>
  <si>
    <t>население</t>
  </si>
  <si>
    <t xml:space="preserve">  Иные бюджетные средства</t>
  </si>
  <si>
    <t>Ленинградская область</t>
  </si>
  <si>
    <t>Виды деятельности</t>
  </si>
  <si>
    <t>https://appsrv.regportal-tariff.ru/procwsxls/</t>
  </si>
  <si>
    <t>30</t>
  </si>
  <si>
    <t>Липецкая область</t>
  </si>
  <si>
    <t>31</t>
  </si>
  <si>
    <t>Магаданская область</t>
  </si>
  <si>
    <t>32</t>
  </si>
  <si>
    <t>Московская область</t>
  </si>
  <si>
    <t>33</t>
  </si>
  <si>
    <t>PT_SCHEME_LIST</t>
  </si>
  <si>
    <t xml:space="preserve">  Доход от взимания платы за нарушение нормативов по объему и (или) составу сточных вод</t>
  </si>
  <si>
    <t>Мурманская область</t>
  </si>
  <si>
    <t>TEMPLATE_SPHERE</t>
  </si>
  <si>
    <t>COLDVSNA</t>
  </si>
  <si>
    <t>34</t>
  </si>
  <si>
    <t xml:space="preserve">  Доход от взимания платы за негативное воздействие на работу централизованной системы водоотведения</t>
  </si>
  <si>
    <t>Ненецкий автономный округ</t>
  </si>
  <si>
    <t>теплоснабжения</t>
  </si>
  <si>
    <t>теплоснабжение</t>
  </si>
  <si>
    <t>35</t>
  </si>
  <si>
    <t>Нижегородская область</t>
  </si>
  <si>
    <t>холодного водоснабжения</t>
  </si>
  <si>
    <t>холодное водоснабжение</t>
  </si>
  <si>
    <t>36</t>
  </si>
  <si>
    <t>HEAT_FIN_SRC_VLD_LIST</t>
  </si>
  <si>
    <t>VSNA_FIN_SRC_VLD_LIST</t>
  </si>
  <si>
    <t>VOTV_FIN_SRC_VLD_LIST</t>
  </si>
  <si>
    <t>OTKO_FIN_SRC_VLD_LIST</t>
  </si>
  <si>
    <t>Новгородская область</t>
  </si>
  <si>
    <t>водоотведения</t>
  </si>
  <si>
    <t>водоотведение</t>
  </si>
  <si>
    <t>37</t>
  </si>
  <si>
    <t>Прибыль направляемая на инвестиции</t>
  </si>
  <si>
    <t>Нормативная прибыль</t>
  </si>
  <si>
    <t>Новосибирская область</t>
  </si>
  <si>
    <t>горячего водоснабжения</t>
  </si>
  <si>
    <t>HOTVSNA</t>
  </si>
  <si>
    <t>горячее водоснабжение</t>
  </si>
  <si>
    <t>38</t>
  </si>
  <si>
    <t>Амортизационные отчисления с выделением результатов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</si>
  <si>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</si>
  <si>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Амортизационные отчисления</t>
  </si>
  <si>
    <t>Омская область</t>
  </si>
  <si>
    <t>обращения с твердыми коммунальными отходами</t>
  </si>
  <si>
    <t>TKO</t>
  </si>
  <si>
    <t>39</t>
  </si>
  <si>
    <t>PT_TN_LIST</t>
  </si>
  <si>
    <t>Прочие амортизационные отчисления</t>
  </si>
  <si>
    <t>Амортизационные отчисления за исключением переоценки основных средств и нематериальных активов</t>
  </si>
  <si>
    <t>Кредиты</t>
  </si>
  <si>
    <t>Оренбургская область</t>
  </si>
  <si>
    <t>40</t>
  </si>
  <si>
    <t>Прочие собственные средства</t>
  </si>
  <si>
    <t>Амортизационные отчисления в результате переоценки основных средств и нематериальных активов</t>
  </si>
  <si>
    <t>Займы, предоставленные Фондом ЖКХ за счет средств ФНБ</t>
  </si>
  <si>
    <t>Орловская область</t>
  </si>
  <si>
    <t>41</t>
  </si>
  <si>
    <t>За счет платы за технологическое присоединение</t>
  </si>
  <si>
    <t>Прочие займы</t>
  </si>
  <si>
    <t>Пензенская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</si>
  <si>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</si>
  <si>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</si>
  <si>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</si>
  <si>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</si>
  <si>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</si>
  <si>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</si>
  <si>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Пермский край</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</si>
  <si>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</si>
  <si>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</si>
  <si>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</si>
  <si>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</si>
  <si>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</si>
  <si>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</si>
  <si>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</si>
  <si>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Средства, полученные за счет платы за подключение (технологическое присоединение)</t>
  </si>
  <si>
    <t>Бюджет субъекта РФ</t>
  </si>
  <si>
    <t>Приморский край</t>
  </si>
  <si>
    <t>O</t>
  </si>
  <si>
    <t>44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</si>
  <si>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</si>
  <si>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Бюджет муниципального образования</t>
  </si>
  <si>
    <t>Псковская область</t>
  </si>
  <si>
    <t>Q</t>
  </si>
  <si>
    <t>45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</si>
  <si>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</si>
  <si>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Лизинг</t>
  </si>
  <si>
    <t>Республика Адыгея</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</si>
  <si>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</si>
  <si>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</si>
  <si>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</si>
  <si>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</si>
  <si>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Прочие</t>
  </si>
  <si>
    <t>Республика Алтай</t>
  </si>
  <si>
    <t>TERMS</t>
  </si>
  <si>
    <t>T</t>
  </si>
  <si>
    <t>47</t>
  </si>
  <si>
    <t>Прочие привлеченные средства</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</si>
  <si>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</si>
  <si>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Республика Башкортостан</t>
  </si>
  <si>
    <t>INVEST</t>
  </si>
  <si>
    <t>I</t>
  </si>
  <si>
    <t>48</t>
  </si>
  <si>
    <t>Экономия средств, достигнутая регулируемой организацией в результате снижения расходов</t>
  </si>
  <si>
    <t>Республика Бурятия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</si>
  <si>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</si>
  <si>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</si>
  <si>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</si>
  <si>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</si>
  <si>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Дагестан</t>
  </si>
  <si>
    <t>PRICE</t>
  </si>
  <si>
    <t>P</t>
  </si>
  <si>
    <t>50</t>
  </si>
  <si>
    <t>Республика Ингушетия</t>
  </si>
  <si>
    <t>ROIV</t>
  </si>
  <si>
    <t>Показатели, подлежащие раскрытию органами регулирования</t>
  </si>
  <si>
    <t>51</t>
  </si>
  <si>
    <t>Республика Калмыкия</t>
  </si>
  <si>
    <t>52</t>
  </si>
  <si>
    <t>PT_NETS_LIST</t>
  </si>
  <si>
    <t>Республика Карелия</t>
  </si>
  <si>
    <t>53</t>
  </si>
  <si>
    <t>Республика Коми</t>
  </si>
  <si>
    <t>TERRITORY_ID</t>
  </si>
  <si>
    <t>начинать только с 2, остальное по умолчанию</t>
  </si>
  <si>
    <t>54</t>
  </si>
  <si>
    <t>Республика Крым</t>
  </si>
  <si>
    <t>DIFFERENTIATION_ID</t>
  </si>
  <si>
    <t>55</t>
  </si>
  <si>
    <t>Республика Марий Эл</t>
  </si>
  <si>
    <t>IP_ID</t>
  </si>
  <si>
    <t>56</t>
  </si>
  <si>
    <t>Республика Мордовия</t>
  </si>
  <si>
    <t>начинать только с 30, остальное по умолчанию</t>
  </si>
  <si>
    <t>57</t>
  </si>
  <si>
    <t>PT_DIAMETERS_LIST</t>
  </si>
  <si>
    <t>Республика Саха (Якутия)</t>
  </si>
  <si>
    <t>VDET_ID</t>
  </si>
  <si>
    <t>58</t>
  </si>
  <si>
    <t>Республика Северная Осетия-Алания</t>
  </si>
  <si>
    <t>NTAR_ID</t>
  </si>
  <si>
    <t>59</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</si>
  <si>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</si>
  <si>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Республика Татарстан</t>
  </si>
  <si>
    <t>Средства, полученные регулируемой организацией в виде платы за негативное воздействие на работу централизованной системы водоотведения</t>
  </si>
  <si>
    <t>Республика Тыва</t>
  </si>
  <si>
    <t>CS_ID</t>
  </si>
  <si>
    <t>Республика Хакасия</t>
  </si>
  <si>
    <t>IST_TE_ID</t>
  </si>
  <si>
    <t>Ростовская область</t>
  </si>
  <si>
    <t>Рязанская область</t>
  </si>
  <si>
    <t>PT_LOAD_LIST</t>
  </si>
  <si>
    <t>Самарская область</t>
  </si>
  <si>
    <t>Саратовская область</t>
  </si>
  <si>
    <t>HEAT_IP_EVENT_GROUP_LIST</t>
  </si>
  <si>
    <t>VSNA_IP_EVENT_GROUP_LIST</t>
  </si>
  <si>
    <t>VOTV_IP_EVENT_GROUP_LIST</t>
  </si>
  <si>
    <t>OTKO_IP_EVENT_GROUP_LIST</t>
  </si>
  <si>
    <t>Сахалинская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</si>
  <si>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</si>
  <si>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</si>
  <si>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</si>
  <si>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</si>
  <si>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Свердловская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</si>
  <si>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</si>
  <si>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</si>
  <si>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</si>
  <si>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</si>
  <si>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Смоленская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</si>
  <si>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</si>
  <si>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</si>
  <si>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</si>
  <si>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</si>
  <si>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Ставропольский край</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</si>
  <si>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</si>
  <si>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</si>
  <si>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Тамбовская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</si>
  <si>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</si>
  <si>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</si>
  <si>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</si>
  <si>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</si>
  <si>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Тверская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</si>
  <si>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</si>
  <si>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</si>
  <si>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</si>
  <si>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</si>
  <si>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Томская область</t>
  </si>
  <si>
    <t>PT_DIAMETERS_2_LIST</t>
  </si>
  <si>
    <t>Мероприятия по подготовке проектной документации</t>
  </si>
  <si>
    <t>Тульская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</si>
  <si>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</si>
  <si>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</si>
  <si>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</si>
  <si>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Тюменская область</t>
  </si>
  <si>
    <t>Удмуртская республика</t>
  </si>
  <si>
    <t>Ульяновская область</t>
  </si>
  <si>
    <t>HEAT_IP_EVENT_SUBGROUP_1_LIST</t>
  </si>
  <si>
    <t>VSNA_IP_EVENT_SUBGROUP_1_LIST</t>
  </si>
  <si>
    <t>VOTV_IP_EVENT_SUBGROUP_1_LIST</t>
  </si>
  <si>
    <t>Хабаровский край</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</si>
  <si>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</si>
  <si>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</si>
  <si>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</si>
  <si>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Ханты-Мансийский автономный округ</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</si>
  <si>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</si>
  <si>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</si>
  <si>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</si>
  <si>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Челябинская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</si>
  <si>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</si>
  <si>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</si>
  <si>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</si>
  <si>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Чеченская республика</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</si>
  <si>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</si>
  <si>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</si>
  <si>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</si>
  <si>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Чувашская республика</t>
  </si>
  <si>
    <t>TYPE_TKO_LIST</t>
  </si>
  <si>
    <t>Чукотский автономный округ</t>
  </si>
  <si>
    <t>несортированные</t>
  </si>
  <si>
    <t>Ямало-Ненецкий автономный округ</t>
  </si>
  <si>
    <t>сортированные</t>
  </si>
  <si>
    <t>HEAT_IP_EVENT_SUBGROUP_3_LIST</t>
  </si>
  <si>
    <t>VSNA_IP_EVENT_SUBGROUP_3_LIST</t>
  </si>
  <si>
    <t>VOTV_IP_EVENT_SUBGROUP_3_LIST</t>
  </si>
  <si>
    <t>Ярославская область</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</si>
  <si>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</si>
  <si>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</si>
  <si>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</si>
  <si>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</si>
  <si>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</si>
  <si>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</si>
  <si>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</si>
  <si>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CLASS_TKO_LIST</t>
  </si>
  <si>
    <t>II</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</si>
  <si>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</si>
  <si>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</si>
  <si>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</si>
  <si>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</si>
  <si>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</si>
  <si>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</si>
  <si>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</si>
  <si>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</si>
  <si>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</si>
  <si>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</si>
  <si>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</si>
  <si>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</si>
  <si>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</si>
  <si>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</si>
  <si>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</si>
  <si>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</si>
  <si>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</si>
  <si>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</si>
  <si>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</si>
  <si>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</si>
  <si>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</si>
  <si>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</si>
  <si>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</si>
  <si>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</si>
  <si>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</si>
  <si>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</si>
  <si>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</si>
  <si>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</si>
  <si>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</si>
  <si>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</si>
  <si>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</si>
  <si>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</si>
  <si>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</si>
  <si>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</si>
  <si>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</si>
  <si>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</si>
  <si>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</si>
  <si>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</si>
  <si>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</si>
  <si>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руб.</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</si>
  <si>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</si>
  <si>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</si>
  <si>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</si>
  <si>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</si>
  <si>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</si>
  <si>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</si>
  <si>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</si>
  <si>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</si>
  <si>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</si>
  <si>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</si>
  <si>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</si>
  <si>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</si>
  <si>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</si>
  <si>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</si>
  <si>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</si>
  <si>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t>
  </si>
  <si>
    <t>Форма 1. Информация об организации (общая информация)</t>
  </si>
  <si>
    <t>Договоры</t>
  </si>
  <si>
    <t>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t>
  </si>
  <si>
    <t>Форма 10. Информация об условиях, на которых осуществляется оказание регулируемых услуг в области обращения с твердыми коммунальными отходами, а также об условиях договоров на оказание услуг по транспортированию твердых коммунальных отходов</t>
  </si>
  <si>
    <t>Показатели ФХД</t>
  </si>
  <si>
    <t>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t>
  </si>
  <si>
    <t>Показатели ФХД &gt;20%</t>
  </si>
  <si>
    <t>Форма 11. Информация о расходах на капитальный и текущий ремонт основных средств</t>
  </si>
  <si>
    <t>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</si>
  <si>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</si>
  <si>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</si>
  <si>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</si>
  <si>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</si>
  <si>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</si>
  <si>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</si>
  <si>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Информация_x000D_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</si>
  <si>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</si>
  <si>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</si>
  <si>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</si>
  <si>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7.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&lt;1&gt;</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</si>
  <si>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</si>
  <si>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</si>
  <si>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</si>
  <si>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</si>
  <si>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</si>
  <si>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</si>
  <si>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</si>
  <si>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</si>
  <si>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</si>
  <si>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4. Информация о тарифах в сфере холодного водоснабжения на товары (услуги) организации холодного водоснабжения, подлежащих регулированию (об установленных тарифах на питьевую воду (питьевое водоснабжение); об установленных тарифах на техническую воду; об установленных тарифах на транспортировку воды; об установленных тарифах на подвоз воды))</t>
  </si>
  <si>
    <t>PRICE_x000D_
_x000D_
ХВС. Т-подкл</t>
  </si>
  <si>
    <t>Форма 5. Информация о величинах тарифов на подключение (технологическое присоединение) к централизованной системе холодного водоснабжения &lt;1&gt;</t>
  </si>
  <si>
    <t>REQUEST_x000D_
_x000D_
ХВС. Т-пит_x000D_
ХВС. Т-тех_x000D_
ХВС. Т-транс_x000D_
ХВС. Т-подвоз</t>
  </si>
  <si>
    <t>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t>
  </si>
  <si>
    <t>REQUEST_x000D_
_x000D_
ХВС. Т-подкл</t>
  </si>
  <si>
    <t>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t>
  </si>
  <si>
    <t>PRICE_x000D_
_x000D_
ГВС. Т-гор.вода_x000D_
ГВС. Т-транс</t>
  </si>
  <si>
    <t>Форма 4. Информация о тарифах в сфере горячего водоснабжения на товары (услуги) организации горячего водоснабжения, подлежащих регулированию (об установленных тарифах на горячую воду (горячее водоснабжение); об установленных тарифах на транспортировку горячей воды) &lt;1&gt;</t>
  </si>
  <si>
    <t>PRICE_x000D_
_x000D_
ГВС. Т-подкл</t>
  </si>
  <si>
    <t>Форма 5. Информация об установленных тарифах на подключение (технологическое присоединение) к централизованной системе горячего водоснабжения &lt;1&gt;</t>
  </si>
  <si>
    <t>REQUEST_x000D_
_x000D_
ГВС. Т-гор.вода_x000D_
ГВС. Т-транс</t>
  </si>
  <si>
    <t>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t>
  </si>
  <si>
    <t>REQUEST_x000D_
_x000D_
ГВС. Т-подкл</t>
  </si>
  <si>
    <t>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t>
  </si>
  <si>
    <t>PRICE_x000D_
_x000D_
ВО. Т-во_x000D_
ВО. Т-транс</t>
  </si>
  <si>
    <t>Форма 3. Информация о тарифах в сфере водоотведения на товары (услуги) организации водоотведения, подлежащих регулированию (об установленных тарифах на водоотведение; об установленных тарифах на транспортировку сточных вод) &lt;1&gt;</t>
  </si>
  <si>
    <t>PRICE_x000D_
_x000D_
ВО. Т-подкл</t>
  </si>
  <si>
    <t>Форма 4.  Информация об установленных тарифах на подключение (технологическое присоединение) к централизованной системе водоотведения &lt;1&gt;</t>
  </si>
  <si>
    <t>REQUEST_x000D_
_x000D_
ВО. Т-во_x000D_
ВО. Т-транс</t>
  </si>
  <si>
    <t>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t>
  </si>
  <si>
    <t>REQUEST_x000D_
_x000D_
ВО. Т-подкл</t>
  </si>
  <si>
    <t>Форма 17. Информация о предложении расчетной величины тарифов на подключение к централизованной системе водоотведения &lt;1&gt;</t>
  </si>
  <si>
    <t>Сведения о закупках</t>
  </si>
  <si>
    <t>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</si>
  <si>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11.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 содержит сведения о правовых актах, регламентирующих правила закупки (положение о закупке) в организации, о месте их размещения, а также сведения о планировании закупок и результатах их проведения</t>
  </si>
  <si>
    <t>Порядок ТП</t>
  </si>
  <si>
    <t>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</si>
  <si>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</si>
  <si>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</si>
  <si>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</si>
  <si>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</si>
  <si>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</si>
  <si>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</si>
  <si>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</si>
  <si>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</si>
  <si>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</si>
  <si>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</si>
  <si>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</si>
  <si>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</si>
  <si>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</si>
  <si>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</si>
  <si>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</si>
  <si>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</si>
  <si>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</si>
  <si>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</si>
  <si>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</si>
  <si>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</si>
  <si>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</si>
  <si>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</si>
  <si>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</si>
  <si>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</si>
  <si>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</si>
  <si>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</si>
  <si>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</si>
  <si>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</si>
  <si>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</si>
  <si>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</si>
  <si>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</si>
  <si>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</si>
  <si>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</si>
  <si>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</si>
  <si>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</si>
  <si>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</si>
  <si>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</si>
  <si>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</si>
  <si>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</si>
  <si>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</si>
  <si>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</si>
  <si>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</si>
  <si>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</si>
  <si>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</si>
  <si>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</si>
  <si>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</si>
  <si>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</si>
  <si>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</si>
  <si>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2.4</t>
  </si>
  <si>
    <t>Расходы на холодную воду, получаемую с применением собственных источников водозабора (скважин) и используемую для горячего водоснабжения</t>
  </si>
  <si>
    <t>2.5</t>
  </si>
  <si>
    <t>Расходы на приобретаемую электрическую энергию (мощность), используемую в технологическом процессе</t>
  </si>
  <si>
    <t>6.1</t>
  </si>
  <si>
    <t>2.3.1</t>
  </si>
  <si>
    <t>2.2.1</t>
  </si>
  <si>
    <t>2.5.1</t>
  </si>
  <si>
    <t>Средневзвешенная стоимость 1 кВт.ч (с учетом мощности)</t>
  </si>
  <si>
    <t>6.2</t>
  </si>
  <si>
    <t>2.3.2</t>
  </si>
  <si>
    <t>2.2.2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</si>
  <si>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</si>
  <si>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</si>
  <si>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</si>
  <si>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</si>
  <si>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2.6</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</si>
  <si>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</si>
  <si>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</si>
  <si>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</si>
  <si>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</si>
  <si>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2.4.1</t>
  </si>
  <si>
    <t>Расходы на оплату труда основного производственного персонала</t>
  </si>
  <si>
    <t>9.2</t>
  </si>
  <si>
    <t>2.6.2</t>
  </si>
  <si>
    <t>2.4.2</t>
  </si>
  <si>
    <t>Страховые взносы на обязательное социальное страхование, выплачиваемые из фонда оплаты труда основного производственного персонала</t>
  </si>
  <si>
    <t>2.7</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</si>
  <si>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</si>
  <si>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</si>
  <si>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</si>
  <si>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</si>
  <si>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</si>
  <si>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</si>
  <si>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</si>
  <si>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</si>
  <si>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</si>
  <si>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</si>
  <si>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2.8</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</si>
  <si>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</si>
  <si>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</si>
  <si>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</si>
  <si>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</si>
  <si>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</si>
  <si>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</si>
  <si>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</si>
  <si>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2.9</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</si>
  <si>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</si>
  <si>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</si>
  <si>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</si>
  <si>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</si>
  <si>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</si>
  <si>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</si>
  <si>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</si>
  <si>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</si>
  <si>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</si>
  <si>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</si>
  <si>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</si>
  <si>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</si>
  <si>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</si>
  <si>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</si>
  <si>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</si>
  <si>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</si>
  <si>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</si>
  <si>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</si>
  <si>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</si>
  <si>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</si>
  <si>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</si>
  <si>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</si>
  <si>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</si>
  <si>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</si>
  <si>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</si>
  <si>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</si>
  <si>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</si>
  <si>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</si>
  <si>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</si>
  <si>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</si>
  <si>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</si>
  <si>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</si>
  <si>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</si>
  <si>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</si>
  <si>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</si>
  <si>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</si>
  <si>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</si>
  <si>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</si>
  <si>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</si>
  <si>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</si>
  <si>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</si>
  <si>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</si>
  <si>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</si>
  <si>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</si>
  <si>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</si>
  <si>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</si>
  <si>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</si>
  <si>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</si>
  <si>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</si>
  <si>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</si>
  <si>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</si>
  <si>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Указывается общая сумма чистой прибыли, полученной от регулируемого вида деятельности.</t>
  </si>
  <si>
    <t>4.1</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</si>
  <si>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</si>
  <si>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в том числе:</t>
  </si>
  <si>
    <t>Указывается общее изменение стоимости основных фондов.</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</si>
  <si>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</si>
  <si>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</si>
  <si>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</si>
  <si>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5.1.1</t>
  </si>
  <si>
    <t>4.1.1</t>
  </si>
  <si>
    <t>Изменения стоимости основных фондов за счет их ввода в эксплуатацию</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</si>
  <si>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</si>
  <si>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</si>
  <si>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5.1.2</t>
  </si>
  <si>
    <t>4.1.2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</si>
  <si>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</si>
  <si>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</si>
  <si>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</si>
  <si>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4.2</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</si>
  <si>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</si>
  <si>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</si>
  <si>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</si>
  <si>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</si>
  <si>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</si>
  <si>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Годовая бухгалтерская (финансовая) отчетность, включая бухгалтерский баланс и приложения к нему</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</si>
  <si>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</si>
  <si>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</si>
  <si>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</si>
  <si>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</si>
  <si>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</si>
  <si>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</si>
  <si>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</si>
  <si>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</si>
  <si>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</si>
  <si>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</si>
  <si>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</si>
  <si>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</si>
  <si>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</si>
  <si>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</si>
  <si>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</si>
  <si>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</si>
  <si>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</si>
  <si>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</si>
  <si>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</si>
  <si>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</si>
  <si>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</si>
  <si>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</si>
  <si>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</si>
  <si>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</si>
  <si>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</si>
  <si>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</si>
  <si>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</si>
  <si>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</si>
  <si>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</si>
  <si>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</si>
  <si>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</si>
  <si>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</si>
  <si>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</si>
  <si>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</si>
  <si>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</si>
  <si>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</si>
  <si>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</si>
  <si>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</si>
  <si>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</si>
  <si>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</si>
  <si>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</si>
  <si>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</si>
  <si>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</si>
  <si>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</si>
  <si>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</si>
  <si>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</si>
  <si>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</si>
  <si>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</si>
  <si>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</si>
  <si>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</si>
  <si>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</si>
  <si>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</si>
  <si>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</si>
  <si>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</si>
  <si>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</si>
  <si>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</si>
  <si>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</si>
  <si>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</si>
  <si>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</si>
  <si>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</si>
  <si>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</si>
  <si>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с</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</si>
  <si>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</si>
  <si>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</si>
  <si>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</si>
  <si>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</si>
  <si>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</si>
  <si>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</si>
  <si>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</si>
  <si>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</si>
  <si>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</si>
  <si>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Указывается ссылка на документ, предварительно загруженный в хранилище файлов ФГИС ЕИАС.</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</si>
  <si>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</si>
  <si>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</si>
  <si>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</si>
  <si>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</si>
  <si>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</si>
  <si>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</si>
  <si>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</si>
  <si>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</si>
  <si>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</si>
  <si>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</si>
  <si>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период</t>
  </si>
  <si>
    <t>Добавить источник тепловой энергии</t>
  </si>
  <si>
    <t>Добавить наименование системы теплоснабжения</t>
  </si>
  <si>
    <t>pt_vtar_3</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</si>
  <si>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</si>
  <si>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</si>
  <si>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</si>
  <si>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</si>
  <si>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</si>
  <si>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</si>
  <si>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</si>
  <si>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</si>
  <si>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</si>
  <si>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</si>
  <si>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</si>
  <si>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</si>
  <si>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</si>
  <si>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</si>
  <si>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</si>
  <si>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</si>
  <si>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</si>
  <si>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</si>
  <si>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</si>
  <si>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</si>
  <si>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</si>
  <si>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</si>
  <si>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</si>
  <si>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</si>
  <si>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</si>
  <si>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</si>
  <si>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</si>
  <si>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</si>
  <si>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</si>
  <si>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</si>
  <si>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</si>
  <si>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</si>
  <si>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</si>
  <si>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</si>
  <si>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</si>
  <si>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5.3.1</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</si>
  <si>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</si>
  <si>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</si>
  <si>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 Указываются сведения о закупках, сумма стоимости приобретения товаров и услуг по которым превышает 20% суммы от плановой НВВ на очередной период регулирования.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</si>
  <si>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</si>
  <si>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Единица измерения</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</si>
  <si>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</si>
  <si>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</si>
  <si>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</si>
  <si>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</si>
  <si>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</si>
  <si>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</si>
  <si>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</si>
  <si>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</si>
  <si>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</si>
  <si>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строках 4.1 – 4.3 указывается в случае, если организация имеет статус единой теплоснабжающей организации.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</si>
  <si>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</si>
  <si>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</si>
  <si>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</si>
  <si>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</si>
  <si>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4.3</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</si>
  <si>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</si>
  <si>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Доля числа исполненных в срок договоров о подключении</t>
  </si>
  <si>
    <t>%</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</si>
  <si>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</si>
  <si>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</si>
  <si>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</si>
  <si>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</si>
  <si>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ед</t>
  </si>
  <si>
    <t>5.0</t>
  </si>
  <si>
    <t>Добавить систему</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</si>
  <si>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</si>
  <si>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</si>
  <si>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</si>
  <si>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</si>
  <si>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</si>
  <si>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</si>
  <si>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</si>
  <si>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</si>
  <si>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</si>
  <si>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</si>
  <si>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</si>
  <si>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</si>
  <si>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</si>
  <si>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</si>
  <si>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</si>
  <si>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Форма 13.1. Информация о выводе объектов теплоснабжения из эксплуатации и основаниях ограничения, прекращения подачи тепловой энергии потребителям</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</si>
  <si>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</si>
  <si>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</si>
  <si>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</si>
  <si>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</si>
  <si>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</si>
  <si>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</si>
  <si>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</si>
  <si>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</si>
  <si>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</si>
  <si>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</si>
  <si>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</si>
  <si>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</si>
  <si>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</si>
  <si>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Период действия тарифов</t>
  </si>
  <si>
    <t>по</t>
  </si>
  <si>
    <t>p1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</si>
  <si>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</si>
  <si>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</si>
  <si>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</si>
  <si>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</si>
  <si>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</si>
  <si>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</si>
  <si>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</si>
  <si>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</si>
  <si>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</si>
  <si>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</si>
  <si>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</si>
  <si>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</si>
  <si>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</si>
  <si>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</si>
  <si>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</si>
  <si>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</si>
  <si>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</si>
  <si>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</si>
  <si>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</si>
  <si>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</si>
  <si>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</si>
  <si>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</si>
  <si>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</si>
  <si>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</si>
  <si>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</si>
  <si>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</si>
  <si>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</si>
  <si>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</si>
  <si>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</si>
  <si>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</si>
  <si>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</si>
  <si>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</si>
  <si>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</si>
  <si>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</si>
  <si>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</si>
  <si>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</si>
  <si>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</si>
  <si>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</si>
  <si>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При размещении информации по данной форме дополнительно указываются сведения: наименование органа регулирования тарифов, принявшего решение об утверждении установлении тарифа, реквизиты (дата и номер) решения документа об утверждении установлении тарифа, источник официального опубликования решения об установлении тарифа.</t>
  </si>
  <si>
    <t>При размещении информации по данной форме дополнительно указывается дата подачи заявления об утверждении тарифа и его номер.</t>
  </si>
  <si>
    <t>vt</t>
  </si>
  <si>
    <t>общая стоимость</t>
  </si>
  <si>
    <t>объём</t>
  </si>
  <si>
    <t>стоимость за единицу объёма</t>
  </si>
  <si>
    <t>тыс. руб.</t>
  </si>
  <si>
    <t>стоимость доставки</t>
  </si>
  <si>
    <t>способ приобретения</t>
  </si>
  <si>
    <t>кг у. т./Гкал</t>
  </si>
  <si>
    <t>кг усл. топл./Гкал</t>
  </si>
  <si>
    <t>p</t>
  </si>
  <si>
    <t>HEAT_P1</t>
  </si>
  <si>
    <t>Добавить вид топлива</t>
  </si>
  <si>
    <t>HOTVSNA_P1</t>
  </si>
  <si>
    <t>тыс. кВт·ч</t>
  </si>
  <si>
    <t>HEAT_P6</t>
  </si>
  <si>
    <t>NOT_HOTVSNA</t>
  </si>
  <si>
    <t>NOT_HEAT_P1</t>
  </si>
  <si>
    <t>Стоимость воды (плата за водопользование)</t>
  </si>
  <si>
    <t>Налог на имущество</t>
  </si>
  <si>
    <t>Плата за выбросы вредных веществ</t>
  </si>
  <si>
    <t>Налог на землю</t>
  </si>
  <si>
    <t>Добавить прочие расходы</t>
  </si>
  <si>
    <t>HEAT_P2</t>
  </si>
  <si>
    <t>NOT_HEAT_P2</t>
  </si>
  <si>
    <t>https://data-platform.ru/lk/files/Files/wsjLHZ/ea007c27-8f00-404c-9768-26ae0c03bea8</t>
  </si>
  <si>
    <t>COLDVSNA_P1</t>
  </si>
  <si>
    <t>тыс. куб. м</t>
  </si>
  <si>
    <t>HOTVSNA_P2</t>
  </si>
  <si>
    <t>VOTV_P1</t>
  </si>
  <si>
    <t>HEAT_P3</t>
  </si>
  <si>
    <t>hyp</t>
  </si>
  <si>
    <t>тыс. Гкал/год</t>
  </si>
  <si>
    <t>человек</t>
  </si>
  <si>
    <t>HEAT_P4</t>
  </si>
  <si>
    <t>VSNA</t>
  </si>
  <si>
    <t>тыс. кВт·ч на тыс. куб. м</t>
  </si>
  <si>
    <t>COLDVSNA_P2</t>
  </si>
  <si>
    <t>Добавить производственный объект</t>
  </si>
  <si>
    <t>HEAT_P5</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</si>
  <si>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</si>
  <si>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</si>
  <si>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</si>
  <si>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</si>
  <si>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</si>
  <si>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</si>
  <si>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</si>
  <si>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</si>
  <si>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</si>
  <si>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Форма 6. Информация об основных показателях финансово-хозяйственной деятельности организации _x000D_
в части регулируемых видов деятельности за отчетный год</t>
  </si>
  <si>
    <t>Выручка от регулируемого вида деятельности</t>
  </si>
  <si>
    <t>p3</t>
  </si>
  <si>
    <t>Себестоимость оказываемых услуг по обращению с твёрдыми коммунальными отходами по регулируемому виду деятельности, включая:</t>
  </si>
  <si>
    <t>производственные расходы, в том числе:</t>
  </si>
  <si>
    <t>расходы на оплату труда основного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</si>
  <si>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</si>
  <si>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</si>
  <si>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</si>
  <si>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расходы на текущий ремонт</t>
  </si>
  <si>
    <t>расходы на капитальный ремонт</t>
  </si>
  <si>
    <t>административные расходы, в том числе:</t>
  </si>
  <si>
    <t>расходы на оплату труда</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</si>
  <si>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</si>
  <si>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расходы на амортизацию основных средств и нематериальных активов:</t>
  </si>
  <si>
    <t>расходы на амортизацию основных средств</t>
  </si>
  <si>
    <t>расходы на амортизацию нематериальных активов</t>
  </si>
  <si>
    <t>расходы на арендную плату</t>
  </si>
  <si>
    <t>расходы на лизинговые платежи</t>
  </si>
  <si>
    <t xml:space="preserve"> расходы на концессионную плату</t>
  </si>
  <si>
    <t>прочие расходы, которые подлежат отнесению на регулируемые виды деятельности, в том числе:</t>
  </si>
  <si>
    <t>расходы на транспортирование твёрдых коммунальных отходов</t>
  </si>
  <si>
    <t>Чистая прибыль с разбивкой по регулируемым видам деятельности, в том числе:</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</si>
  <si>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</si>
  <si>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за счет их ввода в эксплуатацию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</si>
  <si>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</si>
  <si>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</si>
  <si>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4.1.3</t>
  </si>
  <si>
    <t>изменение стоимости основных фондов за счет их переоценки</t>
  </si>
  <si>
    <t>-</t>
  </si>
  <si>
    <t>Объём принятых твёрдых коммунальных отходов</t>
  </si>
  <si>
    <t>тыс. куб. м_x000D_
в год</t>
  </si>
  <si>
    <t>Масса принятых твёрдых коммунальных отходов</t>
  </si>
  <si>
    <t>тонн в год</t>
  </si>
  <si>
    <t>Среднесписочная численность основного персонала</t>
  </si>
  <si>
    <t>Форма 7. Информация об основных показателях финансово-хозяйственной деятельности организации в отношении деятельности по транспортированию твёрдых коммунальных отходов за отчетный год &lt;1&gt;</t>
  </si>
  <si>
    <t>Выручка от деятельности</t>
  </si>
  <si>
    <t>Себестоимость оказываемых услуг по регулируемому виду деятельности, включая:</t>
  </si>
  <si>
    <t>расходы на оплату труда и страховые взносы на обязательное социальное страхование, выплачиваемые из фонда оплаты труда</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</si>
  <si>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</si>
  <si>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</si>
  <si>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</si>
  <si>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</si>
  <si>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</si>
  <si>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</si>
  <si>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</si>
  <si>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</si>
  <si>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</si>
  <si>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</si>
  <si>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</si>
  <si>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</si>
  <si>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изменение стоимости основных фондов за счет их вывода из эксплуатации</t>
  </si>
  <si>
    <t>Объём принятых для транспортирования твёрдых коммунальных отходов</t>
  </si>
  <si>
    <t>Масса принятых для транспортирования твёрдых коммунальных отходов</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</si>
  <si>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</si>
  <si>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</si>
  <si>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</si>
  <si>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</si>
  <si>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</si>
  <si>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</si>
  <si>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</si>
  <si>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</si>
  <si>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</si>
  <si>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</si>
  <si>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</si>
  <si>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</si>
  <si>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</si>
  <si>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</si>
  <si>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</si>
  <si>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</si>
  <si>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</si>
  <si>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</si>
  <si>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</si>
  <si>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</si>
  <si>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</si>
  <si>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</si>
  <si>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</si>
  <si>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</si>
  <si>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</si>
  <si>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</si>
  <si>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</si>
  <si>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</si>
  <si>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</si>
  <si>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</si>
  <si>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</si>
  <si>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</si>
  <si>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</si>
  <si>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</si>
  <si>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</si>
  <si>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</si>
  <si>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</si>
  <si>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</si>
  <si>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</si>
  <si>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</si>
  <si>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</si>
  <si>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</si>
  <si>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</si>
  <si>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</si>
  <si>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</si>
  <si>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</si>
  <si>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</si>
  <si>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</si>
  <si>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</si>
  <si>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</si>
  <si>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</si>
  <si>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</si>
  <si>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</si>
  <si>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</si>
  <si>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</si>
  <si>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</si>
  <si>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</si>
  <si>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</si>
  <si>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</si>
  <si>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</si>
  <si>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</si>
  <si>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</si>
  <si>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</si>
  <si>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</si>
  <si>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</si>
  <si>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</si>
  <si>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</si>
  <si>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</si>
  <si>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</si>
  <si>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</si>
  <si>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</si>
  <si>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</si>
  <si>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</si>
  <si>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</si>
  <si>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</si>
  <si>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</si>
  <si>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</si>
  <si>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</si>
  <si>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</si>
  <si>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</si>
  <si>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</si>
  <si>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</si>
  <si>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</si>
  <si>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</si>
  <si>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</si>
  <si>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</si>
  <si>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</si>
  <si>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</si>
  <si>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</si>
  <si>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</si>
  <si>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</si>
  <si>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</si>
  <si>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</si>
  <si>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</si>
  <si>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</si>
  <si>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</si>
  <si>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</si>
  <si>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</si>
  <si>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</si>
  <si>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</si>
  <si>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</si>
  <si>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</si>
  <si>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</si>
  <si>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</si>
  <si>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</si>
  <si>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</si>
  <si>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</si>
  <si>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</si>
  <si>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</si>
  <si>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</si>
  <si>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</si>
  <si>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Информация об инвестиционных программах регулируемой организации и отчетах об их исполнении</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</si>
  <si>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</si>
  <si>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</si>
  <si>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</si>
  <si>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</si>
  <si>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</si>
  <si>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</si>
  <si>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</si>
  <si>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</si>
  <si>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</si>
  <si>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</si>
  <si>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</si>
  <si>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</si>
  <si>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</si>
  <si>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</si>
  <si>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</si>
  <si>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</si>
  <si>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</si>
  <si>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</si>
  <si>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</si>
  <si>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</si>
  <si>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</si>
  <si>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</si>
  <si>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</si>
  <si>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</si>
  <si>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</si>
  <si>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</si>
  <si>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</si>
  <si>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</si>
  <si>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</si>
  <si>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</si>
  <si>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</si>
  <si>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</si>
  <si>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</si>
  <si>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</si>
  <si>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</si>
  <si>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</si>
  <si>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</si>
  <si>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</si>
  <si>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</si>
  <si>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</si>
  <si>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</si>
  <si>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</si>
  <si>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</si>
  <si>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</si>
  <si>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</si>
  <si>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</si>
  <si>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</si>
  <si>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</si>
  <si>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</si>
  <si>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</si>
  <si>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</si>
  <si>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</si>
  <si>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Финансовый план</t>
  </si>
  <si>
    <t>Источники финансирования</t>
  </si>
  <si>
    <t>Объем фактического выполнения за счет источников финансирования (тыс. руб. без НДС)</t>
  </si>
  <si>
    <t>Всего</t>
  </si>
  <si>
    <t>Расходы на мероприятия инвестиционной программы</t>
  </si>
  <si>
    <t>Собственные средства</t>
  </si>
  <si>
    <t>1.4</t>
  </si>
  <si>
    <t>1.5</t>
  </si>
  <si>
    <t>1.6</t>
  </si>
  <si>
    <t>1.7</t>
  </si>
  <si>
    <t>1.8</t>
  </si>
  <si>
    <t>1.9</t>
  </si>
  <si>
    <t>1.10</t>
  </si>
  <si>
    <t>1.11</t>
  </si>
  <si>
    <t>1.12</t>
  </si>
  <si>
    <t>Привлеченные средства</t>
  </si>
  <si>
    <t>Займы</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</si>
  <si>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</si>
  <si>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</si>
  <si>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</si>
  <si>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</si>
  <si>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</si>
  <si>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</si>
  <si>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</si>
  <si>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Финансируемые за счет нормативной прибыли, учитываемой в необходимой валовой выручке</t>
  </si>
  <si>
    <t>1.1.2</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</si>
  <si>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</si>
  <si>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</si>
  <si>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</si>
  <si>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</si>
  <si>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</si>
  <si>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</si>
  <si>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</si>
  <si>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</si>
  <si>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</si>
  <si>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</si>
  <si>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</si>
  <si>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</si>
  <si>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</si>
  <si>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</si>
  <si>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</si>
  <si>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</si>
  <si>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</si>
  <si>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</si>
  <si>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</si>
  <si>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</si>
  <si>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</si>
  <si>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</si>
  <si>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</si>
  <si>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</si>
  <si>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</si>
  <si>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</si>
  <si>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</si>
  <si>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</si>
  <si>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</si>
  <si>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</si>
  <si>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</si>
  <si>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</si>
  <si>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</si>
  <si>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</si>
  <si>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</si>
  <si>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</si>
  <si>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</si>
  <si>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</si>
  <si>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</si>
  <si>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</si>
  <si>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</si>
  <si>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</si>
  <si>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</si>
  <si>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</si>
  <si>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</si>
  <si>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</si>
  <si>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</si>
  <si>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</si>
  <si>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</si>
  <si>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</si>
  <si>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</si>
  <si>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</si>
  <si>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</si>
  <si>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</si>
  <si>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</si>
  <si>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</si>
  <si>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</si>
  <si>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</si>
  <si>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</si>
  <si>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</si>
  <si>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</si>
  <si>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</si>
  <si>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pt_ist_te_16</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</si>
  <si>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</si>
  <si>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</si>
  <si>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</si>
  <si>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</si>
  <si>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</si>
  <si>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Для каждого вида тарифа в сфере водоотведения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</si>
  <si>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водоотведения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</si>
  <si>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</si>
  <si>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</si>
  <si>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</si>
  <si>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</si>
  <si>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</si>
  <si>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</si>
  <si>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</si>
  <si>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</si>
  <si>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</si>
  <si>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</si>
  <si>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</si>
  <si>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</si>
  <si>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</si>
  <si>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</si>
  <si>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</si>
  <si>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</si>
  <si>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</si>
  <si>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</si>
  <si>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</si>
  <si>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</si>
  <si>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</si>
  <si>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</si>
  <si>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</si>
  <si>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</si>
  <si>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</si>
  <si>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</si>
  <si>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</si>
  <si>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</si>
  <si>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</si>
  <si>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</si>
  <si>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</si>
  <si>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</si>
  <si>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</si>
  <si>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</si>
  <si>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</si>
  <si>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</si>
  <si>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</si>
  <si>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</si>
  <si>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</si>
  <si>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</si>
  <si>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</si>
  <si>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</si>
  <si>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</si>
  <si>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</si>
  <si>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</si>
  <si>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</si>
  <si>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</si>
  <si>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</si>
  <si>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</si>
  <si>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</si>
  <si>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</si>
  <si>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</si>
  <si>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</si>
  <si>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</si>
  <si>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</si>
  <si>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</si>
  <si>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</si>
  <si>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</si>
  <si>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</si>
  <si>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Информация раскрыта по Постановлениям Департамента ГРЦ и Т Костромской области от 21.09.2018 г. №18/266 и 18/268 в редакции Постановлений от 17.11.022г. №22/292 и №22/293</t>
  </si>
  <si>
    <t>По п.3 листа "Показатели ФХД": чистая прибыль в бухгалтерском учете формируется в целом по компании без разделения по видам деятельности.</t>
  </si>
  <si>
    <t xml:space="preserve">В п.4 листа "Показатели ФХД" расход воды на собственные нужды принимает такие высокие значения в связи с тем, что у регулируемой организации данный вид деятельности является неосновным. Основной объем поднятой воды, учитываемый на собственные нужды, используется организацией для производства тепловой энергии, что является основной деятельностью организации.   </t>
  </si>
  <si>
    <t>В п.4-5,8 листа "Показатели КНЭ" контроль качества технической воды  и техническое обследование систем водоснабжения не требуется.</t>
  </si>
  <si>
    <t>Результат проверки</t>
  </si>
  <si>
    <t>Ссылка</t>
  </si>
  <si>
    <t>Причина</t>
  </si>
  <si>
    <t>Статус</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</si>
  <si>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</si>
  <si>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</si>
  <si>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</si>
  <si>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</si>
  <si>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</si>
  <si>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</si>
  <si>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</si>
  <si>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</si>
  <si>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</si>
  <si>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</si>
  <si>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</si>
  <si>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</si>
  <si>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</si>
  <si>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</si>
  <si>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</si>
  <si>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</si>
  <si>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</si>
  <si>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</si>
  <si>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</si>
  <si>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</si>
  <si>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</si>
  <si>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</si>
  <si>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</si>
  <si>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</si>
  <si>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</si>
  <si>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</si>
  <si>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</si>
  <si>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</si>
  <si>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</si>
  <si>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</si>
  <si>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</si>
  <si>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</si>
  <si>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</si>
  <si>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</si>
  <si>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</si>
  <si>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</si>
  <si>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</si>
  <si>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</si>
  <si>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</si>
  <si>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</si>
  <si>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</si>
  <si>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</si>
  <si>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</si>
  <si>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</si>
  <si>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</si>
  <si>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</si>
  <si>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</si>
  <si>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</si>
  <si>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</si>
  <si>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</si>
  <si>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</si>
  <si>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</si>
  <si>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</si>
  <si>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</si>
  <si>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</si>
  <si>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</si>
  <si>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</si>
  <si>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</si>
  <si>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</si>
  <si>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</si>
  <si>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</si>
  <si>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</si>
  <si>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</si>
  <si>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</si>
  <si>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</si>
  <si>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</si>
  <si>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</si>
  <si>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</si>
  <si>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</si>
  <si>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</si>
  <si>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</si>
  <si>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</si>
  <si>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</si>
  <si>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</si>
  <si>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</si>
  <si>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</si>
  <si>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</si>
  <si>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</si>
  <si>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</si>
  <si>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</si>
  <si>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</si>
  <si>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</si>
  <si>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</si>
  <si>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</si>
  <si>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</si>
  <si>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</si>
  <si>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</si>
  <si>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</si>
  <si>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</si>
  <si>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</si>
  <si>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</si>
  <si>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</si>
  <si>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</si>
  <si>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</si>
  <si>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</si>
  <si>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</si>
  <si>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</si>
  <si>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</si>
  <si>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</si>
  <si>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</si>
  <si>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</si>
  <si>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</si>
  <si>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</si>
  <si>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</si>
  <si>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</si>
  <si>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</si>
  <si>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</si>
  <si>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</si>
  <si>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</si>
  <si>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</si>
  <si>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</si>
  <si>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</si>
  <si>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</si>
  <si>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</si>
  <si>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</si>
  <si>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</si>
  <si>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</si>
  <si>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</si>
  <si>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</si>
  <si>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</si>
  <si>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</si>
  <si>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</si>
  <si>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</si>
  <si>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</si>
  <si>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</si>
  <si>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</si>
  <si>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</si>
  <si>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</si>
  <si>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</si>
  <si>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</si>
  <si>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</si>
  <si>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</si>
  <si>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</si>
  <si>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</si>
  <si>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</si>
  <si>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</si>
  <si>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</si>
  <si>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</si>
  <si>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</si>
  <si>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</si>
  <si>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</si>
  <si>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</si>
  <si>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</si>
  <si>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</si>
  <si>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</si>
  <si>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</si>
  <si>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</si>
  <si>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</si>
  <si>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</si>
  <si>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</si>
  <si>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</si>
  <si>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</si>
  <si>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</si>
  <si>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</si>
  <si>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</si>
  <si>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</si>
  <si>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</si>
  <si>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</si>
  <si>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</si>
  <si>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</si>
  <si>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</si>
  <si>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</si>
  <si>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</si>
  <si>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</si>
  <si>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</si>
  <si>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</si>
  <si>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</si>
  <si>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</si>
  <si>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</si>
  <si>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</si>
  <si>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</si>
  <si>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</si>
  <si>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</si>
  <si>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</si>
  <si>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</si>
  <si>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</si>
  <si>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</si>
  <si>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</si>
  <si>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</si>
  <si>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</si>
  <si>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</si>
  <si>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</si>
  <si>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</si>
  <si>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</si>
  <si>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</si>
  <si>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</si>
  <si>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</si>
  <si>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</si>
  <si>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</si>
  <si>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</si>
  <si>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</si>
  <si>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</si>
  <si>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</si>
  <si>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</si>
  <si>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</si>
  <si>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</si>
  <si>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</si>
  <si>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</si>
  <si>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</si>
  <si>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</si>
  <si>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</si>
  <si>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</si>
  <si>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</si>
  <si>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</si>
  <si>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</si>
  <si>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</si>
  <si>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</si>
  <si>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</si>
  <si>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</si>
  <si>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</si>
  <si>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</si>
  <si>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</si>
  <si>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</si>
  <si>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</si>
  <si>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</si>
  <si>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</si>
  <si>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</si>
  <si>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</si>
  <si>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</si>
  <si>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</si>
  <si>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</si>
  <si>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</si>
  <si>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</si>
  <si>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</si>
  <si>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</si>
  <si>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</si>
  <si>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</si>
  <si>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</si>
  <si>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</si>
  <si>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</si>
  <si>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</si>
  <si>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</si>
  <si>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</si>
  <si>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</si>
  <si>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</si>
  <si>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</si>
  <si>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</si>
  <si>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</si>
  <si>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</si>
  <si>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</si>
  <si>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</si>
  <si>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</si>
  <si>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</si>
  <si>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</si>
  <si>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</si>
  <si>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</si>
  <si>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</si>
  <si>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</si>
  <si>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</si>
  <si>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</si>
  <si>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</si>
  <si>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</si>
  <si>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</si>
  <si>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</si>
  <si>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</si>
  <si>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</si>
  <si>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</si>
  <si>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</si>
  <si>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</si>
  <si>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</si>
  <si>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</si>
  <si>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</si>
  <si>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</si>
  <si>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</si>
  <si>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</si>
  <si>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</si>
  <si>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</si>
  <si>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</si>
  <si>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</si>
  <si>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</si>
  <si>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</si>
  <si>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</si>
  <si>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</si>
  <si>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</si>
  <si>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</si>
  <si>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</si>
  <si>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</si>
  <si>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</si>
  <si>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</si>
  <si>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</si>
  <si>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</si>
  <si>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</si>
  <si>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</si>
  <si>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</si>
  <si>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</si>
  <si>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</si>
  <si>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</si>
  <si>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</si>
  <si>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</si>
  <si>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</si>
  <si>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</si>
  <si>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</si>
  <si>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</si>
  <si>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</si>
  <si>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</si>
  <si>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</si>
  <si>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</si>
  <si>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</si>
  <si>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</si>
  <si>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</si>
  <si>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</si>
  <si>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</si>
  <si>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</si>
  <si>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</si>
  <si>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</si>
  <si>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</si>
  <si>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</si>
  <si>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</si>
  <si>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</si>
  <si>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</si>
  <si>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</si>
  <si>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</si>
  <si>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</si>
  <si>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</si>
  <si>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</si>
  <si>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</si>
  <si>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</si>
  <si>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</si>
  <si>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</si>
  <si>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</si>
  <si>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</si>
  <si>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</si>
  <si>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</si>
  <si>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</si>
  <si>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</si>
  <si>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</si>
  <si>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</si>
  <si>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</si>
  <si>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</si>
  <si>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</si>
  <si>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</si>
  <si>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</si>
  <si>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</si>
  <si>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</si>
  <si>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</si>
  <si>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</si>
  <si>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</si>
  <si>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</si>
  <si>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</si>
  <si>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</si>
  <si>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</si>
  <si>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</si>
  <si>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</si>
  <si>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</si>
  <si>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</si>
  <si>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</si>
  <si>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</si>
  <si>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</si>
  <si>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</si>
  <si>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</si>
  <si>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</si>
  <si>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</si>
  <si>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</si>
  <si>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</si>
  <si>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</si>
  <si>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</si>
  <si>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</si>
  <si>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</si>
  <si>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</si>
  <si>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</si>
  <si>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</si>
  <si>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</si>
  <si>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</si>
  <si>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</si>
  <si>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</si>
  <si>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</si>
  <si>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</si>
  <si>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</si>
  <si>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</si>
  <si>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</si>
  <si>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</si>
  <si>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</si>
  <si>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</si>
  <si>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</si>
  <si>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</si>
  <si>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</si>
  <si>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</si>
  <si>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</si>
  <si>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</si>
  <si>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</si>
  <si>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</si>
  <si>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</si>
  <si>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</si>
  <si>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</si>
  <si>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</si>
  <si>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</si>
  <si>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</si>
  <si>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</si>
  <si>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</si>
  <si>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</si>
  <si>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</si>
  <si>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</si>
  <si>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</si>
  <si>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</si>
  <si>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</si>
  <si>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</si>
  <si>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</si>
  <si>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</si>
  <si>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</si>
  <si>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</si>
  <si>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</si>
  <si>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</si>
  <si>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</si>
  <si>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</si>
  <si>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</si>
  <si>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</si>
  <si>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</si>
  <si>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</si>
  <si>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</si>
  <si>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</si>
  <si>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</si>
  <si>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</si>
  <si>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</si>
  <si>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</si>
  <si>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</si>
  <si>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</si>
  <si>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</si>
  <si>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</si>
  <si>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</si>
  <si>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</si>
  <si>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</si>
  <si>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</si>
  <si>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</si>
  <si>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</si>
  <si>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</si>
  <si>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</si>
  <si>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</si>
  <si>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</si>
  <si>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</si>
  <si>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</si>
  <si>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</si>
  <si>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</si>
  <si>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</si>
  <si>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</si>
  <si>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</si>
  <si>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</si>
  <si>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</si>
  <si>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</si>
  <si>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</si>
  <si>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</si>
  <si>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</si>
  <si>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</si>
  <si>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</si>
  <si>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</si>
  <si>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</si>
  <si>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</si>
  <si>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</si>
  <si>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</si>
  <si>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</si>
  <si>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</si>
  <si>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</si>
  <si>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</si>
  <si>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</si>
  <si>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</si>
  <si>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</si>
  <si>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</si>
  <si>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</si>
  <si>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</si>
  <si>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</si>
  <si>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</si>
  <si>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</si>
  <si>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</si>
  <si>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</si>
  <si>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</si>
  <si>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</si>
  <si>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</si>
  <si>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</si>
  <si>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</si>
  <si>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</si>
  <si>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</si>
  <si>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</si>
  <si>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</si>
  <si>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</si>
  <si>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</si>
  <si>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</si>
  <si>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</si>
  <si>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</si>
  <si>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</si>
  <si>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</si>
  <si>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</si>
  <si>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</si>
  <si>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</si>
  <si>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</si>
  <si>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</si>
  <si>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</si>
  <si>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</si>
  <si>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</si>
  <si>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</si>
  <si>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</si>
  <si>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</si>
  <si>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</si>
  <si>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</si>
  <si>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</si>
  <si>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</si>
  <si>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</si>
  <si>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</si>
  <si>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</si>
  <si>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</si>
  <si>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</si>
  <si>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</si>
  <si>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</si>
  <si>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</si>
  <si>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</si>
  <si>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</si>
  <si>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</si>
  <si>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</si>
  <si>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</si>
  <si>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</si>
  <si>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</si>
  <si>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</si>
  <si>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</si>
  <si>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</si>
  <si>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</si>
  <si>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</si>
  <si>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</si>
  <si>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</si>
  <si>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</si>
  <si>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</si>
  <si>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</si>
  <si>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</si>
  <si>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</si>
  <si>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</si>
  <si>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</si>
  <si>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</si>
  <si>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</si>
  <si>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</si>
  <si>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</si>
  <si>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</si>
  <si>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</si>
  <si>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</si>
  <si>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</si>
  <si>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</si>
  <si>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</si>
  <si>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</si>
  <si>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</si>
  <si>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</si>
  <si>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</si>
  <si>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</si>
  <si>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</si>
  <si>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</si>
  <si>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</si>
  <si>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</si>
  <si>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</si>
  <si>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</si>
  <si>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</si>
  <si>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</si>
  <si>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</si>
  <si>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</si>
  <si>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</si>
  <si>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</si>
  <si>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</si>
  <si>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</si>
  <si>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</si>
  <si>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</si>
  <si>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</si>
  <si>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</si>
  <si>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</si>
  <si>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</si>
  <si>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</si>
  <si>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</si>
  <si>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</si>
  <si>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</si>
  <si>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</si>
  <si>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</si>
  <si>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</si>
  <si>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</si>
  <si>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</si>
  <si>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</si>
  <si>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</si>
  <si>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</si>
  <si>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</si>
  <si>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</si>
  <si>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</si>
  <si>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</si>
  <si>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</si>
  <si>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</si>
  <si>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</si>
  <si>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</si>
  <si>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</si>
  <si>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</si>
  <si>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</si>
  <si>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</si>
  <si>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</si>
  <si>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</si>
  <si>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</si>
  <si>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</si>
  <si>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</si>
  <si>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</si>
  <si>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</si>
  <si>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</si>
  <si>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</si>
  <si>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</si>
  <si>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</si>
  <si>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</si>
  <si>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</si>
  <si>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</si>
  <si>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</si>
  <si>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</si>
  <si>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</si>
  <si>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</si>
  <si>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</si>
  <si>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</si>
  <si>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</si>
  <si>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</si>
  <si>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</si>
  <si>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</si>
  <si>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</si>
  <si>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</si>
  <si>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</si>
  <si>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</si>
  <si>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</si>
  <si>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</si>
  <si>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</si>
  <si>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</si>
  <si>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</si>
  <si>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</si>
  <si>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</si>
  <si>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</si>
  <si>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</si>
  <si>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</si>
  <si>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</si>
  <si>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</si>
  <si>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</si>
  <si>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</si>
  <si>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</si>
  <si>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</si>
  <si>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</si>
  <si>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</si>
  <si>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</si>
  <si>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</si>
  <si>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</si>
  <si>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</si>
  <si>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</si>
  <si>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</si>
  <si>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</si>
  <si>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</si>
  <si>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</si>
  <si>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</si>
  <si>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</si>
  <si>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</si>
  <si>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</si>
  <si>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</si>
  <si>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</si>
  <si>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</si>
  <si>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</si>
  <si>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</si>
  <si>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</si>
  <si>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</si>
  <si>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</si>
  <si>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</si>
  <si>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</si>
  <si>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</si>
  <si>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</si>
  <si>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</si>
  <si>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</si>
  <si>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</si>
  <si>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</si>
  <si>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</si>
  <si>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</si>
  <si>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</si>
  <si>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</si>
  <si>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</si>
  <si>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</si>
  <si>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</si>
  <si>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</si>
  <si>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</si>
  <si>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</si>
  <si>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</si>
  <si>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</si>
  <si>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</si>
  <si>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</si>
  <si>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</si>
  <si>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</si>
  <si>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</si>
  <si>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</si>
  <si>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</si>
  <si>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</si>
  <si>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</si>
  <si>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</si>
  <si>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</si>
  <si>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</si>
  <si>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</si>
  <si>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</si>
  <si>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</si>
  <si>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</si>
  <si>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</si>
  <si>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</si>
  <si>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</si>
  <si>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</si>
  <si>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</si>
  <si>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</si>
  <si>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</si>
  <si>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</si>
  <si>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</si>
  <si>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</si>
  <si>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</si>
  <si>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</si>
  <si>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</si>
  <si>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</si>
  <si>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</si>
  <si>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</si>
  <si>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</si>
  <si>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</si>
  <si>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</si>
  <si>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</si>
  <si>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</si>
  <si>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</si>
  <si>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</si>
  <si>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</si>
  <si>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</si>
  <si>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</si>
  <si>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</si>
  <si>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</si>
  <si>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</si>
  <si>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</si>
  <si>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</si>
  <si>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</si>
  <si>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</si>
  <si>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</si>
  <si>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</si>
  <si>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</si>
  <si>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</si>
  <si>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</si>
  <si>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</si>
  <si>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</si>
  <si>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</si>
  <si>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</si>
  <si>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</si>
  <si>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</si>
  <si>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</si>
  <si>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</si>
  <si>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</si>
  <si>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</si>
  <si>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</si>
  <si>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</si>
  <si>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</si>
  <si>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</si>
  <si>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</si>
  <si>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</si>
  <si>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</si>
  <si>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</si>
  <si>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</si>
  <si>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</si>
  <si>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</si>
  <si>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</si>
  <si>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</si>
  <si>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</si>
  <si>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</si>
  <si>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</si>
  <si>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</si>
  <si>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</si>
  <si>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</si>
  <si>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</si>
  <si>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</si>
  <si>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</si>
  <si>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</si>
  <si>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</si>
  <si>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</si>
  <si>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</si>
  <si>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</si>
  <si>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</si>
  <si>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</si>
  <si>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</si>
  <si>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</si>
  <si>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</si>
  <si>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</si>
  <si>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</si>
  <si>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</si>
  <si>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</si>
  <si>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</si>
  <si>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</si>
  <si>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</si>
  <si>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</si>
  <si>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</si>
  <si>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</si>
  <si>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</si>
  <si>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</si>
  <si>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</si>
  <si>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</si>
  <si>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</si>
  <si>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</si>
  <si>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</si>
  <si>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</si>
  <si>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</si>
  <si>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</si>
  <si>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</si>
  <si>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</si>
  <si>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</si>
  <si>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</si>
  <si>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</si>
  <si>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</si>
  <si>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</si>
  <si>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</si>
  <si>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</si>
  <si>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</si>
  <si>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</si>
  <si>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</si>
  <si>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</si>
  <si>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</si>
  <si>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</si>
  <si>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</si>
  <si>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</si>
  <si>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</si>
  <si>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</si>
  <si>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</si>
  <si>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</si>
  <si>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</si>
  <si>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</si>
  <si>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</si>
  <si>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</si>
  <si>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</si>
  <si>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</si>
  <si>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</si>
  <si>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</si>
  <si>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</si>
  <si>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</si>
  <si>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</si>
  <si>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</si>
  <si>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</si>
  <si>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</si>
  <si>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</si>
  <si>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</si>
  <si>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</si>
  <si>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</si>
  <si>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</si>
  <si>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</si>
  <si>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</si>
  <si>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</si>
  <si>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</si>
  <si>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</si>
  <si>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</si>
  <si>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</si>
  <si>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</si>
  <si>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</si>
  <si>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</si>
  <si>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</si>
  <si>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</si>
  <si>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</si>
  <si>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</si>
  <si>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</si>
  <si>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</si>
  <si>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</si>
  <si>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</si>
  <si>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</si>
  <si>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</si>
  <si>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</si>
  <si>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</si>
  <si>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</si>
  <si>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</si>
  <si>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</si>
  <si>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</si>
  <si>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</si>
  <si>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</si>
  <si>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</si>
  <si>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</si>
  <si>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</si>
  <si>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</si>
  <si>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</si>
  <si>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</si>
  <si>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</si>
  <si>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</si>
  <si>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</si>
  <si>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</si>
  <si>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</si>
  <si>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</si>
  <si>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</si>
  <si>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</si>
  <si>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</si>
  <si>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</si>
  <si>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</si>
  <si>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</si>
  <si>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</si>
  <si>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</si>
  <si>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</si>
  <si>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</si>
  <si>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</si>
  <si>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</si>
  <si>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</si>
  <si>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</si>
  <si>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</si>
  <si>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</si>
  <si>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</si>
  <si>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</si>
  <si>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</si>
  <si>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</si>
  <si>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</si>
  <si>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</si>
  <si>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</si>
  <si>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</si>
  <si>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</si>
  <si>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</si>
  <si>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</si>
  <si>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</si>
  <si>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</si>
  <si>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</si>
  <si>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</si>
  <si>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</si>
  <si>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</si>
  <si>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</si>
  <si>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</si>
  <si>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</si>
  <si>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</si>
  <si>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</si>
  <si>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</si>
  <si>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</si>
  <si>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</si>
  <si>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</si>
  <si>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</si>
  <si>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</si>
  <si>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</si>
  <si>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</si>
  <si>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</si>
  <si>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</si>
  <si>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</si>
  <si>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</si>
  <si>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</si>
  <si>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</si>
  <si>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</si>
  <si>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</si>
  <si>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</si>
  <si>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</si>
  <si>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</si>
  <si>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</si>
  <si>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</si>
  <si>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</si>
  <si>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</si>
  <si>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</si>
  <si>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</si>
  <si>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</si>
  <si>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</si>
  <si>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</si>
  <si>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</si>
  <si>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</si>
  <si>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</si>
  <si>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</si>
  <si>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</si>
  <si>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</si>
  <si>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</si>
  <si>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</si>
  <si>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</si>
  <si>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</si>
  <si>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</si>
  <si>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</si>
  <si>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</si>
  <si>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</si>
  <si>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</si>
  <si>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</si>
  <si>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</si>
  <si>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</si>
  <si>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</si>
  <si>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</si>
  <si>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</si>
  <si>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</si>
  <si>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</si>
  <si>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</si>
  <si>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</si>
  <si>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</si>
  <si>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</si>
  <si>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</si>
  <si>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Мантуровский муниципальный округ</t>
  </si>
  <si>
    <t>34520000</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</si>
  <si>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</si>
  <si>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</si>
  <si>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</si>
  <si>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</si>
  <si>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</si>
  <si>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</si>
  <si>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</si>
  <si>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</si>
  <si>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</si>
  <si>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</si>
  <si>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</si>
  <si>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</si>
  <si>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</si>
  <si>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</si>
  <si>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</si>
  <si>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</si>
  <si>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</si>
  <si>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</si>
  <si>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</si>
  <si>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</si>
  <si>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</si>
  <si>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</si>
  <si>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</si>
  <si>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</si>
  <si>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</si>
  <si>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</si>
  <si>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</si>
  <si>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</si>
  <si>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</si>
  <si>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</si>
  <si>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</si>
  <si>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</si>
  <si>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</si>
  <si>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</si>
  <si>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</si>
  <si>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</si>
  <si>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</si>
  <si>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</si>
  <si>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</si>
  <si>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</si>
  <si>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</si>
  <si>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</si>
  <si>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</si>
  <si>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</si>
  <si>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</si>
  <si>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</si>
  <si>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</si>
  <si>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</si>
  <si>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</si>
  <si>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</si>
  <si>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</si>
  <si>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</si>
  <si>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</si>
  <si>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</si>
  <si>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</si>
  <si>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</si>
  <si>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</si>
  <si>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</si>
  <si>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</si>
  <si>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</si>
  <si>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</si>
  <si>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</si>
  <si>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</si>
  <si>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</si>
  <si>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</si>
  <si>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</si>
  <si>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</si>
  <si>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</si>
  <si>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</si>
  <si>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</si>
  <si>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</si>
  <si>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</si>
  <si>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</si>
  <si>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</si>
  <si>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</si>
  <si>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</si>
  <si>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</si>
  <si>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</si>
  <si>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</si>
  <si>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</si>
  <si>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</si>
  <si>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</si>
  <si>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</si>
  <si>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</si>
  <si>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</si>
  <si>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</si>
  <si>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</si>
  <si>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</si>
  <si>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</si>
  <si>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</si>
  <si>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</si>
  <si>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</si>
  <si>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</si>
  <si>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</si>
  <si>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</si>
  <si>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</si>
  <si>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</si>
  <si>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</si>
  <si>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</si>
  <si>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</si>
  <si>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</si>
  <si>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</si>
  <si>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</si>
  <si>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</si>
  <si>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</si>
  <si>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</si>
  <si>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</si>
  <si>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</si>
  <si>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</si>
  <si>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</si>
  <si>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</si>
  <si>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</si>
  <si>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</si>
  <si>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</si>
  <si>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</si>
  <si>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</si>
  <si>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</si>
  <si>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</si>
  <si>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</si>
  <si>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</si>
  <si>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</si>
  <si>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</si>
  <si>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</si>
  <si>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</si>
  <si>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</si>
  <si>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</si>
  <si>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</si>
  <si>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</si>
  <si>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</si>
  <si>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</si>
  <si>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</si>
  <si>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</si>
  <si>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</si>
  <si>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</si>
  <si>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</si>
  <si>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</si>
  <si>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</si>
  <si>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</si>
  <si>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</si>
  <si>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</si>
  <si>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</si>
  <si>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</si>
  <si>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</si>
  <si>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</si>
  <si>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</si>
  <si>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</si>
  <si>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</si>
  <si>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</si>
  <si>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</si>
  <si>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</si>
  <si>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</si>
  <si>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</si>
  <si>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</si>
  <si>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</si>
  <si>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</si>
  <si>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</si>
  <si>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</si>
  <si>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</si>
  <si>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</si>
  <si>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</si>
  <si>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</si>
  <si>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</si>
  <si>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</si>
  <si>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</si>
  <si>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</si>
  <si>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</si>
  <si>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</si>
  <si>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</si>
  <si>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</si>
  <si>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</si>
  <si>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</si>
  <si>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</si>
  <si>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</si>
  <si>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</si>
  <si>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</si>
  <si>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</si>
  <si>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</si>
  <si>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</si>
  <si>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</si>
  <si>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</si>
  <si>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</si>
  <si>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</si>
  <si>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</si>
  <si>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</si>
  <si>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</si>
  <si>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</si>
  <si>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</si>
  <si>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</si>
  <si>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</si>
  <si>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</si>
  <si>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</si>
  <si>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44 от 28.10.2019 ООО "Тепловодоканал" в сфере водоснабжения по приведению качества питьевой воды в соответствие с установленными требованиями системы водоснабжения на 2020-2022 годы</t>
  </si>
  <si>
    <t>01.01.2020</t>
  </si>
  <si>
    <t>31.12.2022</t>
  </si>
  <si>
    <t>Инвестиционная программа МУП "Костромагорводоканал" по развитию системы холодного водоснабжения и водоотведения города Кострома на 2018-2021 годы</t>
  </si>
  <si>
    <t>01.01.2018</t>
  </si>
  <si>
    <t>31.12.2021</t>
  </si>
  <si>
    <t>Инвестиционная программа муниципального унитарного предприятия города Костромы "Костромагорводоканал" по развитию систем водоснабжения и водоотведения на 2013-2022 годы</t>
  </si>
  <si>
    <t>23.05.2013</t>
  </si>
  <si>
    <t>Инвестиционная программа от 28.10.2019 ООО "Тепловодоканал" в сфере водоснабжения по приведению качества питьевой воды в соответствие с установленными требованиями систем водоснабжения, на территории городского округа Буй на 2020-2022 годы</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</si>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</sst>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5" formatCode="000000"/>
    <numFmt numFmtId="176" formatCode="#,##0.000"/>
    <numFmt numFmtId="177" formatCode="#,##0.0000"/>
    <numFmt numFmtId="178"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5">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style="thin">
        <color rgb="FFC0C0C0"/>
      </left>
      <right/>
      <top/>
      <bottom style="thin">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245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vertical="top" wrapText="1"/>
    </xf>
    <xf numFmtId="49" fontId="19" fillId="0" borderId="0" xfId="0" applyFont="1" applyNumberFormat="1">
      <alignment vertical="top"/>
    </xf>
    <xf numFmtId="49" fontId="19" fillId="33" borderId="10" xfId="0" applyFont="1" applyFill="1" applyBorder="1" applyNumberFormat="1">
      <alignment horizontal="center" vertical="top"/>
    </xf>
    <xf numFmtId="0" fontId="19" fillId="0" borderId="0" xfId="0" applyFont="1"/>
    <xf numFmtId="0" fontId="19" fillId="34" borderId="0" xfId="0" applyFont="1" applyFill="1"/>
    <xf numFmtId="0" fontId="20" fillId="0" borderId="0" xfId="0" applyFont="1">
      <alignment vertical="center" wrapText="1"/>
    </xf>
    <xf numFmtId="0" fontId="21" fillId="0" borderId="0" xfId="0" applyFont="1">
      <alignment vertical="center" wrapText="1"/>
    </xf>
    <xf numFmtId="0" fontId="19" fillId="34" borderId="0" xfId="0" applyFont="1" applyFill="1">
      <alignment vertical="center" wrapText="1"/>
    </xf>
    <xf numFmtId="0" fontId="19" fillId="0" borderId="0" xfId="0" applyFont="1">
      <alignment vertical="center" wrapText="1"/>
    </xf>
    <xf numFmtId="0" fontId="22" fillId="34" borderId="0" xfId="0" applyFont="1" applyFill="1">
      <alignment vertical="center" wrapText="1"/>
    </xf>
    <xf numFmtId="0" fontId="19" fillId="34" borderId="0" xfId="0" applyFont="1" applyFill="1">
      <alignment horizontal="right" vertical="center" wrapText="1" indent="1"/>
    </xf>
    <xf numFmtId="0" fontId="19" fillId="34" borderId="0" xfId="0" applyFont="1" applyFill="1">
      <alignment horizontal="center" vertical="center" wrapText="1"/>
    </xf>
    <xf numFmtId="0" fontId="21" fillId="0" borderId="0" xfId="0" applyFont="1">
      <alignment horizontal="center" vertical="center" wrapText="1"/>
    </xf>
    <xf numFmtId="0" fontId="23" fillId="34" borderId="0" xfId="0" applyFont="1" applyFill="1">
      <alignment horizontal="center" vertical="center" wrapText="1"/>
    </xf>
    <xf numFmtId="0" fontId="19" fillId="0" borderId="0" xfId="0" applyFon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lignment vertical="center" wrapText="1"/>
    </xf>
    <xf numFmtId="0" fontId="19" fillId="34" borderId="0" xfId="0" applyFont="1" applyFill="1">
      <alignment vertical="center" wrapText="1"/>
    </xf>
    <xf numFmtId="0" fontId="19" fillId="34" borderId="0" xfId="0" applyFont="1" applyFill="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0" fontId="25" fillId="34" borderId="0" xfId="0" applyFont="1" applyFill="1">
      <alignment horizontal="center" vertical="center" wrapText="1"/>
    </xf>
    <xf numFmtId="0" fontId="25" fillId="0" borderId="0" xfId="0" applyFont="1">
      <alignment horizontal="center" vertical="center"/>
    </xf>
    <xf numFmtId="0" fontId="25" fillId="34" borderId="0" xfId="0" applyFont="1" applyFill="1">
      <alignment horizontal="center" vertical="center"/>
    </xf>
    <xf numFmtId="49" fontId="26" fillId="0" borderId="11" xfId="0" applyFont="1" applyBorder="1" applyNumberFormat="1">
      <alignment vertical="top" wrapText="1"/>
    </xf>
    <xf numFmtId="0" fontId="0" fillId="0" borderId="11" xfId="0" applyFont="1" applyBorder="1">
      <alignment vertical="top" wrapText="1"/>
    </xf>
    <xf numFmtId="0" fontId="27" fillId="0" borderId="0" xfId="0" applyFont="1"/>
    <xf numFmtId="0" fontId="19" fillId="34" borderId="0" xfId="0" applyFont="1" applyFill="1">
      <alignment horizontal="center" vertical="center" wrapText="1"/>
    </xf>
    <xf numFmtId="0" fontId="28" fillId="34" borderId="0" xfId="0" applyFont="1" applyFill="1">
      <alignment vertical="center" wrapText="1"/>
    </xf>
    <xf numFmtId="0" fontId="28" fillId="0" borderId="0" xfId="0" applyFont="1">
      <alignment vertical="center" wrapText="1"/>
    </xf>
    <xf numFmtId="0" fontId="20" fillId="0" borderId="0" xfId="0" applyFont="1">
      <alignment horizontal="left" vertical="center" wrapText="1"/>
    </xf>
    <xf numFmtId="49" fontId="20" fillId="0" borderId="0" xfId="0" applyFont="1" applyNumberFormat="1">
      <alignment horizontal="left" vertical="center" wrapText="1"/>
    </xf>
    <xf numFmtId="0" fontId="0" fillId="0" borderId="0" xfId="0" applyFon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lignment vertical="center" wrapText="1"/>
    </xf>
    <xf numFmtId="0" fontId="0" fillId="0" borderId="0" xfId="0" applyFont="1">
      <alignment vertical="center"/>
    </xf>
    <xf numFmtId="0" fontId="19" fillId="34" borderId="12" xfId="0" applyFont="1" applyFill="1" applyBorder="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lignment horizontal="center" vertical="center" wrapText="1"/>
    </xf>
    <xf numFmtId="0" fontId="19" fillId="36" borderId="14" xfId="0" applyFont="1" applyFill="1" applyBorder="1">
      <alignment vertical="center" wrapText="1"/>
    </xf>
    <xf numFmtId="0" fontId="19" fillId="0" borderId="12" xfId="0" applyFont="1" applyBorder="1">
      <alignment horizontal="center" vertical="center" wrapText="1"/>
    </xf>
    <xf numFmtId="0" fontId="30" fillId="0" borderId="0" xfId="0" applyFont="1">
      <alignment vertical="center"/>
    </xf>
    <xf numFmtId="49" fontId="19" fillId="0" borderId="12" xfId="0" applyFont="1" applyBorder="1" applyNumberFormat="1">
      <alignment horizontal="center" vertical="center" wrapText="1"/>
    </xf>
    <xf numFmtId="0" fontId="19" fillId="34" borderId="12" xfId="0" applyFont="1" applyFill="1" applyBorder="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lignment vertical="center" wrapText="1"/>
    </xf>
    <xf numFmtId="0" fontId="31" fillId="0" borderId="0" xfId="0" applyFon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xf numFmtId="0" fontId="32" fillId="34" borderId="0" xfId="0" applyFont="1" applyFill="1">
      <alignment horizontal="center" vertical="center" wrapText="1"/>
    </xf>
    <xf numFmtId="0" fontId="20" fillId="34" borderId="0" xfId="0" applyFont="1" applyFill="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lignment vertical="center"/>
    </xf>
    <xf numFmtId="0" fontId="0" fillId="0" borderId="0" xfId="0" applyFon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lignment horizontal="center" vertical="center" wrapText="1"/>
    </xf>
    <xf numFmtId="49" fontId="19" fillId="0" borderId="0" xfId="0" applyFont="1" applyNumberFormat="1">
      <alignment vertical="top"/>
    </xf>
    <xf numFmtId="0" fontId="0" fillId="0" borderId="0" xfId="0" applyFont="1">
      <alignment vertical="center"/>
    </xf>
    <xf numFmtId="0" fontId="35" fillId="0" borderId="0" xfId="0" applyFont="1">
      <alignment vertical="center" wrapText="1"/>
    </xf>
    <xf numFmtId="49" fontId="19" fillId="0" borderId="16" xfId="0" applyFont="1" applyBorder="1" applyNumberFormat="1">
      <alignment vertical="top"/>
    </xf>
    <xf numFmtId="0" fontId="27" fillId="0" borderId="0" xfId="0" applyFont="1"/>
    <xf numFmtId="49" fontId="36" fillId="0" borderId="0" xfId="0" applyFont="1" applyNumberFormat="1">
      <alignment vertical="top"/>
    </xf>
    <xf numFmtId="0" fontId="36" fillId="0" borderId="0" xfId="0" applyFont="1">
      <alignment vertical="center" wrapText="1"/>
    </xf>
    <xf numFmtId="49" fontId="0" fillId="34" borderId="12" xfId="0" applyFont="1" applyFill="1" applyBorder="1" applyNumberFormat="1">
      <alignment horizontal="center" vertical="center" wrapText="1"/>
    </xf>
    <xf numFmtId="0" fontId="20" fillId="0" borderId="0" xfId="0" applyFon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lignment horizontal="center" vertical="center"/>
    </xf>
    <xf numFmtId="0" fontId="19" fillId="0" borderId="12" xfId="0" applyFont="1" applyBorder="1">
      <alignment vertical="center" wrapText="1"/>
    </xf>
    <xf numFmtId="0" fontId="37"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top" wrapText="1"/>
    </xf>
    <xf numFmtId="49" fontId="19" fillId="0" borderId="12" xfId="0" applyFont="1" applyBorder="1" applyNumberFormat="1">
      <alignment horizontal="center" vertical="center" wrapText="1"/>
    </xf>
    <xf numFmtId="0" fontId="3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5" fillId="0" borderId="0" xfId="0" applyFont="1">
      <alignment horizontal="center" vertical="center" wrapText="1"/>
    </xf>
    <xf numFmtId="0" fontId="25" fillId="0" borderId="0" xfId="0" applyFont="1">
      <alignment horizontal="center" vertical="center" wrapText="1"/>
    </xf>
    <xf numFmtId="0" fontId="19" fillId="0" borderId="0" xfId="0" applyFont="1">
      <alignment horizontal="right" vertical="center" wrapText="1"/>
    </xf>
    <xf numFmtId="4" fontId="19" fillId="0" borderId="0" xfId="0" applyFont="1" applyNumberFormat="1">
      <alignment horizontal="right" vertical="center" wrapText="1"/>
    </xf>
    <xf numFmtId="0" fontId="19" fillId="0" borderId="0" xfId="0" applyFon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lignment vertical="center"/>
    </xf>
    <xf numFmtId="175"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lignment vertical="center" wrapText="1"/>
    </xf>
    <xf numFmtId="0" fontId="34" fillId="0" borderId="0" xfId="0" applyFont="1">
      <alignment vertical="center" wrapText="1"/>
    </xf>
    <xf numFmtId="0" fontId="40" fillId="0" borderId="0" xfId="0" applyFon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lignment vertical="center"/>
    </xf>
    <xf numFmtId="49" fontId="0" fillId="36" borderId="15" xfId="0" applyFont="1" applyFill="1" applyBorder="1" applyNumberFormat="1">
      <alignment horizontal="right" vertical="center" wrapText="1"/>
    </xf>
    <xf numFmtId="0" fontId="39" fillId="0" borderId="11" xfId="0" applyFont="1" applyBorder="1">
      <alignment vertical="center" wrapText="1"/>
    </xf>
    <xf numFmtId="0" fontId="35" fillId="0" borderId="0" xfId="0" applyFont="1">
      <alignment vertical="top" wrapText="1"/>
    </xf>
    <xf numFmtId="0" fontId="19" fillId="0" borderId="11" xfId="0" applyFont="1" applyBorder="1">
      <alignment vertical="center" wrapText="1"/>
    </xf>
    <xf numFmtId="49" fontId="19" fillId="0" borderId="0" xfId="0" applyFont="1" applyNumberFormat="1">
      <alignment vertical="top"/>
    </xf>
    <xf numFmtId="0" fontId="19"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lignment vertical="top" wrapText="1"/>
    </xf>
    <xf numFmtId="0" fontId="25" fillId="0" borderId="0" xfId="0" applyFont="1">
      <alignment horizontal="center" vertical="center" wrapText="1"/>
    </xf>
    <xf numFmtId="49" fontId="0" fillId="0" borderId="17" xfId="0" applyFont="1" applyBorder="1" applyNumberFormat="1">
      <alignment vertical="top"/>
    </xf>
    <xf numFmtId="0" fontId="37" fillId="0" borderId="0" xfId="0" applyFont="1">
      <alignment vertical="center"/>
    </xf>
    <xf numFmtId="0" fontId="42" fillId="0" borderId="0" xfId="0" applyFon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lignment horizontal="center" vertical="center" wrapText="1"/>
    </xf>
    <xf numFmtId="0" fontId="35" fillId="0" borderId="0" xfId="0" applyFont="1">
      <alignment vertical="center" wrapText="1"/>
    </xf>
    <xf numFmtId="0" fontId="37" fillId="0" borderId="0" xfId="0" applyFont="1">
      <alignment horizontal="center" vertical="center" wrapText="1"/>
    </xf>
    <xf numFmtId="0" fontId="0" fillId="0" borderId="12" xfId="0" applyFont="1" applyBorder="1">
      <alignment horizontal="left" vertical="center" wrapText="1"/>
    </xf>
    <xf numFmtId="49" fontId="24"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7" fillId="0" borderId="0" xfId="0" applyFont="1">
      <alignment vertical="center"/>
    </xf>
    <xf numFmtId="0" fontId="37" fillId="0" borderId="0" xfId="0" applyFont="1">
      <alignment horizontal="left" vertical="center" wrapText="1" indent="1"/>
    </xf>
    <xf numFmtId="0" fontId="36"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19" fillId="0" borderId="0" xfId="0" applyFont="1" applyNumberFormat="1">
      <alignment vertical="center" wrapText="1"/>
    </xf>
    <xf numFmtId="0" fontId="0" fillId="0" borderId="0" xfId="0" applyFont="1">
      <alignment horizontal="left" vertical="center" indent="1"/>
    </xf>
    <xf numFmtId="0" fontId="37" fillId="0" borderId="0" xfId="0" applyFont="1">
      <alignment horizontal="left" vertical="center" indent="1"/>
    </xf>
    <xf numFmtId="0" fontId="37" fillId="0" borderId="0" xfId="0" applyFont="1">
      <alignment horizontal="left" vertical="center" indent="1"/>
    </xf>
    <xf numFmtId="0" fontId="37" fillId="0" borderId="22" xfId="0" applyFont="1" applyBorder="1">
      <alignment vertical="center"/>
    </xf>
    <xf numFmtId="0" fontId="19"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lignment horizontal="left" vertical="center" wrapText="1" indent="2"/>
    </xf>
    <xf numFmtId="0" fontId="19" fillId="0" borderId="12" xfId="0" applyFont="1" applyBorder="1">
      <alignment vertical="top" wrapText="1"/>
    </xf>
    <xf numFmtId="0" fontId="0" fillId="38" borderId="12" xfId="0" applyFont="1" applyFill="1" applyBorder="1">
      <alignment horizontal="left" vertical="center" wrapText="1"/>
      <protection locked="0"/>
    </xf>
    <xf numFmtId="0" fontId="19" fillId="0" borderId="12" xfId="0" applyFont="1" applyBorder="1">
      <alignment horizontal="left" vertical="top" wrapText="1"/>
    </xf>
    <xf numFmtId="0" fontId="19" fillId="0" borderId="12" xfId="0" applyFont="1" applyBorder="1">
      <alignment horizontal="left" vertical="center" wrapText="1"/>
    </xf>
    <xf numFmtId="0" fontId="19" fillId="0" borderId="12" xfId="0" applyFont="1" applyBorder="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19" fillId="0" borderId="0" xfId="0" applyFon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lignment vertical="top"/>
    </xf>
    <xf numFmtId="49" fontId="37" fillId="0" borderId="0" xfId="0" applyFont="1" applyNumberFormat="1">
      <alignment vertical="top"/>
    </xf>
    <xf numFmtId="0" fontId="0" fillId="0" borderId="0" xfId="0" applyFont="1">
      <alignment vertical="top"/>
    </xf>
    <xf numFmtId="49" fontId="19" fillId="0" borderId="12" xfId="0" applyFont="1" applyBorder="1" applyNumberFormat="1">
      <alignment horizontal="right" vertical="center"/>
    </xf>
    <xf numFmtId="0" fontId="57" fillId="0" borderId="0" xfId="0" applyFont="1">
      <alignment vertical="center"/>
    </xf>
    <xf numFmtId="0" fontId="37" fillId="0" borderId="0" xfId="0" applyFont="1">
      <alignment vertical="center"/>
    </xf>
    <xf numFmtId="0" fontId="35" fillId="0" borderId="0" xfId="0" applyFont="1">
      <alignment horizontal="center" vertical="center" wrapText="1"/>
    </xf>
    <xf numFmtId="0" fontId="0" fillId="0" borderId="0" xfId="0" applyFont="1">
      <alignment horizontal="center" vertical="center"/>
    </xf>
    <xf numFmtId="0" fontId="37" fillId="0" borderId="0" xfId="0" applyFont="1">
      <alignment vertical="center" wrapText="1"/>
    </xf>
    <xf numFmtId="0" fontId="19" fillId="0" borderId="12" xfId="0" applyFont="1" applyBorder="1">
      <alignment horizontal="left" vertical="center" wrapText="1"/>
    </xf>
    <xf numFmtId="0" fontId="58" fillId="0" borderId="0" xfId="0" applyFont="1">
      <alignment vertical="center"/>
    </xf>
    <xf numFmtId="49" fontId="24" fillId="34" borderId="0" xfId="0" applyFont="1" applyFill="1" applyNumberFormat="1">
      <alignment horizontal="center" vertical="center" wrapText="1"/>
    </xf>
    <xf numFmtId="0" fontId="0" fillId="0" borderId="0" xfId="0" applyFont="1">
      <alignment vertical="center"/>
    </xf>
    <xf numFmtId="0" fontId="19" fillId="0" borderId="12" xfId="0" applyFont="1" applyBorder="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lignment horizontal="left" vertical="center" wrapText="1" indent="4"/>
    </xf>
    <xf numFmtId="0" fontId="19" fillId="34" borderId="12" xfId="0" applyFont="1" applyFill="1" applyBorder="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lignment vertical="center" wrapText="1"/>
    </xf>
    <xf numFmtId="0" fontId="35" fillId="0" borderId="0" xfId="0" applyFont="1">
      <alignment vertical="center" wrapText="1"/>
    </xf>
    <xf numFmtId="0" fontId="59" fillId="34" borderId="0" xfId="0" applyFont="1" applyFill="1">
      <alignment vertical="center" wrapText="1"/>
    </xf>
    <xf numFmtId="49" fontId="19" fillId="0" borderId="12" xfId="0" applyFont="1" applyBorder="1" applyNumberFormat="1">
      <alignment horizontal="center" vertical="center" wrapText="1"/>
    </xf>
    <xf numFmtId="49" fontId="29"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19" fillId="0" borderId="12" xfId="0" applyFont="1" applyBorder="1">
      <alignment vertical="top" wrapText="1"/>
    </xf>
    <xf numFmtId="0" fontId="19" fillId="0" borderId="12" xfId="0" applyFont="1" applyBorder="1">
      <alignment vertical="center" wrapText="1"/>
    </xf>
    <xf numFmtId="0" fontId="57" fillId="0" borderId="0" xfId="0" applyFont="1">
      <alignment vertical="center"/>
    </xf>
    <xf numFmtId="0" fontId="19" fillId="0" borderId="12" xfId="0" applyFont="1" applyBorder="1">
      <alignment horizontal="left" vertical="center" wrapText="1" indent="6"/>
    </xf>
    <xf numFmtId="0" fontId="19" fillId="0" borderId="17" xfId="0" applyFont="1" applyBorder="1">
      <alignment vertical="center" wrapText="1"/>
    </xf>
    <xf numFmtId="0" fontId="19"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176" fontId="0" fillId="38" borderId="12" xfId="0" applyFont="1" applyFill="1" applyBorder="1" applyNumberFormat="1">
      <alignment horizontal="right" vertical="center"/>
      <protection locked="0"/>
    </xf>
    <xf numFmtId="0" fontId="0" fillId="34" borderId="14" xfId="0" applyFont="1" applyFill="1" applyBorder="1">
      <alignment horizontal="right" vertical="center" wrapText="1" indent="1"/>
    </xf>
    <xf numFmtId="49" fontId="20" fillId="0" borderId="0" xfId="0" applyFont="1" applyNumberFormat="1">
      <alignment vertical="top"/>
    </xf>
    <xf numFmtId="0" fontId="28" fillId="34" borderId="0" xfId="0" applyFont="1" applyFill="1">
      <alignment vertical="center" wrapText="1"/>
    </xf>
    <xf numFmtId="49" fontId="60" fillId="36" borderId="14" xfId="0" applyFont="1" applyFill="1" applyBorder="1" applyNumberFormat="1">
      <alignment horizontal="center" vertical="center"/>
    </xf>
    <xf numFmtId="0" fontId="19" fillId="34" borderId="12" xfId="0" applyFont="1" applyFill="1" applyBorder="1">
      <alignment horizontal="left" vertical="center" wrapText="1" indent="1"/>
    </xf>
    <xf numFmtId="0" fontId="19" fillId="34" borderId="12" xfId="0" applyFont="1" applyFill="1" applyBorder="1">
      <alignment horizontal="left" vertical="center" wrapText="1" indent="2"/>
    </xf>
    <xf numFmtId="0" fontId="19" fillId="34" borderId="12" xfId="0" applyFont="1" applyFill="1" applyBorder="1">
      <alignment horizontal="left" vertical="center" wrapText="1" indent="3"/>
    </xf>
    <xf numFmtId="0" fontId="19" fillId="0" borderId="12" xfId="0" applyFont="1" applyBorder="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lignment vertical="center" wrapText="1"/>
    </xf>
    <xf numFmtId="49" fontId="19" fillId="0" borderId="12" xfId="0" applyFont="1" applyBorder="1" applyNumberFormat="1">
      <alignment vertical="center" wrapText="1"/>
    </xf>
    <xf numFmtId="0" fontId="19" fillId="0" borderId="0" xfId="0" applyFon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0" fillId="0" borderId="0" xfId="0" applyFont="1">
      <alignment horizontal="right" vertical="center" wrapText="1" indent="1"/>
    </xf>
    <xf numFmtId="0" fontId="39" fillId="34" borderId="0" xfId="0" applyFont="1" applyFill="1">
      <alignment horizontal="center" vertical="center" wrapText="1"/>
    </xf>
    <xf numFmtId="49" fontId="60" fillId="36" borderId="15" xfId="0" applyFont="1" applyFill="1" applyBorder="1" applyNumberFormat="1">
      <alignment horizontal="left" vertical="center"/>
    </xf>
    <xf numFmtId="0" fontId="19" fillId="0" borderId="0" xfId="0" applyFon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lignment vertical="center" wrapText="1"/>
    </xf>
    <xf numFmtId="0" fontId="19" fillId="0" borderId="0" xfId="0" applyFont="1">
      <alignment vertical="center" wrapText="1"/>
    </xf>
    <xf numFmtId="4" fontId="3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1"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2" fillId="0" borderId="0" xfId="0" applyFont="1">
      <alignment vertical="center" wrapText="1"/>
    </xf>
    <xf numFmtId="0" fontId="19" fillId="0" borderId="0" xfId="0" applyFont="1">
      <alignment vertical="top"/>
    </xf>
    <xf numFmtId="0" fontId="19" fillId="0" borderId="0" xfId="0" applyFont="1">
      <alignment horizontal="right" vertical="top" wrapText="1"/>
    </xf>
    <xf numFmtId="0" fontId="19" fillId="0" borderId="17" xfId="0" applyFont="1" applyBorder="1">
      <alignment vertical="center" wrapText="1"/>
    </xf>
    <xf numFmtId="49" fontId="33" fillId="36" borderId="15" xfId="0" applyFont="1" applyFill="1" applyBorder="1" applyNumberFormat="1">
      <alignment horizontal="center" vertical="top"/>
    </xf>
    <xf numFmtId="0" fontId="19" fillId="0" borderId="23" xfId="0" applyFont="1" applyBorder="1">
      <alignment vertical="top" wrapText="1"/>
    </xf>
    <xf numFmtId="0" fontId="0" fillId="0" borderId="0" xfId="0" applyFont="1">
      <alignment horizontal="left" vertical="top" wrapText="1"/>
    </xf>
    <xf numFmtId="0" fontId="19" fillId="0" borderId="17" xfId="0" applyFont="1" applyBorder="1">
      <alignment vertical="top" wrapText="1"/>
    </xf>
    <xf numFmtId="0" fontId="19" fillId="0" borderId="0" xfId="0" applyFont="1">
      <alignment vertical="center" wrapText="1"/>
    </xf>
    <xf numFmtId="49" fontId="19" fillId="0" borderId="0" xfId="0" applyFont="1" applyNumberFormat="1">
      <alignment vertical="top"/>
    </xf>
    <xf numFmtId="0" fontId="28" fillId="0" borderId="0" xfId="0" applyFont="1">
      <alignment vertical="center" wrapText="1"/>
    </xf>
    <xf numFmtId="0" fontId="19" fillId="0" borderId="12" xfId="0" applyFont="1" applyBorder="1">
      <alignment vertical="center" wrapText="1"/>
    </xf>
    <xf numFmtId="49" fontId="19" fillId="0" borderId="0" xfId="0" applyFont="1" applyNumberFormat="1">
      <alignment horizontal="center" vertical="center" wrapText="1"/>
    </xf>
    <xf numFmtId="0" fontId="19" fillId="36" borderId="14" xfId="0" applyFont="1" applyFill="1" applyBorder="1">
      <alignment vertical="center" wrapText="1"/>
    </xf>
    <xf numFmtId="0" fontId="19"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lignment vertical="center"/>
    </xf>
    <xf numFmtId="0" fontId="63" fillId="0" borderId="0" xfId="0" applyFont="1">
      <alignment vertical="center" wrapText="1"/>
    </xf>
    <xf numFmtId="0" fontId="31" fillId="34" borderId="0" xfId="0" applyFont="1" applyFill="1">
      <alignment horizontal="center" vertical="center" wrapText="1"/>
    </xf>
    <xf numFmtId="0" fontId="19" fillId="0" borderId="24" xfId="0" applyFont="1" applyBorder="1">
      <alignment vertical="center" wrapText="1"/>
    </xf>
    <xf numFmtId="0" fontId="25" fillId="0" borderId="0" xfId="0" applyFont="1">
      <alignment vertical="center" wrapText="1"/>
    </xf>
    <xf numFmtId="49" fontId="19" fillId="0" borderId="24" xfId="0" applyFont="1" applyBorder="1" applyNumberFormat="1">
      <alignment vertical="top"/>
    </xf>
    <xf numFmtId="0" fontId="37" fillId="0" borderId="24" xfId="0" applyFont="1" applyBorder="1">
      <alignment horizontal="center" vertical="center" wrapText="1"/>
    </xf>
    <xf numFmtId="0" fontId="37" fillId="0" borderId="24" xfId="0" applyFont="1" applyBorder="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lignment vertical="center" wrapText="1"/>
    </xf>
    <xf numFmtId="0" fontId="20" fillId="0" borderId="0" xfId="0" applyFont="1">
      <alignment horizontal="center" vertical="center" wrapText="1"/>
    </xf>
    <xf numFmtId="0" fontId="20" fillId="0" borderId="0" xfId="0" applyFont="1">
      <alignment vertical="center" wrapText="1"/>
    </xf>
    <xf numFmtId="0" fontId="19" fillId="34" borderId="0" xfId="0" applyFont="1" applyFill="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lignment vertical="center"/>
    </xf>
    <xf numFmtId="0" fontId="19" fillId="0" borderId="0" xfId="0" applyFon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0" fontId="19" fillId="0" borderId="0" xfId="0" applyFon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6"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lignment horizontal="center" vertical="center" wrapText="1"/>
    </xf>
    <xf numFmtId="0" fontId="25" fillId="34" borderId="0" xfId="0" applyFont="1" applyFill="1">
      <alignment horizontal="center" vertical="center" wrapText="1"/>
    </xf>
    <xf numFmtId="0" fontId="0" fillId="0" borderId="12" xfId="0" applyFont="1" applyBorder="1">
      <alignment horizontal="left" vertical="center" wrapText="1"/>
    </xf>
    <xf numFmtId="0" fontId="19" fillId="34" borderId="0" xfId="0" applyFont="1" applyFill="1">
      <alignment horizontal="center" vertical="center" wrapText="1"/>
    </xf>
    <xf numFmtId="0" fontId="39" fillId="0" borderId="0" xfId="0" applyFont="1">
      <alignment vertical="top" wrapText="1"/>
    </xf>
    <xf numFmtId="0" fontId="19"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19" fillId="0" borderId="0" xfId="0" applyFont="1">
      <alignment horizontal="left" vertical="center" wrapText="1" indent="4"/>
    </xf>
    <xf numFmtId="0" fontId="19" fillId="34" borderId="0" xfId="0" applyFont="1" applyFill="1">
      <alignment horizontal="center" vertical="center" wrapText="1"/>
    </xf>
    <xf numFmtId="49" fontId="29" fillId="36" borderId="15" xfId="0" applyFont="1" applyFill="1" applyBorder="1" applyNumberFormat="1">
      <alignment horizontal="left" vertical="center"/>
    </xf>
    <xf numFmtId="0" fontId="19" fillId="0" borderId="19" xfId="0" applyFont="1" applyBorder="1">
      <alignment vertical="center" wrapText="1"/>
    </xf>
    <xf numFmtId="0" fontId="19" fillId="0" borderId="0" xfId="0" applyFont="1">
      <alignment horizontal="left" vertical="center" wrapText="1" indent="1"/>
    </xf>
    <xf numFmtId="0" fontId="62" fillId="0" borderId="0" xfId="0" applyFont="1">
      <alignment vertical="center" wrapText="1"/>
    </xf>
    <xf numFmtId="49" fontId="0" fillId="34" borderId="14" xfId="0" applyFont="1" applyFill="1" applyBorder="1" applyNumberFormat="1">
      <alignment horizontal="center" vertical="center" wrapText="1"/>
    </xf>
    <xf numFmtId="0" fontId="19" fillId="36" borderId="27" xfId="0" applyFont="1" applyFill="1" applyBorder="1">
      <alignment vertical="center" wrapText="1"/>
    </xf>
    <xf numFmtId="49" fontId="29" fillId="36" borderId="28"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lignment horizontal="right" vertical="center"/>
    </xf>
    <xf numFmtId="0" fontId="21" fillId="0" borderId="0" xfId="0" applyFont="1">
      <alignment vertical="center" wrapText="1"/>
    </xf>
    <xf numFmtId="0" fontId="19" fillId="0" borderId="0" xfId="0" applyFont="1">
      <alignment vertical="center" wrapText="1"/>
    </xf>
    <xf numFmtId="0" fontId="22" fillId="34" borderId="0" xfId="0" applyFont="1" applyFill="1">
      <alignment vertical="center" wrapText="1"/>
    </xf>
    <xf numFmtId="0" fontId="20" fillId="0" borderId="0" xfId="0" applyFont="1">
      <alignment horizontal="center" vertical="center" wrapText="1"/>
    </xf>
    <xf numFmtId="0" fontId="0" fillId="0" borderId="0" xfId="0" applyFont="1">
      <alignment vertical="center" wrapText="1"/>
    </xf>
    <xf numFmtId="0" fontId="20" fillId="0" borderId="0" xfId="0" applyFont="1">
      <alignment horizontal="left" vertical="center" wrapText="1"/>
    </xf>
    <xf numFmtId="0" fontId="0" fillId="0" borderId="12" xfId="0" applyFont="1" applyBorder="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lignment vertical="center" wrapText="1"/>
    </xf>
    <xf numFmtId="0" fontId="0" fillId="0" borderId="0" xfId="0" applyFont="1">
      <alignment vertical="center"/>
    </xf>
    <xf numFmtId="49" fontId="37" fillId="0" borderId="0" xfId="0" applyFont="1" applyNumberFormat="1">
      <alignment vertical="top"/>
    </xf>
    <xf numFmtId="0" fontId="64" fillId="0" borderId="0" xfId="0" applyFon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3"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19" fillId="0" borderId="0" xfId="0" applyFont="1">
      <alignment vertical="center" wrapText="1"/>
    </xf>
    <xf numFmtId="49" fontId="24" fillId="34" borderId="0" xfId="0" applyFont="1" applyFill="1" applyNumberFormat="1">
      <alignment horizontal="center" vertical="center" wrapText="1"/>
    </xf>
    <xf numFmtId="0" fontId="20" fillId="0" borderId="0" xfId="0" applyFont="1">
      <alignment vertical="center" wrapText="1"/>
    </xf>
    <xf numFmtId="0" fontId="25" fillId="34" borderId="0" xfId="0" applyFont="1" applyFill="1">
      <alignment horizontal="center" vertical="center" wrapText="1"/>
    </xf>
    <xf numFmtId="0" fontId="25" fillId="0" borderId="0" xfId="0" applyFont="1">
      <alignment horizontal="center" vertical="center" wrapText="1"/>
    </xf>
    <xf numFmtId="0" fontId="31" fillId="0" borderId="0" xfId="0" applyFont="1">
      <alignment vertical="center" wrapText="1"/>
    </xf>
    <xf numFmtId="0" fontId="35" fillId="0" borderId="0" xfId="0" applyFont="1">
      <alignment horizontal="center" vertical="center" wrapText="1"/>
    </xf>
    <xf numFmtId="0" fontId="34" fillId="0" borderId="0" xfId="0" applyFont="1">
      <alignment vertical="center" wrapText="1"/>
    </xf>
    <xf numFmtId="0" fontId="0" fillId="34" borderId="0" xfId="0" applyFont="1" applyFill="1"/>
    <xf numFmtId="0" fontId="0" fillId="34" borderId="0" xfId="0" applyFont="1" applyFill="1">
      <alignment horizontal="center"/>
    </xf>
    <xf numFmtId="0" fontId="19"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19" fillId="34" borderId="0" xfId="0" applyFont="1" applyFill="1">
      <alignment horizontal="center" vertical="center" wrapText="1"/>
    </xf>
    <xf numFmtId="0" fontId="24" fillId="34" borderId="0" xfId="0" applyFont="1" applyFill="1">
      <alignment horizontal="center" vertical="center"/>
    </xf>
    <xf numFmtId="0" fontId="19" fillId="0" borderId="12" xfId="0" applyFont="1" applyBorder="1">
      <alignment horizontal="center" vertical="center" wrapText="1"/>
    </xf>
    <xf numFmtId="0" fontId="34" fillId="0" borderId="0" xfId="0" applyFont="1">
      <alignment vertical="top" wrapText="1"/>
    </xf>
    <xf numFmtId="0" fontId="19" fillId="36" borderId="14" xfId="0" applyFont="1" applyFill="1" applyBorder="1">
      <alignment horizontal="center"/>
    </xf>
    <xf numFmtId="0" fontId="60" fillId="36" borderId="15" xfId="0" applyFont="1" applyFill="1" applyBorder="1">
      <alignment horizontal="left" vertical="center"/>
    </xf>
    <xf numFmtId="0" fontId="60"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lignment horizontal="center" vertical="center" wrapText="1"/>
    </xf>
    <xf numFmtId="0" fontId="19" fillId="34" borderId="12" xfId="0" applyFont="1" applyFill="1" applyBorder="1">
      <alignment vertical="center" wrapText="1"/>
    </xf>
    <xf numFmtId="0" fontId="55" fillId="34" borderId="0" xfId="0" applyFont="1" applyFill="1"/>
    <xf numFmtId="0" fontId="41"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4" fillId="34" borderId="0" xfId="0" applyFont="1" applyFill="1">
      <alignment horizontal="center" vertical="center" wrapText="1"/>
    </xf>
    <xf numFmtId="0" fontId="54" fillId="0" borderId="0" xfId="0" applyFont="1">
      <alignment vertical="center" wrapText="1"/>
    </xf>
    <xf numFmtId="0" fontId="37" fillId="0" borderId="0" xfId="0" applyFont="1">
      <alignment vertical="center" wrapText="1"/>
    </xf>
    <xf numFmtId="49" fontId="19" fillId="39" borderId="12" xfId="0" applyFont="1" applyFill="1" applyBorder="1" applyNumberFormat="1">
      <alignment horizontal="left" vertical="center" wrapText="1"/>
    </xf>
    <xf numFmtId="0" fontId="54" fillId="0" borderId="0" xfId="0" applyFont="1">
      <alignment horizontal="center" vertical="center" wrapText="1"/>
    </xf>
    <xf numFmtId="0" fontId="19" fillId="34" borderId="24" xfId="0" applyFont="1" applyFill="1" applyBorder="1">
      <alignment vertical="center" wrapText="1"/>
    </xf>
    <xf numFmtId="49" fontId="24" fillId="34" borderId="15" xfId="0" applyFont="1" applyFill="1" applyBorder="1" applyNumberFormat="1">
      <alignment horizontal="center" vertical="center" wrapText="1"/>
    </xf>
    <xf numFmtId="0" fontId="37" fillId="0" borderId="0" xfId="0" applyFont="1">
      <alignment horizontal="center" vertical="center" wrapText="1"/>
    </xf>
    <xf numFmtId="0" fontId="69" fillId="0" borderId="0" xfId="0" applyFont="1">
      <alignment horizontal="center" vertical="center" wrapText="1"/>
    </xf>
    <xf numFmtId="0" fontId="63" fillId="0" borderId="0" xfId="0" applyFont="1">
      <alignment vertical="center" wrapText="1"/>
    </xf>
    <xf numFmtId="49" fontId="63" fillId="0" borderId="12" xfId="0" applyFont="1" applyBorder="1" applyNumberFormat="1">
      <alignment horizontal="left" vertical="center" wrapText="1"/>
    </xf>
    <xf numFmtId="0" fontId="70" fillId="34" borderId="0" xfId="0" applyFont="1" applyFill="1">
      <alignment horizontal="center" vertical="center" wrapText="1"/>
    </xf>
    <xf numFmtId="49" fontId="63" fillId="0" borderId="17" xfId="0" applyFont="1" applyBorder="1" applyNumberFormat="1">
      <alignment horizontal="left" vertical="center" wrapText="1"/>
    </xf>
    <xf numFmtId="0" fontId="37" fillId="0" borderId="0" xfId="0" applyFont="1">
      <alignment vertical="center"/>
    </xf>
    <xf numFmtId="0" fontId="37" fillId="34" borderId="0" xfId="0" applyFont="1" applyFill="1"/>
    <xf numFmtId="0" fontId="37" fillId="34" borderId="0" xfId="0" applyFont="1" applyFill="1">
      <alignment vertical="center" wrapText="1"/>
    </xf>
    <xf numFmtId="0" fontId="37" fillId="0" borderId="0" xfId="0" applyFont="1">
      <alignment vertical="center" wrapText="1"/>
    </xf>
    <xf numFmtId="49" fontId="19" fillId="0" borderId="0" xfId="0" applyFont="1" applyNumberFormat="1">
      <alignment vertical="top"/>
    </xf>
    <xf numFmtId="0" fontId="19" fillId="0" borderId="0" xfId="0" applyFont="1">
      <alignment vertical="center" wrapText="1"/>
    </xf>
    <xf numFmtId="0" fontId="25" fillId="34" borderId="0" xfId="0" applyFont="1" applyFill="1">
      <alignment horizontal="center" vertical="center" wrapText="1"/>
    </xf>
    <xf numFmtId="0" fontId="31" fillId="0" borderId="0" xfId="0" applyFont="1">
      <alignment vertical="center" wrapText="1"/>
    </xf>
    <xf numFmtId="49" fontId="19" fillId="0" borderId="12" xfId="0" applyFont="1" applyBorder="1" applyNumberFormat="1">
      <alignment horizontal="left" vertical="center" wrapText="1"/>
    </xf>
    <xf numFmtId="0" fontId="19" fillId="0" borderId="0" xfId="0" applyFont="1">
      <alignment vertical="center" wrapText="1"/>
    </xf>
    <xf numFmtId="49" fontId="37" fillId="0" borderId="0" xfId="0" applyFont="1" applyNumberFormat="1">
      <alignment vertical="center" wrapText="1"/>
    </xf>
    <xf numFmtId="0" fontId="37" fillId="0" borderId="0" xfId="0" applyFont="1">
      <alignment vertical="center" wrapText="1"/>
    </xf>
    <xf numFmtId="0" fontId="19" fillId="0" borderId="12" xfId="0" applyFont="1" applyBorder="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lignment horizontal="left" vertical="center" wrapText="1"/>
    </xf>
    <xf numFmtId="49" fontId="37" fillId="0" borderId="0" xfId="0" applyFont="1" applyNumberFormat="1">
      <alignment horizontal="left" vertical="center" wrapText="1"/>
    </xf>
    <xf numFmtId="0" fontId="37" fillId="0" borderId="0" xfId="0" applyFon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0" borderId="0" xfId="0" applyFont="1">
      <alignment horizontal="center" vertical="center" wrapText="1"/>
    </xf>
    <xf numFmtId="0" fontId="19" fillId="0" borderId="12" xfId="0" applyFont="1" applyBorder="1">
      <alignment horizontal="center" vertical="center" wrapText="1"/>
    </xf>
    <xf numFmtId="49" fontId="19" fillId="39" borderId="12" xfId="0" applyFont="1" applyFill="1" applyBorder="1" applyNumberFormat="1">
      <alignment horizontal="center" vertical="center" wrapText="1"/>
    </xf>
    <xf numFmtId="0" fontId="72" fillId="0" borderId="0" xfId="0" applyFont="1">
      <alignment horizontal="center" vertical="center" wrapText="1"/>
    </xf>
    <xf numFmtId="0" fontId="25" fillId="0" borderId="0" xfId="0" applyFon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lignment horizontal="left" vertical="center" wrapText="1"/>
    </xf>
    <xf numFmtId="49" fontId="39" fillId="36" borderId="15" xfId="0" applyFont="1" applyFill="1" applyBorder="1" applyNumberFormat="1">
      <alignment horizontal="center" vertical="center"/>
    </xf>
    <xf numFmtId="0" fontId="21" fillId="0" borderId="0" xfId="0" applyFont="1">
      <alignment vertical="center" wrapText="1"/>
    </xf>
    <xf numFmtId="0" fontId="20" fillId="0" borderId="0" xfId="0" applyFont="1">
      <alignment horizontal="center" vertical="center" wrapText="1"/>
    </xf>
    <xf numFmtId="0" fontId="19" fillId="0" borderId="0" xfId="0" applyFont="1">
      <alignment horizontal="center" vertical="center" wrapText="1"/>
    </xf>
    <xf numFmtId="0" fontId="19" fillId="0" borderId="0" xfId="0" applyFont="1">
      <alignment vertical="center" wrapText="1"/>
    </xf>
    <xf numFmtId="0" fontId="36" fillId="0" borderId="0" xfId="0" applyFont="1">
      <alignment horizontal="center" vertical="center" wrapText="1"/>
    </xf>
    <xf numFmtId="0" fontId="73" fillId="0" borderId="0" xfId="0" applyFont="1">
      <alignment vertical="center" wrapText="1"/>
    </xf>
    <xf numFmtId="49" fontId="36" fillId="0" borderId="0" xfId="0" applyFont="1" applyNumberFormat="1">
      <alignment horizontal="center" vertical="center" wrapText="1"/>
    </xf>
    <xf numFmtId="0" fontId="36" fillId="0" borderId="0" xfId="0" applyFon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7" fontId="19" fillId="35" borderId="12" xfId="0" applyFont="1" applyFill="1" applyBorder="1" applyNumberFormat="1">
      <alignment horizontal="right" vertical="center" wrapText="1"/>
      <protection locked="0"/>
    </xf>
    <xf numFmtId="0" fontId="19" fillId="0" borderId="29" xfId="0" applyFont="1" applyBorder="1">
      <alignment horizontal="center" vertical="center" wrapText="1"/>
    </xf>
    <xf numFmtId="0" fontId="19" fillId="38" borderId="12" xfId="0" applyFont="1" applyFill="1" applyBorder="1">
      <alignment horizontal="left" vertical="center" wrapText="1" indent="2"/>
      <protection locked="0"/>
    </xf>
    <xf numFmtId="49" fontId="37" fillId="0" borderId="0" xfId="0" applyFont="1" applyNumberFormat="1">
      <alignment horizontal="center" vertical="center" wrapText="1"/>
    </xf>
    <xf numFmtId="0" fontId="37" fillId="0" borderId="29" xfId="0" applyFont="1" applyBorder="1">
      <alignment horizontal="center" vertical="center" wrapText="1"/>
    </xf>
    <xf numFmtId="0" fontId="37" fillId="0" borderId="12" xfId="0" applyFont="1" applyBorder="1">
      <alignment horizontal="left" vertical="center" wrapText="1" indent="2"/>
    </xf>
    <xf numFmtId="0" fontId="37" fillId="0" borderId="12" xfId="0" applyFont="1" applyBorder="1">
      <alignment horizontal="center" vertical="center" wrapText="1"/>
    </xf>
    <xf numFmtId="0" fontId="37" fillId="0" borderId="12" xfId="0" applyFont="1" applyBorder="1">
      <alignment vertical="center" wrapText="1"/>
    </xf>
    <xf numFmtId="0" fontId="19" fillId="0" borderId="12" xfId="0" applyFont="1" applyBorder="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lignment horizontal="left" vertical="center" wrapText="1"/>
      <protection locked="0"/>
    </xf>
    <xf numFmtId="0" fontId="35" fillId="0" borderId="0" xfId="0" applyFon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lignment horizontal="left" vertical="center" wrapText="1" indent="1"/>
    </xf>
    <xf numFmtId="49" fontId="63" fillId="0" borderId="0" xfId="0" applyFont="1" applyNumberFormat="1">
      <alignment horizontal="center" vertical="center" wrapText="1"/>
    </xf>
    <xf numFmtId="49" fontId="63" fillId="0" borderId="29" xfId="0" applyFont="1" applyBorder="1" applyNumberFormat="1">
      <alignment horizontal="center" vertical="center" wrapText="1"/>
    </xf>
    <xf numFmtId="0" fontId="63" fillId="0" borderId="12" xfId="0" applyFont="1" applyBorder="1">
      <alignment horizontal="left" vertical="center" wrapText="1" indent="2"/>
    </xf>
    <xf numFmtId="0" fontId="63" fillId="0" borderId="12" xfId="0" applyFont="1" applyBorder="1">
      <alignment horizontal="center" vertical="center" wrapText="1"/>
    </xf>
    <xf numFmtId="0" fontId="63"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3" fillId="0" borderId="29" xfId="0" applyFont="1" applyBorder="1">
      <alignment horizontal="center" vertical="center" wrapText="1"/>
    </xf>
    <xf numFmtId="0" fontId="63" fillId="0" borderId="12" xfId="0" applyFont="1" applyBorder="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lignment vertical="center" wrapText="1"/>
    </xf>
    <xf numFmtId="0" fontId="36" fillId="36" borderId="13" xfId="0" applyFont="1" applyFill="1" applyBorder="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lignment horizontal="left" vertical="center" wrapText="1" indent="2"/>
    </xf>
    <xf numFmtId="177" fontId="19" fillId="38" borderId="12" xfId="0" applyFont="1" applyFill="1" applyBorder="1" applyNumberFormat="1">
      <alignment horizontal="right" vertical="center" wrapText="1"/>
      <protection locked="0"/>
    </xf>
    <xf numFmtId="0" fontId="19" fillId="0" borderId="17" xfId="0" applyFont="1" applyBorder="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lignment horizontal="left" vertical="center" wrapText="1"/>
    </xf>
    <xf numFmtId="0" fontId="19" fillId="0" borderId="0" xfId="0" applyFont="1">
      <alignment vertical="center"/>
    </xf>
    <xf numFmtId="0" fontId="0" fillId="0" borderId="0" xfId="0" applyFont="1">
      <alignment vertical="center"/>
    </xf>
    <xf numFmtId="0" fontId="36" fillId="0" borderId="0" xfId="0" applyFont="1">
      <alignment vertical="center"/>
    </xf>
    <xf numFmtId="0" fontId="19" fillId="0" borderId="0" xfId="0" applyFont="1">
      <alignment vertical="center"/>
    </xf>
    <xf numFmtId="0" fontId="76" fillId="0" borderId="0" xfId="0" applyFont="1">
      <alignment vertical="center"/>
    </xf>
    <xf numFmtId="0" fontId="30" fillId="0" borderId="0" xfId="0" applyFont="1">
      <alignment vertical="center"/>
    </xf>
    <xf numFmtId="0" fontId="19" fillId="0" borderId="0" xfId="0" applyFont="1">
      <alignment vertical="center" wrapText="1"/>
    </xf>
    <xf numFmtId="0" fontId="30" fillId="0" borderId="0" xfId="0" applyFont="1">
      <alignment vertical="center"/>
    </xf>
    <xf numFmtId="0" fontId="76" fillId="0" borderId="0" xfId="0" applyFont="1">
      <alignment vertical="center"/>
    </xf>
    <xf numFmtId="0" fontId="42" fillId="0" borderId="0" xfId="0" applyFont="1">
      <alignment vertical="center"/>
    </xf>
    <xf numFmtId="0" fontId="19" fillId="0" borderId="0" xfId="0" applyFon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lignment vertical="center"/>
    </xf>
    <xf numFmtId="0" fontId="0" fillId="0" borderId="0" xfId="0" applyFont="1">
      <alignment vertical="center"/>
    </xf>
    <xf numFmtId="0" fontId="37" fillId="0" borderId="0" xfId="0" applyFont="1">
      <alignment horizontal="center" vertical="center"/>
    </xf>
    <xf numFmtId="0" fontId="19" fillId="0" borderId="0" xfId="0" applyFont="1">
      <alignment horizontal="center" vertical="center" wrapText="1"/>
    </xf>
    <xf numFmtId="0" fontId="19" fillId="36" borderId="14" xfId="0" applyFont="1" applyFill="1" applyBorder="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lignment vertical="center"/>
    </xf>
    <xf numFmtId="0" fontId="64" fillId="0" borderId="0" xfId="0" applyFont="1">
      <alignment vertical="center"/>
    </xf>
    <xf numFmtId="0" fontId="0" fillId="0" borderId="0" xfId="0" applyFon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horizontal="center" vertical="center" wrapText="1"/>
    </xf>
    <xf numFmtId="0" fontId="37" fillId="0" borderId="0" xfId="0" applyFont="1">
      <alignment vertical="center" wrapText="1"/>
    </xf>
    <xf numFmtId="0" fontId="20" fillId="0" borderId="0" xfId="0" applyFont="1">
      <alignment vertical="center" wrapText="1"/>
    </xf>
    <xf numFmtId="0" fontId="19" fillId="0" borderId="0" xfId="0" applyFont="1">
      <alignment horizontal="center" vertical="center" wrapText="1"/>
    </xf>
    <xf numFmtId="0" fontId="39" fillId="0" borderId="0" xfId="0" applyFon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lignment vertical="center" wrapText="1"/>
    </xf>
    <xf numFmtId="0" fontId="37" fillId="0" borderId="0" xfId="0" applyFont="1">
      <alignment vertical="center" wrapText="1"/>
    </xf>
    <xf numFmtId="0" fontId="20"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lignment vertical="top"/>
    </xf>
    <xf numFmtId="0" fontId="64" fillId="0" borderId="0" xfId="0" applyFont="1">
      <alignment vertical="top"/>
    </xf>
    <xf numFmtId="0" fontId="77" fillId="0" borderId="0" xfId="0" applyFont="1">
      <alignment vertical="top"/>
    </xf>
    <xf numFmtId="0" fontId="36" fillId="0" borderId="0" xfId="0" applyFont="1">
      <alignment horizontal="center" vertical="center" wrapText="1"/>
    </xf>
    <xf numFmtId="0" fontId="37" fillId="0" borderId="0" xfId="0" applyFont="1">
      <alignment horizontal="center" vertical="center" wrapText="1"/>
    </xf>
    <xf numFmtId="0" fontId="37" fillId="0" borderId="12" xfId="0" applyFont="1" applyBorder="1">
      <alignment horizontal="left" vertical="center" wrapText="1"/>
    </xf>
    <xf numFmtId="0" fontId="3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30"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27"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lignment horizontal="left" vertical="center" indent="1"/>
    </xf>
    <xf numFmtId="0" fontId="19" fillId="0" borderId="0" xfId="0" applyFont="1">
      <alignment horizontal="right" vertical="center" wrapText="1"/>
    </xf>
    <xf numFmtId="0" fontId="0" fillId="0" borderId="0" xfId="0" applyFont="1">
      <alignment vertical="center"/>
    </xf>
    <xf numFmtId="0" fontId="34" fillId="0" borderId="0" xfId="0" applyFont="1">
      <alignment horizontal="right" vertical="top" wrapText="1"/>
    </xf>
    <xf numFmtId="0" fontId="19" fillId="0" borderId="0" xfId="0" applyFont="1">
      <alignment vertical="top" wrapText="1"/>
    </xf>
    <xf numFmtId="0" fontId="19" fillId="0" borderId="0" xfId="0" applyFont="1">
      <alignment horizontal="left" vertical="top" wrapText="1"/>
    </xf>
    <xf numFmtId="0" fontId="24" fillId="0" borderId="0" xfId="0" applyFon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lignment vertical="top"/>
    </xf>
    <xf numFmtId="49" fontId="19" fillId="0" borderId="31" xfId="0" applyFont="1" applyBorder="1" applyNumberFormat="1">
      <alignment horizontal="center" vertical="center" wrapText="1"/>
    </xf>
    <xf numFmtId="0" fontId="19" fillId="0" borderId="31" xfId="0" applyFont="1" applyBorder="1">
      <alignment horizontal="left" vertical="center" wrapText="1"/>
    </xf>
    <xf numFmtId="0" fontId="19" fillId="0" borderId="31" xfId="0" applyFont="1" applyBorder="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lignment horizontal="left" vertical="center" wrapText="1" indent="2"/>
    </xf>
    <xf numFmtId="0" fontId="36" fillId="0" borderId="0" xfId="0" applyFont="1">
      <alignment horizontal="center" vertical="center" wrapText="1"/>
    </xf>
    <xf numFmtId="49" fontId="19"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19" fillId="0" borderId="0" xfId="0" applyFont="1">
      <alignment horizontal="left" vertical="center" wrapText="1"/>
    </xf>
    <xf numFmtId="0" fontId="19" fillId="0" borderId="12" xfId="0" applyFont="1" applyBorder="1">
      <alignment horizontal="left" vertical="center" wrapText="1"/>
    </xf>
    <xf numFmtId="3" fontId="19" fillId="0" borderId="14" xfId="0" applyFont="1" applyBorder="1" applyNumberFormat="1">
      <alignment vertical="center" wrapText="1"/>
    </xf>
    <xf numFmtId="0" fontId="19" fillId="0" borderId="13" xfId="0" applyFont="1" applyBorder="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27" xfId="0" applyFont="1" applyBorder="1" applyNumberFormat="1">
      <alignment horizontal="right" vertical="center" wrapText="1"/>
    </xf>
    <xf numFmtId="0" fontId="24" fillId="0" borderId="0" xfId="0" applyFont="1">
      <alignment horizontal="center" vertical="center" wrapText="1"/>
    </xf>
    <xf numFmtId="0" fontId="19" fillId="0" borderId="14" xfId="0" applyFont="1" applyBorder="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19"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lignment vertical="center" wrapText="1"/>
    </xf>
    <xf numFmtId="0" fontId="19" fillId="0" borderId="15" xfId="0" applyFont="1" applyBorder="1">
      <alignment horizontal="center" vertical="center" wrapText="1"/>
    </xf>
    <xf numFmtId="0" fontId="19" fillId="36" borderId="28" xfId="0" applyFont="1" applyFill="1" applyBorder="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0" fontId="19" fillId="0" borderId="12" xfId="0" applyFont="1" applyBorder="1">
      <alignment horizontal="center" vertical="center" wrapText="1"/>
    </xf>
    <xf numFmtId="0" fontId="36" fillId="0" borderId="0" xfId="0" applyFont="1">
      <alignment horizontal="center" vertical="top"/>
    </xf>
    <xf numFmtId="0" fontId="19" fillId="0" borderId="12" xfId="0" applyFont="1" applyBorder="1">
      <alignment horizontal="left" vertical="center" wrapText="1"/>
    </xf>
    <xf numFmtId="0" fontId="37" fillId="0" borderId="0" xfId="0" applyFont="1">
      <alignment horizontal="center" vertical="center" wrapText="1"/>
    </xf>
    <xf numFmtId="0" fontId="19" fillId="0" borderId="12" xfId="0" applyFont="1" applyBorder="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lignment vertical="center" wrapText="1"/>
    </xf>
    <xf numFmtId="0" fontId="19"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lignment vertical="center" wrapText="1"/>
    </xf>
    <xf numFmtId="0" fontId="19" fillId="0" borderId="13" xfId="0" applyFont="1" applyBorder="1">
      <alignment horizontal="left" vertical="center" wrapText="1" indent="1"/>
    </xf>
    <xf numFmtId="0" fontId="62" fillId="0" borderId="22" xfId="0" applyFont="1" applyBorder="1">
      <alignment vertical="center" wrapText="1"/>
    </xf>
    <xf numFmtId="0" fontId="19" fillId="0" borderId="12" xfId="0" applyFont="1" applyBorder="1">
      <alignment horizontal="center" vertical="center" wrapText="1"/>
    </xf>
    <xf numFmtId="4" fontId="19" fillId="0" borderId="31" xfId="0" applyFont="1" applyBorder="1" applyNumberFormat="1">
      <alignment horizontal="center" vertical="center" wrapText="1"/>
    </xf>
    <xf numFmtId="0" fontId="19" fillId="0" borderId="33" xfId="0" applyFont="1" applyBorder="1">
      <alignment horizontal="left" vertical="center" wrapText="1"/>
    </xf>
    <xf numFmtId="0" fontId="19" fillId="0" borderId="33" xfId="0" applyFont="1" applyBorder="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lignment horizontal="left" vertical="center" wrapText="1"/>
    </xf>
    <xf numFmtId="0" fontId="37" fillId="0" borderId="0" xfId="0" applyFont="1">
      <alignment horizontal="left" vertical="center" wrapText="1"/>
    </xf>
    <xf numFmtId="0" fontId="44" fillId="0" borderId="0" xfId="0" applyFont="1">
      <alignment horizontal="left" vertical="center" wrapText="1"/>
    </xf>
    <xf numFmtId="0" fontId="20" fillId="0" borderId="0" xfId="0" applyFont="1">
      <alignment horizontal="left" vertical="center" wrapText="1"/>
    </xf>
    <xf numFmtId="49" fontId="19" fillId="0" borderId="0" xfId="0" applyFont="1" applyNumberFormat="1">
      <alignment horizontal="center" vertical="center" wrapText="1"/>
    </xf>
    <xf numFmtId="0" fontId="74" fillId="0" borderId="0" xfId="0" applyFont="1">
      <alignment vertical="center" wrapText="1"/>
    </xf>
    <xf numFmtId="0" fontId="37" fillId="0" borderId="0" xfId="0" applyFont="1">
      <alignment vertical="center" wrapText="1"/>
    </xf>
    <xf numFmtId="0" fontId="44" fillId="0" borderId="0" xfId="0" applyFont="1">
      <alignment vertical="center" wrapText="1"/>
    </xf>
    <xf numFmtId="0" fontId="20" fillId="0" borderId="0" xfId="0" applyFont="1">
      <alignment vertical="center" wrapText="1"/>
    </xf>
    <xf numFmtId="49" fontId="39" fillId="0" borderId="0" xfId="0" applyFont="1" applyNumberFormat="1">
      <alignment horizontal="center" vertical="center"/>
    </xf>
    <xf numFmtId="0" fontId="19" fillId="0" borderId="0" xfId="0" applyFon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lignment horizontal="left" vertical="center" wrapText="1"/>
    </xf>
    <xf numFmtId="0" fontId="19" fillId="0" borderId="20" xfId="0" applyFont="1" applyBorder="1">
      <alignment vertical="center" wrapText="1"/>
    </xf>
    <xf numFmtId="0" fontId="25" fillId="0" borderId="0" xfId="0" applyFont="1">
      <alignment horizontal="center" vertical="center" wrapText="1"/>
    </xf>
    <xf numFmtId="0" fontId="19" fillId="36" borderId="15" xfId="0" applyFont="1" applyFill="1" applyBorder="1">
      <alignment vertical="center" wrapText="1"/>
    </xf>
    <xf numFmtId="0" fontId="36" fillId="36" borderId="13" xfId="0" applyFont="1" applyFill="1" applyBorder="1">
      <alignment vertical="center" wrapText="1"/>
    </xf>
    <xf numFmtId="177" fontId="19" fillId="33" borderId="12" xfId="0" applyFont="1" applyFill="1" applyBorder="1" applyNumberFormat="1">
      <alignment horizontal="right" vertical="center" wrapText="1"/>
    </xf>
    <xf numFmtId="0" fontId="0" fillId="0" borderId="0" xfId="0" applyFon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lignment horizontal="right" vertical="center"/>
    </xf>
    <xf numFmtId="49" fontId="0" fillId="0" borderId="12" xfId="0" applyFont="1" applyBorder="1" applyNumberFormat="1">
      <alignment vertical="top"/>
    </xf>
    <xf numFmtId="0" fontId="19"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lignment vertical="center" wrapText="1"/>
    </xf>
    <xf numFmtId="0" fontId="20" fillId="0" borderId="0" xfId="0" applyFont="1">
      <alignment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49" fontId="19" fillId="0" borderId="0" xfId="0" applyFont="1" applyNumberFormat="1">
      <alignment vertical="center" wrapText="1"/>
    </xf>
    <xf numFmtId="0" fontId="19"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19" fillId="0" borderId="0" xfId="0" applyFont="1">
      <alignment horizontal="center" vertical="center" wrapText="1"/>
    </xf>
    <xf numFmtId="0" fontId="39"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19" fillId="34" borderId="0" xfId="0" applyFont="1" applyFill="1" applyNumberFormat="1">
      <alignment horizontal="center" vertical="center" wrapText="1"/>
    </xf>
    <xf numFmtId="175"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lignment horizontal="center" vertical="center" wrapText="1"/>
    </xf>
    <xf numFmtId="49" fontId="0" fillId="44" borderId="12" xfId="0" applyFont="1" applyFill="1" applyBorder="1" applyNumberFormat="1">
      <alignment vertical="top"/>
    </xf>
    <xf numFmtId="0" fontId="25" fillId="0" borderId="0" xfId="0" applyFont="1">
      <alignment horizontal="center" vertical="center" wrapText="1"/>
    </xf>
    <xf numFmtId="0" fontId="82" fillId="0" borderId="0" xfId="0" applyFont="1">
      <alignment horizontal="left" vertical="center" wrapText="1"/>
    </xf>
    <xf numFmtId="0" fontId="82" fillId="0" borderId="0" xfId="0" applyFon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lignment horizontal="left" vertical="center" wrapText="1"/>
    </xf>
    <xf numFmtId="14" fontId="84" fillId="0" borderId="12" xfId="0" applyFont="1" applyBorder="1" applyNumberFormat="1">
      <alignment horizontal="left" vertical="center" wrapText="1"/>
    </xf>
    <xf numFmtId="0" fontId="37" fillId="0" borderId="0" xfId="0" applyFon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lignment horizontal="center" vertical="center" wrapText="1"/>
    </xf>
    <xf numFmtId="49" fontId="19" fillId="0" borderId="14" xfId="0" applyFont="1" applyBorder="1" applyNumberFormat="1">
      <alignment horizontal="center" vertical="top"/>
    </xf>
    <xf numFmtId="0" fontId="24" fillId="0" borderId="24" xfId="0" applyFont="1" applyBorder="1">
      <alignment vertical="top" wrapText="1"/>
    </xf>
    <xf numFmtId="0" fontId="24" fillId="0" borderId="0" xfId="0" applyFont="1">
      <alignment vertical="top" wrapText="1"/>
    </xf>
    <xf numFmtId="0" fontId="37" fillId="0" borderId="12" xfId="0" applyFont="1" applyBorder="1">
      <alignment horizontal="center" vertical="center" wrapText="1"/>
    </xf>
    <xf numFmtId="0" fontId="36" fillId="0" borderId="23" xfId="0" applyFont="1" applyBorder="1">
      <alignment horizontal="center" vertical="center" wrapText="1"/>
    </xf>
    <xf numFmtId="0" fontId="37" fillId="0" borderId="12" xfId="0" applyFont="1" applyBorder="1">
      <alignment horizontal="center" vertical="center"/>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lignment vertical="center"/>
    </xf>
    <xf numFmtId="0" fontId="19" fillId="0" borderId="13" xfId="0" applyFont="1" applyBorder="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25" fillId="34" borderId="0" xfId="0" applyFont="1" applyFill="1">
      <alignment horizontal="center" vertical="center" wrapText="1"/>
    </xf>
    <xf numFmtId="0" fontId="19" fillId="34" borderId="12" xfId="0" applyFont="1" applyFill="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4" fillId="34" borderId="15" xfId="0" applyFont="1" applyFill="1" applyBorder="1" applyNumberFormat="1">
      <alignment horizontal="center" vertical="center" wrapText="1"/>
    </xf>
    <xf numFmtId="0" fontId="19" fillId="0" borderId="0" xfId="0" applyFont="1">
      <alignment horizontal="left" vertical="center" wrapText="1" indent="1"/>
    </xf>
    <xf numFmtId="0" fontId="71" fillId="0" borderId="17" xfId="0" applyFont="1" applyBorder="1">
      <alignment horizontal="center" vertical="center" wrapText="1"/>
    </xf>
    <xf numFmtId="49" fontId="36" fillId="0" borderId="0" xfId="0" applyFont="1" applyNumberFormat="1">
      <alignment vertical="top"/>
    </xf>
    <xf numFmtId="0" fontId="85"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lignment horizontal="left" vertical="top" wrapText="1"/>
    </xf>
    <xf numFmtId="0" fontId="86" fillId="40" borderId="12" xfId="0" applyFont="1" applyFill="1" applyBorder="1">
      <alignment horizontal="right" vertical="center" wrapText="1"/>
    </xf>
    <xf numFmtId="49" fontId="86" fillId="0" borderId="12" xfId="0" applyFont="1" applyBorder="1" applyNumberFormat="1">
      <alignment vertical="top" wrapText="1"/>
    </xf>
    <xf numFmtId="0" fontId="86" fillId="0" borderId="17" xfId="0" applyFont="1" applyBorder="1">
      <alignment horizontal="left" vertical="top" wrapText="1"/>
    </xf>
    <xf numFmtId="0" fontId="86" fillId="0" borderId="13" xfId="0" applyFont="1" applyBorder="1">
      <alignment horizontal="left" vertical="top" wrapText="1"/>
    </xf>
    <xf numFmtId="0" fontId="86" fillId="0" borderId="12" xfId="0" applyFont="1" applyBorder="1">
      <alignment vertical="top" wrapText="1"/>
    </xf>
    <xf numFmtId="0" fontId="82" fillId="40" borderId="12" xfId="0" applyFont="1" applyFill="1" applyBorder="1">
      <alignment horizontal="center" vertical="top" wrapText="1"/>
    </xf>
    <xf numFmtId="0" fontId="86" fillId="0" borderId="0" xfId="0" applyFont="1">
      <alignment vertical="top" wrapText="1"/>
    </xf>
    <xf numFmtId="0" fontId="80" fillId="0" borderId="0" xfId="0" applyFont="1">
      <alignment vertical="center" wrapText="1"/>
    </xf>
    <xf numFmtId="0" fontId="35" fillId="0" borderId="0" xfId="0" applyFon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lignment horizontal="center" vertical="center" wrapText="1"/>
    </xf>
    <xf numFmtId="0" fontId="25" fillId="34" borderId="24" xfId="0" applyFont="1" applyFill="1" applyBorder="1">
      <alignment vertical="top" wrapText="1"/>
    </xf>
    <xf numFmtId="0" fontId="25" fillId="34" borderId="0" xfId="0" applyFont="1" applyFill="1">
      <alignment vertical="top" wrapText="1"/>
    </xf>
    <xf numFmtId="14" fontId="19" fillId="39" borderId="30" xfId="0" applyFont="1" applyFill="1" applyBorder="1" applyNumberFormat="1">
      <alignment horizontal="left" vertical="center" wrapText="1"/>
    </xf>
    <xf numFmtId="0" fontId="37" fillId="34" borderId="12" xfId="0" applyFont="1" applyFill="1" applyBorder="1">
      <alignment horizontal="center" vertical="center" wrapText="1"/>
    </xf>
    <xf numFmtId="0" fontId="29" fillId="36" borderId="15" xfId="0" applyFont="1" applyFill="1" applyBorder="1">
      <alignment vertical="center"/>
    </xf>
    <xf numFmtId="0" fontId="38" fillId="0" borderId="0" xfId="0" applyFont="1">
      <alignment vertical="center"/>
    </xf>
    <xf numFmtId="0" fontId="37" fillId="0" borderId="0" xfId="0" applyFon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lignment vertical="center" wrapText="1"/>
    </xf>
    <xf numFmtId="0" fontId="87" fillId="0" borderId="0" xfId="0" applyFont="1">
      <alignment vertical="center" wrapText="1"/>
    </xf>
    <xf numFmtId="0" fontId="36" fillId="0" borderId="0" xfId="0" applyFont="1">
      <alignment vertical="center" wrapText="1"/>
    </xf>
    <xf numFmtId="0" fontId="78" fillId="0" borderId="0" xfId="0" applyFont="1">
      <alignment horizontal="center" vertical="center" wrapText="1"/>
    </xf>
    <xf numFmtId="0" fontId="36" fillId="0" borderId="0" xfId="0" applyFon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88" fillId="34" borderId="0" xfId="0" applyFont="1" applyFill="1">
      <alignment horizontal="right" vertical="center"/>
    </xf>
    <xf numFmtId="0" fontId="19" fillId="38" borderId="12" xfId="0" applyFont="1" applyFill="1" applyBorder="1">
      <alignment horizontal="center" vertical="center" wrapText="1"/>
      <protection locked="0"/>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lignment vertical="top" wrapText="1"/>
    </xf>
    <xf numFmtId="0" fontId="86" fillId="0" borderId="36" xfId="0" applyFont="1" applyBorder="1">
      <alignment horizontal="left" vertical="top" wrapText="1"/>
    </xf>
    <xf numFmtId="49" fontId="86" fillId="0" borderId="27"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19" fillId="34" borderId="17" xfId="0" applyFont="1" applyFill="1" applyBorder="1">
      <alignment horizontal="center" vertical="center" wrapText="1"/>
    </xf>
    <xf numFmtId="49" fontId="89" fillId="0" borderId="0" xfId="0" applyFont="1" applyNumberFormat="1">
      <alignment horizontal="center" vertical="center" wrapText="1"/>
    </xf>
    <xf numFmtId="0" fontId="19"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0" fontId="19" fillId="0" borderId="38" xfId="0" applyFont="1" applyBorder="1">
      <alignment vertical="center" wrapText="1"/>
    </xf>
    <xf numFmtId="0" fontId="36"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49" fontId="19" fillId="0" borderId="0" xfId="0" applyFont="1" applyNumberFormat="1">
      <alignment vertical="top"/>
    </xf>
    <xf numFmtId="0" fontId="19"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19" fillId="36" borderId="30" xfId="0" applyFont="1" applyFill="1" applyBorder="1">
      <alignment vertical="center" wrapText="1"/>
    </xf>
    <xf numFmtId="0" fontId="19" fillId="0" borderId="0" xfId="0" applyFont="1">
      <alignment vertical="center" wrapText="1"/>
    </xf>
    <xf numFmtId="0" fontId="19" fillId="34" borderId="39" xfId="0" applyFont="1" applyFill="1" applyBorder="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lignment vertical="top" wrapText="1"/>
    </xf>
    <xf numFmtId="0" fontId="19" fillId="0" borderId="14"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lignment horizontal="center" vertical="center" wrapText="1"/>
    </xf>
    <xf numFmtId="49" fontId="82" fillId="0" borderId="12" xfId="0" applyFont="1" applyBorder="1" applyNumberFormat="1">
      <alignment horizontal="center" vertical="center" wrapText="1"/>
    </xf>
    <xf numFmtId="0" fontId="82" fillId="0" borderId="12" xfId="0" applyFont="1" applyBorder="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lignment vertical="center" wrapText="1"/>
    </xf>
    <xf numFmtId="0" fontId="82" fillId="0" borderId="17" xfId="0" applyFont="1" applyBorder="1">
      <alignment vertical="center" wrapText="1"/>
    </xf>
    <xf numFmtId="0" fontId="82" fillId="0" borderId="23" xfId="0" applyFont="1" applyBorder="1">
      <alignment vertical="center" wrapText="1"/>
    </xf>
    <xf numFmtId="49" fontId="82" fillId="0" borderId="12" xfId="0" applyFont="1" applyBorder="1" applyNumberFormat="1">
      <alignment horizontal="left" vertical="top" wrapText="1"/>
    </xf>
    <xf numFmtId="177" fontId="19" fillId="38" borderId="17" xfId="0" applyFont="1" applyFill="1" applyBorder="1" applyNumberFormat="1">
      <alignment horizontal="right" vertical="center" wrapText="1"/>
      <protection locked="0"/>
    </xf>
    <xf numFmtId="0" fontId="19" fillId="0" borderId="13" xfId="0" applyFont="1" applyBorder="1">
      <alignment horizontal="center" vertical="center" wrapText="1"/>
    </xf>
    <xf numFmtId="0" fontId="19" fillId="0" borderId="20" xfId="0" applyFont="1" applyBorder="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lignment horizontal="center" vertical="center" wrapText="1"/>
    </xf>
    <xf numFmtId="4" fontId="19" fillId="38" borderId="13" xfId="0" applyFont="1" applyFill="1" applyBorder="1" applyNumberFormat="1">
      <alignment horizontal="right" vertical="center" wrapText="1"/>
      <protection locked="0"/>
    </xf>
    <xf numFmtId="177" fontId="19" fillId="38" borderId="13" xfId="0" applyFont="1" applyFill="1" applyBorder="1" applyNumberFormat="1">
      <alignment horizontal="right" vertical="center" wrapText="1"/>
      <protection locked="0"/>
    </xf>
    <xf numFmtId="177" fontId="19" fillId="33" borderId="13" xfId="0" applyFont="1" applyFill="1" applyBorder="1" applyNumberFormat="1">
      <alignment horizontal="right" vertical="center" wrapText="1"/>
    </xf>
    <xf numFmtId="4" fontId="19" fillId="38" borderId="30"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lignment vertical="center" wrapText="1"/>
    </xf>
    <xf numFmtId="0" fontId="37" fillId="0" borderId="12" xfId="0" applyFont="1" applyBorder="1">
      <alignment horizontal="left" vertical="center" wrapText="1" indent="3"/>
    </xf>
    <xf numFmtId="49" fontId="37" fillId="0" borderId="12" xfId="0" applyFont="1" applyBorder="1" applyNumberFormat="1">
      <alignment vertical="center" wrapText="1"/>
    </xf>
    <xf numFmtId="0" fontId="37" fillId="0" borderId="17" xfId="0" applyFont="1" applyBorder="1">
      <alignment vertical="top" wrapText="1"/>
    </xf>
    <xf numFmtId="0" fontId="37" fillId="0" borderId="36" xfId="0" applyFont="1" applyBorder="1">
      <alignment horizontal="left" vertical="center" wrapText="1" indent="1"/>
    </xf>
    <xf numFmtId="0" fontId="37" fillId="0" borderId="36" xfId="0" applyFont="1" applyBorder="1">
      <alignment horizontal="center" vertical="center" wrapText="1"/>
    </xf>
    <xf numFmtId="0" fontId="37" fillId="0" borderId="17" xfId="0" applyFont="1" applyBorder="1">
      <alignment vertical="center" wrapText="1"/>
    </xf>
    <xf numFmtId="0" fontId="37" fillId="0" borderId="23" xfId="0" applyFont="1" applyBorder="1">
      <alignment horizontal="left" vertical="center" wrapText="1" indent="1"/>
    </xf>
    <xf numFmtId="0" fontId="37" fillId="0" borderId="17" xfId="0" applyFont="1" applyBorder="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lignment horizontal="center" vertical="center" wrapText="1"/>
    </xf>
    <xf numFmtId="0" fontId="19" fillId="0" borderId="23" xfId="0" applyFont="1" applyBorder="1">
      <alignment vertical="top" wrapText="1"/>
    </xf>
    <xf numFmtId="0" fontId="19" fillId="0" borderId="23" xfId="0" applyFont="1" applyBorder="1">
      <alignment vertical="top" wrapText="1"/>
    </xf>
    <xf numFmtId="0" fontId="82" fillId="0" borderId="14" xfId="0" applyFont="1" applyBorder="1">
      <alignment horizontal="center" vertical="center"/>
    </xf>
    <xf numFmtId="49" fontId="37" fillId="34" borderId="12" xfId="0" applyFont="1" applyFill="1" applyBorder="1" applyNumberFormat="1">
      <alignment horizontal="center" vertical="center"/>
    </xf>
    <xf numFmtId="0" fontId="37" fillId="34" borderId="12" xfId="0" applyFont="1" applyFill="1" applyBorder="1">
      <alignment horizontal="left" vertical="center" wrapText="1" indent="1"/>
    </xf>
    <xf numFmtId="0" fontId="37" fillId="34" borderId="12" xfId="0" applyFont="1" applyFill="1" applyBorder="1">
      <alignment vertical="center" wrapText="1"/>
    </xf>
    <xf numFmtId="49" fontId="37" fillId="0" borderId="12" xfId="0" applyFont="1" applyBorder="1" applyNumberFormat="1">
      <alignment horizontal="center" vertical="center"/>
    </xf>
    <xf numFmtId="0" fontId="37" fillId="0" borderId="12" xfId="0" applyFont="1" applyBorder="1">
      <alignment horizontal="left" vertical="center" wrapText="1" indent="1"/>
    </xf>
    <xf numFmtId="0" fontId="37" fillId="0" borderId="12" xfId="0" applyFont="1" applyBorder="1">
      <alignment horizontal="left" vertical="center" wrapText="1"/>
    </xf>
    <xf numFmtId="0" fontId="37" fillId="0" borderId="12" xfId="0" applyFont="1" applyBorder="1">
      <alignment vertical="center" wrapText="1"/>
    </xf>
    <xf numFmtId="0" fontId="37" fillId="0" borderId="12" xfId="0" applyFont="1" applyBorder="1">
      <alignment horizontal="center" vertical="center" wrapText="1"/>
    </xf>
    <xf numFmtId="0" fontId="37" fillId="34" borderId="12" xfId="0" applyFont="1" applyFill="1" applyBorder="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lignment horizontal="center" vertical="center" wrapText="1"/>
    </xf>
    <xf numFmtId="0" fontId="92" fillId="34" borderId="0" xfId="0" applyFont="1" applyFill="1">
      <alignment horizontal="right" vertical="center"/>
    </xf>
    <xf numFmtId="0" fontId="19" fillId="0" borderId="23" xfId="0" applyFont="1" applyBorder="1">
      <alignment horizontal="left" vertical="center" wrapText="1"/>
    </xf>
    <xf numFmtId="49" fontId="36" fillId="0" borderId="0" xfId="0" applyFont="1" applyNumberFormat="1">
      <alignment horizontal="center" vertical="center" wrapText="1"/>
    </xf>
    <xf numFmtId="0" fontId="37" fillId="0" borderId="28"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27" xfId="0" applyFont="1" applyBorder="1" applyNumberFormat="1">
      <alignment horizontal="left" vertical="center" wrapText="1"/>
    </xf>
    <xf numFmtId="0" fontId="19" fillId="0" borderId="36" xfId="0" applyFont="1" applyBorder="1">
      <alignment vertical="center" wrapText="1"/>
    </xf>
    <xf numFmtId="0" fontId="19" fillId="0" borderId="32" xfId="0" applyFont="1" applyBorder="1">
      <alignment horizontal="left" vertical="center" wrapText="1"/>
    </xf>
    <xf numFmtId="49" fontId="36" fillId="0" borderId="0" xfId="0" applyFont="1" applyNumberFormat="1">
      <alignment horizontal="center" vertical="center" wrapText="1"/>
    </xf>
    <xf numFmtId="0" fontId="19" fillId="0" borderId="0" xfId="0" applyFont="1">
      <alignment vertical="top" wrapText="1"/>
    </xf>
    <xf numFmtId="0" fontId="19" fillId="0" borderId="0" xfId="0" applyFont="1">
      <alignment vertical="top"/>
    </xf>
    <xf numFmtId="4" fontId="19" fillId="0" borderId="40" xfId="0" applyFont="1" applyBorder="1" applyNumberFormat="1">
      <alignment horizontal="center" vertical="center" wrapText="1"/>
    </xf>
    <xf numFmtId="0" fontId="37" fillId="0" borderId="0" xfId="0" applyFont="1">
      <alignment horizontal="center" vertical="top"/>
    </xf>
    <xf numFmtId="49" fontId="37" fillId="0" borderId="0" xfId="0" applyFont="1" applyNumberFormat="1">
      <alignment vertical="top"/>
    </xf>
    <xf numFmtId="0" fontId="37" fillId="0" borderId="23" xfId="0" applyFont="1" applyBorder="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lignment horizontal="left" vertical="center" indent="1"/>
    </xf>
    <xf numFmtId="49" fontId="29" fillId="0" borderId="19" xfId="0" applyFont="1" applyBorder="1" applyNumberFormat="1">
      <alignment horizontal="right" vertical="center"/>
    </xf>
    <xf numFmtId="0" fontId="19" fillId="39" borderId="12" xfId="0" applyFont="1" applyFill="1" applyBorder="1">
      <alignment horizontal="left" vertical="center" wrapText="1" indent="1"/>
    </xf>
    <xf numFmtId="0" fontId="19" fillId="0" borderId="12" xfId="0" applyFont="1" applyBorder="1">
      <alignment horizontal="center" vertical="center" wrapText="1"/>
    </xf>
    <xf numFmtId="0" fontId="37" fillId="0" borderId="0" xfId="0" applyFon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lignment horizontal="left" vertical="center" wrapText="1" indent="1"/>
    </xf>
    <xf numFmtId="0" fontId="19"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lignment vertical="center" wrapText="1"/>
    </xf>
    <xf numFmtId="0" fontId="19" fillId="0" borderId="28" xfId="0" applyFont="1" applyBorder="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19" fillId="0" borderId="13" xfId="0" applyFont="1" applyBorder="1">
      <alignment vertical="center"/>
    </xf>
    <xf numFmtId="49" fontId="19" fillId="0" borderId="12" xfId="0" applyFont="1" applyBorder="1" applyNumberFormat="1">
      <alignment vertical="center"/>
    </xf>
    <xf numFmtId="0" fontId="0" fillId="0" borderId="0" xfId="0" applyFont="1">
      <alignment vertical="top"/>
    </xf>
    <xf numFmtId="0" fontId="19" fillId="0" borderId="12" xfId="0" applyFont="1" applyBorder="1">
      <alignment vertical="top"/>
    </xf>
    <xf numFmtId="49" fontId="19" fillId="0" borderId="12" xfId="0" applyFont="1" applyBorder="1" applyNumberFormat="1">
      <alignment vertical="top"/>
    </xf>
    <xf numFmtId="0" fontId="19" fillId="0" borderId="0" xfId="0" applyFont="1">
      <alignment vertical="center"/>
    </xf>
    <xf numFmtId="49" fontId="19" fillId="0" borderId="14" xfId="0" applyFont="1" applyBorder="1" applyNumberFormat="1">
      <alignment vertical="top"/>
    </xf>
    <xf numFmtId="0" fontId="0" fillId="0" borderId="0" xfId="0" applyFont="1">
      <alignment vertical="center"/>
    </xf>
    <xf numFmtId="0" fontId="19" fillId="0" borderId="0" xfId="0" applyFon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19" fillId="0" borderId="17" xfId="0" applyFont="1" applyBorder="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3" fillId="0" borderId="46" xfId="0" applyFont="1" applyBorder="1">
      <alignment horizontal="center" vertical="center"/>
    </xf>
    <xf numFmtId="0" fontId="0" fillId="0" borderId="46" xfId="0" applyFont="1" applyBorder="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lignment horizontal="right" vertical="center"/>
    </xf>
    <xf numFmtId="0" fontId="94" fillId="0" borderId="47" xfId="0" applyFont="1" applyBorder="1">
      <alignment horizontal="left" vertical="center" indent="1"/>
    </xf>
    <xf numFmtId="0" fontId="94" fillId="0" borderId="48" xfId="0" applyFont="1" applyBorder="1">
      <alignment horizontal="left" vertical="center" indent="1"/>
    </xf>
    <xf numFmtId="0" fontId="94" fillId="0" borderId="49" xfId="0" applyFont="1" applyBorder="1">
      <alignment horizontal="left" vertical="center" indent="1"/>
    </xf>
    <xf numFmtId="0" fontId="19" fillId="34" borderId="0" xfId="0" applyFont="1" applyFill="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49" fontId="89" fillId="0" borderId="0" xfId="0" applyFont="1" applyNumberFormat="1">
      <alignment horizontal="center" vertical="center" wrapText="1"/>
    </xf>
    <xf numFmtId="0" fontId="19" fillId="34" borderId="0" xfId="0" applyFont="1" applyFill="1">
      <alignment vertical="center" wrapText="1"/>
    </xf>
    <xf numFmtId="0" fontId="19" fillId="0" borderId="0" xfId="0" applyFont="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0" fontId="0" fillId="0" borderId="12" xfId="0" applyFont="1" applyBorder="1">
      <alignment horizontal="center" vertical="center" wrapText="1"/>
    </xf>
    <xf numFmtId="0" fontId="19" fillId="0" borderId="0" xfId="0" applyFont="1">
      <alignment horizontal="left" vertical="center" wrapText="1" indent="3"/>
    </xf>
    <xf numFmtId="0" fontId="19" fillId="0" borderId="0" xfId="0" applyFont="1">
      <alignment horizontal="left" vertical="center" wrapText="1" indent="3"/>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12" xfId="0" applyFont="1" applyBorder="1">
      <alignment horizontal="center" vertical="center" wrapText="1"/>
    </xf>
    <xf numFmtId="0" fontId="19" fillId="0" borderId="0" xfId="0" applyFont="1">
      <alignment vertical="center" wrapText="1"/>
    </xf>
    <xf numFmtId="0" fontId="19" fillId="34" borderId="39" xfId="0" applyFont="1" applyFill="1" applyBorder="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0" xfId="0" applyFont="1">
      <alignment vertical="center" wrapText="1"/>
    </xf>
    <xf numFmtId="0" fontId="19" fillId="0" borderId="0" xfId="0" applyFont="1">
      <alignment vertical="center" wrapText="1"/>
    </xf>
    <xf numFmtId="0" fontId="19" fillId="34" borderId="39" xfId="0" applyFont="1" applyFill="1" applyBorder="1">
      <alignment vertical="center" wrapText="1"/>
    </xf>
    <xf numFmtId="0" fontId="19" fillId="38" borderId="12" xfId="0" applyFont="1" applyFill="1" applyBorder="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lignment vertical="top"/>
    </xf>
    <xf numFmtId="0" fontId="36" fillId="0" borderId="0" xfId="0" applyFon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lignment vertical="center" wrapText="1"/>
    </xf>
    <xf numFmtId="0" fontId="19" fillId="0" borderId="38" xfId="0" applyFont="1" applyBorder="1">
      <alignment vertical="center" wrapText="1"/>
    </xf>
    <xf numFmtId="0" fontId="19" fillId="0" borderId="0" xfId="0" applyFont="1">
      <alignment vertical="center"/>
    </xf>
    <xf numFmtId="0" fontId="19" fillId="0" borderId="0" xfId="0" applyFont="1">
      <alignment vertical="center" wrapText="1"/>
    </xf>
    <xf numFmtId="0" fontId="19" fillId="36" borderId="50" xfId="0" applyFont="1" applyFill="1" applyBorder="1">
      <alignment vertical="center" wrapText="1"/>
    </xf>
    <xf numFmtId="0" fontId="19" fillId="36" borderId="51" xfId="0" applyFont="1" applyFill="1" applyBorder="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lignment vertical="center" wrapText="1"/>
    </xf>
    <xf numFmtId="0" fontId="19" fillId="34" borderId="39" xfId="0" applyFont="1" applyFill="1" applyBorder="1">
      <alignment vertical="center" wrapText="1"/>
    </xf>
    <xf numFmtId="0" fontId="0" fillId="0" borderId="49" xfId="0" applyFont="1" applyBorder="1">
      <alignment horizontal="left" vertical="center" wrapText="1"/>
    </xf>
    <xf numFmtId="0" fontId="19" fillId="0" borderId="49" xfId="0" applyFont="1" applyBorder="1">
      <alignment vertical="center" wrapText="1"/>
    </xf>
    <xf numFmtId="0" fontId="19" fillId="0" borderId="54" xfId="0" applyFont="1" applyBorder="1">
      <alignment vertical="center" wrapText="1"/>
    </xf>
    <xf numFmtId="0" fontId="19" fillId="0" borderId="55" xfId="0" applyFont="1" applyBorder="1">
      <alignment vertical="center" wrapText="1"/>
    </xf>
    <xf numFmtId="0" fontId="19" fillId="39" borderId="12" xfId="0" applyFont="1" applyFill="1" applyBorder="1">
      <alignment horizontal="left" vertical="center" wrapText="1" indent="1"/>
    </xf>
    <xf numFmtId="0" fontId="0" fillId="36" borderId="50" xfId="0" applyFont="1" applyFill="1" applyBorder="1">
      <alignment horizontal="left" vertical="center"/>
    </xf>
    <xf numFmtId="0" fontId="19" fillId="34" borderId="12" xfId="0" applyFont="1" applyFill="1" applyBorder="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lignment horizontal="right" vertical="center"/>
    </xf>
    <xf numFmtId="0" fontId="19" fillId="0" borderId="17" xfId="0" applyFont="1" applyBorder="1">
      <alignment horizontal="center" vertical="center"/>
    </xf>
    <xf numFmtId="0" fontId="19" fillId="0" borderId="12" xfId="0" applyFont="1" applyBorder="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lignment horizontal="right" vertical="center"/>
    </xf>
    <xf numFmtId="0" fontId="19" fillId="0" borderId="56" xfId="0" applyFont="1" applyBorder="1">
      <alignment horizontal="center" vertical="center"/>
    </xf>
    <xf numFmtId="0" fontId="19" fillId="0" borderId="15" xfId="0" applyFont="1" applyBorder="1">
      <alignment horizontal="right" vertical="center"/>
    </xf>
    <xf numFmtId="0" fontId="19" fillId="0" borderId="13" xfId="0" applyFont="1" applyBorder="1">
      <alignment horizontal="right" vertical="center"/>
    </xf>
    <xf numFmtId="0" fontId="19" fillId="34" borderId="12" xfId="0" applyFont="1" applyFill="1" applyBorder="1">
      <alignment horizontal="center" vertical="center"/>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protection locked="0"/>
    </xf>
    <xf numFmtId="0" fontId="19" fillId="40" borderId="12" xfId="0" applyFont="1" applyFill="1" applyBorder="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lignment horizontal="left" vertical="center" indent="1"/>
      <protection locked="0"/>
    </xf>
    <xf numFmtId="0" fontId="19" fillId="47" borderId="0" xfId="0" applyFont="1" applyFill="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lignment horizontal="center" vertical="center" wrapText="1"/>
    </xf>
    <xf numFmtId="0" fontId="19" fillId="0" borderId="0" xfId="0" applyFont="1">
      <alignment horizontal="right" vertical="center" wrapText="1"/>
    </xf>
    <xf numFmtId="0" fontId="24" fillId="34" borderId="0" xfId="0" applyFont="1" applyFill="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lignment horizontal="left" vertical="center" wrapText="1"/>
    </xf>
    <xf numFmtId="0" fontId="19" fillId="34" borderId="12" xfId="0" applyFont="1" applyFill="1" applyBorder="1">
      <alignment horizontal="left" vertical="center" wrapText="1"/>
    </xf>
    <xf numFmtId="0" fontId="25" fillId="34" borderId="0" xfId="0" applyFont="1" applyFill="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lignment vertical="center" wrapText="1"/>
    </xf>
    <xf numFmtId="49" fontId="37" fillId="0" borderId="0" xfId="0" applyFont="1" applyNumberFormat="1">
      <alignment vertical="top"/>
    </xf>
    <xf numFmtId="0" fontId="3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lignment vertical="center" wrapText="1"/>
    </xf>
    <xf numFmtId="0" fontId="19" fillId="34" borderId="28" xfId="0" applyFont="1" applyFill="1" applyBorder="1">
      <alignment vertical="center" wrapText="1"/>
    </xf>
    <xf numFmtId="0" fontId="37" fillId="34" borderId="19" xfId="0" applyFont="1" applyFill="1" applyBorder="1">
      <alignment horizontal="center" vertical="center" wrapText="1"/>
    </xf>
    <xf numFmtId="49" fontId="63" fillId="0" borderId="0" xfId="0" applyFont="1" applyNumberFormat="1">
      <alignment vertical="center" wrapText="1"/>
    </xf>
    <xf numFmtId="0" fontId="97" fillId="34" borderId="0" xfId="0" applyFont="1" applyFill="1">
      <alignment vertical="center" wrapText="1"/>
    </xf>
    <xf numFmtId="0" fontId="62" fillId="0" borderId="0" xfId="0" applyFont="1">
      <alignment horizontal="left" vertical="center" wrapText="1"/>
    </xf>
    <xf numFmtId="0" fontId="19" fillId="0" borderId="0" xfId="0" applyFont="1">
      <alignment vertical="center"/>
    </xf>
    <xf numFmtId="49" fontId="37" fillId="34" borderId="0" xfId="0" applyFont="1" applyFill="1" applyNumberFormat="1">
      <alignment horizontal="center" vertical="center" wrapText="1"/>
    </xf>
    <xf numFmtId="0" fontId="19" fillId="0" borderId="0" xfId="0" applyFont="1">
      <alignment horizontal="left" vertical="center" wrapText="1"/>
    </xf>
    <xf numFmtId="0" fontId="37" fillId="0" borderId="0" xfId="0" applyFont="1">
      <alignment vertical="center"/>
    </xf>
    <xf numFmtId="0" fontId="19" fillId="0" borderId="0" xfId="0" applyFont="1">
      <alignment horizontal="left" vertical="center" wrapText="1" indent="1"/>
    </xf>
    <xf numFmtId="0" fontId="72" fillId="0" borderId="0" xfId="0" applyFont="1">
      <alignment vertical="center" wrapText="1"/>
    </xf>
    <xf numFmtId="0" fontId="19" fillId="0" borderId="0" xfId="0" applyFon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lignment horizontal="left" vertical="center" wrapText="1" indent="6"/>
    </xf>
    <xf numFmtId="49" fontId="19" fillId="36" borderId="30" xfId="0" applyFont="1" applyFill="1" applyBorder="1" applyNumberFormat="1">
      <alignment horizontal="center" vertical="center" wrapText="1"/>
    </xf>
    <xf numFmtId="0" fontId="37" fillId="0" borderId="0" xfId="0" applyFont="1">
      <alignment vertical="top" wrapText="1"/>
    </xf>
    <xf numFmtId="49" fontId="0" fillId="0" borderId="0" xfId="0" applyFont="1" applyNumberFormat="1">
      <alignment vertical="center" wrapText="1"/>
    </xf>
    <xf numFmtId="0" fontId="98"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6" fontId="19" fillId="35" borderId="12" xfId="0" applyFont="1" applyFill="1" applyBorder="1" applyNumberFormat="1">
      <alignment horizontal="right" vertical="center" wrapText="1"/>
      <protection locked="0"/>
    </xf>
    <xf numFmtId="0" fontId="34" fillId="0" borderId="12" xfId="0" applyFont="1" applyBorder="1">
      <alignment vertical="top" wrapText="1"/>
    </xf>
    <xf numFmtId="0" fontId="19" fillId="39" borderId="12" xfId="0" applyFont="1" applyFill="1" applyBorder="1">
      <alignment horizontal="left" vertical="center" wrapText="1" indent="6"/>
      <protection locked="0"/>
    </xf>
    <xf numFmtId="0" fontId="19" fillId="0" borderId="0" xfId="0" applyFont="1">
      <alignment vertical="center"/>
    </xf>
    <xf numFmtId="0" fontId="9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19" fillId="0" borderId="0" xfId="0" applyFon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7" fillId="0" borderId="12" xfId="0" applyFont="1" applyBorder="1">
      <alignment horizontal="center" vertical="center"/>
    </xf>
    <xf numFmtId="0" fontId="0" fillId="0" borderId="0" xfId="0" applyFont="1">
      <alignment vertical="center"/>
    </xf>
    <xf numFmtId="0" fontId="19" fillId="0" borderId="12" xfId="0" applyFont="1" applyBorder="1">
      <alignment horizontal="center" vertical="center" wrapText="1"/>
    </xf>
    <xf numFmtId="0" fontId="0" fillId="0" borderId="0" xfId="0" applyFont="1">
      <alignment horizontal="left" vertical="top" wrapText="1"/>
    </xf>
    <xf numFmtId="49" fontId="19" fillId="0" borderId="0" xfId="0" applyFont="1" applyNumberFormat="1">
      <alignment vertical="center" wrapText="1"/>
    </xf>
    <xf numFmtId="0" fontId="19" fillId="0" borderId="0" xfId="0" applyFont="1">
      <alignment horizontal="right" vertical="center" wrapText="1"/>
    </xf>
    <xf numFmtId="0" fontId="19" fillId="0" borderId="0" xfId="0" applyFont="1">
      <alignment horizontal="left" vertical="top" wrapText="1"/>
    </xf>
    <xf numFmtId="0" fontId="70" fillId="34" borderId="19" xfId="0" applyFont="1" applyFill="1" applyBorder="1">
      <alignment horizontal="center" vertical="center" wrapText="1"/>
    </xf>
    <xf numFmtId="0" fontId="19" fillId="0" borderId="0" xfId="0" applyFont="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0" fontId="44" fillId="47" borderId="0" xfId="0" applyFont="1" applyFill="1">
      <alignment horizontal="left" vertical="center"/>
    </xf>
    <xf numFmtId="49" fontId="19" fillId="0" borderId="20" xfId="0" applyFont="1" applyBorder="1" applyNumberFormat="1">
      <alignment horizontal="left" vertical="center" wrapText="1"/>
    </xf>
    <xf numFmtId="0" fontId="29" fillId="0" borderId="0" xfId="0" applyFont="1">
      <alignment horizontal="left" vertical="center"/>
    </xf>
    <xf numFmtId="0" fontId="29" fillId="0" borderId="24" xfId="0" applyFont="1" applyBorder="1">
      <alignment horizontal="left" vertical="center"/>
    </xf>
    <xf numFmtId="0" fontId="29" fillId="0" borderId="27" xfId="0" applyFont="1" applyBorder="1">
      <alignment horizontal="left" vertical="center"/>
    </xf>
    <xf numFmtId="0" fontId="29" fillId="0" borderId="28" xfId="0" applyFont="1" applyBorder="1">
      <alignment horizontal="left" vertical="center"/>
    </xf>
    <xf numFmtId="0" fontId="0" fillId="0" borderId="28" xfId="0" applyFont="1" applyBorder="1">
      <alignment vertical="center"/>
    </xf>
    <xf numFmtId="0" fontId="29" fillId="0" borderId="30" xfId="0" applyFont="1" applyBorder="1">
      <alignment horizontal="left" vertical="center"/>
    </xf>
    <xf numFmtId="49" fontId="19" fillId="0" borderId="0" xfId="0" applyFont="1" applyNumberFormat="1">
      <alignment vertical="center" wrapText="1"/>
    </xf>
    <xf numFmtId="0" fontId="19" fillId="0" borderId="0" xfId="0" applyFont="1">
      <alignment horizontal="center" vertical="center" wrapText="1"/>
    </xf>
    <xf numFmtId="0" fontId="37" fillId="0" borderId="0" xfId="0" applyFont="1">
      <alignment horizontal="center" vertical="center" wrapText="1"/>
    </xf>
    <xf numFmtId="49" fontId="19" fillId="0" borderId="12" xfId="0" applyFont="1" applyBorder="1" applyNumberFormat="1">
      <alignment horizontal="left" vertical="center" wrapText="1"/>
    </xf>
    <xf numFmtId="0" fontId="34" fillId="0" borderId="17" xfId="0" applyFont="1" applyBorder="1">
      <alignment vertical="top" wrapText="1"/>
    </xf>
    <xf numFmtId="0" fontId="0" fillId="0" borderId="0" xfId="0" applyFont="1">
      <alignment vertical="center"/>
    </xf>
    <xf numFmtId="0" fontId="19" fillId="34" borderId="12" xfId="0" applyFont="1" applyFill="1" applyBorder="1">
      <alignment horizontal="left" vertical="center" wrapText="1"/>
    </xf>
    <xf numFmtId="0" fontId="19" fillId="0" borderId="0" xfId="0" applyFont="1">
      <alignment horizontal="center" vertical="center"/>
    </xf>
    <xf numFmtId="49" fontId="19"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7" fillId="0" borderId="0" xfId="0" applyFont="1">
      <alignment horizontal="left" vertical="center" indent="1"/>
    </xf>
    <xf numFmtId="0" fontId="37" fillId="0" borderId="0" xfId="0" applyFon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lignment vertical="center"/>
    </xf>
    <xf numFmtId="0" fontId="19" fillId="0" borderId="0" xfId="0" applyFont="1">
      <alignment horizontal="center"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0" fontId="19"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7" fillId="0" borderId="0" xfId="0" applyFont="1">
      <alignment horizontal="center" vertical="center"/>
    </xf>
    <xf numFmtId="0" fontId="19" fillId="0" borderId="0" xfId="0" applyFont="1">
      <alignment horizontal="right" vertical="center" wrapText="1"/>
    </xf>
    <xf numFmtId="0" fontId="70" fillId="34" borderId="0" xfId="0" applyFont="1" applyFill="1">
      <alignment horizontal="center" vertical="center" wrapText="1"/>
    </xf>
    <xf numFmtId="49" fontId="19" fillId="0" borderId="12" xfId="0" applyFont="1" applyBorder="1" applyNumberFormat="1">
      <alignment horizontal="left" vertical="center" wrapText="1"/>
    </xf>
    <xf numFmtId="0" fontId="37" fillId="0" borderId="0" xfId="0" applyFon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lignment horizontal="center" vertical="center"/>
    </xf>
    <xf numFmtId="0" fontId="19" fillId="39" borderId="12" xfId="0" applyFont="1" applyFill="1" applyBorder="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lignment vertical="center"/>
    </xf>
    <xf numFmtId="49" fontId="19" fillId="0" borderId="0" xfId="0" applyFont="1" applyNumberFormat="1">
      <alignment vertical="center" wrapText="1"/>
    </xf>
    <xf numFmtId="0" fontId="19" fillId="0" borderId="17" xfId="0" applyFont="1" applyBorder="1">
      <alignment horizontal="center" vertical="center" wrapText="1"/>
    </xf>
    <xf numFmtId="0" fontId="70" fillId="34" borderId="19"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right" vertical="center" wrapText="1"/>
    </xf>
    <xf numFmtId="0" fontId="19"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6"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lignment horizontal="left" vertical="center" indent="1"/>
    </xf>
    <xf numFmtId="0" fontId="36" fillId="0" borderId="0" xfId="0" applyFont="1">
      <alignment horizontal="center" vertical="center"/>
    </xf>
    <xf numFmtId="0" fontId="36" fillId="0" borderId="0" xfId="0" applyFont="1">
      <alignment horizontal="left" vertical="center" wrapText="1"/>
    </xf>
    <xf numFmtId="0" fontId="36" fillId="0" borderId="0" xfId="0" applyFont="1">
      <alignment vertical="center" wrapText="1"/>
    </xf>
    <xf numFmtId="49" fontId="36" fillId="0" borderId="12" xfId="0" applyFont="1" applyBorder="1" applyNumberFormat="1">
      <alignment vertical="center" wrapText="1"/>
    </xf>
    <xf numFmtId="0" fontId="36" fillId="0" borderId="0" xfId="0" applyFont="1">
      <alignment vertical="center"/>
    </xf>
    <xf numFmtId="0" fontId="36" fillId="0" borderId="0" xfId="0" applyFont="1">
      <alignment horizontal="center" vertical="center"/>
    </xf>
    <xf numFmtId="0" fontId="36" fillId="0" borderId="0" xfId="0" applyFont="1">
      <alignment vertical="center"/>
    </xf>
    <xf numFmtId="0" fontId="59" fillId="0" borderId="0" xfId="0" applyFont="1">
      <alignment vertical="center" wrapText="1"/>
    </xf>
    <xf numFmtId="0" fontId="0" fillId="0" borderId="15" xfId="0" applyFont="1" applyBorder="1">
      <alignment vertical="center"/>
    </xf>
    <xf numFmtId="0" fontId="37" fillId="0" borderId="12" xfId="0" applyFont="1" applyBorder="1">
      <alignment horizontal="center" vertical="center" wrapText="1"/>
    </xf>
    <xf numFmtId="0" fontId="63" fillId="0" borderId="0" xfId="0" applyFont="1">
      <alignment horizontal="left" vertical="center" indent="1"/>
    </xf>
    <xf numFmtId="0" fontId="63" fillId="0" borderId="0" xfId="0" applyFont="1">
      <alignment horizontal="left" vertical="center" indent="1"/>
    </xf>
    <xf numFmtId="0" fontId="37" fillId="0" borderId="12" xfId="0" applyFont="1" applyBorder="1">
      <alignment vertical="center" wrapText="1"/>
    </xf>
    <xf numFmtId="0" fontId="63" fillId="0" borderId="0" xfId="0" applyFont="1">
      <alignment horizontal="center" vertical="center"/>
    </xf>
    <xf numFmtId="0" fontId="63" fillId="0" borderId="0" xfId="0" applyFont="1">
      <alignment horizontal="left" vertical="center" wrapText="1"/>
    </xf>
    <xf numFmtId="49" fontId="63" fillId="0" borderId="0" xfId="0" applyFont="1" applyNumberFormat="1">
      <alignment horizontal="left" vertical="center"/>
    </xf>
    <xf numFmtId="0" fontId="19" fillId="0" borderId="0" xfId="0" applyFont="1">
      <alignment horizontal="center" vertical="center"/>
    </xf>
    <xf numFmtId="0" fontId="63" fillId="0" borderId="0" xfId="0" applyFont="1">
      <alignment horizontal="center" vertical="center"/>
    </xf>
    <xf numFmtId="4" fontId="19" fillId="0" borderId="13" xfId="0" applyFont="1" applyBorder="1" applyNumberFormat="1">
      <alignment horizontal="right" vertical="center" wrapText="1"/>
    </xf>
    <xf numFmtId="0" fontId="37" fillId="0" borderId="12" xfId="0" applyFont="1" applyBorder="1">
      <alignment horizontal="left" vertical="center" wrapText="1" indent="4"/>
    </xf>
    <xf numFmtId="0" fontId="37" fillId="0" borderId="12" xfId="0" applyFont="1" applyBorder="1">
      <alignment horizontal="left" vertical="center" wrapText="1" indent="6"/>
    </xf>
    <xf numFmtId="0" fontId="37" fillId="0" borderId="12" xfId="0" applyFont="1" applyBorder="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lignment horizontal="left" vertical="center" wrapText="1" indent="7"/>
      <protection locked="0"/>
    </xf>
    <xf numFmtId="0" fontId="19" fillId="36" borderId="15" xfId="0" applyFont="1" applyFill="1" applyBorder="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6" fontId="19" fillId="36" borderId="13" xfId="0" applyFont="1" applyFill="1" applyBorder="1" applyNumberFormat="1">
      <alignment horizontal="right" vertical="center" wrapText="1"/>
    </xf>
    <xf numFmtId="0" fontId="19" fillId="39" borderId="12" xfId="0" applyFont="1" applyFill="1" applyBorder="1">
      <alignment horizontal="left" vertical="center" wrapText="1" indent="1"/>
    </xf>
    <xf numFmtId="0" fontId="37" fillId="0" borderId="12" xfId="0" applyFont="1" applyBorder="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lignment horizontal="left" vertical="center" wrapText="1" indent="1"/>
    </xf>
    <xf numFmtId="4" fontId="37" fillId="0" borderId="12" xfId="0" applyFont="1" applyBorder="1" applyNumberFormat="1">
      <alignment horizontal="right" vertical="center" wrapText="1"/>
    </xf>
    <xf numFmtId="176" fontId="37" fillId="0" borderId="12" xfId="0" applyFont="1" applyBorder="1" applyNumberFormat="1">
      <alignment horizontal="right" vertical="center" wrapText="1"/>
    </xf>
    <xf numFmtId="176"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8"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29" fillId="36" borderId="30" xfId="0" applyFont="1" applyFill="1" applyBorder="1">
      <alignment horizontal="left" vertical="center"/>
    </xf>
    <xf numFmtId="49" fontId="37" fillId="0" borderId="14" xfId="0" applyFont="1" applyBorder="1" applyNumberFormat="1">
      <alignment horizontal="left" vertical="center" wrapText="1"/>
    </xf>
    <xf numFmtId="0" fontId="37" fillId="0" borderId="14" xfId="0" applyFont="1" applyBorder="1">
      <alignment horizontal="left" vertical="center"/>
    </xf>
    <xf numFmtId="0" fontId="37" fillId="0" borderId="15" xfId="0" applyFont="1" applyBorder="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27" xfId="0" applyFont="1" applyBorder="1" applyNumberFormat="1">
      <alignment horizontal="right" vertical="center" wrapText="1"/>
    </xf>
    <xf numFmtId="49" fontId="0" fillId="36" borderId="30" xfId="0" applyFont="1" applyFill="1" applyBorder="1" applyNumberFormat="1">
      <alignment horizontal="center" vertical="center" wrapText="1"/>
    </xf>
    <xf numFmtId="0" fontId="0" fillId="0" borderId="0" xfId="0" applyFont="1">
      <alignment vertical="center"/>
    </xf>
    <xf numFmtId="0" fontId="101" fillId="0" borderId="0" xfId="0" applyFon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49" fontId="19" fillId="34" borderId="12" xfId="0" applyFont="1" applyFill="1" applyBorder="1" applyNumberFormat="1">
      <alignment horizontal="center" vertical="center" wrapText="1"/>
    </xf>
    <xf numFmtId="0" fontId="37" fillId="0" borderId="0" xfId="0" applyFont="1">
      <alignment horizontal="center" vertical="center"/>
    </xf>
    <xf numFmtId="0" fontId="19" fillId="34" borderId="12" xfId="0" applyFont="1" applyFill="1" applyBorder="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lignment vertical="center"/>
    </xf>
    <xf numFmtId="0" fontId="19" fillId="0" borderId="0" xfId="0" applyFon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lignment horizontal="center" vertical="center" wrapText="1"/>
    </xf>
    <xf numFmtId="0" fontId="0" fillId="34" borderId="12" xfId="0" applyFont="1" applyFill="1" applyBorder="1">
      <alignment horizontal="center" vertical="center" wrapText="1"/>
    </xf>
    <xf numFmtId="0" fontId="19" fillId="34" borderId="24" xfId="0" applyFont="1" applyFill="1" applyBorder="1">
      <alignment horizontal="center"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lignment horizontal="left" vertical="center" wrapText="1"/>
    </xf>
    <xf numFmtId="0" fontId="37" fillId="0" borderId="0" xfId="0" applyFont="1">
      <alignment horizontal="center" vertical="center"/>
    </xf>
    <xf numFmtId="0" fontId="25" fillId="0" borderId="0" xfId="0" applyFont="1">
      <alignment horizontal="center" vertical="center" wrapText="1"/>
    </xf>
    <xf numFmtId="176" fontId="19" fillId="36" borderId="15" xfId="0" applyFont="1" applyFill="1" applyBorder="1" applyNumberFormat="1">
      <alignment horizontal="right" vertical="center" wrapText="1"/>
    </xf>
    <xf numFmtId="0" fontId="102" fillId="0" borderId="0" xfId="0" applyFont="1">
      <alignment vertical="center" wrapText="1"/>
    </xf>
    <xf numFmtId="0" fontId="102" fillId="34" borderId="0" xfId="0" applyFont="1" applyFill="1">
      <alignment horizontal="center" vertical="center" wrapText="1"/>
    </xf>
    <xf numFmtId="0" fontId="37" fillId="34" borderId="12" xfId="0" applyFont="1" applyFill="1" applyBorder="1">
      <alignment horizontal="left" vertical="center" wrapText="1" indent="3"/>
    </xf>
    <xf numFmtId="49" fontId="29" fillId="36" borderId="28" xfId="0" applyFont="1" applyFill="1" applyBorder="1" applyNumberFormat="1">
      <alignment horizontal="left" vertical="center"/>
    </xf>
    <xf numFmtId="0" fontId="102" fillId="0" borderId="0" xfId="0" applyFont="1">
      <alignment horizontal="center" vertical="center" wrapText="1"/>
    </xf>
    <xf numFmtId="49" fontId="37" fillId="0" borderId="0" xfId="0" applyFont="1" applyNumberFormat="1">
      <alignment horizontal="left" vertical="center" wrapText="1" indent="1"/>
    </xf>
    <xf numFmtId="0" fontId="37" fillId="0" borderId="0" xfId="0" applyFont="1">
      <alignment horizontal="left" vertical="center" wrapText="1" indent="4"/>
    </xf>
    <xf numFmtId="0" fontId="37" fillId="0" borderId="0" xfId="0" applyFon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lignment horizontal="left" vertical="center" wrapText="1" indent="1"/>
    </xf>
    <xf numFmtId="0" fontId="36" fillId="0" borderId="0" xfId="0" applyFont="1">
      <alignment horizontal="left" vertical="center"/>
    </xf>
    <xf numFmtId="49" fontId="36" fillId="0" borderId="0" xfId="0" applyFont="1" applyNumberFormat="1">
      <alignment horizontal="left" vertical="center"/>
    </xf>
    <xf numFmtId="0" fontId="36"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lignment horizontal="center" vertical="center" wrapText="1"/>
    </xf>
    <xf numFmtId="0" fontId="25" fillId="34" borderId="0" xfId="0" applyFont="1" applyFill="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lignment horizontal="center" vertical="center" wrapText="1"/>
    </xf>
    <xf numFmtId="0" fontId="19" fillId="34" borderId="12" xfId="0" applyFont="1" applyFill="1" applyBorder="1">
      <alignment horizontal="left" vertical="center" wrapText="1" indent="1"/>
    </xf>
    <xf numFmtId="49" fontId="19" fillId="0" borderId="12" xfId="0" applyFont="1" applyBorder="1" applyNumberFormat="1">
      <alignment horizontal="center" vertical="center"/>
    </xf>
    <xf numFmtId="0" fontId="19" fillId="0" borderId="12" xfId="0" applyFont="1" applyBorder="1">
      <alignment horizontal="left" vertical="center" wrapText="1" indent="1"/>
    </xf>
    <xf numFmtId="0" fontId="19" fillId="0" borderId="12" xfId="0" applyFont="1" applyBorder="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lignment horizontal="left" vertical="center" wrapText="1"/>
    </xf>
    <xf numFmtId="0" fontId="37" fillId="34" borderId="12" xfId="0" applyFont="1" applyFill="1" applyBorder="1">
      <alignment horizontal="center" vertical="center"/>
    </xf>
    <xf numFmtId="0" fontId="63" fillId="34" borderId="0" xfId="0" applyFont="1" applyFill="1">
      <alignment vertical="center" wrapText="1"/>
    </xf>
    <xf numFmtId="0" fontId="57" fillId="34" borderId="0" xfId="0" applyFont="1" applyFill="1"/>
    <xf numFmtId="49" fontId="19"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19" fillId="38" borderId="23" xfId="0" applyFont="1" applyFill="1" applyBorder="1" applyNumberFormat="1">
      <alignment horizontal="left" vertical="center" wrapText="1" indent="1"/>
      <protection locked="0"/>
    </xf>
    <xf numFmtId="0" fontId="103" fillId="0" borderId="0" xfId="0" applyFont="1">
      <alignment vertical="center"/>
    </xf>
    <xf numFmtId="0" fontId="103" fillId="0" borderId="0" xfId="0" applyFont="1">
      <alignment vertical="center" wrapText="1"/>
    </xf>
    <xf numFmtId="175"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lignment horizontal="left" vertical="center" wrapText="1" indent="1"/>
    </xf>
    <xf numFmtId="175" fontId="19" fillId="0" borderId="17" xfId="0" applyFont="1" applyBorder="1" applyNumberFormat="1">
      <alignment horizontal="center" vertical="center" wrapText="1"/>
    </xf>
    <xf numFmtId="49" fontId="39" fillId="36" borderId="27" xfId="0" applyFont="1" applyFill="1" applyBorder="1" applyNumberFormat="1">
      <alignment horizontal="right" vertical="center" wrapText="1"/>
    </xf>
    <xf numFmtId="49" fontId="0" fillId="36" borderId="28"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8"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27" xfId="0" applyFont="1" applyFill="1" applyBorder="1" applyNumberFormat="1">
      <alignment horizontal="left" vertical="center" wrapText="1"/>
      <protection locked="0"/>
    </xf>
    <xf numFmtId="49" fontId="43" fillId="36" borderId="28"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8" xfId="0" applyFont="1" applyBorder="1">
      <alignment horizontal="center" vertical="center" wrapText="1"/>
    </xf>
    <xf numFmtId="0" fontId="37" fillId="0" borderId="0" xfId="0" applyFont="1">
      <alignment horizontal="center" vertical="center"/>
    </xf>
    <xf numFmtId="0" fontId="37" fillId="0" borderId="0" xfId="0" applyFont="1">
      <alignment horizontal="center" vertical="center"/>
    </xf>
    <xf numFmtId="0" fontId="45" fillId="0" borderId="0" xfId="0" applyFont="1">
      <alignment horizontal="center" vertical="center"/>
    </xf>
    <xf numFmtId="0" fontId="31" fillId="0" borderId="0" xfId="0" applyFont="1">
      <alignment horizontal="center" vertical="center" wrapText="1"/>
    </xf>
    <xf numFmtId="14" fontId="19" fillId="39" borderId="12" xfId="0" applyFont="1" applyFill="1" applyBorder="1" applyNumberFormat="1">
      <alignment horizontal="left" vertical="center" wrapText="1"/>
    </xf>
    <xf numFmtId="175" fontId="19" fillId="0" borderId="37" xfId="0" applyFont="1" applyBorder="1" applyNumberFormat="1">
      <alignment horizontal="center" vertical="center" wrapText="1"/>
    </xf>
    <xf numFmtId="0" fontId="19" fillId="38" borderId="12" xfId="0" applyFont="1" applyFill="1" applyBorder="1">
      <alignment horizontal="center" vertical="center" wrapText="1"/>
      <protection locked="0"/>
    </xf>
    <xf numFmtId="0" fontId="36" fillId="34" borderId="0" xfId="0" applyFont="1" applyFill="1"/>
    <xf numFmtId="175" fontId="34" fillId="0" borderId="58" xfId="0" applyFont="1" applyBorder="1" applyNumberFormat="1">
      <alignment horizontal="center" vertical="center" wrapText="1"/>
    </xf>
    <xf numFmtId="175" fontId="34" fillId="0" borderId="58" xfId="0" applyFont="1" applyBorder="1" applyNumberFormat="1">
      <alignment horizontal="center" vertical="center" wrapText="1"/>
    </xf>
    <xf numFmtId="49" fontId="43" fillId="38" borderId="28" xfId="0" applyFont="1" applyFill="1" applyBorder="1" applyNumberFormat="1">
      <alignment horizontal="left" vertical="center" wrapText="1"/>
      <protection locked="0"/>
    </xf>
    <xf numFmtId="0" fontId="19" fillId="0" borderId="15" xfId="0" applyFont="1" applyBorder="1">
      <alignment horizontal="right" vertical="center" wrapText="1" indent="1"/>
    </xf>
    <xf numFmtId="0" fontId="19" fillId="33" borderId="14" xfId="0" applyFont="1" applyFill="1" applyBorder="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lignment vertical="center"/>
    </xf>
    <xf numFmtId="0" fontId="19" fillId="0" borderId="36" xfId="0" applyFont="1" applyBorder="1">
      <alignment horizontal="center" vertical="center" wrapText="1"/>
    </xf>
    <xf numFmtId="0" fontId="19" fillId="0" borderId="37" xfId="0" applyFont="1" applyBorder="1">
      <alignment horizontal="center" vertical="center" wrapText="1"/>
    </xf>
    <xf numFmtId="0" fontId="19" fillId="0" borderId="17" xfId="0" applyFont="1" applyBorder="1">
      <alignment horizontal="center" vertical="center" wrapText="1"/>
    </xf>
    <xf numFmtId="0" fontId="19" fillId="0" borderId="22" xfId="0" applyFont="1" applyBorder="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lignment horizontal="left" vertical="center" wrapText="1"/>
    </xf>
    <xf numFmtId="49" fontId="19" fillId="0" borderId="36" xfId="0" applyFont="1" applyBorder="1" applyNumberFormat="1">
      <alignment vertical="center" wrapText="1"/>
    </xf>
    <xf numFmtId="0" fontId="19" fillId="0" borderId="23" xfId="0" applyFont="1" applyBorder="1">
      <alignment horizontal="left" vertical="center" wrapText="1"/>
    </xf>
    <xf numFmtId="0" fontId="29" fillId="0" borderId="23" xfId="0" applyFont="1" applyBorder="1">
      <alignment horizontal="left" vertical="center"/>
    </xf>
    <xf numFmtId="0" fontId="29" fillId="36" borderId="14" xfId="0" applyFont="1" applyFill="1" applyBorder="1">
      <alignment horizontal="left" vertical="center"/>
    </xf>
    <xf numFmtId="0" fontId="29" fillId="0" borderId="36" xfId="0" applyFont="1" applyBorder="1">
      <alignment horizontal="left" vertical="center"/>
    </xf>
    <xf numFmtId="0" fontId="29"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lignment horizontal="center" vertical="center" wrapText="1"/>
    </xf>
    <xf numFmtId="49" fontId="36" fillId="0" borderId="0" xfId="0" applyFont="1" applyNumberFormat="1">
      <alignment horizontal="center" vertical="center"/>
    </xf>
    <xf numFmtId="0" fontId="104" fillId="0" borderId="0" xfId="0" applyFont="1">
      <alignment vertical="center" wrapText="1"/>
    </xf>
    <xf numFmtId="0" fontId="105" fillId="0" borderId="0" xfId="0" applyFont="1">
      <alignment vertical="center" wrapText="1"/>
    </xf>
    <xf numFmtId="0" fontId="19" fillId="0" borderId="17" xfId="0" applyFont="1" applyBorder="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lignment horizontal="left" vertical="center" wrapText="1"/>
    </xf>
    <xf numFmtId="0" fontId="19" fillId="0" borderId="0" xfId="0" applyFon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lignment horizontal="left" vertical="center" wrapText="1"/>
    </xf>
    <xf numFmtId="0" fontId="29" fillId="0" borderId="0" xfId="0" applyFont="1">
      <alignment horizontal="left" vertical="center"/>
    </xf>
    <xf numFmtId="49" fontId="25" fillId="0" borderId="0" xfId="0" applyFont="1" applyNumberFormat="1">
      <alignment horizontal="center" vertical="center" wrapText="1"/>
    </xf>
    <xf numFmtId="0" fontId="29" fillId="0" borderId="0" xfId="0" applyFont="1">
      <alignment vertical="center"/>
    </xf>
    <xf numFmtId="49" fontId="57" fillId="0" borderId="27"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lignment horizontal="left" vertical="center"/>
    </xf>
    <xf numFmtId="49" fontId="57" fillId="0" borderId="28"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lignment vertical="center"/>
    </xf>
    <xf numFmtId="49" fontId="0" fillId="0" borderId="12" xfId="0" applyFont="1" applyBorder="1" applyNumberFormat="1">
      <alignment horizontal="left" vertical="center" wrapText="1" indent="1"/>
    </xf>
    <xf numFmtId="0" fontId="19" fillId="0" borderId="0" xfId="0" applyFont="1">
      <alignment vertical="center" wrapText="1"/>
    </xf>
    <xf numFmtId="0" fontId="20" fillId="0" borderId="0" xfId="0" applyFont="1">
      <alignment vertical="center" wrapText="1"/>
    </xf>
    <xf numFmtId="0" fontId="31" fillId="0" borderId="0" xfId="0" applyFont="1">
      <alignment vertical="center" wrapText="1"/>
    </xf>
    <xf numFmtId="0" fontId="19"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7" fillId="0" borderId="0" xfId="0" applyFont="1">
      <alignment vertical="center" wrapText="1"/>
    </xf>
    <xf numFmtId="0" fontId="54" fillId="0" borderId="0" xfId="0" applyFont="1">
      <alignment vertical="center" wrapText="1"/>
    </xf>
    <xf numFmtId="49" fontId="19" fillId="0" borderId="12" xfId="0" applyFont="1" applyBorder="1" applyNumberFormat="1">
      <alignment horizontal="center" vertical="center" wrapText="1"/>
    </xf>
    <xf numFmtId="0" fontId="25" fillId="34" borderId="12" xfId="0" applyFont="1" applyFill="1" applyBorder="1">
      <alignment horizontal="center" vertical="center" wrapText="1"/>
    </xf>
    <xf numFmtId="0" fontId="19" fillId="0" borderId="0" xfId="0" applyFont="1">
      <alignment vertical="center" wrapText="1"/>
    </xf>
    <xf numFmtId="0" fontId="25" fillId="34" borderId="0" xfId="0" applyFont="1" applyFill="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lignment vertical="center" wrapText="1"/>
    </xf>
    <xf numFmtId="49" fontId="19" fillId="38" borderId="12" xfId="0" applyFont="1" applyFill="1" applyBorder="1" applyNumberFormat="1">
      <alignment horizontal="left" vertical="center" wrapText="1"/>
      <protection locked="0"/>
    </xf>
    <xf numFmtId="0" fontId="37" fillId="0" borderId="0" xfId="0" applyFont="1">
      <alignment vertical="center"/>
    </xf>
    <xf numFmtId="0" fontId="25" fillId="34" borderId="12" xfId="0" applyFont="1" applyFill="1" applyBorder="1">
      <alignment horizontal="center" vertical="center" wrapText="1"/>
    </xf>
    <xf numFmtId="0" fontId="36" fillId="0" borderId="22" xfId="0" applyFont="1" applyBorder="1">
      <alignment vertical="center"/>
    </xf>
    <xf numFmtId="0" fontId="36" fillId="0" borderId="22" xfId="0" applyFont="1" applyBorder="1">
      <alignment vertical="center"/>
    </xf>
    <xf numFmtId="0" fontId="19" fillId="0" borderId="17" xfId="0" applyFont="1" applyBorder="1">
      <alignment horizontal="left" vertical="center" wrapText="1" indent="1"/>
    </xf>
    <xf numFmtId="49" fontId="19" fillId="0" borderId="59" xfId="0" applyFont="1" applyBorder="1" applyNumberFormat="1">
      <alignment horizontal="center" vertical="center" wrapText="1"/>
    </xf>
    <xf numFmtId="49" fontId="19" fillId="0" borderId="29" xfId="0" applyFont="1" applyBorder="1" applyNumberFormat="1">
      <alignment horizontal="center" vertical="center" wrapText="1"/>
    </xf>
    <xf numFmtId="0" fontId="19" fillId="0" borderId="0" xfId="0" applyFont="1">
      <alignment vertical="center" wrapText="1"/>
    </xf>
    <xf numFmtId="0" fontId="20" fillId="0" borderId="0" xfId="0" applyFont="1">
      <alignment vertical="center" wrapText="1"/>
    </xf>
    <xf numFmtId="0" fontId="25" fillId="0" borderId="0" xfId="0" applyFont="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37" fillId="0" borderId="0" xfId="0" applyFont="1">
      <alignment vertical="center" wrapText="1"/>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44" fillId="0" borderId="0" xfId="0" applyFont="1">
      <alignment vertical="center"/>
    </xf>
    <xf numFmtId="0" fontId="63" fillId="0" borderId="0" xfId="0" applyFont="1">
      <alignment vertical="center" wrapText="1"/>
    </xf>
    <xf numFmtId="0" fontId="37" fillId="0" borderId="0" xfId="0" applyFont="1">
      <alignment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0" xfId="0" applyFont="1">
      <alignment horizontal="left" vertical="top" wrapText="1"/>
    </xf>
    <xf numFmtId="0" fontId="19" fillId="0" borderId="12" xfId="0" applyFont="1" applyBorder="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lignment horizontal="left" vertical="center" wrapText="1" indent="2"/>
    </xf>
    <xf numFmtId="0" fontId="37" fillId="0" borderId="17"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49" fontId="0" fillId="0" borderId="12" xfId="0" applyFont="1" applyBorder="1" applyNumberFormat="1">
      <alignment vertical="center" wrapText="1"/>
    </xf>
    <xf numFmtId="0" fontId="37" fillId="0" borderId="14" xfId="0" applyFont="1" applyBorder="1">
      <alignment vertical="center" wrapText="1"/>
    </xf>
    <xf numFmtId="0" fontId="37" fillId="0" borderId="14" xfId="0" applyFont="1" applyBorder="1">
      <alignment horizontal="left" vertical="top" wrapText="1"/>
    </xf>
    <xf numFmtId="49" fontId="19" fillId="0" borderId="60" xfId="0" applyFont="1" applyBorder="1" applyNumberFormat="1">
      <alignment horizontal="center" vertical="center" wrapText="1"/>
    </xf>
    <xf numFmtId="0" fontId="19" fillId="0" borderId="17" xfId="0" applyFont="1" applyBorder="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lignment horizontal="left" vertical="top" wrapText="1"/>
    </xf>
    <xf numFmtId="0" fontId="19"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xf numFmtId="0" fontId="19" fillId="0" borderId="0" xfId="0" applyFont="1">
      <alignment vertical="top" wrapText="1"/>
    </xf>
    <xf numFmtId="0" fontId="25"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0"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6"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xf numFmtId="0" fontId="93" fillId="0" borderId="0" xfId="0" applyFont="1">
      <alignment horizontal="left" vertical="center" wrapText="1"/>
    </xf>
    <xf numFmtId="49" fontId="108" fillId="0" borderId="0" xfId="0" applyFont="1" applyNumberFormat="1">
      <alignment wrapText="1"/>
    </xf>
    <xf numFmtId="0" fontId="35" fillId="0" borderId="0" xfId="0" applyFont="1">
      <alignment horizontal="left" vertical="top" wrapText="1"/>
    </xf>
    <xf numFmtId="49" fontId="19" fillId="0" borderId="0" xfId="0" applyFont="1" applyNumberFormat="1">
      <alignment vertical="top" wrapText="1"/>
    </xf>
    <xf numFmtId="0" fontId="56" fillId="0" borderId="0" xfId="0" applyFont="1">
      <alignment wrapText="1"/>
    </xf>
    <xf numFmtId="0" fontId="109" fillId="0" borderId="0" xfId="0" applyFont="1">
      <alignment horizontal="left" vertical="center" wrapText="1"/>
    </xf>
    <xf numFmtId="0" fontId="110" fillId="0" borderId="0" xfId="0" applyFont="1">
      <alignment vertical="center" wrapText="1"/>
    </xf>
    <xf numFmtId="0" fontId="56" fillId="0" borderId="38" xfId="0" applyFont="1" applyBorder="1">
      <alignment wrapText="1"/>
    </xf>
    <xf numFmtId="0" fontId="56" fillId="0" borderId="0" xfId="0" applyFont="1"/>
    <xf numFmtId="0" fontId="109" fillId="0" borderId="0" xfId="0" applyFont="1"/>
    <xf numFmtId="0" fontId="111" fillId="0" borderId="0" xfId="0" applyFont="1">
      <alignment wrapText="1"/>
    </xf>
    <xf numFmtId="0" fontId="0" fillId="35" borderId="62" xfId="0" applyFont="1" applyFill="1" applyBorder="1">
      <alignment horizontal="center" vertical="center" wrapText="1"/>
    </xf>
    <xf numFmtId="0" fontId="0" fillId="52" borderId="62" xfId="0" applyFont="1" applyFill="1" applyBorder="1">
      <alignment horizontal="center" vertical="center" wrapText="1"/>
    </xf>
    <xf numFmtId="0" fontId="0" fillId="33" borderId="62" xfId="0" applyFont="1" applyFill="1" applyBorder="1">
      <alignment horizontal="center" vertical="center" wrapText="1"/>
    </xf>
    <xf numFmtId="0" fontId="0" fillId="38" borderId="62" xfId="0" applyFont="1" applyFill="1" applyBorder="1">
      <alignment horizontal="center" vertical="center" wrapText="1"/>
    </xf>
    <xf numFmtId="0" fontId="109" fillId="0" borderId="38" xfId="0" applyFont="1" applyBorder="1">
      <alignment horizontal="left" vertical="center" wrapText="1"/>
    </xf>
    <xf numFmtId="0" fontId="109" fillId="0" borderId="63" xfId="0" applyFont="1" applyBorder="1">
      <alignment horizontal="left" vertical="center" wrapText="1"/>
    </xf>
    <xf numFmtId="0" fontId="111" fillId="0" borderId="0" xfId="0" applyFont="1"/>
    <xf numFmtId="0" fontId="111" fillId="0" borderId="38" xfId="0" applyFont="1" applyBorder="1">
      <alignment wrapText="1"/>
    </xf>
    <xf numFmtId="0" fontId="56" fillId="0" borderId="64" xfId="0" applyFont="1" applyBorder="1">
      <alignment wrapText="1"/>
    </xf>
    <xf numFmtId="0" fontId="56" fillId="0" borderId="39" xfId="0" applyFont="1" applyBorder="1">
      <alignment wrapText="1"/>
    </xf>
    <xf numFmtId="0" fontId="56" fillId="0" borderId="39" xfId="0" applyFont="1" applyBorder="1">
      <alignment vertical="center" wrapText="1"/>
    </xf>
    <xf numFmtId="0" fontId="107" fillId="0" borderId="0" xfId="0" applyFont="1"/>
    <xf numFmtId="0" fontId="24" fillId="0" borderId="24" xfId="0" applyFont="1" applyBorder="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78" fontId="0" fillId="38" borderId="12" xfId="0" applyFont="1" applyFill="1" applyBorder="1" applyNumberFormat="1">
      <alignment horizontal="left" vertical="center" wrapText="1" indent="1"/>
      <protection locked="0"/>
    </xf>
    <xf numFmtId="178" fontId="0" fillId="0" borderId="12" xfId="0" applyFont="1" applyBorder="1" applyNumberFormat="1">
      <alignment horizontal="left" vertical="center" wrapText="1" indent="1"/>
    </xf>
    <xf numFmtId="178" fontId="0" fillId="38" borderId="12" xfId="0" applyFont="1" applyFill="1" applyBorder="1" applyNumberFormat="1">
      <alignment horizontal="center" vertical="center" wrapText="1"/>
      <protection locked="0"/>
    </xf>
    <xf numFmtId="178" fontId="37" fillId="0" borderId="0" xfId="0" applyFont="1" applyNumberFormat="1">
      <alignment horizontal="center" vertical="center" wrapText="1"/>
    </xf>
    <xf numFmtId="178" fontId="37" fillId="0" borderId="12" xfId="0" applyFont="1" applyBorder="1" applyNumberFormat="1">
      <alignment horizontal="center" vertical="center" wrapText="1"/>
    </xf>
    <xf numFmtId="178" fontId="0" fillId="38" borderId="12" xfId="0" applyFont="1" applyFill="1" applyBorder="1" applyNumberFormat="1">
      <alignment horizontal="left" vertical="center" wrapText="1"/>
      <protection locked="0"/>
    </xf>
    <xf numFmtId="178" fontId="0" fillId="35" borderId="12" xfId="0" applyFont="1" applyFill="1" applyBorder="1" applyNumberFormat="1">
      <alignment horizontal="left" vertical="center" wrapText="1" indent="1"/>
      <protection locked="0"/>
    </xf>
    <xf numFmtId="178" fontId="0" fillId="38" borderId="13" xfId="0" applyFont="1" applyFill="1" applyBorder="1" applyNumberFormat="1">
      <alignment horizontal="left" vertical="center" wrapText="1"/>
      <protection locked="0"/>
    </xf>
    <xf numFmtId="0" fontId="19" fillId="0" borderId="0" xfId="0" applyFont="1">
      <alignment horizontal="left" vertical="top" indent="1"/>
    </xf>
    <xf numFmtId="0" fontId="19" fillId="33" borderId="27"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19" fillId="33" borderId="27" xfId="0" applyFont="1" applyFill="1" applyBorder="1">
      <alignment horizontal="left" vertical="top"/>
    </xf>
    <xf numFmtId="0" fontId="19" fillId="0" borderId="12" xfId="0" applyFont="1" applyBorder="1">
      <alignment horizontal="left" vertical="top"/>
    </xf>
    <xf numFmtId="49" fontId="19" fillId="0" borderId="0" xfId="0" applyFont="1" applyNumberFormat="1">
      <alignment horizontal="left" vertical="top"/>
    </xf>
    <xf numFmtId="0" fontId="0" fillId="33" borderId="36" xfId="0" applyFont="1" applyFill="1" applyBorder="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lignment horizontal="center" vertical="top" wrapText="1"/>
    </xf>
    <xf numFmtId="0" fontId="19" fillId="35" borderId="36" xfId="0" applyFont="1" applyFill="1" applyBorder="1">
      <alignment horizontal="left" vertical="top" wrapText="1"/>
      <protection locked="0"/>
    </xf>
    <xf numFmtId="0" fontId="29" fillId="0" borderId="36" xfId="0" applyFont="1" applyBorder="1">
      <alignment horizontal="left" vertical="center"/>
    </xf>
    <xf numFmtId="0" fontId="29" fillId="35" borderId="36" xfId="0" applyFont="1" applyFill="1" applyBorder="1">
      <alignment horizontal="left" vertical="center"/>
      <protection locked="0"/>
    </xf>
    <xf numFmtId="0" fontId="29" fillId="38" borderId="36" xfId="0" applyFont="1" applyFill="1" applyBorder="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lignment horizontal="center" vertical="center" wrapText="1"/>
    </xf>
    <xf numFmtId="0" fontId="0" fillId="34" borderId="12" xfId="0" applyFont="1" applyFill="1" applyBorder="1">
      <alignment vertical="top" wrapText="1"/>
    </xf>
    <xf numFmtId="0" fontId="36" fillId="0" borderId="12" xfId="0" applyFont="1" applyBorder="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0" fillId="0" borderId="12" xfId="0" applyFont="1" applyBorder="1">
      <alignment horizontal="center" vertical="center" wrapText="1"/>
    </xf>
    <xf numFmtId="0" fontId="19" fillId="0" borderId="12" xfId="0" applyFont="1" applyBorder="1">
      <alignment horizontal="left" vertical="center"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19" fillId="0" borderId="0" xfId="0" applyFont="1" applyNumberFormat="1">
      <alignment horizontal="left" vertical="center" indent="1"/>
    </xf>
    <xf numFmtId="0" fontId="19" fillId="39" borderId="12" xfId="0" applyFont="1" applyFill="1" applyBorder="1">
      <alignment horizontal="center" vertical="center" wrapText="1"/>
    </xf>
    <xf numFmtId="178" fontId="0" fillId="38" borderId="14" xfId="0" applyFont="1" applyFill="1" applyBorder="1" applyNumberFormat="1">
      <alignment horizontal="left" vertical="center" wrapText="1"/>
      <protection locked="0"/>
    </xf>
    <xf numFmtId="178"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0" fillId="0" borderId="23" xfId="0" applyFont="1" applyBorder="1">
      <alignment horizontal="center" vertical="center" wrapText="1"/>
    </xf>
    <xf numFmtId="0" fontId="19" fillId="0" borderId="12" xfId="0" applyFont="1" applyBorder="1">
      <alignment horizontal="center" vertical="center" wrapText="1"/>
    </xf>
    <xf numFmtId="0" fontId="37" fillId="0" borderId="0" xfId="0" applyFont="1">
      <alignment horizontal="center" vertical="center" wrapText="1"/>
    </xf>
    <xf numFmtId="0" fontId="34"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6" fillId="0" borderId="0" xfId="0" applyFont="1">
      <alignment horizontal="center" vertical="top"/>
    </xf>
    <xf numFmtId="49" fontId="19" fillId="0" borderId="36" xfId="0" applyFont="1" applyBorder="1" applyNumberFormat="1">
      <alignment horizontal="center" vertical="top" wrapText="1"/>
    </xf>
    <xf numFmtId="0" fontId="19" fillId="0" borderId="12" xfId="0" applyFont="1" applyBorder="1">
      <alignment horizontal="left" vertical="center" wrapText="1"/>
    </xf>
    <xf numFmtId="0" fontId="24" fillId="0" borderId="12" xfId="0" applyFont="1" applyBorder="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8"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36" fillId="0" borderId="0" xfId="0" applyFont="1">
      <alignment horizontal="center" vertical="center" wrapText="1"/>
    </xf>
    <xf numFmtId="0" fontId="0" fillId="0" borderId="12" xfId="0" applyFont="1" applyBorder="1">
      <alignment horizontal="left" vertical="center" wrapText="1"/>
    </xf>
    <xf numFmtId="0" fontId="19" fillId="0" borderId="36" xfId="0" applyFont="1" applyBorder="1">
      <alignment horizontal="center" vertical="center" wrapText="1"/>
    </xf>
    <xf numFmtId="0" fontId="19"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lignment horizontal="center" vertical="center" wrapText="1"/>
    </xf>
    <xf numFmtId="0" fontId="34" fillId="0" borderId="13" xfId="0" applyFont="1" applyBorder="1">
      <alignment horizontal="center" vertical="center"/>
    </xf>
    <xf numFmtId="49" fontId="0" fillId="37" borderId="0" xfId="0" applyFont="1" applyFill="1" applyNumberFormat="1">
      <alignment vertical="top"/>
    </xf>
    <xf numFmtId="0" fontId="25" fillId="34" borderId="0" xfId="0" applyFont="1" applyFill="1">
      <alignment horizontal="center" vertical="center" wrapText="1"/>
    </xf>
    <xf numFmtId="0" fontId="25" fillId="34" borderId="0" xfId="0" applyFont="1" applyFill="1">
      <alignment horizontal="center"/>
    </xf>
    <xf numFmtId="0" fontId="25" fillId="0" borderId="0" xfId="0" applyFont="1">
      <alignment horizontal="center" vertical="center" wrapText="1"/>
    </xf>
    <xf numFmtId="0" fontId="3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lignment vertical="top" wrapText="1"/>
    </xf>
    <xf numFmtId="49" fontId="113" fillId="38" borderId="12" xfId="0" applyFont="1" applyFill="1" applyBorder="1" applyNumberFormat="1">
      <alignment horizontal="left" vertical="center" wrapText="1"/>
      <protection locked="0"/>
    </xf>
    <xf numFmtId="0" fontId="25" fillId="34" borderId="0" xfId="0" applyFont="1" applyFill="1">
      <alignment horizontal="center" vertical="center" wrapText="1"/>
    </xf>
    <xf numFmtId="49" fontId="25" fillId="0" borderId="0" xfId="0" applyFont="1" applyNumberFormat="1">
      <alignment horizontal="center" vertical="center" wrapText="1"/>
    </xf>
    <xf numFmtId="0" fontId="25" fillId="0" borderId="24" xfId="0" applyFont="1" applyBorder="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5"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8" xfId="0" applyFont="1" applyBorder="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lignment horizontal="left" vertical="center" wrapText="1"/>
      <protection locked="0"/>
    </xf>
    <xf numFmtId="0" fontId="0" fillId="0" borderId="23" xfId="0" applyFont="1" applyBorder="1">
      <alignment horizontal="center" vertical="center" wrapText="1"/>
    </xf>
    <xf numFmtId="0" fontId="19" fillId="34" borderId="23" xfId="0" applyFont="1" applyFill="1" applyBorder="1">
      <alignment horizontal="center" vertical="center" wrapText="1"/>
    </xf>
    <xf numFmtId="0" fontId="93" fillId="0" borderId="0" xfId="0" applyFont="1">
      <alignment vertical="center" wrapText="1"/>
    </xf>
    <xf numFmtId="0" fontId="93" fillId="0" borderId="0" xfId="0" applyFont="1">
      <alignment vertical="center"/>
    </xf>
    <xf numFmtId="0" fontId="35" fillId="53" borderId="65" xfId="0" applyFont="1" applyFill="1" applyBorder="1">
      <alignment horizontal="center" vertical="center" wrapText="1"/>
    </xf>
    <xf numFmtId="0" fontId="35" fillId="53" borderId="66" xfId="0" applyFont="1" applyFill="1" applyBorder="1">
      <alignment horizontal="center" vertical="center" wrapText="1"/>
    </xf>
    <xf numFmtId="0" fontId="35" fillId="53" borderId="67" xfId="0" applyFont="1" applyFill="1" applyBorder="1">
      <alignment horizontal="center" vertical="center" wrapText="1"/>
    </xf>
    <xf numFmtId="0" fontId="35" fillId="45" borderId="38" xfId="0" applyFont="1" applyFill="1" applyBorder="1">
      <alignment horizontal="right" vertical="center" wrapText="1" indent="1"/>
    </xf>
    <xf numFmtId="0" fontId="35" fillId="45" borderId="68" xfId="0" applyFont="1" applyFill="1" applyBorder="1">
      <alignment horizontal="right" vertical="center" wrapText="1" indent="1"/>
    </xf>
    <xf numFmtId="0" fontId="35" fillId="45" borderId="0" xfId="0" applyFont="1" applyFill="1">
      <alignment horizontal="right" vertical="center" wrapText="1" indent="1"/>
    </xf>
    <xf numFmtId="0" fontId="111" fillId="0" borderId="38" xfId="0" applyFont="1" applyBorder="1">
      <alignment vertical="center" wrapText="1"/>
    </xf>
    <xf numFmtId="0" fontId="111" fillId="0" borderId="0" xfId="0" applyFont="1">
      <alignment vertical="center" wrapText="1"/>
    </xf>
    <xf numFmtId="0" fontId="111" fillId="0" borderId="38" xfId="0" applyFont="1" applyBorder="1">
      <alignment horizontal="left" vertical="center" wrapText="1"/>
    </xf>
    <xf numFmtId="0" fontId="111" fillId="0" borderId="0" xfId="0" applyFont="1">
      <alignment horizontal="left" vertical="center" wrapText="1"/>
    </xf>
    <xf numFmtId="0" fontId="35" fillId="45" borderId="62" xfId="0" applyFont="1" applyFill="1" applyBorder="1">
      <alignment horizontal="right" vertical="center" wrapText="1" indent="1"/>
    </xf>
    <xf numFmtId="0" fontId="35" fillId="45" borderId="69" xfId="0" applyFont="1" applyFill="1" applyBorder="1">
      <alignment horizontal="right" vertical="center" wrapText="1" indent="1"/>
    </xf>
    <xf numFmtId="0" fontId="35" fillId="45" borderId="64" xfId="0" applyFont="1" applyFill="1" applyBorder="1">
      <alignment horizontal="right" vertical="center" wrapText="1" indent="1"/>
    </xf>
    <xf numFmtId="0" fontId="35" fillId="45" borderId="39" xfId="0" applyFont="1" applyFill="1" applyBorder="1">
      <alignment horizontal="right" vertical="center" wrapText="1" indent="1"/>
    </xf>
    <xf numFmtId="0" fontId="111" fillId="0" borderId="0" xfId="0" applyFont="1">
      <alignment vertical="top" wrapText="1"/>
    </xf>
    <xf numFmtId="49" fontId="56" fillId="0" borderId="0" xfId="0" applyFont="1" applyNumberFormat="1">
      <alignment vertical="top" wrapText="1"/>
    </xf>
    <xf numFmtId="0" fontId="19" fillId="0" borderId="13" xfId="0" applyFont="1" applyBorder="1">
      <alignment horizontal="center" vertical="center" wrapText="1"/>
    </xf>
    <xf numFmtId="0" fontId="19" fillId="0" borderId="14" xfId="0" applyFont="1" applyBorder="1">
      <alignment horizontal="center" vertical="center" wrapText="1"/>
    </xf>
    <xf numFmtId="0" fontId="87" fillId="0" borderId="0" xfId="0" applyFont="1">
      <alignment horizontal="left" vertical="center" wrapText="1"/>
    </xf>
    <xf numFmtId="14" fontId="84" fillId="0" borderId="12" xfId="0" applyFont="1" applyBorder="1" applyNumberFormat="1">
      <alignment horizontal="center" vertical="center" wrapText="1"/>
    </xf>
    <xf numFmtId="0" fontId="19" fillId="0" borderId="0" xfId="0" applyFont="1">
      <alignment horizontal="center" vertical="center" wrapText="1"/>
    </xf>
    <xf numFmtId="0" fontId="19" fillId="0" borderId="15" xfId="0" applyFont="1" applyBorder="1">
      <alignment horizontal="left" vertical="center" wrapText="1" inden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4" fontId="19" fillId="0" borderId="12" xfId="0" applyFont="1" applyBorder="1" applyNumberFormat="1">
      <alignment horizontal="center" vertical="center" wrapText="1"/>
    </xf>
    <xf numFmtId="0" fontId="19" fillId="39" borderId="17" xfId="0" applyFont="1" applyFill="1" applyBorder="1">
      <alignment horizontal="left" vertical="center" wrapText="1" indent="1"/>
      <protection locked="0"/>
    </xf>
    <xf numFmtId="0" fontId="19" fillId="39" borderId="23" xfId="0" applyFont="1" applyFill="1" applyBorder="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lignment horizontal="left" vertical="center" wrapText="1" indent="2"/>
    </xf>
    <xf numFmtId="0" fontId="19" fillId="39" borderId="36" xfId="0" applyFont="1" applyFill="1" applyBorder="1">
      <alignment horizontal="left" vertical="center" wrapText="1" indent="2"/>
    </xf>
    <xf numFmtId="0" fontId="19" fillId="39" borderId="23" xfId="0" applyFont="1" applyFill="1" applyBorder="1">
      <alignment horizontal="left" vertical="center" wrapText="1" indent="2"/>
    </xf>
    <xf numFmtId="49" fontId="19" fillId="39" borderId="23" xfId="0" applyFont="1" applyFill="1" applyBorder="1" applyNumberFormat="1">
      <alignment horizontal="center" vertical="center" wrapText="1"/>
    </xf>
    <xf numFmtId="14" fontId="71" fillId="0" borderId="70" xfId="0" applyFont="1" applyBorder="1" applyNumberFormat="1">
      <alignment horizontal="center" vertical="center" wrapText="1"/>
    </xf>
    <xf numFmtId="0" fontId="19" fillId="0" borderId="70" xfId="0" applyFont="1" applyBorder="1">
      <alignment horizontal="center" vertical="center" wrapText="1"/>
    </xf>
    <xf numFmtId="49" fontId="24" fillId="0" borderId="71" xfId="0" applyFont="1" applyBorder="1" applyNumberFormat="1">
      <alignment horizontal="center" vertical="center" wrapText="1"/>
    </xf>
    <xf numFmtId="49" fontId="24" fillId="0" borderId="72"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30" xfId="0" applyFont="1" applyBorder="1">
      <alignment horizontal="left" vertical="center" indent="1"/>
    </xf>
    <xf numFmtId="0" fontId="19" fillId="0" borderId="23" xfId="0" applyFont="1" applyBorder="1">
      <alignment horizontal="left" vertical="center" indent="1"/>
    </xf>
    <xf numFmtId="0" fontId="19" fillId="0" borderId="27" xfId="0" applyFont="1" applyBorder="1">
      <alignment horizontal="left" vertical="center" indent="1"/>
    </xf>
    <xf numFmtId="0" fontId="19" fillId="0" borderId="0" xfId="0" applyFont="1">
      <alignment horizontal="center" vertical="center" wrapText="1"/>
    </xf>
    <xf numFmtId="0" fontId="19" fillId="41" borderId="0" xfId="0" applyFont="1" applyFill="1">
      <alignment horizontal="center" vertical="center" wrapText="1"/>
    </xf>
    <xf numFmtId="0" fontId="19"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19" fillId="0" borderId="73" xfId="0" applyFont="1" applyBorder="1">
      <alignment horizontal="center" vertical="center" wrapText="1"/>
    </xf>
    <xf numFmtId="0" fontId="19" fillId="0" borderId="74" xfId="0" applyFont="1" applyBorder="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19" fillId="0" borderId="12" xfId="0" applyFont="1" applyBorder="1">
      <alignment horizontal="left" vertical="top" wrapText="1"/>
    </xf>
    <xf numFmtId="49" fontId="0" fillId="0" borderId="12" xfId="0" applyFont="1" applyBorder="1" applyNumberFormat="1">
      <alignment horizontal="left" vertical="top"/>
    </xf>
    <xf numFmtId="0" fontId="19" fillId="39" borderId="17" xfId="0" applyFont="1" applyFill="1" applyBorder="1">
      <alignment horizontal="center" vertical="top" wrapText="1"/>
    </xf>
    <xf numFmtId="0" fontId="19" fillId="39" borderId="36" xfId="0" applyFont="1" applyFill="1" applyBorder="1">
      <alignment horizontal="center" vertical="top" wrapText="1"/>
    </xf>
    <xf numFmtId="0" fontId="19"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7" fillId="34" borderId="28" xfId="0" applyFont="1" applyFill="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63" fillId="0" borderId="24" xfId="0" applyFont="1" applyBorder="1">
      <alignment horizontal="left" vertical="center" wrapText="1" indent="1"/>
    </xf>
    <xf numFmtId="0" fontId="63" fillId="0" borderId="36" xfId="0" applyFont="1" applyBorder="1">
      <alignment horizontal="left" vertical="center" wrapText="1" indent="1"/>
    </xf>
    <xf numFmtId="0" fontId="63" fillId="0" borderId="22" xfId="0" applyFont="1" applyBorder="1">
      <alignment horizontal="left" vertical="center" wrapText="1" indent="1"/>
    </xf>
    <xf numFmtId="0" fontId="19" fillId="0" borderId="28"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19" fillId="0" borderId="17" xfId="0" applyFont="1" applyBorder="1">
      <alignment horizontal="left" vertical="top" wrapText="1"/>
    </xf>
    <xf numFmtId="0" fontId="19" fillId="0" borderId="36" xfId="0" applyFont="1" applyBorder="1">
      <alignment horizontal="left" vertical="top" wrapText="1"/>
    </xf>
    <xf numFmtId="0" fontId="19"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19" fillId="0" borderId="17" xfId="0" applyFont="1" applyBorder="1">
      <alignment horizontal="center" vertical="center" wrapText="1"/>
    </xf>
    <xf numFmtId="0" fontId="35" fillId="0" borderId="28" xfId="0" applyFont="1" applyBorder="1">
      <alignment horizontal="left" vertical="center" wrapText="1" indent="1"/>
    </xf>
    <xf numFmtId="0" fontId="29" fillId="0" borderId="0" xfId="0" applyFont="1">
      <alignment horizontal="left" vertical="center"/>
    </xf>
    <xf numFmtId="0" fontId="29" fillId="0" borderId="24" xfId="0" applyFont="1" applyBorder="1">
      <alignment horizontal="left" vertical="center"/>
    </xf>
    <xf numFmtId="0" fontId="19" fillId="0" borderId="12" xfId="0" applyFont="1" applyBorder="1">
      <alignment horizontal="left" vertical="center" wrapText="1"/>
    </xf>
    <xf numFmtId="0" fontId="19" fillId="0" borderId="37" xfId="0" applyFont="1" applyBorder="1">
      <alignment horizontal="left" vertical="center" wrapText="1"/>
    </xf>
    <xf numFmtId="0" fontId="19" fillId="0" borderId="19" xfId="0" applyFont="1" applyBorder="1">
      <alignment horizontal="center" vertical="center"/>
    </xf>
    <xf numFmtId="0" fontId="19" fillId="0" borderId="0" xfId="0" applyFont="1">
      <alignment horizontal="center" vertical="center"/>
    </xf>
    <xf numFmtId="49" fontId="19" fillId="0" borderId="12" xfId="0" applyFont="1" applyBorder="1" applyNumberFormat="1">
      <alignment horizontal="center" vertical="center"/>
    </xf>
    <xf numFmtId="0" fontId="19" fillId="0" borderId="14" xfId="0" applyFont="1" applyBorder="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29" fillId="0" borderId="28" xfId="0" applyFont="1" applyBorder="1">
      <alignment horizontal="left" vertical="center"/>
    </xf>
    <xf numFmtId="0" fontId="29" fillId="0" borderId="30" xfId="0" applyFont="1" applyBorder="1">
      <alignment horizontal="left" vertical="center"/>
    </xf>
    <xf numFmtId="49" fontId="19" fillId="0" borderId="17" xfId="0" applyFont="1" applyBorder="1" applyNumberFormat="1">
      <alignment horizontal="center" vertical="center"/>
    </xf>
    <xf numFmtId="0" fontId="19" fillId="0" borderId="17" xfId="0" applyFont="1" applyBorder="1">
      <alignment horizontal="left" vertical="center" wrapText="1"/>
    </xf>
    <xf numFmtId="0" fontId="35" fillId="0" borderId="19" xfId="0" applyFont="1" applyBorder="1">
      <alignment horizontal="left" vertical="center" wrapText="1" indent="1"/>
    </xf>
    <xf numFmtId="0" fontId="19" fillId="0" borderId="37" xfId="0" applyFont="1" applyBorder="1">
      <alignment horizontal="center" vertical="center" wrapText="1"/>
    </xf>
    <xf numFmtId="0" fontId="19" fillId="0" borderId="20" xfId="0" applyFont="1" applyBorder="1">
      <alignment horizontal="center" vertical="center" wrapText="1"/>
    </xf>
    <xf numFmtId="0" fontId="19" fillId="0" borderId="22" xfId="0" applyFont="1" applyBorder="1">
      <alignment horizontal="center" vertical="center" wrapText="1"/>
    </xf>
    <xf numFmtId="0" fontId="19" fillId="0" borderId="24"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center" vertical="center" wrapText="1"/>
    </xf>
    <xf numFmtId="0" fontId="19" fillId="0" borderId="12" xfId="0" applyFont="1" applyBorder="1">
      <alignment horizontal="center" vertical="center" wrapText="1"/>
    </xf>
    <xf numFmtId="0" fontId="19" fillId="0" borderId="36" xfId="0" applyFont="1" applyBorder="1">
      <alignment horizontal="center" vertical="center" wrapText="1"/>
    </xf>
    <xf numFmtId="0" fontId="19" fillId="0" borderId="27" xfId="0" applyFont="1" applyBorder="1">
      <alignment horizontal="center" vertical="center" wrapText="1"/>
    </xf>
    <xf numFmtId="0" fontId="19" fillId="0" borderId="30" xfId="0" applyFont="1" applyBorder="1">
      <alignment horizontal="center" vertical="center" wrapText="1"/>
    </xf>
    <xf numFmtId="49" fontId="19" fillId="34" borderId="0" xfId="0" applyFont="1" applyFill="1" applyNumberFormat="1">
      <alignment horizontal="center" vertical="center" wrapText="1"/>
    </xf>
    <xf numFmtId="0" fontId="34" fillId="0" borderId="0" xfId="0" applyFon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lignment horizontal="center" vertical="center" wrapText="1"/>
    </xf>
    <xf numFmtId="0" fontId="34" fillId="0" borderId="0" xfId="0" applyFont="1">
      <alignment horizontal="left" vertical="top" wrapText="1" indent="1"/>
    </xf>
    <xf numFmtId="0" fontId="84" fillId="34" borderId="0" xfId="0" applyFont="1" applyFill="1">
      <alignment horizontal="left" vertical="center" wrapText="1"/>
    </xf>
    <xf numFmtId="0" fontId="0" fillId="34" borderId="12" xfId="0" applyFont="1" applyFill="1" applyBorder="1">
      <alignment horizontal="center" vertical="center" wrapText="1"/>
    </xf>
    <xf numFmtId="0" fontId="19" fillId="34" borderId="12" xfId="0" applyFont="1" applyFill="1" applyBorder="1">
      <alignment horizontal="center" vertical="center" wrapText="1"/>
    </xf>
    <xf numFmtId="0" fontId="19" fillId="34" borderId="24" xfId="0" applyFont="1" applyFill="1" applyBorder="1">
      <alignment horizontal="center" vertical="center" wrapText="1"/>
    </xf>
    <xf numFmtId="0" fontId="19" fillId="0" borderId="28" xfId="0" applyFont="1" applyBorder="1">
      <alignment horizontal="left" vertical="center" wrapText="1" indent="1"/>
    </xf>
    <xf numFmtId="0" fontId="19" fillId="34" borderId="17" xfId="0" applyFont="1" applyFill="1" applyBorder="1">
      <alignment horizontal="left" vertical="top" wrapText="1"/>
    </xf>
    <xf numFmtId="0" fontId="19" fillId="34" borderId="36" xfId="0" applyFont="1" applyFill="1" applyBorder="1">
      <alignment horizontal="left" vertical="top" wrapText="1"/>
    </xf>
    <xf numFmtId="0" fontId="19" fillId="34" borderId="23" xfId="0" applyFont="1" applyFill="1" applyBorder="1">
      <alignment horizontal="left" vertical="top" wrapText="1"/>
    </xf>
    <xf numFmtId="0" fontId="19" fillId="0" borderId="30" xfId="0" applyFont="1" applyBorder="1">
      <alignment horizontal="left" vertical="center" wrapText="1" indent="1"/>
    </xf>
    <xf numFmtId="0" fontId="19" fillId="0" borderId="23" xfId="0" applyFont="1" applyBorder="1">
      <alignment horizontal="left" vertical="center" wrapText="1" indent="1"/>
    </xf>
    <xf numFmtId="0" fontId="19" fillId="0" borderId="27" xfId="0" applyFont="1" applyBorder="1">
      <alignment horizontal="left" vertical="center" wrapText="1" indent="1"/>
    </xf>
    <xf numFmtId="0" fontId="3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2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19"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27" xfId="0" applyFont="1" applyBorder="1" applyNumberFormat="1">
      <alignment horizontal="center" vertical="center" wrapText="1"/>
    </xf>
    <xf numFmtId="0" fontId="19" fillId="39" borderId="19" xfId="0" applyFont="1" applyFill="1" applyBorder="1">
      <alignment horizontal="left" vertical="center" wrapText="1"/>
    </xf>
    <xf numFmtId="0" fontId="19" fillId="39" borderId="28" xfId="0" applyFont="1" applyFill="1" applyBorder="1">
      <alignment horizontal="left" vertical="center" wrapText="1"/>
    </xf>
    <xf numFmtId="0" fontId="0" fillId="0" borderId="36" xfId="0" applyFont="1" applyBorder="1">
      <alignment horizontal="left" vertical="top" wrapText="1"/>
    </xf>
    <xf numFmtId="49" fontId="0" fillId="38"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19" fillId="38" borderId="12" xfId="0" applyFont="1" applyFill="1" applyBorder="1" applyNumberFormat="1">
      <alignment horizontal="center" vertical="center" wrapText="1"/>
      <protection locked="0"/>
    </xf>
    <xf numFmtId="49" fontId="19" fillId="39" borderId="14" xfId="0" applyFont="1" applyFill="1" applyBorder="1" applyNumberFormat="1">
      <alignment horizontal="center" vertical="center" wrapText="1"/>
    </xf>
    <xf numFmtId="49" fontId="114" fillId="0" borderId="13" xfId="0" applyFont="1" applyBorder="1" applyNumberFormat="1">
      <alignment horizontal="center" vertical="center" wrapText="1"/>
    </xf>
    <xf numFmtId="0" fontId="34" fillId="0" borderId="12" xfId="0" applyFont="1" applyBorder="1">
      <alignment horizontal="center" vertical="center"/>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9" fillId="33" borderId="12" xfId="0" applyFont="1" applyFill="1" applyBorder="1" applyNumberFormat="1">
      <alignment horizontal="left"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9" xfId="0" applyFont="1" applyFill="1" applyBorder="1">
      <alignment horizontal="left" vertical="center"/>
    </xf>
    <xf numFmtId="0" fontId="29" fillId="36" borderId="20" xfId="0" applyFont="1" applyFill="1" applyBorder="1">
      <alignment horizontal="left" vertical="center"/>
    </xf>
    <xf numFmtId="49" fontId="19" fillId="38" borderId="17" xfId="0" applyFont="1" applyFill="1" applyBorder="1" applyNumberFormat="1">
      <alignment horizontal="left" vertical="center" wrapText="1"/>
      <protection locked="0"/>
    </xf>
    <xf numFmtId="49" fontId="19" fillId="0" borderId="36" xfId="0" applyFont="1" applyBorder="1" applyNumberFormat="1">
      <alignment horizontal="center" vertical="center"/>
    </xf>
    <xf numFmtId="0" fontId="19" fillId="39" borderId="17" xfId="0" applyFont="1" applyFill="1" applyBorder="1">
      <alignment horizontal="left" vertical="center" wrapText="1"/>
    </xf>
    <xf numFmtId="0" fontId="19" fillId="39" borderId="36" xfId="0" applyFont="1" applyFill="1" applyBorder="1">
      <alignment horizontal="left" vertical="center" wrapText="1"/>
    </xf>
    <xf numFmtId="49" fontId="19" fillId="39" borderId="17"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0" fontId="19" fillId="0" borderId="24" xfId="0" applyFont="1" applyBorder="1">
      <alignment horizontal="center" vertical="center"/>
    </xf>
    <xf numFmtId="49" fontId="19"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19" fillId="39" borderId="12" xfId="0" applyFont="1" applyFill="1" applyBorder="1">
      <alignment horizontal="left" vertical="top" wrapText="1"/>
    </xf>
    <xf numFmtId="49" fontId="0" fillId="39" borderId="12" xfId="0" applyFont="1" applyFill="1" applyBorder="1" applyNumberFormat="1">
      <alignment horizontal="left" vertical="top"/>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0" fontId="19" fillId="35" borderId="12" xfId="0" applyFont="1" applyFill="1" applyBorder="1">
      <alignment horizontal="left" vertical="top" wrapText="1"/>
      <protection locked="0"/>
    </xf>
    <xf numFmtId="178"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19" fillId="39" borderId="12" xfId="0" applyFont="1" applyFill="1" applyBorder="1">
      <alignment horizontal="center" vertical="center" wrapText="1"/>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4" fillId="0" borderId="12" xfId="0" applyFont="1" applyBorder="1">
      <alignment horizontal="center" vertical="center" wrapText="1"/>
    </xf>
    <xf numFmtId="0" fontId="19"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0" fontId="36" fillId="0" borderId="0" xfId="0" applyFont="1">
      <alignment horizontal="center" vertical="top"/>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0" fontId="19" fillId="0" borderId="23" xfId="0" applyFont="1" applyBorder="1">
      <alignment horizontal="left" vertical="center" wrapText="1"/>
    </xf>
    <xf numFmtId="0" fontId="37" fillId="0" borderId="0" xfId="0" applyFont="1">
      <alignment horizontal="center" vertical="center" wrapText="1"/>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14" fillId="0" borderId="12"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8"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30" xfId="0" applyFont="1" applyBorder="1">
      <alignment horizontal="left" vertical="center" wrapText="1" indent="1"/>
    </xf>
    <xf numFmtId="0" fontId="19" fillId="0" borderId="23" xfId="0" applyFont="1" applyBorder="1">
      <alignment horizontal="left" vertical="center" wrapText="1" indent="1"/>
    </xf>
    <xf numFmtId="0" fontId="19" fillId="0" borderId="27" xfId="0" applyFont="1" applyBorder="1">
      <alignment horizontal="left" vertical="center" wrapText="1" indent="1"/>
    </xf>
    <xf numFmtId="0" fontId="19" fillId="34" borderId="12" xfId="0" applyFont="1" applyFill="1" applyBorder="1">
      <alignment horizontal="center" vertical="center"/>
    </xf>
    <xf numFmtId="0" fontId="19" fillId="33" borderId="14" xfId="0" applyFont="1" applyFill="1" applyBorder="1">
      <alignment horizontal="left" vertical="center" wrapText="1"/>
    </xf>
    <xf numFmtId="0" fontId="19" fillId="33" borderId="15" xfId="0" applyFont="1" applyFill="1" applyBorder="1">
      <alignment horizontal="left" vertical="center" wrapText="1"/>
    </xf>
    <xf numFmtId="0" fontId="19" fillId="33" borderId="13" xfId="0" applyFont="1" applyFill="1" applyBorder="1">
      <alignment horizontal="left" vertical="center" wrapText="1"/>
    </xf>
    <xf numFmtId="0" fontId="19" fillId="39" borderId="14" xfId="0" applyFont="1" applyFill="1" applyBorder="1">
      <alignment horizontal="left" vertical="center" wrapText="1"/>
    </xf>
    <xf numFmtId="0" fontId="19" fillId="39" borderId="15" xfId="0" applyFont="1" applyFill="1" applyBorder="1">
      <alignment horizontal="left" vertical="center" wrapText="1"/>
    </xf>
    <xf numFmtId="0" fontId="19" fillId="39" borderId="13" xfId="0" applyFont="1" applyFill="1" applyBorder="1">
      <alignment horizontal="left" vertical="center" wrapText="1"/>
    </xf>
    <xf numFmtId="0" fontId="19" fillId="0" borderId="19" xfId="0" applyFont="1" applyBorder="1">
      <alignment horizontal="left" vertical="center" wrapText="1" indent="1"/>
    </xf>
    <xf numFmtId="0" fontId="19" fillId="0" borderId="28" xfId="0" applyFont="1" applyBorder="1">
      <alignment horizontal="left" vertical="center" wrapText="1" indent="1"/>
    </xf>
    <xf numFmtId="0" fontId="0" fillId="34" borderId="12" xfId="0" applyFont="1" applyFill="1" applyBorder="1">
      <alignment horizontal="right" vertical="center" wrapText="1" indent="1"/>
    </xf>
    <xf numFmtId="0" fontId="19" fillId="33" borderId="12" xfId="0" applyFont="1" applyFill="1" applyBorder="1">
      <alignment horizontal="left" vertical="center" wrapText="1" indent="1"/>
    </xf>
    <xf numFmtId="0" fontId="25" fillId="0" borderId="28" xfId="0" applyFont="1" applyBorder="1">
      <alignment horizontal="center" vertical="center" wrapText="1"/>
    </xf>
    <xf numFmtId="0" fontId="34" fillId="0" borderId="17" xfId="0" applyFont="1" applyBorder="1">
      <alignment horizontal="left" vertical="top" wrapText="1"/>
    </xf>
    <xf numFmtId="0" fontId="34" fillId="0" borderId="36" xfId="0" applyFont="1" applyBorder="1">
      <alignment horizontal="left" vertical="top" wrapText="1"/>
    </xf>
    <xf numFmtId="0" fontId="34" fillId="0" borderId="23" xfId="0" applyFont="1" applyBorder="1">
      <alignment horizontal="left" vertical="top" wrapText="1"/>
    </xf>
    <xf numFmtId="0" fontId="36" fillId="0" borderId="12" xfId="0" applyFont="1" applyBorder="1">
      <alignment horizontal="center" vertical="center" wrapText="1"/>
    </xf>
    <xf numFmtId="0" fontId="37" fillId="0" borderId="0" xfId="0" applyFont="1">
      <alignment horizontal="center" vertical="center" wrapText="1"/>
    </xf>
    <xf numFmtId="0" fontId="36" fillId="0" borderId="12" xfId="0" applyFont="1" applyBorder="1">
      <alignment horizontal="center" vertical="center"/>
    </xf>
    <xf numFmtId="0" fontId="36" fillId="0" borderId="14" xfId="0" applyFont="1" applyBorder="1">
      <alignment horizontal="center" vertical="center"/>
    </xf>
    <xf numFmtId="0" fontId="19" fillId="0" borderId="17" xfId="0" applyFont="1" applyBorder="1">
      <alignment horizontal="center" vertical="center" wrapText="1"/>
    </xf>
    <xf numFmtId="0" fontId="19" fillId="0" borderId="23" xfId="0" applyFont="1" applyBorder="1">
      <alignment horizontal="center" vertical="center" wrapText="1"/>
    </xf>
    <xf numFmtId="0" fontId="19" fillId="0" borderId="14" xfId="0" applyFont="1" applyBorder="1">
      <alignment horizontal="center" vertical="center" wrapText="1"/>
    </xf>
    <xf numFmtId="0" fontId="19" fillId="0" borderId="13" xfId="0" applyFont="1" applyBorder="1">
      <alignment horizontal="center" vertical="center" wrapText="1"/>
    </xf>
    <xf numFmtId="178" fontId="19" fillId="33" borderId="12" xfId="0" applyFont="1" applyFill="1" applyBorder="1" applyNumberFormat="1">
      <alignment horizontal="left" vertical="center" wrapText="1" indent="1"/>
    </xf>
    <xf numFmtId="178"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8"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19"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19" fillId="34" borderId="17" xfId="0" applyFont="1" applyFill="1" applyBorder="1">
      <alignment horizontal="center" vertical="center" wrapText="1"/>
    </xf>
    <xf numFmtId="0" fontId="19" fillId="34" borderId="36" xfId="0" applyFont="1" applyFill="1" applyBorder="1">
      <alignment horizontal="center" vertical="center" wrapText="1"/>
    </xf>
    <xf numFmtId="0" fontId="19" fillId="34" borderId="23" xfId="0" applyFont="1" applyFill="1" applyBorder="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36" fillId="0" borderId="17" xfId="0" applyFont="1" applyBorder="1">
      <alignment horizontal="center" vertical="center" wrapText="1"/>
    </xf>
    <xf numFmtId="0" fontId="36" fillId="0" borderId="23" xfId="0" applyFont="1" applyBorder="1">
      <alignment horizontal="center" vertical="center" wrapText="1"/>
    </xf>
    <xf numFmtId="0" fontId="19" fillId="0" borderId="0" xfId="0" applyFont="1">
      <alignment horizontal="left" vertical="top" wrapText="1"/>
    </xf>
    <xf numFmtId="0" fontId="36" fillId="0" borderId="14" xfId="0" applyFont="1" applyBorder="1">
      <alignment horizontal="center" vertical="center" wrapText="1"/>
    </xf>
    <xf numFmtId="178"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19" fillId="0" borderId="37" xfId="0" applyFont="1" applyBorder="1">
      <alignment horizontal="center" vertical="center" wrapText="1"/>
    </xf>
    <xf numFmtId="0" fontId="19" fillId="0" borderId="27" xfId="0" applyFont="1" applyBorder="1">
      <alignment horizontal="center" vertical="center" wrapText="1"/>
    </xf>
    <xf numFmtId="0" fontId="37" fillId="0" borderId="14" xfId="0" applyFont="1" applyBorder="1">
      <alignment horizontal="left" vertical="center" wrapText="1"/>
    </xf>
    <xf numFmtId="0" fontId="37" fillId="0" borderId="15" xfId="0" applyFont="1" applyBorder="1">
      <alignment horizontal="left" vertical="center" wrapText="1"/>
    </xf>
    <xf numFmtId="0" fontId="37" fillId="0" borderId="13" xfId="0" applyFont="1" applyBorder="1">
      <alignment horizontal="left" vertical="center" wrapText="1"/>
    </xf>
    <xf numFmtId="0" fontId="0" fillId="0" borderId="0" xfId="0" applyFont="1">
      <alignment horizontal="left" vertical="top" wrapText="1"/>
    </xf>
    <xf numFmtId="0" fontId="19" fillId="0" borderId="12" xfId="0" applyFont="1" applyBorder="1">
      <alignment horizontal="center" vertical="center"/>
    </xf>
    <xf numFmtId="0" fontId="19" fillId="0" borderId="14" xfId="0" applyFont="1" applyBorder="1">
      <alignment horizontal="center" vertical="center"/>
    </xf>
    <xf numFmtId="0" fontId="19"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xf>
    <xf numFmtId="0" fontId="19" fillId="0" borderId="14" xfId="0" applyFont="1" applyBorder="1">
      <alignment horizontal="center" vertical="center"/>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0" xfId="0" applyFont="1" applyBorder="1">
      <alignment horizontal="center" vertical="center" wrapText="1"/>
    </xf>
    <xf numFmtId="0" fontId="19" fillId="0" borderId="28" xfId="0" applyFont="1" applyBorder="1">
      <alignment horizontal="center" vertical="center" wrapText="1"/>
    </xf>
    <xf numFmtId="0" fontId="19" fillId="0" borderId="30"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7" xfId="0" applyFont="1" applyBorder="1">
      <alignment horizontal="center" vertical="center" wrapText="1"/>
    </xf>
    <xf numFmtId="0" fontId="0" fillId="0" borderId="30" xfId="0" applyFont="1" applyBorder="1">
      <alignment horizontal="center" vertical="center" wrapText="1"/>
    </xf>
    <xf numFmtId="0" fontId="19" fillId="0" borderId="22" xfId="0" applyFont="1" applyBorder="1">
      <alignment horizontal="center" vertical="center" wrapText="1"/>
    </xf>
    <xf numFmtId="0" fontId="25"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27" xfId="0" applyFont="1" applyFill="1" applyBorder="1">
      <alignment horizontal="center" vertical="center" wrapText="1"/>
    </xf>
    <xf numFmtId="0" fontId="0" fillId="34" borderId="28" xfId="0" applyFont="1" applyFill="1" applyBorder="1">
      <alignment horizontal="center" vertical="center" wrapText="1"/>
    </xf>
    <xf numFmtId="0" fontId="0" fillId="34" borderId="30" xfId="0" applyFont="1" applyFill="1" applyBorder="1">
      <alignment horizontal="center" vertical="center" wrapText="1"/>
    </xf>
    <xf numFmtId="0" fontId="19" fillId="34" borderId="37" xfId="0" applyFont="1" applyFill="1" applyBorder="1">
      <alignment horizontal="center" vertical="center" wrapText="1"/>
    </xf>
    <xf numFmtId="0" fontId="19" fillId="34" borderId="22" xfId="0" applyFont="1" applyFill="1" applyBorder="1">
      <alignment horizontal="center" vertical="center" wrapText="1"/>
    </xf>
    <xf numFmtId="0" fontId="19" fillId="34" borderId="27" xfId="0" applyFont="1" applyFill="1" applyBorder="1">
      <alignment horizontal="center" vertical="center" wrapText="1"/>
    </xf>
    <xf numFmtId="0" fontId="19" fillId="38" borderId="12" xfId="0" applyFont="1" applyFill="1" applyBorder="1">
      <alignment horizontal="center" vertical="center" wrapText="1"/>
      <protection locked="0"/>
    </xf>
    <xf numFmtId="0" fontId="19" fillId="34" borderId="17" xfId="0" applyFont="1" applyFill="1" applyBorder="1">
      <alignment horizontal="left" vertical="center" wrapText="1"/>
    </xf>
    <xf numFmtId="0" fontId="19" fillId="34" borderId="36" xfId="0" applyFont="1" applyFill="1" applyBorder="1">
      <alignment horizontal="left" vertical="center" wrapText="1"/>
    </xf>
    <xf numFmtId="0" fontId="19" fillId="34" borderId="23" xfId="0" applyFont="1" applyFill="1" applyBorder="1">
      <alignment horizontal="left"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37" fillId="0" borderId="24" xfId="0" applyFont="1" applyBorder="1">
      <alignment horizontal="center" vertical="top" wrapText="1"/>
    </xf>
    <xf numFmtId="49" fontId="19" fillId="0" borderId="12" xfId="0" applyFont="1" applyBorder="1" applyNumberFormat="1">
      <alignment horizontal="left" vertical="center" wrapText="1" indent="1"/>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27"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178" fontId="0" fillId="38" borderId="12" xfId="0" applyFont="1" applyFill="1" applyBorder="1" applyNumberFormat="1">
      <alignment horizontal="center" vertical="center" wrapText="1"/>
      <protection locked="0"/>
    </xf>
    <xf numFmtId="0" fontId="35" fillId="0" borderId="19" xfId="0" applyFont="1" applyBorder="1">
      <alignment horizontal="left" vertical="center" wrapText="1" indent="1"/>
    </xf>
    <xf numFmtId="0" fontId="35" fillId="0" borderId="28" xfId="0" applyFont="1" applyBorder="1">
      <alignment horizontal="left" vertical="center" wrapText="1" indent="1"/>
    </xf>
    <xf numFmtId="0" fontId="19" fillId="0" borderId="0" xfId="0" applyFont="1">
      <alignment horizontal="right" vertical="center" wrapText="1"/>
    </xf>
    <xf numFmtId="4" fontId="19" fillId="33" borderId="12" xfId="0" applyFont="1" applyFill="1" applyBorder="1" applyNumberFormat="1">
      <alignment horizontal="left" vertical="center" wrapText="1"/>
    </xf>
    <xf numFmtId="0" fontId="36" fillId="0" borderId="0" xfId="0" applyFont="1">
      <alignment horizontal="center" vertical="center" wrapText="1"/>
    </xf>
    <xf numFmtId="0" fontId="19" fillId="39" borderId="12" xfId="0" applyFont="1" applyFill="1" applyBorder="1">
      <alignment horizontal="left" vertical="center" wrapText="1"/>
      <protection locked="0"/>
    </xf>
    <xf numFmtId="0" fontId="19" fillId="39" borderId="14" xfId="0" applyFont="1" applyFill="1" applyBorder="1">
      <alignment horizontal="left" vertical="center" wrapText="1"/>
      <protection locked="0"/>
    </xf>
    <xf numFmtId="0" fontId="19" fillId="39" borderId="15" xfId="0" applyFont="1" applyFill="1" applyBorder="1">
      <alignment horizontal="left" vertical="center" wrapText="1"/>
      <protection locked="0"/>
    </xf>
    <xf numFmtId="0" fontId="19" fillId="39" borderId="13" xfId="0" applyFont="1" applyFill="1" applyBorder="1">
      <alignment horizontal="left" vertical="center" wrapText="1"/>
      <protection locked="0"/>
    </xf>
    <xf numFmtId="0" fontId="35" fillId="0" borderId="15" xfId="0" applyFont="1" applyBorder="1">
      <alignment horizontal="left" vertical="center" wrapText="1" indent="1"/>
    </xf>
    <xf numFmtId="0" fontId="19" fillId="33" borderId="14" xfId="0" applyFont="1" applyFill="1" applyBorder="1">
      <alignment horizontal="left" vertical="center" wrapText="1" indent="1"/>
    </xf>
    <xf numFmtId="0" fontId="19" fillId="33" borderId="15" xfId="0" applyFont="1" applyFill="1" applyBorder="1">
      <alignment horizontal="left" vertical="center" wrapText="1" indent="1"/>
    </xf>
    <xf numFmtId="0" fontId="19" fillId="33" borderId="13" xfId="0" applyFont="1" applyFill="1" applyBorder="1">
      <alignment horizontal="left" vertical="center" wrapText="1" indent="1"/>
    </xf>
    <xf numFmtId="0" fontId="72" fillId="0" borderId="0" xfId="0" applyFont="1">
      <alignment horizontal="center" vertical="center" wrapText="1"/>
    </xf>
    <xf numFmtId="49" fontId="29" fillId="36" borderId="12" xfId="0" applyFont="1" applyFill="1" applyBorder="1" applyNumberFormat="1">
      <alignment horizontal="center" vertical="center" textRotation="90" wrapText="1"/>
    </xf>
    <xf numFmtId="0" fontId="19" fillId="33" borderId="12" xfId="0" applyFont="1" applyFill="1" applyBorder="1">
      <alignment horizontal="left" vertical="center" wrapText="1"/>
    </xf>
    <xf numFmtId="0" fontId="0" fillId="0" borderId="12" xfId="0" applyFont="1" applyBorder="1">
      <alignment horizontal="center" vertical="center" wrapText="1"/>
    </xf>
    <xf numFmtId="0" fontId="24" fillId="34" borderId="0" xfId="0" applyFont="1" applyFill="1">
      <alignment horizontal="center" vertical="center" wrapText="1"/>
    </xf>
    <xf numFmtId="0" fontId="0" fillId="0" borderId="12"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19" fillId="0" borderId="0" xfId="0" applyFont="1">
      <alignment horizontal="left" vertical="top" wrapText="1"/>
    </xf>
    <xf numFmtId="0" fontId="19" fillId="33" borderId="14" xfId="0" applyFont="1" applyFill="1" applyBorder="1">
      <alignment horizontal="left" vertical="top" wrapText="1" indent="1"/>
    </xf>
    <xf numFmtId="0" fontId="19" fillId="33" borderId="13" xfId="0" applyFont="1" applyFill="1" applyBorder="1">
      <alignment horizontal="left" vertical="top" wrapText="1" indent="1"/>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19" fillId="0" borderId="14" xfId="0" applyFont="1" applyBorder="1">
      <alignment horizontal="right" vertical="center" wrapText="1"/>
    </xf>
    <xf numFmtId="0" fontId="19" fillId="0" borderId="15" xfId="0" applyFont="1" applyBorder="1">
      <alignment horizontal="right" vertical="center" wrapText="1"/>
    </xf>
    <xf numFmtId="0" fontId="19" fillId="0" borderId="19" xfId="0" applyFont="1" applyBorder="1">
      <alignment horizontal="left" vertical="center" wrapText="1" indent="1"/>
    </xf>
    <xf numFmtId="49" fontId="19" fillId="0" borderId="0" xfId="0" applyFont="1" applyNumberFormat="1">
      <alignment vertical="center" wrapText="1"/>
    </xf>
    <xf numFmtId="0" fontId="25" fillId="0" borderId="24" xfId="0" applyFont="1" applyBorder="1">
      <alignment horizontal="center" vertical="center" wrapText="1"/>
    </xf>
    <xf numFmtId="0" fontId="28" fillId="34" borderId="24" xfId="0" applyFont="1" applyFill="1" applyBorder="1">
      <alignment horizontal="center" vertical="top" wrapText="1"/>
    </xf>
    <xf numFmtId="0" fontId="0" fillId="0" borderId="17" xfId="0" applyFont="1" applyBorder="1">
      <alignment horizontal="left" vertical="center" wrapText="1"/>
    </xf>
    <xf numFmtId="0" fontId="19" fillId="34" borderId="14" xfId="0" applyFont="1" applyFill="1" applyBorder="1">
      <alignment horizontal="center" vertical="center" wrapText="1"/>
    </xf>
    <xf numFmtId="0" fontId="19" fillId="34" borderId="15" xfId="0" applyFont="1" applyFill="1" applyBorder="1">
      <alignment horizontal="center" vertical="center" wrapText="1"/>
    </xf>
    <xf numFmtId="0" fontId="19" fillId="34" borderId="13" xfId="0" applyFont="1" applyFill="1" applyBorder="1">
      <alignment horizontal="center" vertical="center" wrapText="1"/>
    </xf>
    <xf numFmtId="49" fontId="24" fillId="34" borderId="19" xfId="0" applyFont="1" applyFill="1" applyBorder="1" applyNumberFormat="1">
      <alignment horizontal="center" vertical="center" wrapText="1"/>
    </xf>
    <xf numFmtId="0" fontId="34" fillId="0" borderId="12" xfId="0" applyFont="1" applyBorder="1">
      <alignment horizontal="left" vertical="top" wrapText="1"/>
    </xf>
    <xf numFmtId="0" fontId="19" fillId="35" borderId="14" xfId="0" applyFont="1" applyFill="1" applyBorder="1">
      <alignment horizontal="left" vertical="center" wrapText="1"/>
      <protection locked="0"/>
    </xf>
    <xf numFmtId="0" fontId="19" fillId="35" borderId="15" xfId="0" applyFont="1" applyFill="1" applyBorder="1">
      <alignment horizontal="left" vertical="center" wrapText="1"/>
      <protection locked="0"/>
    </xf>
    <xf numFmtId="0" fontId="19" fillId="35" borderId="13" xfId="0" applyFont="1" applyFill="1" applyBorder="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30" xfId="0" applyFont="1" applyFill="1" applyBorder="1" applyNumberFormat="1">
      <alignment horizontal="center" vertical="center" wrapText="1"/>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0" fontId="37" fillId="0" borderId="19" xfId="0" applyFont="1" applyBorder="1">
      <alignment horizontal="left" vertical="center" wrapText="1"/>
    </xf>
    <xf numFmtId="49" fontId="82" fillId="45" borderId="0" xfId="0" applyFont="1" applyFill="1" applyNumberFormat="1">
      <alignment horizontal="center" vertical="center" textRotation="90" wrapText="1"/>
    </xf>
    <xf numFmtId="0" fontId="63" fillId="0" borderId="0" xfId="0" applyFont="1">
      <alignment horizontal="center" vertical="center" wrapText="1"/>
    </xf>
    <xf numFmtId="49" fontId="82" fillId="45" borderId="0" xfId="0" applyFont="1" applyFill="1" applyNumberFormat="1">
      <alignment horizontal="center" vertical="center" textRotation="90"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34" fillId="0" borderId="0" xfId="0" applyFont="1">
      <alignment horizontal="left" vertical="top" wrapText="1"/>
    </xf>
    <xf numFmtId="0" fontId="37" fillId="0" borderId="15" xfId="0" applyFont="1" applyBorder="1">
      <alignment horizontal="right" vertical="center" wrapText="1" indent="1"/>
    </xf>
    <xf numFmtId="0" fontId="37" fillId="0" borderId="13" xfId="0" applyFont="1" applyBorder="1">
      <alignment horizontal="right" vertical="center" wrapText="1" indent="1"/>
    </xf>
    <xf numFmtId="49" fontId="19" fillId="54" borderId="0" xfId="0" applyFont="1" applyFill="1" applyNumberFormat="1">
      <alignment horizontal="center" vertical="center" textRotation="90" wrapText="1"/>
    </xf>
    <xf numFmtId="0" fontId="19" fillId="33" borderId="14" xfId="0" applyFont="1" applyFill="1" applyBorder="1">
      <alignment horizontal="left" vertical="top" wrapText="1"/>
    </xf>
    <xf numFmtId="0" fontId="19" fillId="33" borderId="13" xfId="0" applyFont="1" applyFill="1" applyBorder="1">
      <alignment horizontal="left" vertical="top"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14" xfId="0" applyFont="1" applyBorder="1" applyNumberFormat="1">
      <alignment horizontal="center" vertical="center" wrapText="1"/>
    </xf>
    <xf numFmtId="0" fontId="19" fillId="0" borderId="0" xfId="0" applyFont="1">
      <alignment horizontal="left" vertical="center" wrapText="1"/>
    </xf>
    <xf numFmtId="0" fontId="19" fillId="34" borderId="12" xfId="0" applyFont="1" applyFill="1" applyBorder="1">
      <alignment horizontal="center" vertical="center" wrapText="1"/>
    </xf>
    <xf numFmtId="0" fontId="19" fillId="34" borderId="37" xfId="0" applyFont="1" applyFill="1" applyBorder="1">
      <alignment horizontal="center" vertical="center" wrapText="1"/>
    </xf>
    <xf numFmtId="0" fontId="19" fillId="34" borderId="20" xfId="0" applyFont="1" applyFill="1" applyBorder="1">
      <alignment horizontal="center" vertical="center" wrapText="1"/>
    </xf>
    <xf numFmtId="0" fontId="19" fillId="34" borderId="22" xfId="0" applyFont="1" applyFill="1" applyBorder="1">
      <alignment horizontal="center" vertical="center" wrapText="1"/>
    </xf>
    <xf numFmtId="0" fontId="19" fillId="34" borderId="24" xfId="0" applyFont="1" applyFill="1" applyBorder="1">
      <alignment horizontal="center" vertical="center" wrapText="1"/>
    </xf>
    <xf numFmtId="0" fontId="19" fillId="34" borderId="27" xfId="0" applyFont="1" applyFill="1" applyBorder="1">
      <alignment horizontal="center" vertical="center" wrapText="1"/>
    </xf>
    <xf numFmtId="0" fontId="19" fillId="34" borderId="30" xfId="0" applyFont="1" applyFill="1" applyBorder="1">
      <alignment horizontal="center" vertical="center" wrapText="1"/>
    </xf>
    <xf numFmtId="0" fontId="19" fillId="0" borderId="62" xfId="0" applyFont="1" applyBorder="1">
      <alignment horizontal="center" vertical="center"/>
    </xf>
    <xf numFmtId="0" fontId="19" fillId="0" borderId="63" xfId="0" applyFont="1" applyBorder="1">
      <alignment horizontal="center" vertical="center"/>
    </xf>
    <xf numFmtId="0" fontId="19" fillId="0" borderId="69" xfId="0" applyFont="1" applyBorder="1">
      <alignment horizontal="center" vertical="center"/>
    </xf>
    <xf numFmtId="0" fontId="0" fillId="0" borderId="12" xfId="0" applyFont="1" applyBorder="1">
      <alignment horizontal="center" vertical="center" wrapText="1"/>
    </xf>
    <xf numFmtId="0" fontId="19" fillId="0" borderId="75" xfId="0" applyFont="1" applyBorder="1">
      <alignment horizontal="center" vertical="center"/>
    </xf>
    <xf numFmtId="0" fontId="19"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40" borderId="12" xfId="0" applyFont="1" applyFill="1" applyBorder="1">
      <alignment horizontal="center" vertical="center" wrapText="1"/>
    </xf>
    <xf numFmtId="0" fontId="19" fillId="34" borderId="20" xfId="0" applyFont="1" applyFill="1" applyBorder="1">
      <alignment horizontal="center" vertical="center" wrapText="1"/>
    </xf>
    <xf numFmtId="0" fontId="19" fillId="34" borderId="30" xfId="0" applyFont="1" applyFill="1" applyBorder="1">
      <alignment horizontal="center" vertical="center" wrapText="1"/>
    </xf>
    <xf numFmtId="0" fontId="19" fillId="40" borderId="13" xfId="0" applyFont="1" applyFill="1" applyBorder="1">
      <alignment horizontal="center"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8" xfId="0" applyFont="1" applyFill="1" applyBorder="1" applyNumberFormat="1">
      <alignment horizontal="center" vertical="center" wrapText="1"/>
    </xf>
    <xf numFmtId="0" fontId="19" fillId="48" borderId="14" xfId="0" applyFont="1" applyFill="1" applyBorder="1">
      <alignment horizontal="center" vertical="center" wrapText="1"/>
    </xf>
    <xf numFmtId="0" fontId="19" fillId="48" borderId="15" xfId="0" applyFont="1" applyFill="1" applyBorder="1">
      <alignment horizontal="center" vertical="center" wrapText="1"/>
    </xf>
    <xf numFmtId="0" fontId="19" fillId="48" borderId="13" xfId="0" applyFont="1" applyFill="1" applyBorder="1">
      <alignment horizontal="center" vertical="center" wrapText="1"/>
    </xf>
    <xf numFmtId="0" fontId="19" fillId="40" borderId="14" xfId="0" applyFont="1" applyFill="1" applyBorder="1">
      <alignment horizontal="center" vertical="center" wrapText="1"/>
    </xf>
    <xf numFmtId="49" fontId="19" fillId="0" borderId="0" xfId="0" applyFont="1" applyNumberFormat="1">
      <alignment horizontal="left" vertical="top" wrapText="1"/>
    </xf>
    <xf numFmtId="0" fontId="19" fillId="0" borderId="13" xfId="0" applyFont="1" applyBorder="1">
      <alignment horizontal="left" vertical="center" wrapText="1" indent="1"/>
    </xf>
    <xf numFmtId="0" fontId="19" fillId="0" borderId="14" xfId="0" applyFont="1" applyBorder="1">
      <alignment horizontal="left" vertical="center" wrapText="1" indent="1"/>
    </xf>
    <xf numFmtId="49" fontId="19" fillId="0" borderId="0" xfId="0" applyFont="1" applyNumberFormat="1">
      <alignment horizontal="left" vertical="top" wrapTex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30" xfId="0" applyFont="1" applyBorder="1" applyNumberFormat="1">
      <alignment horizontal="left" vertical="top" wrapText="1"/>
    </xf>
    <xf numFmtId="4" fontId="19" fillId="0" borderId="36" xfId="0" applyFont="1" applyBorder="1" applyNumberFormat="1">
      <alignment horizontal="center" vertical="center" wrapText="1"/>
    </xf>
    <xf numFmtId="175" fontId="19" fillId="0" borderId="17" xfId="0" applyFont="1" applyBorder="1" applyNumberFormat="1">
      <alignment horizontal="center" vertical="center" wrapText="1"/>
    </xf>
    <xf numFmtId="175" fontId="19" fillId="0" borderId="23" xfId="0" applyFont="1" applyBorder="1" applyNumberFormat="1">
      <alignment horizontal="center" vertical="center" wrapText="1"/>
    </xf>
    <xf numFmtId="175" fontId="19" fillId="0" borderId="14" xfId="0" applyFont="1" applyBorder="1" applyNumberFormat="1">
      <alignment horizontal="center" vertical="center" wrapText="1"/>
    </xf>
    <xf numFmtId="175" fontId="19" fillId="0" borderId="15" xfId="0" applyFont="1" applyBorder="1" applyNumberFormat="1">
      <alignment horizontal="center" vertical="center" wrapText="1"/>
    </xf>
    <xf numFmtId="175" fontId="19" fillId="0" borderId="13" xfId="0" applyFont="1" applyBorder="1" applyNumberFormat="1">
      <alignment horizontal="center" vertical="center" wrapText="1"/>
    </xf>
    <xf numFmtId="0" fontId="19" fillId="33" borderId="23" xfId="0" applyFont="1" applyFill="1" applyBorder="1">
      <alignment horizontal="left" vertical="center" wrapText="1"/>
    </xf>
    <xf numFmtId="14" fontId="19" fillId="39" borderId="23" xfId="0" applyFont="1" applyFill="1" applyBorder="1" applyNumberFormat="1">
      <alignment horizontal="left" vertical="center" wrapText="1"/>
    </xf>
    <xf numFmtId="175" fontId="19" fillId="0" borderId="12" xfId="0" applyFont="1" applyBorder="1" applyNumberFormat="1">
      <alignment horizontal="center" vertical="center" wrapText="1"/>
    </xf>
    <xf numFmtId="175" fontId="34" fillId="0" borderId="57" xfId="0" applyFont="1" applyBorder="1" applyNumberFormat="1">
      <alignment horizontal="center" vertical="center" wrapText="1"/>
    </xf>
    <xf numFmtId="175" fontId="34" fillId="0" borderId="51" xfId="0" applyFont="1" applyBorder="1" applyNumberFormat="1">
      <alignment horizontal="center" vertical="center" wrapText="1"/>
    </xf>
    <xf numFmtId="175" fontId="34" fillId="0" borderId="76" xfId="0" applyFont="1" applyBorder="1" applyNumberFormat="1">
      <alignment horizontal="center" vertical="center" wrapText="1"/>
    </xf>
    <xf numFmtId="49" fontId="19" fillId="39" borderId="27"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0" fillId="0" borderId="15" xfId="0" applyFont="1" applyBorder="1" applyNumberFormat="1">
      <alignment horizontal="left" vertical="center"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0" xfId="0" applyFont="1" applyNumberFormat="1">
      <alignment vertical="top"/>
    </xf>
    <xf numFmtId="178" fontId="0" fillId="38" borderId="11" xfId="0" applyFont="1" applyFill="1" applyBorder="1" applyNumberFormat="1">
      <alignment horizontal="left" vertical="center" wrapText="1" indent="1"/>
      <protection locked="0"/>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xf>
    <xf numFmtId="49" fontId="115" fillId="38" borderId="12" xfId="0" applyFont="1" applyFill="1" applyBorder="1" applyNumberFormat="1">
      <alignment horizontal="left" vertical="center" wrapText="1" indent="1"/>
      <protection locked="0"/>
    </xf>
    <xf numFmtId="49" fontId="0" fillId="0" borderId="0" xfId="0" applyFont="1" applyNumberFormat="1">
      <alignment vertical="top"/>
    </xf>
    <xf numFmtId="49" fontId="65"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49" fontId="113" fillId="38" borderId="12" xfId="0" applyFont="1" applyFill="1" applyBorder="1" applyNumberFormat="1">
      <alignment horizontal="left" vertical="center" wrapText="1"/>
    </xf>
    <xf numFmtId="0" fontId="36" fillId="0" borderId="17" xfId="0" applyFont="1" applyBorder="1">
      <alignment horizontal="center" vertical="center" wrapText="1"/>
    </xf>
    <xf numFmtId="0" fontId="19" fillId="0" borderId="19" xfId="0" applyFont="1" applyBorder="1">
      <alignment horizontal="center" vertical="center" wrapText="1"/>
    </xf>
    <xf numFmtId="0" fontId="19" fillId="0" borderId="28" xfId="0" applyFont="1" applyBorder="1">
      <alignment horizontal="center" vertical="center" wrapText="1"/>
    </xf>
    <xf numFmtId="0" fontId="0" fillId="0" borderId="36" xfId="0" applyFont="1" applyBorder="1">
      <alignment horizontal="center" vertical="center" wrapText="1"/>
    </xf>
    <xf numFmtId="0" fontId="19" fillId="36" borderId="15" xfId="0" applyFont="1" applyFill="1" applyBorder="1">
      <alignment vertical="center" wrapText="1"/>
    </xf>
    <xf numFmtId="0" fontId="19" fillId="36" borderId="15" xfId="0" applyFont="1" applyFill="1" applyBorder="1">
      <alignment vertical="center" wrapText="1"/>
    </xf>
    <xf numFmtId="0" fontId="19" fillId="36" borderId="15" xfId="0" applyFont="1" applyFill="1" applyBorder="1">
      <alignment vertical="center" wrapText="1"/>
    </xf>
    <xf numFmtId="0" fontId="19" fillId="36" borderId="19" xfId="0" applyFont="1" applyFill="1" applyBorder="1">
      <alignment vertical="center" wrapText="1"/>
    </xf>
    <xf numFmtId="0" fontId="19" fillId="36" borderId="15" xfId="0" applyFont="1" applyFill="1" applyBorder="1">
      <alignment vertical="center" wrapText="1"/>
    </xf>
    <xf numFmtId="0" fontId="19" fillId="36" borderId="19" xfId="0" applyFont="1" applyFill="1" applyBorder="1">
      <alignment vertical="center" wrapText="1"/>
    </xf>
    <xf numFmtId="0" fontId="19" fillId="36" borderId="19" xfId="0" applyFont="1" applyFill="1" applyBorder="1">
      <alignment vertical="center" wrapText="1"/>
    </xf>
    <xf numFmtId="0" fontId="19" fillId="36" borderId="15" xfId="0" applyFont="1" applyFill="1" applyBorder="1">
      <alignment vertical="center" wrapText="1"/>
    </xf>
    <xf numFmtId="0" fontId="19" fillId="36" borderId="28"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49" fontId="115" fillId="35" borderId="12" xfId="0" applyFont="1" applyFill="1" applyBorder="1" applyNumberFormat="1">
      <alignment horizontal="left" vertical="center" wrapText="1"/>
      <protection locked="0"/>
    </xf>
    <xf numFmtId="49" fontId="115" fillId="35" borderId="13" xfId="0" applyFont="1" applyFill="1" applyBorder="1" applyNumberFormat="1">
      <alignment horizontal="left" vertical="center" wrapText="1"/>
      <protection locked="0"/>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0" fontId="36" fillId="36" borderId="13" xfId="0" applyFont="1" applyFill="1" applyBorder="1">
      <alignment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0</xdr:colOff>
      <xdr:row>7</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urikIS@tgc-2.ru" TargetMode="External"/><Relationship Id="rId5" Type="http://schemas.openxmlformats.org/officeDocument/2006/relationships/hyperlink" Target="mailto:PurikIS@tgc-2.ru" TargetMode="External"/></Relationships>
</file>

<file path=xl/worksheets/_rels/sheet2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hyperlink" Target="https://data-platform.ru/lk/files/Files/wsjLHZ/ea007c27-8f00-404c-9768-26ae0c03bea8" TargetMode="External"/><Relationship Id="rId2" Type="http://schemas.openxmlformats.org/officeDocument/2006/relationships/hyperlink" Target="https://data-platform.ru/lk/files/Files/wsjLHZ/ea007c27-8f00-404c-9768-26ae0c03bea8"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62" TargetMode="External"/><Relationship Id="rId2" Type="http://schemas.openxmlformats.org/officeDocument/2006/relationships/hyperlink" Target="&apos;&#1055;&#1086;&#1082;&#1072;&#1079;&#1072;&#1090;&#1077;&#1083;&#1080; &#1050;&#1053;&#1069;&apos;!$K$62" TargetMode="External"/><Relationship Id="rId3" Type="http://schemas.openxmlformats.org/officeDocument/2006/relationships/hyperlink" Target="&apos;&#1055;&#1086;&#1082;&#1072;&#1079;&#1072;&#1090;&#1077;&#1083;&#1080; &#1050;&#1053;&#1069;&apos;!$I$63" TargetMode="External"/><Relationship Id="rId4" Type="http://schemas.openxmlformats.org/officeDocument/2006/relationships/hyperlink" Target="&apos;&#1055;&#1086;&#1082;&#1072;&#1079;&#1072;&#1090;&#1077;&#1083;&#1080; &#1050;&#1053;&#1069;&apos;!$K$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2912B-AD76-905C-8B07-4190AD3499E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34" width="5.421875" customWidth="1"/>
    <col min="2" max="2" style="1734" width="9.140625" customWidth="1"/>
    <col min="3" max="3" style="1734" width="16.421875" customWidth="1"/>
    <col min="4" max="25" style="1734" width="6.28125" customWidth="1"/>
    <col min="26" max="28" style="1734" width="11.00390625"/>
  </cols>
  <sheetData>
    <row customHeight="1" ht="15.75">
      <c r="A1" s="1730"/>
      <c r="B1" s="1731"/>
      <c r="C1" s="1731"/>
      <c r="D1" s="1731"/>
      <c r="E1" s="1731"/>
      <c r="F1" s="1731"/>
      <c r="G1" s="1731"/>
      <c r="H1" s="1731"/>
      <c r="I1" s="1731"/>
      <c r="J1" s="1731"/>
      <c r="K1" s="1731"/>
      <c r="L1" s="1731"/>
      <c r="M1" s="1731"/>
      <c r="N1" s="1731"/>
      <c r="O1" s="1731"/>
      <c r="P1" s="1731"/>
      <c r="Q1" s="1731"/>
      <c r="R1" s="1731"/>
      <c r="S1" s="1731"/>
      <c r="T1" s="1731"/>
      <c r="U1" s="1731"/>
      <c r="V1" s="1731"/>
      <c r="W1" s="1731"/>
      <c r="X1" s="1731"/>
      <c r="Y1" s="1732"/>
      <c r="Z1" s="1731"/>
      <c r="AA1" s="1733" t="s">
        <v>0</v>
      </c>
      <c r="AB1" s="1731"/>
    </row>
    <row customHeight="1" ht="17.25">
      <c r="A2" s="1731"/>
      <c r="B2" s="1898" t="s">
        <v>1</v>
      </c>
      <c r="C2" s="1898"/>
      <c r="D2" s="1898"/>
      <c r="E2" s="1898"/>
      <c r="F2" s="1898"/>
      <c r="G2" s="1898"/>
      <c r="H2" s="1898"/>
      <c r="I2" s="1898"/>
      <c r="J2" s="1898"/>
      <c r="K2" s="1898"/>
      <c r="L2" s="1898"/>
      <c r="M2" s="1898"/>
      <c r="N2" s="1898"/>
      <c r="O2" s="1898"/>
      <c r="P2" s="1898"/>
      <c r="Q2" s="1735"/>
      <c r="R2" s="1735"/>
      <c r="S2" s="1735"/>
      <c r="T2" s="1735"/>
      <c r="U2" s="1735"/>
      <c r="V2" s="1736"/>
      <c r="W2" s="1735"/>
      <c r="X2" s="1735"/>
      <c r="Y2" s="1732"/>
      <c r="Z2" s="1731"/>
      <c r="AA2" s="1733"/>
      <c r="AB2" s="1731"/>
    </row>
    <row customHeight="1" ht="15.75">
      <c r="A3" s="1731"/>
      <c r="B3" s="1899" t="s">
        <v>2</v>
      </c>
      <c r="C3" s="1899"/>
      <c r="D3" s="1899"/>
      <c r="E3" s="1899"/>
      <c r="F3" s="1899"/>
      <c r="G3" s="1899"/>
      <c r="H3" s="1899"/>
      <c r="I3" s="1899"/>
      <c r="J3" s="1899"/>
      <c r="K3" s="1899"/>
      <c r="L3" s="1899"/>
      <c r="M3" s="1899"/>
      <c r="N3" s="1899"/>
      <c r="O3" s="1899"/>
      <c r="P3" s="1899"/>
      <c r="Q3" s="1736"/>
      <c r="R3" s="1736"/>
      <c r="S3" s="1735"/>
      <c r="T3" s="1735"/>
      <c r="U3" s="1735"/>
      <c r="V3" s="1736"/>
      <c r="W3" s="1736"/>
      <c r="X3" s="1736"/>
      <c r="Y3" s="1736"/>
      <c r="Z3" s="1731"/>
      <c r="AA3" s="1733"/>
      <c r="AB3" s="1731"/>
    </row>
    <row customHeight="1" ht="17.25">
      <c r="A4" s="1731"/>
      <c r="B4" s="1737"/>
      <c r="C4" s="1731"/>
      <c r="D4" s="1736"/>
      <c r="E4" s="1736"/>
      <c r="F4" s="1736"/>
      <c r="G4" s="1736"/>
      <c r="H4" s="1736"/>
      <c r="I4" s="1736"/>
      <c r="J4" s="1736"/>
      <c r="K4" s="1736"/>
      <c r="L4" s="1736"/>
      <c r="M4" s="1736"/>
      <c r="N4" s="1736"/>
      <c r="O4" s="1736"/>
      <c r="P4" s="1736"/>
      <c r="Q4" s="1736"/>
      <c r="R4" s="1736"/>
      <c r="S4" s="1736"/>
      <c r="T4" s="1736"/>
      <c r="U4" s="1736"/>
      <c r="V4" s="1736"/>
      <c r="W4" s="1736"/>
      <c r="X4" s="1736"/>
      <c r="Y4" s="1736"/>
      <c r="Z4" s="1731"/>
      <c r="AA4" s="1733"/>
      <c r="AB4" s="1731"/>
    </row>
    <row customHeight="1" ht="22.5">
      <c r="A5" s="1738"/>
      <c r="B5" s="1900"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1901"/>
      <c r="D5" s="1901"/>
      <c r="E5" s="1901"/>
      <c r="F5" s="1901"/>
      <c r="G5" s="1901"/>
      <c r="H5" s="1901"/>
      <c r="I5" s="1901"/>
      <c r="J5" s="1901"/>
      <c r="K5" s="1901"/>
      <c r="L5" s="1901"/>
      <c r="M5" s="1901"/>
      <c r="N5" s="1901"/>
      <c r="O5" s="1901"/>
      <c r="P5" s="1901"/>
      <c r="Q5" s="1901"/>
      <c r="R5" s="1901"/>
      <c r="S5" s="1901"/>
      <c r="T5" s="1901"/>
      <c r="U5" s="1901"/>
      <c r="V5" s="1901"/>
      <c r="W5" s="1901"/>
      <c r="X5" s="1901"/>
      <c r="Y5" s="1902"/>
      <c r="Z5" s="1738"/>
      <c r="AA5" s="1733"/>
      <c r="AB5" s="1738"/>
    </row>
    <row customHeight="1" ht="15">
      <c r="A6" s="1739"/>
      <c r="B6" s="1903" t="s">
        <v>3</v>
      </c>
      <c r="C6" s="1904"/>
      <c r="D6" s="1740"/>
      <c r="E6" s="1740"/>
      <c r="F6" s="1740"/>
      <c r="G6" s="1740"/>
      <c r="H6" s="1740"/>
      <c r="I6" s="1740"/>
      <c r="J6" s="1740"/>
      <c r="K6" s="1740"/>
      <c r="L6" s="1740"/>
      <c r="M6" s="1740"/>
      <c r="N6" s="1740"/>
      <c r="O6" s="1740"/>
      <c r="P6" s="1740"/>
      <c r="Q6" s="1740"/>
      <c r="R6" s="1740"/>
      <c r="S6" s="1740"/>
      <c r="T6" s="1740"/>
      <c r="U6" s="1740"/>
      <c r="V6" s="1740"/>
      <c r="W6" s="1740"/>
      <c r="X6" s="1740"/>
      <c r="Y6" s="1741"/>
      <c r="Z6" s="1742"/>
      <c r="AA6" s="1743"/>
      <c r="AB6" s="1743"/>
    </row>
    <row customHeight="1" ht="15">
      <c r="A7" s="1739"/>
      <c r="B7" s="1903"/>
      <c r="C7" s="1904"/>
      <c r="D7" s="1740"/>
      <c r="E7" s="1740"/>
      <c r="F7" s="1744"/>
      <c r="G7" s="1744"/>
      <c r="H7" s="1744"/>
      <c r="I7" s="1744"/>
      <c r="J7" s="1744"/>
      <c r="K7" s="1744"/>
      <c r="L7" s="1744"/>
      <c r="M7" s="1744"/>
      <c r="N7" s="1744"/>
      <c r="O7" s="1740"/>
      <c r="P7" s="1744"/>
      <c r="Q7" s="1744"/>
      <c r="R7" s="1744"/>
      <c r="S7" s="1744"/>
      <c r="T7" s="1744"/>
      <c r="U7" s="1744"/>
      <c r="V7" s="1744"/>
      <c r="W7" s="1744"/>
      <c r="X7" s="1744"/>
      <c r="Y7" s="1741"/>
      <c r="Z7" s="1742"/>
      <c r="AA7" s="1743"/>
      <c r="AB7" s="1743"/>
    </row>
    <row customHeight="1" ht="15">
      <c r="A8" s="1739"/>
      <c r="B8" s="1903"/>
      <c r="C8" s="1904"/>
      <c r="D8" s="1745"/>
      <c r="E8" s="1746" t="s">
        <v>4</v>
      </c>
      <c r="F8" s="1906" t="s">
        <v>5</v>
      </c>
      <c r="G8" s="1907"/>
      <c r="H8" s="1907"/>
      <c r="I8" s="1907"/>
      <c r="J8" s="1907"/>
      <c r="K8" s="1907"/>
      <c r="L8" s="1907"/>
      <c r="M8" s="1907"/>
      <c r="N8" s="1745"/>
      <c r="O8" s="1747" t="s">
        <v>4</v>
      </c>
      <c r="P8" s="1908" t="s">
        <v>6</v>
      </c>
      <c r="Q8" s="1909"/>
      <c r="R8" s="1909"/>
      <c r="S8" s="1909"/>
      <c r="T8" s="1909"/>
      <c r="U8" s="1909"/>
      <c r="V8" s="1909"/>
      <c r="W8" s="1909"/>
      <c r="X8" s="1909"/>
      <c r="Y8" s="1741"/>
      <c r="Z8" s="1742"/>
      <c r="AA8" s="1743"/>
      <c r="AB8" s="1743"/>
    </row>
    <row customHeight="1" ht="15">
      <c r="A9" s="1739"/>
      <c r="B9" s="1903"/>
      <c r="C9" s="1904"/>
      <c r="D9" s="1745"/>
      <c r="E9" s="1748" t="s">
        <v>4</v>
      </c>
      <c r="F9" s="1906" t="s">
        <v>7</v>
      </c>
      <c r="G9" s="1907"/>
      <c r="H9" s="1907"/>
      <c r="I9" s="1907"/>
      <c r="J9" s="1907"/>
      <c r="K9" s="1907"/>
      <c r="L9" s="1907"/>
      <c r="M9" s="1907"/>
      <c r="N9" s="1745"/>
      <c r="O9" s="1749" t="s">
        <v>4</v>
      </c>
      <c r="P9" s="1908" t="s">
        <v>8</v>
      </c>
      <c r="Q9" s="1909"/>
      <c r="R9" s="1909"/>
      <c r="S9" s="1909"/>
      <c r="T9" s="1909"/>
      <c r="U9" s="1909"/>
      <c r="V9" s="1909"/>
      <c r="W9" s="1909"/>
      <c r="X9" s="1909"/>
      <c r="Y9" s="1741"/>
      <c r="Z9" s="1742"/>
      <c r="AA9" s="1743"/>
      <c r="AB9" s="1743"/>
    </row>
    <row customHeight="1" ht="30">
      <c r="A10" s="1739"/>
      <c r="B10" s="1903"/>
      <c r="C10" s="1905"/>
      <c r="D10" s="1750"/>
      <c r="E10" s="1751"/>
      <c r="F10" s="1744"/>
      <c r="G10" s="1744"/>
      <c r="H10" s="1744"/>
      <c r="I10" s="1744"/>
      <c r="J10" s="1744"/>
      <c r="K10" s="1744"/>
      <c r="L10" s="1744"/>
      <c r="M10" s="1744"/>
      <c r="N10" s="1744"/>
      <c r="O10" s="1751"/>
      <c r="P10" s="1744"/>
      <c r="Q10" s="1744"/>
      <c r="R10" s="1744"/>
      <c r="S10" s="1744"/>
      <c r="T10" s="1744"/>
      <c r="U10" s="1744"/>
      <c r="V10" s="1744"/>
      <c r="W10" s="1744"/>
      <c r="X10" s="1744"/>
      <c r="Y10" s="1741"/>
      <c r="Z10" s="1742"/>
      <c r="AA10" s="1743"/>
      <c r="AB10" s="1743"/>
    </row>
    <row customHeight="1" ht="19.5">
      <c r="A11" s="1739"/>
      <c r="B11" s="1910" t="s">
        <v>9</v>
      </c>
      <c r="C11" s="1911"/>
      <c r="D11" s="1745"/>
      <c r="E11" s="1752"/>
      <c r="F11" s="1752"/>
      <c r="G11" s="1752"/>
      <c r="H11" s="1752"/>
      <c r="I11" s="1752"/>
      <c r="J11" s="1752"/>
      <c r="K11" s="1752"/>
      <c r="L11" s="1752"/>
      <c r="M11" s="1752"/>
      <c r="N11" s="1752"/>
      <c r="O11" s="1752"/>
      <c r="P11" s="1752"/>
      <c r="Q11" s="1752"/>
      <c r="R11" s="1752"/>
      <c r="S11" s="1752"/>
      <c r="T11" s="1752"/>
      <c r="U11" s="1752"/>
      <c r="V11" s="1752"/>
      <c r="W11" s="1752"/>
      <c r="X11" s="1752"/>
      <c r="Y11" s="1741"/>
      <c r="Z11" s="1742"/>
      <c r="AA11" s="1743"/>
      <c r="AB11" s="1743"/>
    </row>
    <row customHeight="1" ht="69">
      <c r="A12" s="1739"/>
      <c r="B12" s="1903"/>
      <c r="C12" s="1905"/>
      <c r="D12" s="1753"/>
      <c r="E12" s="1907" t="s">
        <v>10</v>
      </c>
      <c r="F12" s="1907"/>
      <c r="G12" s="1907"/>
      <c r="H12" s="1907"/>
      <c r="I12" s="1907"/>
      <c r="J12" s="1907"/>
      <c r="K12" s="1907"/>
      <c r="L12" s="1907"/>
      <c r="M12" s="1907"/>
      <c r="N12" s="1907"/>
      <c r="O12" s="1907"/>
      <c r="P12" s="1907"/>
      <c r="Q12" s="1907"/>
      <c r="R12" s="1907"/>
      <c r="S12" s="1907"/>
      <c r="T12" s="1907"/>
      <c r="U12" s="1907"/>
      <c r="V12" s="1907"/>
      <c r="W12" s="1907"/>
      <c r="X12" s="1907"/>
      <c r="Y12" s="1741"/>
      <c r="Z12" s="1742"/>
      <c r="AA12" s="1743"/>
      <c r="AB12" s="1743"/>
    </row>
    <row customHeight="1" ht="15">
      <c r="A13" s="1739"/>
      <c r="B13" s="1910" t="s">
        <v>11</v>
      </c>
      <c r="C13" s="1911"/>
      <c r="D13" s="1740"/>
      <c r="E13" s="1752"/>
      <c r="F13" s="1752"/>
      <c r="G13" s="1752"/>
      <c r="H13" s="1752"/>
      <c r="I13" s="1752"/>
      <c r="J13" s="1752"/>
      <c r="K13" s="1752"/>
      <c r="L13" s="1752"/>
      <c r="M13" s="1752"/>
      <c r="N13" s="1752"/>
      <c r="O13" s="1752"/>
      <c r="P13" s="1752"/>
      <c r="Q13" s="1752"/>
      <c r="R13" s="1752"/>
      <c r="S13" s="1752"/>
      <c r="T13" s="1752"/>
      <c r="U13" s="1752"/>
      <c r="V13" s="1752"/>
      <c r="W13" s="1752"/>
      <c r="X13" s="1752"/>
      <c r="Y13" s="1741"/>
      <c r="Z13" s="1742"/>
      <c r="AA13" s="1743"/>
      <c r="AB13" s="1743"/>
    </row>
    <row customHeight="1" ht="57">
      <c r="A14" s="1739"/>
      <c r="B14" s="1903"/>
      <c r="C14" s="1904"/>
      <c r="D14" s="1745"/>
      <c r="E14" s="1914" t="s">
        <v>12</v>
      </c>
      <c r="F14" s="1914"/>
      <c r="G14" s="1914"/>
      <c r="H14" s="1914"/>
      <c r="I14" s="1914"/>
      <c r="J14" s="1914"/>
      <c r="K14" s="1914"/>
      <c r="L14" s="1914"/>
      <c r="M14" s="1914"/>
      <c r="N14" s="1914"/>
      <c r="O14" s="1914"/>
      <c r="P14" s="1914"/>
      <c r="Q14" s="1914"/>
      <c r="R14" s="1914"/>
      <c r="S14" s="1914"/>
      <c r="T14" s="1914"/>
      <c r="U14" s="1914"/>
      <c r="V14" s="1914"/>
      <c r="W14" s="1914"/>
      <c r="X14" s="1914"/>
      <c r="Y14" s="1741"/>
      <c r="Z14" s="1742"/>
      <c r="AA14" s="1743"/>
      <c r="AB14" s="1743"/>
    </row>
    <row customHeight="1" ht="16.5">
      <c r="A15" s="1739"/>
      <c r="B15" s="1912"/>
      <c r="C15" s="1913"/>
      <c r="D15" s="1754"/>
      <c r="E15" s="1755"/>
      <c r="F15" s="1755"/>
      <c r="G15" s="1755"/>
      <c r="H15" s="1755"/>
      <c r="I15" s="1755"/>
      <c r="J15" s="1755"/>
      <c r="K15" s="1755"/>
      <c r="L15" s="1755"/>
      <c r="M15" s="1755"/>
      <c r="N15" s="1755"/>
      <c r="O15" s="1755"/>
      <c r="P15" s="1755"/>
      <c r="Q15" s="1755"/>
      <c r="R15" s="1755"/>
      <c r="S15" s="1755"/>
      <c r="T15" s="1755"/>
      <c r="U15" s="1755"/>
      <c r="V15" s="1755"/>
      <c r="W15" s="1755"/>
      <c r="X15" s="1755"/>
      <c r="Y15" s="1756"/>
      <c r="Z15" s="1742"/>
      <c r="AA15" s="1757"/>
      <c r="AB15" s="1743"/>
    </row>
    <row customHeight="1" ht="95.25">
      <c r="A16" s="1731"/>
      <c r="B16" s="1914"/>
      <c r="C16" s="1915"/>
      <c r="D16" s="1915"/>
      <c r="E16" s="1915"/>
      <c r="F16" s="1915"/>
      <c r="G16" s="1915"/>
      <c r="H16" s="1915"/>
      <c r="I16" s="1915"/>
      <c r="J16" s="1915"/>
      <c r="K16" s="1915"/>
      <c r="L16" s="1915"/>
      <c r="M16" s="1915"/>
      <c r="N16" s="1915"/>
      <c r="O16" s="1915"/>
      <c r="P16" s="1915"/>
      <c r="Q16" s="1915"/>
      <c r="R16" s="1915"/>
      <c r="S16" s="1915"/>
      <c r="T16" s="1915"/>
      <c r="U16" s="1915"/>
      <c r="V16" s="1915"/>
      <c r="W16" s="1915"/>
      <c r="X16" s="1915"/>
      <c r="Y16" s="1915"/>
      <c r="Z16" s="1731"/>
      <c r="AA16" s="1733"/>
      <c r="AB16" s="1731"/>
    </row>
    <row customHeight="1" ht="14.25">
      <c r="A17" s="1731"/>
      <c r="B17" s="1731"/>
      <c r="C17" s="1731"/>
      <c r="D17" s="1731"/>
      <c r="E17" s="1731"/>
      <c r="F17" s="1731"/>
      <c r="G17" s="1731"/>
      <c r="H17" s="1731"/>
      <c r="I17" s="1731"/>
      <c r="J17" s="1731"/>
      <c r="K17" s="1731"/>
      <c r="L17" s="1731"/>
      <c r="M17" s="1731"/>
      <c r="N17" s="1731"/>
      <c r="O17" s="1731"/>
      <c r="P17" s="1731"/>
      <c r="Q17" s="1731"/>
      <c r="R17" s="1731"/>
      <c r="S17" s="1731"/>
      <c r="T17" s="1731"/>
      <c r="U17" s="1731"/>
      <c r="V17" s="1731"/>
      <c r="W17" s="1731"/>
      <c r="X17" s="1731"/>
      <c r="Y17" s="1732"/>
      <c r="Z17" s="1731"/>
      <c r="AA17" s="1733"/>
      <c r="AB17" s="1731"/>
    </row>
    <row customHeight="1" ht="14.25">
      <c r="A18" s="1731"/>
      <c r="B18" s="1731"/>
      <c r="C18" s="1731"/>
      <c r="D18" s="1731"/>
      <c r="E18" s="1731"/>
      <c r="F18" s="1731"/>
      <c r="G18" s="1731"/>
      <c r="H18" s="1731"/>
      <c r="I18" s="1731"/>
      <c r="J18" s="1731"/>
      <c r="K18" s="1731"/>
      <c r="L18" s="1731"/>
      <c r="M18" s="1731"/>
      <c r="N18" s="1731"/>
      <c r="O18" s="1731"/>
      <c r="P18" s="1731"/>
      <c r="Q18" s="1731"/>
      <c r="R18" s="1731"/>
      <c r="S18" s="1731"/>
      <c r="T18" s="1731"/>
      <c r="U18" s="1731"/>
      <c r="V18" s="1731"/>
      <c r="W18" s="1731"/>
      <c r="X18" s="1731"/>
      <c r="Y18" s="1732"/>
      <c r="Z18" s="1731"/>
      <c r="AA18" s="1733"/>
      <c r="AB18" s="1731"/>
    </row>
    <row customHeight="1" ht="14.25">
      <c r="A19" s="1731"/>
      <c r="B19" s="1731"/>
      <c r="C19" s="1731"/>
      <c r="D19" s="1731"/>
      <c r="E19" s="1731"/>
      <c r="F19" s="1731"/>
      <c r="G19" s="1731"/>
      <c r="H19" s="1731"/>
      <c r="I19" s="1731"/>
      <c r="J19" s="1731"/>
      <c r="K19" s="1731"/>
      <c r="L19" s="1731"/>
      <c r="M19" s="1731"/>
      <c r="N19" s="1731"/>
      <c r="O19" s="1731"/>
      <c r="P19" s="1731"/>
      <c r="Q19" s="1731"/>
      <c r="R19" s="1731"/>
      <c r="S19" s="1731"/>
      <c r="T19" s="1731"/>
      <c r="U19" s="1731"/>
      <c r="V19" s="1731"/>
      <c r="W19" s="1731"/>
      <c r="X19" s="1731"/>
      <c r="Y19" s="1732"/>
      <c r="Z19" s="1731"/>
      <c r="AA19" s="1733"/>
      <c r="AB19" s="1731"/>
    </row>
    <row customHeight="1" ht="14.25">
      <c r="A20" s="1731"/>
      <c r="B20" s="1731"/>
      <c r="C20" s="1731"/>
      <c r="D20" s="1731"/>
      <c r="E20" s="1731"/>
      <c r="F20" s="1731"/>
      <c r="G20" s="1731"/>
      <c r="H20" s="1731"/>
      <c r="I20" s="1731"/>
      <c r="J20" s="1731"/>
      <c r="K20" s="1731"/>
      <c r="L20" s="1731"/>
      <c r="M20" s="1731"/>
      <c r="N20" s="1731"/>
      <c r="O20" s="1731"/>
      <c r="P20" s="1731"/>
      <c r="Q20" s="1731"/>
      <c r="R20" s="1731"/>
      <c r="S20" s="1731"/>
      <c r="T20" s="1731"/>
      <c r="U20" s="1731"/>
      <c r="V20" s="1731"/>
      <c r="W20" s="1731"/>
      <c r="X20" s="1731"/>
      <c r="Y20" s="1732"/>
      <c r="Z20" s="1731"/>
      <c r="AA20" s="1733"/>
      <c r="AB20" s="1731"/>
    </row>
    <row customHeight="1" ht="14.25">
      <c r="A21" s="1731"/>
      <c r="B21" s="1731"/>
      <c r="C21" s="1731"/>
      <c r="D21" s="1731"/>
      <c r="E21" s="1731"/>
      <c r="F21" s="1731"/>
      <c r="G21" s="1731"/>
      <c r="H21" s="1731"/>
      <c r="I21" s="1731"/>
      <c r="J21" s="1731"/>
      <c r="K21" s="1731"/>
      <c r="L21" s="1731"/>
      <c r="M21" s="1731"/>
      <c r="N21" s="1731"/>
      <c r="O21" s="1731"/>
      <c r="P21" s="1731"/>
      <c r="Q21" s="1731"/>
      <c r="R21" s="1731"/>
      <c r="S21" s="1731"/>
      <c r="T21" s="1731"/>
      <c r="U21" s="1731"/>
      <c r="V21" s="1731"/>
      <c r="W21" s="1731"/>
      <c r="X21" s="1731"/>
      <c r="Y21" s="1732"/>
      <c r="Z21" s="1731"/>
      <c r="AA21" s="1733"/>
      <c r="AB21" s="173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F5559-67E9-44B8-D25B-EC767740B02C}"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1663" width="9.140625" hidden="1" customWidth="1"/>
    <col min="2" max="3" style="1666" width="9.140625" hidden="1" customWidth="1"/>
    <col min="4" max="4" style="1877" width="3.7109375" customWidth="1"/>
    <col min="5" max="5" style="1666" width="6.28125" customWidth="1"/>
    <col min="6" max="6" style="1666" width="1.7109375" hidden="1" customWidth="1"/>
    <col min="7" max="8" style="1666" width="30.7109375" customWidth="1"/>
    <col min="9" max="9" style="1666" width="9.00390625" customWidth="1"/>
    <col min="10" max="10" style="1666" width="12.140625" customWidth="1"/>
    <col min="11" max="11" style="1666" width="46.7109375" customWidth="1"/>
    <col min="12" max="12" style="1666" width="100.28125" customWidth="1"/>
    <col min="13" max="13" style="1854" width="7.57421875" customWidth="1"/>
    <col min="14" max="22" style="1666" width="10.57421875"/>
  </cols>
  <sheetData>
    <row s="1673" customFormat="1" customHeight="1" ht="5.25" hidden="1">
      <c r="C1" s="509"/>
      <c r="D1" s="492"/>
      <c r="F1" s="509"/>
      <c r="G1" s="487" t="s">
        <v>82</v>
      </c>
      <c r="H1" s="487" t="s">
        <v>83</v>
      </c>
      <c r="I1" s="487" t="s">
        <v>84</v>
      </c>
      <c r="P1" s="487" t="s">
        <v>82</v>
      </c>
      <c r="Q1" s="487" t="s">
        <v>83</v>
      </c>
      <c r="R1" s="487" t="s">
        <v>84</v>
      </c>
    </row>
    <row s="1673" customFormat="1" customHeight="1" ht="5.25" hidden="1">
      <c r="C2" s="509"/>
      <c r="D2" s="492"/>
      <c r="F2" s="509"/>
    </row>
    <row s="1643" customFormat="1" customHeight="1" ht="6">
      <c r="A3" s="477"/>
      <c r="D3" s="484"/>
      <c r="E3" s="479"/>
      <c r="F3" s="479"/>
      <c r="G3" s="479"/>
      <c r="H3" s="479"/>
      <c r="I3" s="480"/>
      <c r="J3" s="481"/>
      <c r="K3" s="481"/>
      <c r="L3" s="481"/>
    </row>
    <row customHeight="1" ht="22.5">
      <c r="D4" s="448"/>
      <c r="E4" s="1978" t="s">
        <v>380</v>
      </c>
      <c r="F4" s="1978"/>
      <c r="G4" s="1979"/>
      <c r="H4" s="1979"/>
      <c r="I4" s="1980"/>
      <c r="J4" s="489"/>
      <c r="K4" s="451"/>
      <c r="L4" s="451"/>
    </row>
    <row s="1666" customFormat="1" customHeight="1" ht="17.25">
      <c r="A5" s="758"/>
      <c r="D5" s="820"/>
      <c r="E5" s="2035" t="str">
        <f>IF(org=0,"Не определено",org)</f>
        <v>ПАО "ТГК-2"</v>
      </c>
      <c r="F5" s="2035"/>
      <c r="G5" s="2036"/>
      <c r="H5" s="2036"/>
      <c r="I5" s="2037"/>
      <c r="J5" s="489"/>
      <c r="K5" s="451"/>
      <c r="L5" s="451"/>
      <c r="M5" s="505"/>
    </row>
    <row s="1643" customFormat="1" customHeight="1" ht="11.25">
      <c r="A6" s="477"/>
      <c r="D6" s="484"/>
      <c r="E6" s="479"/>
      <c r="F6" s="479"/>
      <c r="G6" s="482"/>
      <c r="H6" s="482"/>
      <c r="I6" s="483"/>
      <c r="J6" s="483"/>
      <c r="K6" s="751"/>
      <c r="L6" s="483"/>
    </row>
    <row customHeight="1" ht="14.25">
      <c r="D7" s="448"/>
      <c r="E7" s="2028" t="s">
        <v>290</v>
      </c>
      <c r="F7" s="2028"/>
      <c r="G7" s="2029"/>
      <c r="H7" s="2029"/>
      <c r="I7" s="2029"/>
      <c r="J7" s="2029"/>
      <c r="K7" s="2029"/>
      <c r="L7" s="2044" t="s">
        <v>291</v>
      </c>
    </row>
    <row customHeight="1" ht="45">
      <c r="D8" s="448"/>
      <c r="E8" s="471" t="s">
        <v>87</v>
      </c>
      <c r="F8" s="821"/>
      <c r="G8" s="463" t="s">
        <v>85</v>
      </c>
      <c r="H8" s="463" t="s">
        <v>86</v>
      </c>
      <c r="I8" s="412" t="s">
        <v>84</v>
      </c>
      <c r="J8" s="412" t="s">
        <v>381</v>
      </c>
      <c r="K8" s="412" t="s">
        <v>382</v>
      </c>
      <c r="L8" s="2044"/>
    </row>
    <row customHeight="1" ht="12" hidden="1">
      <c r="D9" s="485"/>
      <c r="E9" s="491"/>
      <c r="F9" s="828"/>
      <c r="G9" s="491"/>
      <c r="H9" s="491"/>
      <c r="I9" s="491"/>
      <c r="J9" s="491"/>
      <c r="K9" s="491"/>
      <c r="L9" s="491"/>
      <c r="M9" s="445"/>
    </row>
    <row customHeight="1" ht="14.25" hidden="1">
      <c r="A10" s="503"/>
      <c r="B10" s="503"/>
      <c r="D10" s="504"/>
      <c r="E10" s="510">
        <v>0</v>
      </c>
      <c r="F10" s="819"/>
      <c r="G10" s="506"/>
      <c r="H10" s="506"/>
      <c r="I10" s="506"/>
      <c r="J10" s="506"/>
      <c r="K10" s="506"/>
      <c r="L10" s="2042" t="s">
        <v>383</v>
      </c>
      <c r="M10" s="505"/>
      <c r="N10" s="503"/>
      <c r="O10" s="503"/>
      <c r="P10" s="503"/>
      <c r="Q10" s="503"/>
      <c r="R10" s="503"/>
      <c r="S10" s="503"/>
      <c r="T10" s="503"/>
      <c r="U10" s="503"/>
      <c r="V10" s="503"/>
    </row>
    <row customHeight="1" ht="15" hidden="1">
      <c r="A11" s="1920"/>
      <c r="B11" s="502"/>
      <c r="C11" s="502"/>
      <c r="D11" s="863"/>
      <c r="E11" s="511"/>
      <c r="F11" s="511"/>
      <c r="G11" s="511"/>
      <c r="H11" s="511"/>
      <c r="I11" s="512"/>
      <c r="J11" s="513"/>
      <c r="K11" s="710"/>
      <c r="L11" s="2058"/>
      <c r="M11" s="509"/>
      <c r="N11" s="509"/>
      <c r="O11" s="509"/>
      <c r="P11" s="514"/>
      <c r="Q11" s="514"/>
      <c r="R11" s="515"/>
      <c r="S11" s="509"/>
      <c r="T11" s="509"/>
      <c r="U11" s="509"/>
      <c r="V11" s="509"/>
    </row>
    <row s="1643" customFormat="1" customHeight="1" ht="14.25">
      <c r="A12" s="1920"/>
      <c r="B12" s="502"/>
      <c r="C12" s="502"/>
      <c r="D12" s="864"/>
      <c r="E12" s="821">
        <v>1</v>
      </c>
      <c r="F12" s="862">
        <v>23</v>
      </c>
      <c r="G12" s="861"/>
      <c r="H12" s="791"/>
      <c r="I12" s="789"/>
      <c r="J12" s="518" t="s">
        <v>58</v>
      </c>
      <c r="K12" s="1165" t="s">
        <v>18</v>
      </c>
      <c r="L12" s="2058"/>
      <c r="M12" s="509"/>
      <c r="N12" s="509"/>
      <c r="O12" s="509"/>
      <c r="P12" s="514" t="s">
        <v>384</v>
      </c>
      <c r="Q12" s="514" t="s">
        <v>385</v>
      </c>
      <c r="R12" s="515" t="s">
        <v>386</v>
      </c>
      <c r="S12" s="509" t="s">
        <v>387</v>
      </c>
      <c r="T12" s="509"/>
      <c r="U12" s="509"/>
      <c r="V12" s="509"/>
    </row>
    <row customHeight="1" ht="15">
      <c r="A13" s="1920"/>
      <c r="B13" s="503"/>
      <c r="D13" s="504"/>
      <c r="E13" s="403"/>
      <c r="F13" s="527"/>
      <c r="G13" s="414" t="s">
        <v>101</v>
      </c>
      <c r="H13" s="402"/>
      <c r="I13" s="402"/>
      <c r="J13" s="402"/>
      <c r="K13" s="401"/>
      <c r="L13" s="2043"/>
      <c r="M13" s="507"/>
      <c r="N13" s="503"/>
      <c r="O13" s="503"/>
      <c r="P13" s="503"/>
      <c r="Q13" s="503"/>
      <c r="R13" s="503"/>
      <c r="S13" s="503"/>
      <c r="T13" s="503"/>
      <c r="U13" s="503"/>
      <c r="V13" s="503"/>
    </row>
    <row customHeight="1" ht="11.25">
      <c r="A14" s="477"/>
      <c r="B14" s="478"/>
      <c r="C14" s="478"/>
      <c r="D14" s="493"/>
      <c r="E14" s="478"/>
      <c r="F14" s="478"/>
      <c r="G14" s="478"/>
      <c r="H14" s="478"/>
      <c r="I14" s="478"/>
      <c r="J14" s="478"/>
      <c r="K14" s="478"/>
      <c r="L14" s="478"/>
      <c r="M14" s="478"/>
      <c r="N14" s="478"/>
      <c r="O14" s="478"/>
      <c r="P14" s="478"/>
      <c r="Q14" s="478"/>
      <c r="R14" s="478"/>
      <c r="S14" s="478"/>
      <c r="T14" s="478"/>
      <c r="U14" s="478"/>
      <c r="V14" s="478"/>
    </row>
    <row customHeight="1" ht="14.25">
      <c r="D15" s="464"/>
      <c r="E15" s="324"/>
      <c r="F15" s="324"/>
      <c r="G15" s="66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4"/>
      <c r="I15" s="464"/>
      <c r="J15" s="464"/>
      <c r="K15" s="464"/>
      <c r="L15" s="464"/>
    </row>
    <row r="18" customHeight="1" ht="14.25">
      <c r="G18" s="503"/>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8957A-E54A-0962-F136-12E0845C5828}" mc:Ignorable="x14ac xr xr2 xr3">
  <sheetPr>
    <tabColor rgb="FFFFCC99"/>
  </sheetPr>
  <dimension ref="A1:GB203"/>
  <sheetViews>
    <sheetView topLeftCell="A1" showGridLines="0" zoomScale="85" workbookViewId="0">
      <selection activeCell="A1" sqref="A1"/>
    </sheetView>
  </sheetViews>
  <sheetFormatPr customHeight="1" defaultRowHeight="17.1"/>
  <cols>
    <col min="1" max="1" style="2412" width="26.57421875" customWidth="1"/>
    <col min="2" max="2" style="2412" width="10.00390625" customWidth="1"/>
    <col min="3" max="3" style="2412" width="9.140625"/>
    <col min="4" max="4" style="2412" width="11.140625" customWidth="1"/>
    <col min="5" max="5" style="2412" width="16.57421875" customWidth="1"/>
    <col min="6" max="6" style="2412" width="16.28125" customWidth="1"/>
    <col min="7" max="7" style="2412" width="19.140625" customWidth="1"/>
    <col min="8" max="11" style="2412" width="10.00390625" customWidth="1"/>
    <col min="12" max="12" style="2412" width="12.7109375" customWidth="1"/>
    <col min="13" max="13" style="2412" width="61.28125" customWidth="1"/>
    <col min="14" max="14" style="2412" width="10.00390625" customWidth="1"/>
    <col min="15" max="17" style="2412" width="23.7109375" customWidth="1"/>
    <col min="18" max="18" style="2412" width="11.7109375" customWidth="1"/>
    <col min="19" max="19" style="2412" width="8.57421875" customWidth="1"/>
    <col min="20" max="20" style="2412" width="11.7109375" customWidth="1"/>
    <col min="21" max="21" style="2412" width="8.57421875" customWidth="1"/>
    <col min="22" max="22" style="2412" width="4.7109375" customWidth="1"/>
    <col min="23" max="23" style="2412" width="115.7109375" customWidth="1"/>
    <col min="24" max="24" style="2412" width="115.28125" customWidth="1"/>
    <col min="25" max="27" style="2412" width="9.140625"/>
    <col min="28" max="28" style="2412" width="115.7109375" customWidth="1"/>
    <col min="29" max="29" style="2412" width="9.140625"/>
    <col min="30" max="90" style="2412" width="115.7109375" customWidth="1"/>
    <col min="91" max="184" style="2412" width="9.140625"/>
  </cols>
  <sheetData>
    <row r="2" s="1850" customFormat="1" customHeight="1" ht="17.25">
      <c r="A2" s="1850" t="s">
        <v>388</v>
      </c>
    </row>
    <row r="4" s="243" customFormat="1" customHeight="1" ht="15">
      <c r="C4" s="1851"/>
      <c r="D4" s="93"/>
      <c r="E4" s="371"/>
    </row>
    <row r="6" s="1850" customFormat="1" customHeight="1" ht="17.25">
      <c r="A6" s="1850" t="s">
        <v>389</v>
      </c>
    </row>
    <row r="8" s="243" customFormat="1" customHeight="1" ht="17.25">
      <c r="C8" s="1852"/>
      <c r="D8" s="93"/>
      <c r="E8" s="94"/>
    </row>
    <row r="11" s="1850" customFormat="1" customHeight="1" ht="17.25">
      <c r="A11" s="1850" t="s">
        <v>390</v>
      </c>
    </row>
    <row r="13" s="1854" customFormat="1" customHeight="1" ht="15">
      <c r="A13" s="2038">
        <v>1</v>
      </c>
      <c r="B13" s="1161"/>
      <c r="C13" s="799" t="s">
        <v>120</v>
      </c>
      <c r="D13" s="1853"/>
      <c r="E13" s="1840">
        <f>A13</f>
        <v>1</v>
      </c>
      <c r="F13" s="802"/>
      <c r="G13" s="538" t="str">
        <f>"Территория "&amp;E13</f>
        <v>Территория 1</v>
      </c>
      <c r="H13" s="790"/>
      <c r="I13" s="790"/>
      <c r="J13" s="787"/>
      <c r="K13" s="1655"/>
      <c r="L13" s="1655"/>
      <c r="M13" s="1655"/>
      <c r="N13" s="205"/>
      <c r="O13" s="1655"/>
      <c r="P13" s="204"/>
      <c r="Q13" s="204"/>
      <c r="R13" s="204"/>
      <c r="S13" s="204"/>
    </row>
    <row s="2412" customFormat="1" customHeight="1" ht="15">
      <c r="A14" s="2038"/>
      <c r="B14" s="1161">
        <v>1</v>
      </c>
      <c r="C14" s="1161"/>
      <c r="D14" s="798" t="s">
        <v>120</v>
      </c>
      <c r="E14" s="1848" t="str">
        <f>A13&amp;"."&amp;B14</f>
        <v>1.1</v>
      </c>
      <c r="F14" s="801">
        <f>$F$16</f>
        <v>0</v>
      </c>
      <c r="G14" s="791"/>
      <c r="H14" s="791"/>
      <c r="I14" s="789"/>
      <c r="J14" s="1655">
        <f>MERGEVALUE(G14)</f>
      </c>
      <c r="K14" s="1667"/>
      <c r="L14" s="1667"/>
      <c r="M14" s="1655" t="str">
        <f t="array" ref="M14:M14">IF(ISERROR(MATCH(MID(N14,1,250),MID(note_ter,1,250),0)),"n","y")</f>
        <v>n</v>
      </c>
      <c r="N14" s="1667"/>
      <c r="O14" s="1655" t="str">
        <f>H14&amp;"("&amp;I14&amp;")"</f>
        <v>()</v>
      </c>
      <c r="P14" s="1161"/>
      <c r="Q14" s="1161"/>
      <c r="R14" s="418"/>
      <c r="S14" s="1161"/>
      <c r="T14" s="1161"/>
      <c r="U14" s="1161"/>
      <c r="V14" s="420"/>
      <c r="W14" s="420"/>
      <c r="X14" s="417"/>
      <c r="Y14" s="417"/>
      <c r="Z14" s="417"/>
      <c r="AA14" s="417"/>
      <c r="AB14" s="417"/>
      <c r="AC14" s="417"/>
      <c r="AD14" s="417"/>
      <c r="AE14" s="417"/>
      <c r="AF14" s="417"/>
      <c r="AG14" s="417"/>
      <c r="AH14" s="417"/>
      <c r="AI14" s="417"/>
      <c r="AJ14" s="417"/>
      <c r="AK14" s="417"/>
      <c r="AL14" s="417"/>
      <c r="AM14" s="417"/>
      <c r="AN14" s="417"/>
      <c r="AO14" s="417"/>
      <c r="AP14" s="417"/>
      <c r="AQ14" s="417"/>
      <c r="AR14" s="417"/>
      <c r="AS14" s="417"/>
      <c r="AT14" s="417"/>
      <c r="AU14" s="417"/>
      <c r="AV14" s="417"/>
      <c r="AW14" s="417"/>
      <c r="AX14" s="417"/>
      <c r="AY14" s="417"/>
      <c r="AZ14" s="417"/>
      <c r="BA14" s="417"/>
      <c r="BB14" s="417"/>
      <c r="BC14" s="417"/>
      <c r="BD14" s="417"/>
      <c r="BE14" s="417"/>
      <c r="BF14" s="417"/>
      <c r="BG14" s="417"/>
      <c r="BH14" s="417"/>
      <c r="BI14" s="417"/>
      <c r="BJ14" s="417"/>
      <c r="BK14" s="417"/>
      <c r="BL14" s="417"/>
      <c r="BM14" s="417"/>
      <c r="BN14" s="417"/>
      <c r="BO14" s="417"/>
      <c r="BP14" s="417"/>
      <c r="BQ14" s="417"/>
      <c r="BR14" s="417"/>
      <c r="BS14" s="420"/>
      <c r="BT14" s="420"/>
      <c r="BU14" s="420"/>
      <c r="BV14" s="420"/>
      <c r="BW14" s="420"/>
      <c r="BX14" s="420"/>
      <c r="BY14" s="420"/>
      <c r="BZ14" s="420"/>
      <c r="CA14" s="420"/>
      <c r="CB14" s="420"/>
    </row>
    <row s="2412" customFormat="1" customHeight="1" ht="15">
      <c r="A15" s="2038"/>
      <c r="B15" s="1161"/>
      <c r="C15" s="410"/>
      <c r="D15" s="799"/>
      <c r="E15" s="419"/>
      <c r="F15" s="157"/>
      <c r="G15" s="413" t="s">
        <v>101</v>
      </c>
      <c r="H15" s="167"/>
      <c r="I15" s="421"/>
      <c r="J15" s="1667"/>
      <c r="K15" s="1667"/>
      <c r="L15" s="1667"/>
      <c r="M15" s="1667"/>
      <c r="N15" s="1655"/>
      <c r="O15" s="1667"/>
      <c r="P15" s="1161"/>
      <c r="Q15" s="1161"/>
      <c r="R15" s="418"/>
      <c r="S15" s="1161"/>
      <c r="T15" s="1161"/>
      <c r="U15" s="1161"/>
      <c r="V15" s="420"/>
      <c r="W15" s="420"/>
      <c r="X15" s="417"/>
      <c r="Y15" s="417"/>
      <c r="Z15" s="417"/>
      <c r="AA15" s="417"/>
      <c r="AB15" s="417"/>
      <c r="AC15" s="417"/>
      <c r="AD15" s="417"/>
      <c r="AE15" s="417"/>
      <c r="AF15" s="417"/>
      <c r="AG15" s="417"/>
      <c r="AH15" s="417"/>
      <c r="AI15" s="417"/>
      <c r="AJ15" s="417"/>
      <c r="AK15" s="417"/>
      <c r="AL15" s="417"/>
      <c r="AM15" s="417"/>
      <c r="AN15" s="417"/>
      <c r="AO15" s="417"/>
      <c r="AP15" s="417"/>
      <c r="AQ15" s="417"/>
      <c r="AR15" s="417"/>
      <c r="AS15" s="417"/>
      <c r="AT15" s="417"/>
      <c r="AU15" s="417"/>
      <c r="AV15" s="417"/>
      <c r="AW15" s="417"/>
      <c r="AX15" s="417"/>
      <c r="AY15" s="417"/>
      <c r="AZ15" s="417"/>
      <c r="BA15" s="417"/>
      <c r="BB15" s="417"/>
      <c r="BC15" s="417"/>
      <c r="BD15" s="417"/>
      <c r="BE15" s="417"/>
      <c r="BF15" s="417"/>
      <c r="BG15" s="417"/>
      <c r="BH15" s="417"/>
      <c r="BI15" s="417"/>
      <c r="BJ15" s="417"/>
      <c r="BK15" s="417"/>
      <c r="BL15" s="417"/>
      <c r="BM15" s="417"/>
      <c r="BN15" s="417"/>
      <c r="BO15" s="417"/>
      <c r="BP15" s="417"/>
      <c r="BQ15" s="417"/>
      <c r="BR15" s="417"/>
      <c r="BS15" s="420"/>
      <c r="BT15" s="420"/>
      <c r="BU15" s="420"/>
      <c r="BV15" s="420"/>
      <c r="BW15" s="420"/>
      <c r="BX15" s="420"/>
      <c r="BY15" s="420"/>
      <c r="BZ15" s="420"/>
      <c r="CA15" s="420"/>
      <c r="CB15" s="420"/>
    </row>
    <row r="17" s="2412" customFormat="1" customHeight="1" ht="15">
      <c r="A17" s="1850" t="s">
        <v>391</v>
      </c>
      <c r="B17" s="1850"/>
      <c r="C17" s="1850"/>
      <c r="D17" s="1850"/>
      <c r="E17" s="1850"/>
      <c r="F17" s="1850"/>
      <c r="G17" s="1850"/>
      <c r="H17" s="1850"/>
      <c r="I17" s="1850"/>
      <c r="J17" s="1850"/>
      <c r="K17" s="1850"/>
      <c r="L17" s="1850"/>
      <c r="M17" s="1850"/>
      <c r="N17" s="1850"/>
      <c r="O17" s="1850"/>
      <c r="P17" s="1850"/>
      <c r="Q17" s="1850"/>
      <c r="R17" s="1850"/>
      <c r="S17" s="1850"/>
      <c r="T17" s="1850"/>
      <c r="U17" s="164"/>
      <c r="V17" s="1850"/>
      <c r="W17" s="1850"/>
    </row>
    <row s="2412" customFormat="1" customHeight="1" ht="15">
      <c r="U18" s="165"/>
    </row>
    <row s="1888" customFormat="1" customHeight="1" ht="15">
      <c r="A19" s="0"/>
      <c r="B19" s="0"/>
      <c r="C19" s="1758" t="s">
        <v>120</v>
      </c>
      <c r="D19" s="1929" t="s">
        <v>108</v>
      </c>
      <c r="E19" s="2110"/>
      <c r="F19" s="1928" t="s">
        <v>56</v>
      </c>
      <c r="G19" s="2111"/>
      <c r="H19" s="1948">
        <v>1</v>
      </c>
      <c r="I19" s="2113" t="str">
        <f>IF(U19="","",INDEX(TERRITORY_MR_LIST,MATCH(U19,TERRITORY_LIST_ID,0)))</f>
        <v/>
      </c>
      <c r="J19" s="1928" t="s">
        <v>56</v>
      </c>
      <c r="K19" s="830"/>
      <c r="L19" s="1816" t="s">
        <v>108</v>
      </c>
      <c r="M19" s="601"/>
      <c r="N19" s="602"/>
      <c r="O19" s="602"/>
      <c r="P19" s="602"/>
      <c r="Q19" s="602"/>
      <c r="R19" s="602"/>
      <c r="S19" s="602"/>
      <c r="T19" s="602"/>
      <c r="U19" s="603"/>
      <c r="V19" s="602"/>
      <c r="W19" s="602"/>
      <c r="X19" s="593"/>
      <c r="Y19" s="593" t="s">
        <v>119</v>
      </c>
      <c r="Z19" s="593">
        <v>1705000</v>
      </c>
      <c r="AA19" s="593"/>
      <c r="AB19" s="593"/>
      <c r="AC19" s="593"/>
      <c r="AD19" s="593"/>
      <c r="AE19" s="593"/>
      <c r="AF19" s="593"/>
      <c r="AG19" s="593"/>
      <c r="AH19" s="593"/>
      <c r="AI19" s="593"/>
      <c r="AJ19" s="593"/>
      <c r="AK19" s="593"/>
      <c r="AL19" s="593"/>
    </row>
    <row s="1888" customFormat="1" customHeight="1" ht="15">
      <c r="A20" s="0"/>
      <c r="B20" s="0"/>
      <c r="C20" s="156"/>
      <c r="D20" s="1929"/>
      <c r="E20" s="2110"/>
      <c r="F20" s="1928"/>
      <c r="G20" s="2112"/>
      <c r="H20" s="1948"/>
      <c r="I20" s="2114"/>
      <c r="J20" s="1928"/>
      <c r="K20" s="419"/>
      <c r="L20" s="157"/>
      <c r="M20" s="605" t="s">
        <v>123</v>
      </c>
      <c r="N20" s="602"/>
      <c r="O20" s="602"/>
      <c r="P20" s="602"/>
      <c r="Q20" s="602"/>
      <c r="R20" s="602"/>
      <c r="S20" s="602"/>
      <c r="T20" s="602"/>
      <c r="U20" s="603"/>
      <c r="V20" s="602"/>
      <c r="W20" s="602"/>
      <c r="X20" s="593"/>
      <c r="Y20" s="593"/>
      <c r="Z20" s="593"/>
      <c r="AA20" s="593"/>
      <c r="AB20" s="593"/>
      <c r="AC20" s="593"/>
      <c r="AD20" s="593"/>
      <c r="AE20" s="593"/>
      <c r="AF20" s="593"/>
      <c r="AG20" s="593"/>
      <c r="AH20" s="593"/>
      <c r="AI20" s="593"/>
      <c r="AJ20" s="593"/>
      <c r="AK20" s="593"/>
      <c r="AL20" s="593"/>
    </row>
    <row s="1888" customFormat="1" customHeight="1" ht="15">
      <c r="A21" s="0"/>
      <c r="B21" s="0"/>
      <c r="C21" s="156"/>
      <c r="D21" s="1929"/>
      <c r="E21" s="2110"/>
      <c r="F21" s="1928"/>
      <c r="G21" s="419"/>
      <c r="H21" s="157"/>
      <c r="I21" s="578" t="s">
        <v>124</v>
      </c>
      <c r="J21" s="157"/>
      <c r="K21" s="157"/>
      <c r="L21" s="157"/>
      <c r="M21" s="606"/>
      <c r="N21" s="602"/>
      <c r="O21" s="602"/>
      <c r="P21" s="602"/>
      <c r="Q21" s="602"/>
      <c r="R21" s="602"/>
      <c r="S21" s="602"/>
      <c r="T21" s="602"/>
      <c r="U21" s="603"/>
      <c r="V21" s="602"/>
      <c r="W21" s="602"/>
      <c r="X21" s="593"/>
      <c r="Y21" s="593"/>
      <c r="Z21" s="593"/>
      <c r="AA21" s="593"/>
      <c r="AB21" s="593"/>
      <c r="AC21" s="593"/>
      <c r="AD21" s="593"/>
      <c r="AE21" s="593"/>
      <c r="AF21" s="593"/>
      <c r="AG21" s="593"/>
      <c r="AH21" s="593"/>
      <c r="AI21" s="593"/>
      <c r="AJ21" s="593"/>
      <c r="AK21" s="593"/>
      <c r="AL21" s="593"/>
    </row>
    <row s="2412" customFormat="1" customHeight="1" ht="15">
      <c r="U22" s="165"/>
    </row>
    <row s="2412" customFormat="1" customHeight="1" ht="15">
      <c r="A23" s="1850" t="s">
        <v>392</v>
      </c>
      <c r="B23" s="1850"/>
      <c r="C23" s="1850"/>
      <c r="D23" s="1850"/>
      <c r="E23" s="1850"/>
      <c r="F23" s="1850"/>
      <c r="G23" s="1850"/>
      <c r="H23" s="1850"/>
      <c r="I23" s="1850"/>
      <c r="J23" s="1850"/>
      <c r="K23" s="1850"/>
      <c r="L23" s="1850"/>
      <c r="M23" s="1850"/>
      <c r="N23" s="1850"/>
      <c r="O23" s="1850"/>
      <c r="P23" s="1850"/>
      <c r="Q23" s="1850"/>
      <c r="R23" s="1850"/>
      <c r="S23" s="1850"/>
      <c r="T23" s="1850"/>
      <c r="U23" s="164"/>
      <c r="V23" s="1850"/>
      <c r="W23" s="1850"/>
    </row>
    <row s="2412" customFormat="1" customHeight="1" ht="15">
      <c r="U24" s="165"/>
    </row>
    <row s="1888" customFormat="1" customHeight="1" ht="15">
      <c r="A25" s="0"/>
      <c r="B25" s="0"/>
      <c r="C25" s="156"/>
      <c r="D25" s="1856"/>
      <c r="E25" s="1856"/>
      <c r="F25" s="1856"/>
      <c r="G25" s="2115" t="s">
        <v>120</v>
      </c>
      <c r="H25" s="1924">
        <v>1</v>
      </c>
      <c r="I25" s="2116" t="str">
        <f>IF(U25="","",INDEX(TERRITORY_MR_LIST,MATCH(U25,TERRITORY_LIST_ID,0)))</f>
        <v/>
      </c>
      <c r="J25" s="1928" t="s">
        <v>56</v>
      </c>
      <c r="K25" s="830"/>
      <c r="L25" s="1816" t="s">
        <v>108</v>
      </c>
      <c r="M25" s="601"/>
      <c r="N25" s="602"/>
      <c r="O25" s="602"/>
      <c r="P25" s="602"/>
      <c r="Q25" s="602"/>
      <c r="R25" s="602"/>
      <c r="S25" s="602"/>
      <c r="T25" s="602"/>
      <c r="U25" s="603"/>
      <c r="V25" s="602"/>
      <c r="W25" s="602"/>
      <c r="X25" s="593"/>
      <c r="Y25" s="593" t="s">
        <v>119</v>
      </c>
      <c r="Z25" s="593">
        <v>1705000</v>
      </c>
      <c r="AA25" s="593"/>
      <c r="AB25" s="593"/>
      <c r="AC25" s="593"/>
      <c r="AD25" s="593"/>
      <c r="AE25" s="593"/>
      <c r="AF25" s="593"/>
      <c r="AG25" s="593"/>
      <c r="AH25" s="593"/>
      <c r="AI25" s="593"/>
      <c r="AJ25" s="593"/>
      <c r="AK25" s="593"/>
      <c r="AL25" s="593"/>
    </row>
    <row s="1888" customFormat="1" customHeight="1" ht="15">
      <c r="A26" s="0"/>
      <c r="B26" s="0"/>
      <c r="C26" s="156"/>
      <c r="D26" s="1856"/>
      <c r="E26" s="1856"/>
      <c r="F26" s="1856"/>
      <c r="G26" s="2115"/>
      <c r="H26" s="1924"/>
      <c r="I26" s="2116"/>
      <c r="J26" s="1928"/>
      <c r="K26" s="419"/>
      <c r="L26" s="157"/>
      <c r="M26" s="605" t="s">
        <v>123</v>
      </c>
      <c r="N26" s="602"/>
      <c r="O26" s="602"/>
      <c r="P26" s="602"/>
      <c r="Q26" s="602"/>
      <c r="R26" s="602"/>
      <c r="S26" s="602"/>
      <c r="T26" s="602"/>
      <c r="U26" s="603"/>
      <c r="V26" s="602"/>
      <c r="W26" s="602"/>
      <c r="X26" s="593"/>
      <c r="Y26" s="593"/>
      <c r="Z26" s="593"/>
      <c r="AA26" s="593"/>
      <c r="AB26" s="593"/>
      <c r="AC26" s="593"/>
      <c r="AD26" s="593"/>
      <c r="AE26" s="593"/>
      <c r="AF26" s="593"/>
      <c r="AG26" s="593"/>
      <c r="AH26" s="593"/>
      <c r="AI26" s="593"/>
      <c r="AJ26" s="593"/>
      <c r="AK26" s="593"/>
      <c r="AL26" s="593"/>
    </row>
    <row s="2412" customFormat="1" customHeight="1" ht="15">
      <c r="U27" s="165"/>
    </row>
    <row s="2412" customFormat="1" customHeight="1" ht="15">
      <c r="A28" s="1850" t="s">
        <v>393</v>
      </c>
      <c r="B28" s="1850"/>
      <c r="C28" s="1850"/>
      <c r="D28" s="1850"/>
      <c r="E28" s="1850"/>
      <c r="F28" s="1850"/>
      <c r="G28" s="1850"/>
      <c r="H28" s="1850"/>
      <c r="I28" s="1850"/>
      <c r="J28" s="1850"/>
      <c r="K28" s="1850"/>
      <c r="L28" s="1850"/>
      <c r="M28" s="1850"/>
      <c r="N28" s="1850"/>
      <c r="O28" s="1850"/>
      <c r="P28" s="1850"/>
      <c r="Q28" s="1850"/>
      <c r="R28" s="1850"/>
      <c r="S28" s="1850"/>
      <c r="T28" s="1850"/>
      <c r="U28" s="164"/>
      <c r="V28" s="1850"/>
      <c r="W28" s="1850"/>
    </row>
    <row s="2412" customFormat="1" customHeight="1" ht="15">
      <c r="U29" s="165"/>
    </row>
    <row s="1888" customFormat="1" customHeight="1" ht="15">
      <c r="A30" s="0"/>
      <c r="B30" s="0"/>
      <c r="C30" s="156"/>
      <c r="D30" s="1856"/>
      <c r="E30" s="1856"/>
      <c r="F30" s="1856"/>
      <c r="G30" s="1856"/>
      <c r="H30" s="1856"/>
      <c r="I30" s="1856"/>
      <c r="J30" s="1856"/>
      <c r="K30" s="1834" t="s">
        <v>120</v>
      </c>
      <c r="L30" s="1759" t="s">
        <v>108</v>
      </c>
      <c r="M30" s="809"/>
      <c r="N30" s="810"/>
      <c r="O30" s="602"/>
      <c r="P30" s="602"/>
      <c r="Q30" s="602"/>
      <c r="R30" s="602"/>
      <c r="S30" s="602"/>
      <c r="T30" s="602"/>
      <c r="U30" s="603"/>
      <c r="V30" s="602"/>
      <c r="W30" s="602"/>
      <c r="X30" s="593"/>
      <c r="Y30" s="593" t="s">
        <v>119</v>
      </c>
      <c r="Z30" s="593">
        <v>1705000</v>
      </c>
      <c r="AA30" s="593"/>
      <c r="AB30" s="593"/>
      <c r="AC30" s="593"/>
      <c r="AD30" s="593"/>
      <c r="AE30" s="593"/>
      <c r="AF30" s="593"/>
      <c r="AG30" s="593"/>
      <c r="AH30" s="593"/>
      <c r="AI30" s="593"/>
      <c r="AJ30" s="593"/>
      <c r="AK30" s="593"/>
      <c r="AL30" s="593"/>
    </row>
    <row s="2412" customFormat="1" customHeight="1" ht="15">
      <c r="U31" s="165"/>
    </row>
    <row s="2412" customFormat="1" customHeight="1" ht="15">
      <c r="U32" s="165"/>
    </row>
    <row s="1850" customFormat="1" customHeight="1" ht="11.25">
      <c r="A33" s="1850" t="s">
        <v>394</v>
      </c>
    </row>
    <row customHeight="1" ht="11.25"/>
    <row s="453" customFormat="1" customHeight="1" ht="22.5">
      <c r="A35" s="1825"/>
      <c r="B35" s="455"/>
      <c r="C35" s="857"/>
      <c r="D35" s="438"/>
      <c r="E35" s="858"/>
      <c r="F35" s="1847"/>
      <c r="G35" s="1857"/>
      <c r="H35" s="473"/>
    </row>
    <row customHeight="1" ht="11.25"/>
    <row s="1850" customFormat="1" customHeight="1" ht="11.25">
      <c r="A37" s="1850" t="s">
        <v>395</v>
      </c>
    </row>
    <row customHeight="1" ht="11.25"/>
    <row s="453" customFormat="1" customHeight="1" ht="22.5">
      <c r="A39" s="455"/>
      <c r="B39" s="455"/>
      <c r="C39" s="455"/>
      <c r="D39" s="438"/>
      <c r="E39" s="858"/>
      <c r="F39" s="859"/>
      <c r="G39" s="1857"/>
      <c r="H39" s="473"/>
    </row>
    <row r="42" s="1850" customFormat="1" customHeight="1" ht="17.25">
      <c r="A42" s="1850" t="s">
        <v>396</v>
      </c>
    </row>
    <row r="44" s="1643" customFormat="1" customHeight="1" ht="18.75">
      <c r="A44" s="0"/>
      <c r="B44" s="1858"/>
      <c r="C44" s="1858"/>
      <c r="D44" s="1859"/>
      <c r="E44" s="1844"/>
      <c r="F44" s="866">
        <v>13</v>
      </c>
      <c r="G44" s="865"/>
      <c r="H44" s="791"/>
      <c r="I44" s="789"/>
      <c r="J44" s="518" t="s">
        <v>56</v>
      </c>
      <c r="K44" s="2420" t="s">
        <v>18</v>
      </c>
      <c r="L44" s="0"/>
      <c r="M44" s="1667"/>
      <c r="N44" s="1667"/>
      <c r="O44" s="1667"/>
      <c r="P44" s="514" t="s">
        <v>384</v>
      </c>
      <c r="Q44" s="514" t="s">
        <v>385</v>
      </c>
      <c r="R44" s="515" t="s">
        <v>386</v>
      </c>
      <c r="S44" s="1667" t="s">
        <v>387</v>
      </c>
      <c r="T44" s="1667"/>
      <c r="U44" s="1667"/>
      <c r="V44" s="1667"/>
    </row>
    <row r="46" s="1850" customFormat="1" customHeight="1" ht="11.25">
      <c r="A46" s="1850" t="s">
        <v>397</v>
      </c>
    </row>
    <row r="48" s="1666" customFormat="1" customHeight="1" ht="15">
      <c r="C48" s="1861"/>
      <c r="D48" s="432"/>
      <c r="E48" s="880"/>
      <c r="F48" s="853"/>
      <c r="G48" s="854"/>
      <c r="H48" s="1812"/>
      <c r="I48" s="1812"/>
      <c r="J48" s="431"/>
      <c r="K48" s="430"/>
      <c r="L48" s="429"/>
      <c r="M48" s="430"/>
      <c r="N48" s="431"/>
      <c r="O48" s="430"/>
      <c r="P48" s="431"/>
      <c r="Q48" s="430"/>
      <c r="R48" s="431"/>
      <c r="S48" s="852"/>
      <c r="T48" s="1812"/>
      <c r="U48" s="431"/>
      <c r="V48" s="431"/>
      <c r="W48" s="1896"/>
      <c r="X48" s="1812"/>
      <c r="Y48" s="431"/>
      <c r="Z48" s="431"/>
      <c r="AA48" s="1896"/>
      <c r="AB48" s="1812"/>
      <c r="AC48" s="431"/>
      <c r="AD48" s="1826"/>
      <c r="AE48" s="0"/>
      <c r="AF48" s="0"/>
      <c r="AG48" s="0"/>
      <c r="AH48" s="0"/>
      <c r="AJ48" s="1667"/>
      <c r="AK48" s="1667"/>
      <c r="AL48" s="1667"/>
      <c r="AM48" s="1667"/>
      <c r="AN48" s="1667"/>
      <c r="AO48" s="1667"/>
      <c r="AP48" s="1655" t="s">
        <v>373</v>
      </c>
      <c r="AQ48" s="1655" t="s">
        <v>373</v>
      </c>
      <c r="AR48" s="1667"/>
      <c r="AS48" s="1667"/>
    </row>
    <row r="50" s="1850" customFormat="1" customHeight="1" ht="11.25">
      <c r="A50" s="1850" t="s">
        <v>398</v>
      </c>
    </row>
    <row r="52" s="1858" customFormat="1" customHeight="1" ht="15">
      <c r="A52" s="125" t="s">
        <v>89</v>
      </c>
      <c r="B52" s="105" t="s">
        <v>18</v>
      </c>
      <c r="C52" s="1862"/>
      <c r="D52" s="108"/>
      <c r="E52" s="378"/>
      <c r="F52" s="378"/>
      <c r="G52" s="1838"/>
      <c r="H52" s="1860"/>
      <c r="I52" s="1839"/>
      <c r="K52" s="251"/>
      <c r="L52" s="252"/>
    </row>
    <row r="54" s="1850" customFormat="1" customHeight="1" ht="11.25">
      <c r="A54" s="1850" t="s">
        <v>399</v>
      </c>
    </row>
    <row r="56" s="1666" customFormat="1" customHeight="1" ht="14.25">
      <c r="A56" s="331"/>
      <c r="B56" s="1161"/>
      <c r="C56" s="368"/>
      <c r="D56" s="1845"/>
      <c r="E56" s="885"/>
      <c r="F56" s="1860"/>
      <c r="G56" s="0"/>
      <c r="I56" s="1655"/>
      <c r="J56" s="1655"/>
    </row>
    <row r="58" s="1850" customFormat="1" customHeight="1" ht="11.25">
      <c r="A58" s="1850" t="s">
        <v>400</v>
      </c>
    </row>
    <row r="60" s="1666" customFormat="1" customHeight="1" ht="27">
      <c r="A60" s="1167"/>
      <c r="B60" s="1167"/>
      <c r="C60" s="1167"/>
      <c r="D60" s="1161"/>
      <c r="E60" s="1863"/>
      <c r="F60" s="2143"/>
      <c r="G60" s="2144"/>
      <c r="H60" s="2145" t="s">
        <v>58</v>
      </c>
      <c r="I60" s="2147"/>
      <c r="J60" s="2101"/>
      <c r="K60" s="2149"/>
      <c r="L60" s="2103"/>
      <c r="M60" s="2103"/>
      <c r="N60" s="2104"/>
      <c r="O60" s="2104"/>
      <c r="P60" s="2105">
        <f>DATEDIF(DATEVALUE(N60),DATEVALUE(O60),"y")&amp;"г. "&amp;DATEDIF(DATEVALUE(N60),DATEVALUE(O60),"ym")&amp;"мес. "&amp;DATEVALUE(O60)-DATE(YEAR(DATEVALUE(O60)),MONTH(DATEVALUE(O60)),1)&amp;"дн. "</f>
      </c>
      <c r="Q60" s="2100"/>
      <c r="R60" s="2100"/>
      <c r="S60" s="2100"/>
      <c r="T60" s="2101"/>
      <c r="U60" s="2100"/>
      <c r="V60" s="2100"/>
      <c r="W60" s="2100"/>
      <c r="X60" s="2101"/>
      <c r="Y60" s="2098" t="s">
        <v>58</v>
      </c>
      <c r="Z60" s="1843"/>
      <c r="AA60" s="1827">
        <v>1</v>
      </c>
      <c r="AB60" s="1253"/>
      <c r="AD60" s="1667" t="s">
        <v>401</v>
      </c>
    </row>
    <row s="1666" customFormat="1" customHeight="1" ht="10.5">
      <c r="A61" s="1167"/>
      <c r="B61" s="1167"/>
      <c r="C61" s="1167"/>
      <c r="D61" s="1161"/>
      <c r="E61" s="948"/>
      <c r="F61" s="2143"/>
      <c r="G61" s="2144"/>
      <c r="H61" s="2146"/>
      <c r="I61" s="2148"/>
      <c r="J61" s="2102"/>
      <c r="K61" s="2149"/>
      <c r="L61" s="2103"/>
      <c r="M61" s="2103"/>
      <c r="N61" s="2104"/>
      <c r="O61" s="2104"/>
      <c r="P61" s="2105"/>
      <c r="Q61" s="2100"/>
      <c r="R61" s="2100"/>
      <c r="S61" s="2100"/>
      <c r="T61" s="2102"/>
      <c r="U61" s="2100"/>
      <c r="V61" s="2100"/>
      <c r="W61" s="2100"/>
      <c r="X61" s="2102"/>
      <c r="Y61" s="2099"/>
      <c r="Z61" s="335"/>
      <c r="AA61" s="570"/>
      <c r="AB61" s="649" t="s">
        <v>402</v>
      </c>
    </row>
    <row r="63" s="1850" customFormat="1" customHeight="1" ht="11.25">
      <c r="A63" s="1850" t="s">
        <v>403</v>
      </c>
    </row>
    <row r="65" s="1666" customFormat="1" customHeight="1" ht="27">
      <c r="A65" s="1167"/>
      <c r="B65" s="1167"/>
      <c r="C65" s="1167"/>
      <c r="D65" s="1161"/>
      <c r="E65" s="1863"/>
      <c r="F65" s="1832"/>
      <c r="G65" s="1777"/>
      <c r="H65" s="1778"/>
      <c r="I65" s="1779"/>
      <c r="J65" s="1780"/>
      <c r="K65" s="1781"/>
      <c r="L65" s="1782"/>
      <c r="M65" s="1782"/>
      <c r="N65" s="1783"/>
      <c r="O65" s="1783"/>
      <c r="P65" s="1784"/>
      <c r="Q65" s="1785"/>
      <c r="R65" s="1785"/>
      <c r="S65" s="1785"/>
      <c r="T65" s="1780"/>
      <c r="U65" s="1785"/>
      <c r="V65" s="1785"/>
      <c r="W65" s="1785"/>
      <c r="X65" s="1780"/>
      <c r="Y65" s="1778"/>
      <c r="Z65" s="1843"/>
      <c r="AA65" s="1827">
        <v>1</v>
      </c>
      <c r="AB65" s="1253"/>
      <c r="AD65" s="1667" t="s">
        <v>401</v>
      </c>
    </row>
    <row r="67" s="1850" customFormat="1" customHeight="1" ht="11.25">
      <c r="A67" s="1850" t="s">
        <v>404</v>
      </c>
    </row>
    <row customHeight="1" ht="17.25"/>
    <row s="1666" customFormat="1" customHeight="1" ht="21">
      <c r="A69" s="1168"/>
      <c r="B69" s="1167"/>
      <c r="C69" s="1167"/>
      <c r="D69" s="1161"/>
      <c r="E69" s="1171"/>
      <c r="F69" s="1123">
        <f>INDEX(IP_MAIN_LIST_NAME_IP,MATCH(A69,IP_MAIN_LIST_IP_ID,0))&amp;" ("&amp;INDEX(IP_MAIN_START_DATE,MATCH(A69,IP_MAIN_LIST_IP_ID,0))&amp;"-"&amp;INDEX(IP_MAIN_END_DATE,MATCH(A69,IP_MAIN_LIST_IP_ID,0))&amp;")"</f>
      </c>
      <c r="G69" s="1124"/>
      <c r="H69" s="1124"/>
      <c r="I69" s="1188"/>
      <c r="J69" s="1188"/>
      <c r="K69" s="1189"/>
      <c r="L69" s="1189"/>
      <c r="M69" s="1189"/>
      <c r="N69" s="1190"/>
      <c r="O69" s="1190"/>
      <c r="P69" s="1190"/>
      <c r="Q69" s="1190"/>
      <c r="R69" s="1190"/>
      <c r="S69" s="1190"/>
      <c r="T69" s="1190"/>
      <c r="U69" s="1190"/>
      <c r="V69" s="1190"/>
      <c r="W69" s="1190"/>
      <c r="X69" s="1190"/>
      <c r="Y69" s="1190"/>
      <c r="Z69" s="1190"/>
      <c r="AA69" s="1190"/>
      <c r="AB69" s="1190"/>
      <c r="AC69" s="1190"/>
      <c r="AD69" s="1190"/>
      <c r="AE69" s="1191"/>
      <c r="AF69" s="1189"/>
      <c r="AG69" s="1189"/>
      <c r="AH69" s="1189"/>
      <c r="AI69" s="1189"/>
      <c r="AJ69" s="1189"/>
      <c r="AK69" s="1189"/>
      <c r="AL69" s="1172"/>
      <c r="AM69" s="1858"/>
      <c r="AN69" s="1858"/>
      <c r="AO69" s="1858"/>
      <c r="AP69" s="1858"/>
      <c r="AQ69" s="1858"/>
      <c r="AR69" s="1858"/>
      <c r="AS69" s="1858"/>
      <c r="AT69" s="1858"/>
      <c r="AU69" s="1858"/>
      <c r="AV69" s="1858"/>
      <c r="AW69" s="1858"/>
      <c r="AX69" s="1858"/>
      <c r="AY69" s="1858"/>
      <c r="AZ69" s="1858"/>
      <c r="BA69" s="1858"/>
      <c r="BB69" s="1858"/>
      <c r="BC69" s="1858"/>
      <c r="BD69" s="1858"/>
      <c r="BE69" s="1858"/>
      <c r="BF69" s="1858"/>
    </row>
    <row s="1666" customFormat="1" customHeight="1" ht="11.25">
      <c r="A70" s="1167"/>
      <c r="B70" s="1167"/>
      <c r="C70" s="1167"/>
      <c r="D70" s="1161"/>
      <c r="E70" s="1171"/>
      <c r="F70" s="2096"/>
      <c r="G70" s="2076"/>
      <c r="H70" s="2076" t="s">
        <v>108</v>
      </c>
      <c r="I70" s="2077"/>
      <c r="J70" s="2078"/>
      <c r="K70" s="2079"/>
      <c r="L70" s="2068" t="s">
        <v>56</v>
      </c>
      <c r="M70" s="1929"/>
      <c r="N70" s="1180"/>
      <c r="O70" s="1179" t="s">
        <v>368</v>
      </c>
      <c r="P70" s="1180"/>
      <c r="Q70" s="1180"/>
      <c r="R70" s="1180"/>
      <c r="S70" s="1180"/>
      <c r="T70" s="1180"/>
      <c r="U70" s="1180"/>
      <c r="V70" s="1180"/>
      <c r="W70" s="1180"/>
      <c r="X70" s="1180"/>
      <c r="Y70" s="1180"/>
      <c r="Z70" s="1180"/>
      <c r="AA70" s="1180"/>
      <c r="AB70" s="1180"/>
      <c r="AC70" s="1180"/>
      <c r="AD70" s="1180"/>
      <c r="AE70" s="1180"/>
      <c r="AF70" s="2067"/>
      <c r="AG70" s="2068"/>
      <c r="AH70" s="2068"/>
      <c r="AI70" s="2067"/>
      <c r="AJ70" s="2068"/>
      <c r="AK70" s="2068"/>
      <c r="AL70" s="1174"/>
      <c r="AM70" s="1858"/>
      <c r="AN70" s="1858"/>
      <c r="AO70" s="1858"/>
      <c r="AP70" s="1858"/>
      <c r="AQ70" s="1858"/>
      <c r="AR70" s="1858"/>
      <c r="AS70" s="1858"/>
      <c r="AT70" s="1858"/>
      <c r="AU70" s="1858"/>
      <c r="AV70" s="1858"/>
      <c r="AW70" s="1858"/>
      <c r="AX70" s="1858"/>
      <c r="AY70" s="1858"/>
      <c r="AZ70" s="1858"/>
      <c r="BA70" s="1858"/>
      <c r="BB70" s="1858"/>
      <c r="BC70" s="1858"/>
      <c r="BD70" s="1858"/>
      <c r="BE70" s="1858"/>
      <c r="BF70" s="1858"/>
    </row>
    <row s="1666" customFormat="1" customHeight="1" ht="11.25">
      <c r="A71" s="1167"/>
      <c r="B71" s="1167"/>
      <c r="C71" s="1167"/>
      <c r="D71" s="1161"/>
      <c r="E71" s="1171"/>
      <c r="F71" s="2096"/>
      <c r="G71" s="2076"/>
      <c r="H71" s="2076"/>
      <c r="I71" s="2077"/>
      <c r="J71" s="2078"/>
      <c r="K71" s="2079"/>
      <c r="L71" s="2068"/>
      <c r="M71" s="1929"/>
      <c r="N71" s="2069"/>
      <c r="O71" s="2070">
        <v>1</v>
      </c>
      <c r="P71" s="2071" t="s">
        <v>56</v>
      </c>
      <c r="Q71" s="2074" t="s">
        <v>18</v>
      </c>
      <c r="R71" s="2074" t="s">
        <v>18</v>
      </c>
      <c r="S71" s="2074" t="s">
        <v>18</v>
      </c>
      <c r="T71" s="2074" t="s">
        <v>18</v>
      </c>
      <c r="U71" s="2074" t="s">
        <v>18</v>
      </c>
      <c r="V71" s="2074" t="s">
        <v>18</v>
      </c>
      <c r="W71" s="2074" t="s">
        <v>18</v>
      </c>
      <c r="X71" s="2074" t="s">
        <v>18</v>
      </c>
      <c r="Y71" s="2074"/>
      <c r="Z71" s="1177"/>
      <c r="AA71" s="1178"/>
      <c r="AB71" s="1178"/>
      <c r="AC71" s="1182"/>
      <c r="AD71" s="1182"/>
      <c r="AE71" s="1183"/>
      <c r="AF71" s="2067"/>
      <c r="AG71" s="2068"/>
      <c r="AH71" s="2068"/>
      <c r="AI71" s="2067"/>
      <c r="AJ71" s="2068"/>
      <c r="AK71" s="2068"/>
      <c r="AL71" s="1174"/>
      <c r="AM71" s="1858"/>
      <c r="AN71" s="1858"/>
      <c r="AO71" s="1858"/>
      <c r="AP71" s="1858"/>
      <c r="AQ71" s="1858"/>
      <c r="AR71" s="1858"/>
      <c r="AS71" s="1858"/>
      <c r="AT71" s="1858"/>
      <c r="AU71" s="1858"/>
      <c r="AV71" s="1858"/>
      <c r="AW71" s="1858"/>
      <c r="AX71" s="1858"/>
      <c r="AY71" s="1858"/>
      <c r="AZ71" s="1858"/>
      <c r="BA71" s="1858"/>
      <c r="BB71" s="1858"/>
      <c r="BC71" s="1858"/>
      <c r="BD71" s="1858"/>
      <c r="BE71" s="1858"/>
      <c r="BF71" s="1858"/>
    </row>
    <row s="1666" customFormat="1" customHeight="1" ht="11.25">
      <c r="A72" s="1167"/>
      <c r="B72" s="1167"/>
      <c r="C72" s="1167"/>
      <c r="D72" s="1161"/>
      <c r="E72" s="1171"/>
      <c r="F72" s="2096"/>
      <c r="G72" s="2076"/>
      <c r="H72" s="2076"/>
      <c r="I72" s="2077"/>
      <c r="J72" s="2078"/>
      <c r="K72" s="2079"/>
      <c r="L72" s="2068"/>
      <c r="M72" s="1929"/>
      <c r="N72" s="2069"/>
      <c r="O72" s="2070"/>
      <c r="P72" s="2072"/>
      <c r="Q72" s="2074"/>
      <c r="R72" s="2074"/>
      <c r="S72" s="2075"/>
      <c r="T72" s="2074"/>
      <c r="U72" s="2074"/>
      <c r="V72" s="2074"/>
      <c r="W72" s="2074"/>
      <c r="X72" s="2074"/>
      <c r="Y72" s="2074"/>
      <c r="Z72" s="1864"/>
      <c r="AA72" s="1829">
        <v>1</v>
      </c>
      <c r="AB72" s="1181"/>
      <c r="AC72" s="1170"/>
      <c r="AD72" s="1181">
        <f>AB72</f>
        <v>0</v>
      </c>
      <c r="AE72" s="1170"/>
      <c r="AF72" s="2067"/>
      <c r="AG72" s="2068"/>
      <c r="AH72" s="2068"/>
      <c r="AI72" s="2067"/>
      <c r="AJ72" s="2068"/>
      <c r="AK72" s="2068"/>
      <c r="AL72" s="1174"/>
      <c r="AM72" s="1858"/>
      <c r="AN72" s="1858"/>
      <c r="AO72" s="1858"/>
      <c r="AP72" s="1858"/>
      <c r="AQ72" s="1858"/>
      <c r="AR72" s="1858"/>
      <c r="AS72" s="1858"/>
      <c r="AT72" s="1858"/>
      <c r="AU72" s="1858"/>
      <c r="AV72" s="1858"/>
      <c r="AW72" s="1858"/>
      <c r="AX72" s="1858"/>
      <c r="AY72" s="1858"/>
      <c r="AZ72" s="1858"/>
      <c r="BA72" s="1858"/>
      <c r="BB72" s="1858"/>
      <c r="BC72" s="1858"/>
      <c r="BD72" s="1858"/>
      <c r="BE72" s="1858"/>
      <c r="BF72" s="1858"/>
    </row>
    <row s="1666" customFormat="1" customHeight="1" ht="11.25">
      <c r="A73" s="1167"/>
      <c r="B73" s="1167"/>
      <c r="C73" s="1167"/>
      <c r="D73" s="1161"/>
      <c r="E73" s="1171"/>
      <c r="F73" s="2096"/>
      <c r="G73" s="2076"/>
      <c r="H73" s="2076"/>
      <c r="I73" s="2077"/>
      <c r="J73" s="2078"/>
      <c r="K73" s="2079"/>
      <c r="L73" s="2068"/>
      <c r="M73" s="1929"/>
      <c r="N73" s="2069"/>
      <c r="O73" s="2070"/>
      <c r="P73" s="2073"/>
      <c r="Q73" s="2074"/>
      <c r="R73" s="2074"/>
      <c r="S73" s="2075"/>
      <c r="T73" s="2074"/>
      <c r="U73" s="2074"/>
      <c r="V73" s="2074"/>
      <c r="W73" s="2074"/>
      <c r="X73" s="2074"/>
      <c r="Y73" s="2074"/>
      <c r="Z73" s="1177"/>
      <c r="AA73" s="1178"/>
      <c r="AB73" s="1252" t="s">
        <v>405</v>
      </c>
      <c r="AC73" s="1182"/>
      <c r="AD73" s="1182"/>
      <c r="AE73" s="1184"/>
      <c r="AF73" s="2067"/>
      <c r="AG73" s="2068"/>
      <c r="AH73" s="2068"/>
      <c r="AI73" s="2067"/>
      <c r="AJ73" s="2068"/>
      <c r="AK73" s="2068"/>
      <c r="AL73" s="1174"/>
      <c r="AM73" s="1858"/>
      <c r="AN73" s="1858"/>
      <c r="AO73" s="1858"/>
      <c r="AP73" s="1858"/>
      <c r="AQ73" s="1858"/>
      <c r="AR73" s="1858"/>
      <c r="AS73" s="1858"/>
      <c r="AT73" s="1858"/>
      <c r="AU73" s="1858"/>
      <c r="AV73" s="1858"/>
      <c r="AW73" s="1858"/>
      <c r="AX73" s="1858"/>
      <c r="AY73" s="1858"/>
      <c r="AZ73" s="1858"/>
      <c r="BA73" s="1858"/>
      <c r="BB73" s="1858"/>
      <c r="BC73" s="1858"/>
      <c r="BD73" s="1858"/>
      <c r="BE73" s="1858"/>
      <c r="BF73" s="1858"/>
    </row>
    <row s="1666" customFormat="1" customHeight="1" ht="11.25">
      <c r="A74" s="1167"/>
      <c r="B74" s="1167"/>
      <c r="C74" s="1167"/>
      <c r="D74" s="1161"/>
      <c r="E74" s="1171"/>
      <c r="F74" s="2096"/>
      <c r="G74" s="2076"/>
      <c r="H74" s="2076"/>
      <c r="I74" s="2077"/>
      <c r="J74" s="2078"/>
      <c r="K74" s="2079"/>
      <c r="L74" s="2068"/>
      <c r="M74" s="1929"/>
      <c r="N74" s="1178"/>
      <c r="O74" s="1178"/>
      <c r="P74" s="1169" t="s">
        <v>406</v>
      </c>
      <c r="Q74" s="1178"/>
      <c r="R74" s="1178"/>
      <c r="S74" s="1178"/>
      <c r="T74" s="1178"/>
      <c r="U74" s="1178"/>
      <c r="V74" s="1178"/>
      <c r="W74" s="1178"/>
      <c r="X74" s="1178"/>
      <c r="Y74" s="1178"/>
      <c r="Z74" s="1178"/>
      <c r="AA74" s="1178"/>
      <c r="AB74" s="1178"/>
      <c r="AC74" s="1178"/>
      <c r="AD74" s="1178"/>
      <c r="AE74" s="1185"/>
      <c r="AF74" s="2067"/>
      <c r="AG74" s="2068"/>
      <c r="AH74" s="2068"/>
      <c r="AI74" s="2067"/>
      <c r="AJ74" s="2068"/>
      <c r="AK74" s="2068"/>
      <c r="AL74" s="1174"/>
      <c r="AM74" s="1858"/>
      <c r="AN74" s="1858"/>
      <c r="AO74" s="1858"/>
      <c r="AP74" s="1858"/>
      <c r="AQ74" s="1858"/>
      <c r="AR74" s="1858"/>
      <c r="AS74" s="1858"/>
      <c r="AT74" s="1858"/>
      <c r="AU74" s="1858"/>
      <c r="AV74" s="1858"/>
      <c r="AW74" s="1858"/>
      <c r="AX74" s="1858"/>
      <c r="AY74" s="1858"/>
      <c r="AZ74" s="1858"/>
      <c r="BA74" s="1858"/>
      <c r="BB74" s="1858"/>
      <c r="BC74" s="1858"/>
      <c r="BD74" s="1858"/>
      <c r="BE74" s="1858"/>
      <c r="BF74" s="1858"/>
    </row>
    <row s="1666" customFormat="1" customHeight="1" ht="12">
      <c r="A75" s="1167"/>
      <c r="B75" s="1167"/>
      <c r="C75" s="1167"/>
      <c r="D75" s="1161"/>
      <c r="E75" s="1171"/>
      <c r="F75" s="2097"/>
      <c r="G75" s="1193"/>
      <c r="H75" s="1193"/>
      <c r="I75" s="2095" t="s">
        <v>407</v>
      </c>
      <c r="J75" s="2095"/>
      <c r="K75" s="2095"/>
      <c r="L75" s="1175"/>
      <c r="M75" s="1175"/>
      <c r="N75" s="1176"/>
      <c r="O75" s="1176"/>
      <c r="P75" s="1176"/>
      <c r="Q75" s="1176"/>
      <c r="R75" s="1176"/>
      <c r="S75" s="1176"/>
      <c r="T75" s="1176"/>
      <c r="U75" s="1176"/>
      <c r="V75" s="1176"/>
      <c r="W75" s="1176"/>
      <c r="X75" s="1176"/>
      <c r="Y75" s="1176"/>
      <c r="Z75" s="1176"/>
      <c r="AA75" s="1176"/>
      <c r="AB75" s="1176"/>
      <c r="AC75" s="1176"/>
      <c r="AD75" s="1176"/>
      <c r="AE75" s="1176"/>
      <c r="AF75" s="1176"/>
      <c r="AG75" s="1175"/>
      <c r="AH75" s="1175"/>
      <c r="AI75" s="1176"/>
      <c r="AJ75" s="1175"/>
      <c r="AK75" s="1186"/>
      <c r="AL75" s="1174"/>
      <c r="AM75" s="1858"/>
      <c r="AN75" s="1858"/>
      <c r="AO75" s="1858"/>
      <c r="AP75" s="1858"/>
      <c r="AQ75" s="1858"/>
      <c r="AR75" s="1858"/>
      <c r="AS75" s="1858"/>
      <c r="AT75" s="1858"/>
      <c r="AU75" s="1858"/>
      <c r="AV75" s="1858"/>
      <c r="AW75" s="1858"/>
      <c r="AX75" s="1858"/>
      <c r="AY75" s="1858"/>
      <c r="AZ75" s="1858"/>
      <c r="BA75" s="1858"/>
      <c r="BB75" s="1858"/>
      <c r="BC75" s="1858"/>
      <c r="BD75" s="1858"/>
      <c r="BE75" s="1858"/>
      <c r="BF75" s="1858"/>
    </row>
    <row r="77" s="1850" customFormat="1" customHeight="1" ht="11.25">
      <c r="A77" s="1850" t="s">
        <v>408</v>
      </c>
    </row>
    <row r="79" s="1666" customFormat="1" customHeight="1" ht="11.25">
      <c r="A79" s="1167"/>
      <c r="B79" s="1167"/>
      <c r="C79" s="1167"/>
      <c r="D79" s="1161"/>
      <c r="E79" s="1171"/>
      <c r="F79" s="1865"/>
      <c r="G79" s="1866"/>
      <c r="H79" s="1866"/>
      <c r="I79" s="1794"/>
      <c r="J79" s="1794"/>
      <c r="K79" s="1867"/>
      <c r="L79" s="1794"/>
      <c r="M79" s="1866"/>
      <c r="N79" s="2142"/>
      <c r="O79" s="2070">
        <v>1</v>
      </c>
      <c r="P79" s="2071" t="s">
        <v>56</v>
      </c>
      <c r="Q79" s="2074" t="s">
        <v>18</v>
      </c>
      <c r="R79" s="2074" t="s">
        <v>18</v>
      </c>
      <c r="S79" s="2074" t="s">
        <v>18</v>
      </c>
      <c r="T79" s="2074" t="s">
        <v>18</v>
      </c>
      <c r="U79" s="2074" t="s">
        <v>18</v>
      </c>
      <c r="V79" s="2074" t="s">
        <v>18</v>
      </c>
      <c r="W79" s="2074" t="s">
        <v>18</v>
      </c>
      <c r="X79" s="2074" t="s">
        <v>18</v>
      </c>
      <c r="Y79" s="2074"/>
      <c r="Z79" s="1177"/>
      <c r="AA79" s="1178"/>
      <c r="AB79" s="1178"/>
      <c r="AC79" s="1182"/>
      <c r="AD79" s="1182"/>
      <c r="AE79" s="1182"/>
      <c r="AF79" s="1868"/>
      <c r="AG79" s="1789"/>
      <c r="AH79" s="1789"/>
      <c r="AI79" s="1868"/>
      <c r="AJ79" s="1789"/>
      <c r="AK79" s="1789"/>
      <c r="AL79" s="1174"/>
      <c r="AM79" s="1858"/>
      <c r="AN79" s="1858"/>
      <c r="AO79" s="1858"/>
      <c r="AP79" s="1858"/>
      <c r="AQ79" s="1858"/>
      <c r="AR79" s="1858"/>
      <c r="AS79" s="1858"/>
      <c r="AT79" s="1858"/>
      <c r="AU79" s="1858"/>
      <c r="AV79" s="1858"/>
      <c r="AW79" s="1858"/>
      <c r="AX79" s="1858"/>
      <c r="AY79" s="1858"/>
      <c r="AZ79" s="1858"/>
      <c r="BA79" s="1858"/>
      <c r="BB79" s="1858"/>
      <c r="BC79" s="1858"/>
      <c r="BD79" s="1858"/>
      <c r="BE79" s="1858"/>
      <c r="BF79" s="1858"/>
    </row>
    <row s="1666" customFormat="1" customHeight="1" ht="11.25">
      <c r="A80" s="1167"/>
      <c r="B80" s="1167"/>
      <c r="C80" s="1167"/>
      <c r="D80" s="1161"/>
      <c r="E80" s="1171"/>
      <c r="F80" s="1865"/>
      <c r="G80" s="1866"/>
      <c r="H80" s="1866"/>
      <c r="I80" s="1795"/>
      <c r="J80" s="1795"/>
      <c r="K80" s="1867"/>
      <c r="L80" s="1795"/>
      <c r="M80" s="1866"/>
      <c r="N80" s="2142"/>
      <c r="O80" s="2070"/>
      <c r="P80" s="2072"/>
      <c r="Q80" s="2074"/>
      <c r="R80" s="2074"/>
      <c r="S80" s="2075"/>
      <c r="T80" s="2074"/>
      <c r="U80" s="2074"/>
      <c r="V80" s="2074"/>
      <c r="W80" s="2074"/>
      <c r="X80" s="2074"/>
      <c r="Y80" s="2074"/>
      <c r="Z80" s="1864"/>
      <c r="AA80" s="1829">
        <v>1</v>
      </c>
      <c r="AB80" s="1181"/>
      <c r="AC80" s="1170"/>
      <c r="AD80" s="1181">
        <f>AB80</f>
        <v>0</v>
      </c>
      <c r="AE80" s="722"/>
      <c r="AF80" s="1867"/>
      <c r="AG80" s="1789"/>
      <c r="AH80" s="1789"/>
      <c r="AI80" s="1867"/>
      <c r="AJ80" s="1789"/>
      <c r="AK80" s="1789"/>
      <c r="AL80" s="1174"/>
      <c r="AM80" s="1858"/>
      <c r="AN80" s="1858"/>
      <c r="AO80" s="1858"/>
      <c r="AP80" s="1858"/>
      <c r="AQ80" s="1858"/>
      <c r="AR80" s="1858"/>
      <c r="AS80" s="1858"/>
      <c r="AT80" s="1858"/>
      <c r="AU80" s="1858"/>
      <c r="AV80" s="1858"/>
      <c r="AW80" s="1858"/>
      <c r="AX80" s="1858"/>
      <c r="AY80" s="1858"/>
      <c r="AZ80" s="1858"/>
      <c r="BA80" s="1858"/>
      <c r="BB80" s="1858"/>
      <c r="BC80" s="1858"/>
      <c r="BD80" s="1858"/>
      <c r="BE80" s="1858"/>
      <c r="BF80" s="1858"/>
    </row>
    <row s="1666" customFormat="1" customHeight="1" ht="11.25">
      <c r="A81" s="1167"/>
      <c r="B81" s="1167"/>
      <c r="C81" s="1167"/>
      <c r="D81" s="1161"/>
      <c r="E81" s="1171"/>
      <c r="F81" s="1865"/>
      <c r="G81" s="1866"/>
      <c r="H81" s="1866"/>
      <c r="I81" s="1796"/>
      <c r="J81" s="1796"/>
      <c r="K81" s="1867"/>
      <c r="L81" s="1796"/>
      <c r="M81" s="1866"/>
      <c r="N81" s="2142"/>
      <c r="O81" s="2070"/>
      <c r="P81" s="2073"/>
      <c r="Q81" s="2074"/>
      <c r="R81" s="2074"/>
      <c r="S81" s="2075"/>
      <c r="T81" s="2074"/>
      <c r="U81" s="2074"/>
      <c r="V81" s="2074"/>
      <c r="W81" s="2074"/>
      <c r="X81" s="2074"/>
      <c r="Y81" s="2074"/>
      <c r="Z81" s="1177"/>
      <c r="AA81" s="1178"/>
      <c r="AB81" s="1252" t="s">
        <v>405</v>
      </c>
      <c r="AC81" s="1182"/>
      <c r="AD81" s="1182"/>
      <c r="AE81" s="1182"/>
      <c r="AF81" s="1869"/>
      <c r="AG81" s="1789"/>
      <c r="AH81" s="1789"/>
      <c r="AI81" s="1869"/>
      <c r="AJ81" s="1789"/>
      <c r="AK81" s="1789"/>
      <c r="AL81" s="1174"/>
      <c r="AM81" s="1858"/>
      <c r="AN81" s="1858"/>
      <c r="AO81" s="1858"/>
      <c r="AP81" s="1858"/>
      <c r="AQ81" s="1858"/>
      <c r="AR81" s="1858"/>
      <c r="AS81" s="1858"/>
      <c r="AT81" s="1858"/>
      <c r="AU81" s="1858"/>
      <c r="AV81" s="1858"/>
      <c r="AW81" s="1858"/>
      <c r="AX81" s="1858"/>
      <c r="AY81" s="1858"/>
      <c r="AZ81" s="1858"/>
      <c r="BA81" s="1858"/>
      <c r="BB81" s="1858"/>
      <c r="BC81" s="1858"/>
      <c r="BD81" s="1858"/>
      <c r="BE81" s="1858"/>
      <c r="BF81" s="1858"/>
    </row>
    <row r="83" s="1850" customFormat="1" customHeight="1" ht="11.25">
      <c r="A83" s="1850" t="s">
        <v>409</v>
      </c>
    </row>
    <row r="85" s="1666" customFormat="1" customHeight="1" ht="11.25">
      <c r="A85" s="1167"/>
      <c r="B85" s="1167"/>
      <c r="C85" s="1167"/>
      <c r="D85" s="1161"/>
      <c r="E85" s="1171"/>
      <c r="F85" s="1866"/>
      <c r="G85" s="1866"/>
      <c r="H85" s="1866"/>
      <c r="I85" s="1866"/>
      <c r="J85" s="1866"/>
      <c r="K85" s="1866"/>
      <c r="L85" s="1866"/>
      <c r="M85" s="1866"/>
      <c r="N85" s="1866"/>
      <c r="O85" s="1866"/>
      <c r="P85" s="1866"/>
      <c r="Q85" s="1866"/>
      <c r="R85" s="1866"/>
      <c r="S85" s="1866"/>
      <c r="T85" s="1866"/>
      <c r="U85" s="1866"/>
      <c r="V85" s="1866"/>
      <c r="W85" s="1866"/>
      <c r="X85" s="1866"/>
      <c r="Y85" s="1866"/>
      <c r="Z85" s="1870"/>
      <c r="AA85" s="1849">
        <v>1</v>
      </c>
      <c r="AB85" s="1181"/>
      <c r="AC85" s="1170"/>
      <c r="AD85" s="1181">
        <f>AB85</f>
        <v>0</v>
      </c>
      <c r="AE85" s="1170"/>
      <c r="AF85" s="1867"/>
      <c r="AG85" s="1789"/>
      <c r="AH85" s="1789"/>
      <c r="AI85" s="1867"/>
      <c r="AJ85" s="1789"/>
      <c r="AK85" s="1789"/>
      <c r="AL85" s="1174"/>
      <c r="AM85" s="1858"/>
      <c r="AN85" s="1858"/>
      <c r="AO85" s="1858"/>
      <c r="AP85" s="1858"/>
      <c r="AQ85" s="1858"/>
      <c r="AR85" s="1858"/>
      <c r="AS85" s="1858"/>
      <c r="AT85" s="1858"/>
      <c r="AU85" s="1858"/>
      <c r="AV85" s="1858"/>
      <c r="AW85" s="1858"/>
      <c r="AX85" s="1858"/>
      <c r="AY85" s="1858"/>
      <c r="AZ85" s="1858"/>
      <c r="BA85" s="1858"/>
      <c r="BB85" s="1858"/>
      <c r="BC85" s="1858"/>
      <c r="BD85" s="1858"/>
      <c r="BE85" s="1858"/>
      <c r="BF85" s="1858"/>
    </row>
    <row r="87" s="1850" customFormat="1" customHeight="1" ht="11.25">
      <c r="A87" s="1850" t="s">
        <v>410</v>
      </c>
    </row>
    <row r="89" s="1666" customFormat="1" customHeight="1" ht="11.25">
      <c r="A89" s="1167"/>
      <c r="B89" s="1167"/>
      <c r="C89" s="1167"/>
      <c r="D89" s="1161"/>
      <c r="E89" s="1171"/>
      <c r="F89" s="1865"/>
      <c r="G89" s="1866"/>
      <c r="H89" s="2076" t="s">
        <v>108</v>
      </c>
      <c r="I89" s="2077"/>
      <c r="J89" s="2078"/>
      <c r="K89" s="2079"/>
      <c r="L89" s="2068" t="s">
        <v>56</v>
      </c>
      <c r="M89" s="1929"/>
      <c r="N89" s="1180"/>
      <c r="O89" s="1179" t="s">
        <v>368</v>
      </c>
      <c r="P89" s="1180"/>
      <c r="Q89" s="1180"/>
      <c r="R89" s="1180"/>
      <c r="S89" s="1180"/>
      <c r="T89" s="1180"/>
      <c r="U89" s="1180"/>
      <c r="V89" s="1180"/>
      <c r="W89" s="1180"/>
      <c r="X89" s="1180"/>
      <c r="Y89" s="1180"/>
      <c r="Z89" s="1180"/>
      <c r="AA89" s="1180"/>
      <c r="AB89" s="1180"/>
      <c r="AC89" s="1180"/>
      <c r="AD89" s="1180"/>
      <c r="AE89" s="1180"/>
      <c r="AF89" s="2067"/>
      <c r="AG89" s="2068"/>
      <c r="AH89" s="2068"/>
      <c r="AI89" s="2067"/>
      <c r="AJ89" s="2068"/>
      <c r="AK89" s="2068"/>
      <c r="AL89" s="1174"/>
      <c r="AM89" s="1858"/>
      <c r="AN89" s="1858"/>
      <c r="AO89" s="1858"/>
      <c r="AP89" s="1858"/>
      <c r="AQ89" s="1858"/>
      <c r="AR89" s="1858"/>
      <c r="AS89" s="1858"/>
      <c r="AT89" s="1858"/>
      <c r="AU89" s="1858"/>
      <c r="AV89" s="1858"/>
      <c r="AW89" s="1858"/>
      <c r="AX89" s="1858"/>
      <c r="AY89" s="1858"/>
      <c r="AZ89" s="1858"/>
      <c r="BA89" s="1858"/>
      <c r="BB89" s="1858"/>
      <c r="BC89" s="1858"/>
      <c r="BD89" s="1858"/>
      <c r="BE89" s="1858"/>
      <c r="BF89" s="1858"/>
    </row>
    <row s="1666" customFormat="1" customHeight="1" ht="11.25">
      <c r="A90" s="1167"/>
      <c r="B90" s="1167"/>
      <c r="C90" s="1167"/>
      <c r="D90" s="1161"/>
      <c r="E90" s="1171"/>
      <c r="F90" s="1865"/>
      <c r="G90" s="1866"/>
      <c r="H90" s="2076"/>
      <c r="I90" s="2077"/>
      <c r="J90" s="2078"/>
      <c r="K90" s="2079"/>
      <c r="L90" s="2068"/>
      <c r="M90" s="1929"/>
      <c r="N90" s="2069"/>
      <c r="O90" s="2070">
        <v>1</v>
      </c>
      <c r="P90" s="2071" t="s">
        <v>56</v>
      </c>
      <c r="Q90" s="2074" t="s">
        <v>18</v>
      </c>
      <c r="R90" s="2074" t="s">
        <v>18</v>
      </c>
      <c r="S90" s="2074" t="s">
        <v>18</v>
      </c>
      <c r="T90" s="2074" t="s">
        <v>18</v>
      </c>
      <c r="U90" s="2074" t="s">
        <v>18</v>
      </c>
      <c r="V90" s="2074" t="s">
        <v>18</v>
      </c>
      <c r="W90" s="2074" t="s">
        <v>18</v>
      </c>
      <c r="X90" s="2074" t="s">
        <v>18</v>
      </c>
      <c r="Y90" s="2074"/>
      <c r="Z90" s="1177"/>
      <c r="AA90" s="1178"/>
      <c r="AB90" s="1178"/>
      <c r="AC90" s="1182"/>
      <c r="AD90" s="1182"/>
      <c r="AE90" s="1183"/>
      <c r="AF90" s="2067"/>
      <c r="AG90" s="2068"/>
      <c r="AH90" s="2068"/>
      <c r="AI90" s="2067"/>
      <c r="AJ90" s="2068"/>
      <c r="AK90" s="2068"/>
      <c r="AL90" s="1174"/>
      <c r="AM90" s="1858"/>
      <c r="AN90" s="1858"/>
      <c r="AO90" s="1858"/>
      <c r="AP90" s="1858"/>
      <c r="AQ90" s="1858"/>
      <c r="AR90" s="1858"/>
      <c r="AS90" s="1858"/>
      <c r="AT90" s="1858"/>
      <c r="AU90" s="1858"/>
      <c r="AV90" s="1858"/>
      <c r="AW90" s="1858"/>
      <c r="AX90" s="1858"/>
      <c r="AY90" s="1858"/>
      <c r="AZ90" s="1858"/>
      <c r="BA90" s="1858"/>
      <c r="BB90" s="1858"/>
      <c r="BC90" s="1858"/>
      <c r="BD90" s="1858"/>
      <c r="BE90" s="1858"/>
      <c r="BF90" s="1858"/>
    </row>
    <row s="1666" customFormat="1" customHeight="1" ht="11.25">
      <c r="A91" s="1167"/>
      <c r="B91" s="1167"/>
      <c r="C91" s="1167"/>
      <c r="D91" s="1161"/>
      <c r="E91" s="1171"/>
      <c r="F91" s="1865"/>
      <c r="G91" s="1866"/>
      <c r="H91" s="2076"/>
      <c r="I91" s="2077"/>
      <c r="J91" s="2078"/>
      <c r="K91" s="2079"/>
      <c r="L91" s="2068"/>
      <c r="M91" s="1929"/>
      <c r="N91" s="2069"/>
      <c r="O91" s="2070"/>
      <c r="P91" s="2072"/>
      <c r="Q91" s="2074"/>
      <c r="R91" s="2074"/>
      <c r="S91" s="2075"/>
      <c r="T91" s="2074"/>
      <c r="U91" s="2074"/>
      <c r="V91" s="2074"/>
      <c r="W91" s="2074"/>
      <c r="X91" s="2074"/>
      <c r="Y91" s="2074"/>
      <c r="Z91" s="1864"/>
      <c r="AA91" s="1829">
        <v>1</v>
      </c>
      <c r="AB91" s="1181"/>
      <c r="AC91" s="1170"/>
      <c r="AD91" s="1181">
        <f>AB91</f>
        <v>0</v>
      </c>
      <c r="AE91" s="1170"/>
      <c r="AF91" s="2067"/>
      <c r="AG91" s="2068"/>
      <c r="AH91" s="2068"/>
      <c r="AI91" s="2067"/>
      <c r="AJ91" s="2068"/>
      <c r="AK91" s="2068"/>
      <c r="AL91" s="1174"/>
      <c r="AM91" s="1858"/>
      <c r="AN91" s="1858"/>
      <c r="AO91" s="1858"/>
      <c r="AP91" s="1858"/>
      <c r="AQ91" s="1858"/>
      <c r="AR91" s="1858"/>
      <c r="AS91" s="1858"/>
      <c r="AT91" s="1858"/>
      <c r="AU91" s="1858"/>
      <c r="AV91" s="1858"/>
      <c r="AW91" s="1858"/>
      <c r="AX91" s="1858"/>
      <c r="AY91" s="1858"/>
      <c r="AZ91" s="1858"/>
      <c r="BA91" s="1858"/>
      <c r="BB91" s="1858"/>
      <c r="BC91" s="1858"/>
      <c r="BD91" s="1858"/>
      <c r="BE91" s="1858"/>
      <c r="BF91" s="1858"/>
    </row>
    <row s="1666" customFormat="1" customHeight="1" ht="11.25">
      <c r="A92" s="1167"/>
      <c r="B92" s="1167"/>
      <c r="C92" s="1167"/>
      <c r="D92" s="1161"/>
      <c r="E92" s="1171"/>
      <c r="F92" s="1865"/>
      <c r="G92" s="1866"/>
      <c r="H92" s="2076"/>
      <c r="I92" s="2077"/>
      <c r="J92" s="2078"/>
      <c r="K92" s="2079"/>
      <c r="L92" s="2068"/>
      <c r="M92" s="1929"/>
      <c r="N92" s="2069"/>
      <c r="O92" s="2070"/>
      <c r="P92" s="2073"/>
      <c r="Q92" s="2074"/>
      <c r="R92" s="2074"/>
      <c r="S92" s="2075"/>
      <c r="T92" s="2074"/>
      <c r="U92" s="2074"/>
      <c r="V92" s="2074"/>
      <c r="W92" s="2074"/>
      <c r="X92" s="2074"/>
      <c r="Y92" s="2074"/>
      <c r="Z92" s="1177"/>
      <c r="AA92" s="1178"/>
      <c r="AB92" s="1252" t="s">
        <v>405</v>
      </c>
      <c r="AC92" s="1182"/>
      <c r="AD92" s="1182"/>
      <c r="AE92" s="1184"/>
      <c r="AF92" s="2067"/>
      <c r="AG92" s="2068"/>
      <c r="AH92" s="2068"/>
      <c r="AI92" s="2067"/>
      <c r="AJ92" s="2068"/>
      <c r="AK92" s="2068"/>
      <c r="AL92" s="1174"/>
      <c r="AM92" s="1858"/>
      <c r="AN92" s="1858"/>
      <c r="AO92" s="1858"/>
      <c r="AP92" s="1858"/>
      <c r="AQ92" s="1858"/>
      <c r="AR92" s="1858"/>
      <c r="AS92" s="1858"/>
      <c r="AT92" s="1858"/>
      <c r="AU92" s="1858"/>
      <c r="AV92" s="1858"/>
      <c r="AW92" s="1858"/>
      <c r="AX92" s="1858"/>
      <c r="AY92" s="1858"/>
      <c r="AZ92" s="1858"/>
      <c r="BA92" s="1858"/>
      <c r="BB92" s="1858"/>
      <c r="BC92" s="1858"/>
      <c r="BD92" s="1858"/>
      <c r="BE92" s="1858"/>
      <c r="BF92" s="1858"/>
    </row>
    <row s="1666" customFormat="1" customHeight="1" ht="11.25">
      <c r="A93" s="1167"/>
      <c r="B93" s="1167"/>
      <c r="C93" s="1167"/>
      <c r="D93" s="1161"/>
      <c r="E93" s="1171"/>
      <c r="F93" s="1865"/>
      <c r="G93" s="1866"/>
      <c r="H93" s="2076"/>
      <c r="I93" s="2077"/>
      <c r="J93" s="2078"/>
      <c r="K93" s="2079"/>
      <c r="L93" s="2068"/>
      <c r="M93" s="1929"/>
      <c r="N93" s="1178"/>
      <c r="O93" s="1178"/>
      <c r="P93" s="1169" t="s">
        <v>406</v>
      </c>
      <c r="Q93" s="1178"/>
      <c r="R93" s="1178"/>
      <c r="S93" s="1178"/>
      <c r="T93" s="1178"/>
      <c r="U93" s="1178"/>
      <c r="V93" s="1178"/>
      <c r="W93" s="1178"/>
      <c r="X93" s="1178"/>
      <c r="Y93" s="1178"/>
      <c r="Z93" s="1178"/>
      <c r="AA93" s="1178"/>
      <c r="AB93" s="1178"/>
      <c r="AC93" s="1178"/>
      <c r="AD93" s="1178"/>
      <c r="AE93" s="1185"/>
      <c r="AF93" s="2067"/>
      <c r="AG93" s="2068"/>
      <c r="AH93" s="2068"/>
      <c r="AI93" s="2067"/>
      <c r="AJ93" s="2068"/>
      <c r="AK93" s="2068"/>
      <c r="AL93" s="1174"/>
      <c r="AM93" s="1858"/>
      <c r="AN93" s="1858"/>
      <c r="AO93" s="1858"/>
      <c r="AP93" s="1858"/>
      <c r="AQ93" s="1858"/>
      <c r="AR93" s="1858"/>
      <c r="AS93" s="1858"/>
      <c r="AT93" s="1858"/>
      <c r="AU93" s="1858"/>
      <c r="AV93" s="1858"/>
      <c r="AW93" s="1858"/>
      <c r="AX93" s="1858"/>
      <c r="AY93" s="1858"/>
      <c r="AZ93" s="1858"/>
      <c r="BA93" s="1858"/>
      <c r="BB93" s="1858"/>
      <c r="BC93" s="1858"/>
      <c r="BD93" s="1858"/>
      <c r="BE93" s="1858"/>
      <c r="BF93" s="1858"/>
    </row>
    <row r="95" s="1850" customFormat="1" customHeight="1" ht="11.25">
      <c r="A95" s="1850" t="s">
        <v>411</v>
      </c>
    </row>
    <row customHeight="1" ht="17.25"/>
    <row s="925" customFormat="1" customHeight="1" ht="21">
      <c r="A97" s="1168"/>
      <c r="B97" s="940"/>
      <c r="D97" s="924"/>
      <c r="E97" s="939" t="s">
        <v>18</v>
      </c>
      <c r="F97" s="1122">
        <f>INDEX(IP_MAIN_LIST_NAME_IP,MATCH(A97,IP_MAIN_LIST_IP_ID,0))&amp;" ("&amp;INDEX(IP_MAIN_START_DATE,MATCH(A97,IP_MAIN_LIST_IP_ID,0))&amp;"-"&amp;INDEX(IP_MAIN_END_DATE,MATCH(A97,IP_MAIN_LIST_IP_ID,0))&amp;")"</f>
      </c>
      <c r="G97" s="1206"/>
      <c r="H97" s="1207"/>
      <c r="I97" s="1207"/>
      <c r="J97" s="1207"/>
      <c r="K97" s="1207"/>
      <c r="L97" s="1207"/>
      <c r="M97" s="1207"/>
      <c r="N97" s="1207"/>
      <c r="O97" s="1206"/>
      <c r="P97" s="1206"/>
      <c r="Q97" s="1206"/>
      <c r="R97" s="1206"/>
      <c r="S97" s="1206"/>
      <c r="T97" s="1206"/>
      <c r="U97" s="1208"/>
      <c r="V97" s="1208"/>
      <c r="W97" s="1208"/>
      <c r="X97" s="1208"/>
      <c r="Y97" s="1208"/>
      <c r="Z97" s="1208"/>
      <c r="AA97" s="1208"/>
      <c r="AB97" s="1206"/>
      <c r="AC97" s="1207"/>
      <c r="AD97" s="1207"/>
      <c r="AE97" s="1207"/>
      <c r="AF97" s="1207"/>
      <c r="AG97" s="1207"/>
      <c r="AH97" s="1207"/>
      <c r="AI97" s="1207"/>
      <c r="AJ97" s="1207"/>
      <c r="AK97" s="1207"/>
      <c r="AL97" s="1207"/>
      <c r="AM97" s="1207"/>
      <c r="AN97" s="1207"/>
      <c r="AO97" s="1207"/>
      <c r="AP97" s="1207"/>
      <c r="AQ97" s="1207"/>
      <c r="AR97" s="1207"/>
      <c r="AS97" s="1207"/>
      <c r="AT97" s="1207"/>
      <c r="AU97" s="1207"/>
      <c r="AV97" s="1207"/>
      <c r="AW97" s="1207"/>
      <c r="AX97" s="1207"/>
      <c r="AY97" s="1207"/>
      <c r="AZ97" s="1207"/>
      <c r="BA97" s="1207"/>
      <c r="BB97" s="1207"/>
      <c r="BC97" s="1207"/>
      <c r="BD97" s="1207"/>
      <c r="BE97" s="1207"/>
      <c r="BF97" s="1207"/>
      <c r="BG97" s="1207"/>
      <c r="BH97" s="1207"/>
      <c r="BI97" s="1207"/>
      <c r="BJ97" s="1207"/>
      <c r="BK97" s="1207"/>
      <c r="BL97" s="1207"/>
      <c r="BM97" s="1207"/>
      <c r="BN97" s="1207"/>
      <c r="BO97" s="1207"/>
      <c r="BP97" s="1207"/>
      <c r="BQ97" s="1207"/>
      <c r="BR97" s="1207"/>
      <c r="BS97" s="1207"/>
      <c r="BT97" s="1207"/>
      <c r="BU97" s="1207"/>
      <c r="BV97" s="1207"/>
      <c r="BW97" s="1207"/>
      <c r="BX97" s="1207"/>
      <c r="BY97" s="1207"/>
      <c r="BZ97" s="1207"/>
      <c r="CA97" s="1207"/>
      <c r="CB97" s="1207"/>
      <c r="CC97" s="1207"/>
      <c r="CD97" s="1207"/>
      <c r="CE97" s="1207"/>
      <c r="CF97" s="1207"/>
      <c r="CG97" s="1207"/>
      <c r="CH97" s="1207"/>
      <c r="CI97" s="1207"/>
      <c r="CJ97" s="1207"/>
      <c r="CK97" s="1207"/>
      <c r="CL97" s="1209"/>
      <c r="CM97" s="1209"/>
      <c r="CN97" s="1209"/>
      <c r="CO97" s="1209"/>
      <c r="CP97" s="1209"/>
      <c r="CQ97" s="1209"/>
      <c r="CR97" s="1209"/>
      <c r="CS97" s="1209"/>
      <c r="CT97" s="1209"/>
      <c r="CU97" s="1209"/>
      <c r="CV97" s="1209"/>
      <c r="CW97" s="1209"/>
      <c r="CX97" s="1209"/>
      <c r="CY97" s="1209"/>
      <c r="CZ97" s="1209"/>
      <c r="DA97" s="1209"/>
      <c r="DB97" s="1209"/>
      <c r="DC97" s="1209"/>
      <c r="DD97" s="1209"/>
      <c r="DE97" s="1209"/>
      <c r="DF97" s="1209"/>
      <c r="DG97" s="1209"/>
      <c r="DH97" s="1209"/>
      <c r="DI97" s="1209"/>
      <c r="DJ97" s="1209"/>
      <c r="DK97" s="1209"/>
      <c r="DL97" s="1209"/>
      <c r="DM97" s="1209"/>
      <c r="DN97" s="1209"/>
      <c r="DO97" s="1209"/>
      <c r="DP97" s="1209"/>
      <c r="DQ97" s="1209"/>
      <c r="DR97" s="1209"/>
      <c r="DS97" s="1209"/>
      <c r="DT97" s="1209"/>
      <c r="DU97" s="1209"/>
      <c r="DV97" s="1209"/>
      <c r="DW97" s="1209"/>
      <c r="DX97" s="1209"/>
      <c r="DY97" s="1209"/>
      <c r="DZ97" s="1209"/>
      <c r="EA97" s="1209"/>
      <c r="EB97" s="1209"/>
      <c r="EC97" s="1209"/>
      <c r="ED97" s="1209"/>
      <c r="EE97" s="1209"/>
      <c r="EF97" s="1209"/>
      <c r="EG97" s="1209"/>
      <c r="EH97" s="1209"/>
      <c r="EI97" s="1209"/>
      <c r="EJ97" s="1209"/>
      <c r="EK97" s="1209"/>
      <c r="EL97" s="1209"/>
      <c r="EM97" s="1209"/>
      <c r="EN97" s="1209"/>
      <c r="EO97" s="1209"/>
      <c r="EP97" s="1209"/>
      <c r="EQ97" s="1209"/>
      <c r="ER97" s="1209"/>
      <c r="ES97" s="1209"/>
      <c r="ET97" s="1209"/>
      <c r="EU97" s="1209"/>
      <c r="EV97" s="1209"/>
      <c r="EW97" s="1209"/>
      <c r="EX97" s="1209"/>
      <c r="EY97" s="1209"/>
      <c r="EZ97" s="1209"/>
      <c r="FA97" s="1209"/>
      <c r="FB97" s="1209"/>
      <c r="FC97" s="1209"/>
      <c r="FD97" s="1209"/>
      <c r="FE97" s="1209"/>
      <c r="FF97" s="1209"/>
      <c r="FG97" s="1209"/>
      <c r="FH97" s="1209"/>
      <c r="FI97" s="1209"/>
      <c r="FJ97" s="1209"/>
      <c r="FK97" s="1209"/>
      <c r="FL97" s="1209"/>
      <c r="FM97" s="1209"/>
      <c r="FN97" s="1209"/>
      <c r="FO97" s="1209"/>
      <c r="FP97" s="1209"/>
      <c r="FQ97" s="1209"/>
      <c r="FR97" s="1209"/>
      <c r="FS97" s="1209"/>
      <c r="FT97" s="1209"/>
      <c r="FU97" s="1209"/>
      <c r="FV97" s="1210"/>
      <c r="FW97" s="1204"/>
      <c r="FX97" s="1205"/>
    </row>
    <row s="925" customFormat="1" customHeight="1" ht="24.75">
      <c r="B98" s="923"/>
      <c r="C98" s="924"/>
      <c r="D98" s="924"/>
      <c r="E98" s="0"/>
      <c r="F98" s="1211">
        <v>1</v>
      </c>
      <c r="G98" s="1212"/>
      <c r="H98" s="1213"/>
      <c r="I98" s="1221"/>
      <c r="J98" s="1214"/>
      <c r="K98" s="1214"/>
      <c r="L98" s="1214"/>
      <c r="M98" s="1214"/>
      <c r="N98" s="1214"/>
      <c r="O98" s="1215"/>
      <c r="P98" s="1215"/>
      <c r="Q98" s="1215"/>
      <c r="R98" s="1215"/>
      <c r="S98" s="1215"/>
      <c r="T98" s="1215"/>
      <c r="U98" s="1215"/>
      <c r="V98" s="1215"/>
      <c r="W98" s="1215"/>
      <c r="X98" s="1215"/>
      <c r="Y98" s="1215"/>
      <c r="Z98" s="1215"/>
      <c r="AA98" s="1215"/>
      <c r="AB98" s="1215"/>
      <c r="AC98" s="1214"/>
      <c r="AD98" s="1214"/>
      <c r="AE98" s="1214"/>
      <c r="AF98" s="1214"/>
      <c r="AG98" s="1214"/>
      <c r="AH98" s="1214"/>
      <c r="AI98" s="1214"/>
      <c r="AJ98" s="1214"/>
      <c r="AK98" s="1214"/>
      <c r="AL98" s="1214"/>
      <c r="AM98" s="1214"/>
      <c r="AN98" s="1214"/>
      <c r="AO98" s="1214"/>
      <c r="AP98" s="1214"/>
      <c r="AQ98" s="1214"/>
      <c r="AR98" s="1214"/>
      <c r="AS98" s="1214"/>
      <c r="AT98" s="1214"/>
      <c r="AU98" s="1214"/>
      <c r="AV98" s="1214"/>
      <c r="AW98" s="1214"/>
      <c r="AX98" s="1214"/>
      <c r="AY98" s="1214"/>
      <c r="AZ98" s="1214"/>
      <c r="BA98" s="1214"/>
      <c r="BB98" s="1214"/>
      <c r="BC98" s="1214"/>
      <c r="BD98" s="1214"/>
      <c r="BE98" s="1214"/>
      <c r="BF98" s="1214"/>
      <c r="BG98" s="1214"/>
      <c r="BH98" s="1214"/>
      <c r="BI98" s="1214"/>
      <c r="BJ98" s="1214"/>
      <c r="BK98" s="1214"/>
      <c r="BL98" s="1214"/>
      <c r="BM98" s="1214"/>
      <c r="BN98" s="1214"/>
      <c r="BO98" s="1214"/>
      <c r="BP98" s="1214"/>
      <c r="BQ98" s="1214"/>
      <c r="BR98" s="1214"/>
      <c r="BS98" s="1214"/>
      <c r="BT98" s="1216"/>
      <c r="BU98" s="1216"/>
      <c r="BV98" s="1216"/>
      <c r="BW98" s="1216"/>
      <c r="BX98" s="1216"/>
      <c r="BY98" s="1216"/>
      <c r="BZ98" s="1216"/>
      <c r="CA98" s="1216"/>
      <c r="CB98" s="1216"/>
      <c r="CC98" s="1216"/>
      <c r="CD98" s="1216"/>
      <c r="CE98" s="1216"/>
      <c r="CF98" s="1216"/>
      <c r="CG98" s="1216"/>
      <c r="CH98" s="1216"/>
      <c r="CI98" s="1216"/>
      <c r="CJ98" s="1216"/>
      <c r="CK98" s="1216"/>
      <c r="CL98" s="1214"/>
      <c r="CM98" s="1214"/>
      <c r="CN98" s="1214"/>
      <c r="CO98" s="1214"/>
      <c r="CP98" s="1214"/>
      <c r="CQ98" s="1214"/>
      <c r="CR98" s="1214"/>
      <c r="CS98" s="1214"/>
      <c r="CT98" s="1214"/>
      <c r="CU98" s="1214"/>
      <c r="CV98" s="1214"/>
      <c r="CW98" s="1214"/>
      <c r="CX98" s="1214"/>
      <c r="CY98" s="1215"/>
      <c r="CZ98" s="1215"/>
      <c r="DA98" s="1215"/>
      <c r="DB98" s="1215"/>
      <c r="DC98" s="1215"/>
      <c r="DD98" s="1215"/>
      <c r="DE98" s="1215"/>
      <c r="DF98" s="1215"/>
      <c r="DG98" s="1215"/>
      <c r="DH98" s="1215"/>
      <c r="DI98" s="1215"/>
      <c r="DJ98" s="1215"/>
      <c r="DK98" s="1214"/>
      <c r="DL98" s="1214"/>
      <c r="DM98" s="1214"/>
      <c r="DN98" s="1214"/>
      <c r="DO98" s="1214"/>
      <c r="DP98" s="1214"/>
      <c r="DQ98" s="1214"/>
      <c r="DR98" s="1214"/>
      <c r="DS98" s="1214"/>
      <c r="DT98" s="1214"/>
      <c r="DU98" s="1214"/>
      <c r="DV98" s="1214"/>
      <c r="DW98" s="1214"/>
      <c r="DX98" s="1214"/>
      <c r="DY98" s="1214"/>
      <c r="DZ98" s="1214"/>
      <c r="EA98" s="1214"/>
      <c r="EB98" s="1214"/>
      <c r="EC98" s="1214"/>
      <c r="ED98" s="1214"/>
      <c r="EE98" s="1214"/>
      <c r="EF98" s="1214"/>
      <c r="EG98" s="1214"/>
      <c r="EH98" s="1214"/>
      <c r="EI98" s="1214"/>
      <c r="EJ98" s="1214"/>
      <c r="EK98" s="1214"/>
      <c r="EL98" s="1214"/>
      <c r="EM98" s="1214"/>
      <c r="EN98" s="1214"/>
      <c r="EO98" s="1214"/>
      <c r="EP98" s="1214"/>
      <c r="EQ98" s="1214"/>
      <c r="ER98" s="1214"/>
      <c r="ES98" s="1214"/>
      <c r="ET98" s="1214"/>
      <c r="EU98" s="1214"/>
      <c r="EV98" s="1214"/>
      <c r="EW98" s="1214"/>
      <c r="EX98" s="1214"/>
      <c r="EY98" s="1214"/>
      <c r="EZ98" s="1214"/>
      <c r="FA98" s="1214"/>
      <c r="FB98" s="1214"/>
      <c r="FC98" s="1214"/>
      <c r="FD98" s="1214"/>
      <c r="FE98" s="1214"/>
      <c r="FF98" s="1214"/>
      <c r="FG98" s="1214"/>
      <c r="FH98" s="1214"/>
      <c r="FI98" s="1214"/>
      <c r="FJ98" s="1214"/>
      <c r="FK98" s="1214"/>
      <c r="FL98" s="1214"/>
      <c r="FM98" s="1214"/>
      <c r="FN98" s="1214"/>
      <c r="FO98" s="1214"/>
      <c r="FP98" s="1214"/>
      <c r="FQ98" s="1214"/>
      <c r="FR98" s="1214"/>
      <c r="FS98" s="1214"/>
      <c r="FT98" s="1214"/>
      <c r="FU98" s="1214"/>
      <c r="FV98" s="1214"/>
      <c r="FW98" s="1214"/>
      <c r="FX98" s="1205"/>
    </row>
    <row s="925" customFormat="1" customHeight="1" ht="12">
      <c r="A99" s="924"/>
      <c r="B99" s="923"/>
      <c r="C99" s="924"/>
      <c r="D99" s="924"/>
      <c r="E99" s="924"/>
      <c r="F99" s="1217"/>
      <c r="G99" s="1835" t="s">
        <v>412</v>
      </c>
      <c r="H99" s="1218"/>
      <c r="I99" s="1218"/>
      <c r="J99" s="1218"/>
      <c r="K99" s="1218"/>
      <c r="L99" s="1218"/>
      <c r="M99" s="1218"/>
      <c r="N99" s="1218"/>
      <c r="O99" s="1218"/>
      <c r="P99" s="1218"/>
      <c r="Q99" s="1218"/>
      <c r="R99" s="1218"/>
      <c r="S99" s="1218"/>
      <c r="T99" s="1218"/>
      <c r="U99" s="1218"/>
      <c r="V99" s="1218"/>
      <c r="W99" s="1218"/>
      <c r="X99" s="1218"/>
      <c r="Y99" s="1218"/>
      <c r="Z99" s="1218"/>
      <c r="AA99" s="1218"/>
      <c r="AB99" s="1218"/>
      <c r="AC99" s="1218"/>
      <c r="AD99" s="1218"/>
      <c r="AE99" s="1218"/>
      <c r="AF99" s="1218"/>
      <c r="AG99" s="1218"/>
      <c r="AH99" s="1218"/>
      <c r="AI99" s="1218"/>
      <c r="AJ99" s="1218"/>
      <c r="AK99" s="1218"/>
      <c r="AL99" s="1218"/>
      <c r="AM99" s="1218"/>
      <c r="AN99" s="1218"/>
      <c r="AO99" s="1218"/>
      <c r="AP99" s="1218"/>
      <c r="AQ99" s="1218"/>
      <c r="AR99" s="1218"/>
      <c r="AS99" s="1218"/>
      <c r="AT99" s="1218"/>
      <c r="AU99" s="1218"/>
      <c r="AV99" s="1218"/>
      <c r="AW99" s="1218"/>
      <c r="AX99" s="1218"/>
      <c r="AY99" s="1218"/>
      <c r="AZ99" s="1218"/>
      <c r="BA99" s="1218"/>
      <c r="BB99" s="1218"/>
      <c r="BC99" s="1218"/>
      <c r="BD99" s="1218"/>
      <c r="BE99" s="1218"/>
      <c r="BF99" s="1218"/>
      <c r="BG99" s="1218"/>
      <c r="BH99" s="1218"/>
      <c r="BI99" s="1218"/>
      <c r="BJ99" s="1218"/>
      <c r="BK99" s="1218"/>
      <c r="BL99" s="1218"/>
      <c r="BM99" s="1218"/>
      <c r="BN99" s="1218"/>
      <c r="BO99" s="1218"/>
      <c r="BP99" s="1218"/>
      <c r="BQ99" s="1218"/>
      <c r="BR99" s="1218"/>
      <c r="BS99" s="1218"/>
      <c r="BT99" s="1218"/>
      <c r="BU99" s="1218"/>
      <c r="BV99" s="1218"/>
      <c r="BW99" s="1218"/>
      <c r="BX99" s="1218"/>
      <c r="BY99" s="1218"/>
      <c r="BZ99" s="1218"/>
      <c r="CA99" s="1218"/>
      <c r="CB99" s="1218"/>
      <c r="CC99" s="1218"/>
      <c r="CD99" s="1218"/>
      <c r="CE99" s="1218"/>
      <c r="CF99" s="1218"/>
      <c r="CG99" s="1218"/>
      <c r="CH99" s="1218"/>
      <c r="CI99" s="1218"/>
      <c r="CJ99" s="1218"/>
      <c r="CK99" s="1218"/>
      <c r="CL99" s="1218"/>
      <c r="CM99" s="1218"/>
      <c r="CN99" s="1218"/>
      <c r="CO99" s="1218"/>
      <c r="CP99" s="1218"/>
      <c r="CQ99" s="1218"/>
      <c r="CR99" s="1218"/>
      <c r="CS99" s="1218"/>
      <c r="CT99" s="1218"/>
      <c r="CU99" s="1218"/>
      <c r="CV99" s="1218"/>
      <c r="CW99" s="1218"/>
      <c r="CX99" s="1218"/>
      <c r="CY99" s="1218"/>
      <c r="CZ99" s="1218"/>
      <c r="DA99" s="1218"/>
      <c r="DB99" s="1218"/>
      <c r="DC99" s="1218"/>
      <c r="DD99" s="1218"/>
      <c r="DE99" s="1218"/>
      <c r="DF99" s="1218"/>
      <c r="DG99" s="1218"/>
      <c r="DH99" s="1218"/>
      <c r="DI99" s="1218"/>
      <c r="DJ99" s="1218"/>
      <c r="DK99" s="1218"/>
      <c r="DL99" s="1218"/>
      <c r="DM99" s="1218"/>
      <c r="DN99" s="1218"/>
      <c r="DO99" s="1218"/>
      <c r="DP99" s="1218"/>
      <c r="DQ99" s="1218"/>
      <c r="DR99" s="1218"/>
      <c r="DS99" s="1218"/>
      <c r="DT99" s="1218"/>
      <c r="DU99" s="1218"/>
      <c r="DV99" s="1218"/>
      <c r="DW99" s="1218"/>
      <c r="DX99" s="1218"/>
      <c r="DY99" s="1218"/>
      <c r="DZ99" s="1218"/>
      <c r="EA99" s="1218"/>
      <c r="EB99" s="1218"/>
      <c r="EC99" s="1218"/>
      <c r="ED99" s="1218"/>
      <c r="EE99" s="1218"/>
      <c r="EF99" s="1218"/>
      <c r="EG99" s="1218"/>
      <c r="EH99" s="1218"/>
      <c r="EI99" s="1218"/>
      <c r="EJ99" s="1218"/>
      <c r="EK99" s="1218"/>
      <c r="EL99" s="1218"/>
      <c r="EM99" s="1218"/>
      <c r="EN99" s="1218"/>
      <c r="EO99" s="1218"/>
      <c r="EP99" s="1218"/>
      <c r="EQ99" s="1218"/>
      <c r="ER99" s="1218"/>
      <c r="ES99" s="1218"/>
      <c r="ET99" s="1218"/>
      <c r="EU99" s="1218"/>
      <c r="EV99" s="1218"/>
      <c r="EW99" s="1218"/>
      <c r="EX99" s="1218"/>
      <c r="EY99" s="1218"/>
      <c r="EZ99" s="1218"/>
      <c r="FA99" s="1218"/>
      <c r="FB99" s="1218"/>
      <c r="FC99" s="1218"/>
      <c r="FD99" s="1218"/>
      <c r="FE99" s="1218"/>
      <c r="FF99" s="1218"/>
      <c r="FG99" s="1218"/>
      <c r="FH99" s="1218"/>
      <c r="FI99" s="1218"/>
      <c r="FJ99" s="1218"/>
      <c r="FK99" s="1218"/>
      <c r="FL99" s="1218"/>
      <c r="FM99" s="1218"/>
      <c r="FN99" s="1218"/>
      <c r="FO99" s="1218"/>
      <c r="FP99" s="1218"/>
      <c r="FQ99" s="1218"/>
      <c r="FR99" s="1218"/>
      <c r="FS99" s="1218"/>
      <c r="FT99" s="1218"/>
      <c r="FU99" s="1218"/>
      <c r="FV99" s="1218"/>
      <c r="FW99" s="1219"/>
      <c r="FX99" s="1220"/>
      <c r="FY99" s="941"/>
      <c r="FZ99" s="941"/>
      <c r="GA99" s="941"/>
      <c r="GB99" s="941"/>
    </row>
    <row r="101" s="1850" customFormat="1" customHeight="1" ht="11.25">
      <c r="A101" s="1850" t="s">
        <v>413</v>
      </c>
    </row>
    <row r="103" s="2412" customFormat="1" customHeight="1" ht="15" hidden="1">
      <c r="A103" s="621"/>
      <c r="B103" s="0"/>
      <c r="C103" s="0"/>
      <c r="D103" s="2139" t="s">
        <v>108</v>
      </c>
      <c r="E103" s="2124" t="s">
        <v>104</v>
      </c>
      <c r="F103" s="2125"/>
      <c r="G103" s="2126"/>
      <c r="H103" s="2127" t="str">
        <f>IF(A103="","",INDEX(DIFFERENTIATION_UNMERGE_VD,MATCH(A103,DIFFERENTIATION_ID_DIFF,0)))</f>
        <v/>
      </c>
      <c r="I103" s="2127"/>
      <c r="J103" s="2127"/>
      <c r="K103" s="2127"/>
      <c r="L103" s="2127"/>
      <c r="M103" s="2127"/>
      <c r="N103" s="2127"/>
      <c r="O103" s="2127"/>
      <c r="P103" s="2127"/>
      <c r="Q103" s="2127"/>
      <c r="R103" s="2127"/>
      <c r="S103" s="716"/>
      <c r="T103" s="713"/>
      <c r="U103" s="622"/>
      <c r="V103" s="622"/>
      <c r="W103" s="623"/>
      <c r="X103" s="623"/>
      <c r="Y103" s="623"/>
      <c r="Z103" s="623"/>
      <c r="AA103" s="624"/>
      <c r="AB103" s="625"/>
      <c r="AC103" s="2123"/>
      <c r="AD103" s="626"/>
      <c r="AE103" s="627" t="s">
        <v>18</v>
      </c>
      <c r="AF103" s="627"/>
      <c r="AG103" s="628" t="s">
        <v>414</v>
      </c>
      <c r="AH103" s="629">
        <v>3</v>
      </c>
      <c r="AI103" s="622"/>
      <c r="AJ103" s="622"/>
      <c r="AK103" s="622"/>
      <c r="AL103" s="622"/>
      <c r="AM103" s="622"/>
      <c r="AN103" s="622"/>
      <c r="AO103" s="622"/>
      <c r="AP103" s="622"/>
      <c r="AQ103" s="622"/>
      <c r="AR103" s="622"/>
      <c r="AS103" s="622"/>
      <c r="AT103" s="622"/>
      <c r="AU103" s="622"/>
      <c r="AV103" s="622"/>
      <c r="AW103" s="622"/>
      <c r="AX103" s="622"/>
      <c r="AY103" s="622"/>
      <c r="AZ103" s="622"/>
      <c r="BA103" s="622"/>
      <c r="BB103" s="622"/>
      <c r="BC103" s="622"/>
      <c r="BD103" s="622"/>
      <c r="BE103" s="622"/>
      <c r="BF103" s="622"/>
      <c r="BG103" s="622"/>
      <c r="BH103" s="622"/>
      <c r="BI103" s="622"/>
      <c r="BJ103" s="622"/>
      <c r="BK103" s="622"/>
      <c r="BL103" s="622"/>
      <c r="BM103" s="622"/>
      <c r="BN103" s="622"/>
      <c r="BO103" s="622"/>
      <c r="BP103" s="622"/>
      <c r="BQ103" s="622"/>
      <c r="BR103" s="622"/>
      <c r="BS103" s="622"/>
      <c r="BT103" s="622"/>
      <c r="BU103" s="622"/>
      <c r="BV103" s="623"/>
      <c r="BW103" s="623"/>
      <c r="BX103" s="623"/>
      <c r="BY103" s="623"/>
      <c r="BZ103" s="623"/>
      <c r="CA103" s="623"/>
      <c r="CB103" s="623"/>
      <c r="CC103" s="623"/>
      <c r="CD103" s="623"/>
      <c r="CE103" s="623"/>
    </row>
    <row s="2412" customFormat="1" customHeight="1" ht="15" hidden="1">
      <c r="A104" s="621"/>
      <c r="B104" s="0"/>
      <c r="C104" s="0"/>
      <c r="D104" s="2140"/>
      <c r="E104" s="2124" t="s">
        <v>415</v>
      </c>
      <c r="F104" s="2125"/>
      <c r="G104" s="2126"/>
      <c r="H104" s="2127" t="str">
        <f>IF(A103="","",INDEX(DIFFERENTIATION_UNMERGE_AREA,MATCH(A103,DIFFERENTIATION_ID_DIFF,0)))</f>
        <v/>
      </c>
      <c r="I104" s="2127"/>
      <c r="J104" s="2127"/>
      <c r="K104" s="2127"/>
      <c r="L104" s="2127"/>
      <c r="M104" s="2127"/>
      <c r="N104" s="2127"/>
      <c r="O104" s="2127"/>
      <c r="P104" s="2127"/>
      <c r="Q104" s="2127"/>
      <c r="R104" s="2127"/>
      <c r="S104" s="716"/>
      <c r="T104" s="713"/>
      <c r="U104" s="622"/>
      <c r="V104" s="622"/>
      <c r="W104" s="623"/>
      <c r="X104" s="623"/>
      <c r="Y104" s="623"/>
      <c r="Z104" s="623"/>
      <c r="AA104" s="624"/>
      <c r="AB104" s="625"/>
      <c r="AC104" s="2123"/>
      <c r="AD104" s="626"/>
      <c r="AE104" s="627"/>
      <c r="AF104" s="627"/>
      <c r="AG104" s="628"/>
      <c r="AH104" s="629"/>
      <c r="AI104" s="622"/>
      <c r="AJ104" s="622"/>
      <c r="AK104" s="622"/>
      <c r="AL104" s="622"/>
      <c r="AM104" s="622"/>
      <c r="AN104" s="622"/>
      <c r="AO104" s="622"/>
      <c r="AP104" s="622"/>
      <c r="AQ104" s="622"/>
      <c r="AR104" s="622"/>
      <c r="AS104" s="622"/>
      <c r="AT104" s="622"/>
      <c r="AU104" s="622"/>
      <c r="AV104" s="622"/>
      <c r="AW104" s="622"/>
      <c r="AX104" s="622"/>
      <c r="AY104" s="622"/>
      <c r="AZ104" s="622"/>
      <c r="BA104" s="622"/>
      <c r="BB104" s="622"/>
      <c r="BC104" s="622"/>
      <c r="BD104" s="622"/>
      <c r="BE104" s="622"/>
      <c r="BF104" s="622"/>
      <c r="BG104" s="622"/>
      <c r="BH104" s="622"/>
      <c r="BI104" s="622"/>
      <c r="BJ104" s="622"/>
      <c r="BK104" s="622"/>
      <c r="BL104" s="622"/>
      <c r="BM104" s="622"/>
      <c r="BN104" s="622"/>
      <c r="BO104" s="622"/>
      <c r="BP104" s="622"/>
      <c r="BQ104" s="622"/>
      <c r="BR104" s="622"/>
      <c r="BS104" s="622"/>
      <c r="BT104" s="622"/>
      <c r="BU104" s="622"/>
      <c r="BV104" s="623"/>
      <c r="BW104" s="623"/>
      <c r="BX104" s="623"/>
      <c r="BY104" s="623"/>
      <c r="BZ104" s="623"/>
      <c r="CA104" s="623"/>
      <c r="CB104" s="623"/>
      <c r="CC104" s="623"/>
      <c r="CD104" s="623"/>
      <c r="CE104" s="623"/>
    </row>
    <row s="2412" customFormat="1" customHeight="1" ht="15" hidden="1">
      <c r="A105" s="621"/>
      <c r="B105" s="0"/>
      <c r="C105" s="0"/>
      <c r="D105" s="2140"/>
      <c r="E105" s="2124" t="s">
        <v>416</v>
      </c>
      <c r="F105" s="2125"/>
      <c r="G105" s="2126"/>
      <c r="H105" s="2127" t="str">
        <f>IF(A103="","",INDEX(DIFFERENTIATION_UNMERGE_SYSTEM,MATCH(A103,DIFFERENTIATION_ID_DIFF,0)))</f>
        <v/>
      </c>
      <c r="I105" s="2127"/>
      <c r="J105" s="2127"/>
      <c r="K105" s="2127"/>
      <c r="L105" s="2127"/>
      <c r="M105" s="2127"/>
      <c r="N105" s="2127"/>
      <c r="O105" s="2127"/>
      <c r="P105" s="2127"/>
      <c r="Q105" s="2127"/>
      <c r="R105" s="2127"/>
      <c r="S105" s="716"/>
      <c r="T105" s="713"/>
      <c r="U105" s="622"/>
      <c r="V105" s="622"/>
      <c r="W105" s="623"/>
      <c r="X105" s="623"/>
      <c r="Y105" s="623"/>
      <c r="Z105" s="623"/>
      <c r="AA105" s="624"/>
      <c r="AB105" s="625"/>
      <c r="AC105" s="2123"/>
      <c r="AD105" s="626"/>
      <c r="AE105" s="627"/>
      <c r="AF105" s="627"/>
      <c r="AG105" s="628"/>
      <c r="AH105" s="629"/>
      <c r="AI105" s="622"/>
      <c r="AJ105" s="622"/>
      <c r="AK105" s="622"/>
      <c r="AL105" s="622"/>
      <c r="AM105" s="622"/>
      <c r="AN105" s="622"/>
      <c r="AO105" s="622"/>
      <c r="AP105" s="622"/>
      <c r="AQ105" s="622"/>
      <c r="AR105" s="622"/>
      <c r="AS105" s="622"/>
      <c r="AT105" s="622"/>
      <c r="AU105" s="622"/>
      <c r="AV105" s="622"/>
      <c r="AW105" s="622"/>
      <c r="AX105" s="622"/>
      <c r="AY105" s="622"/>
      <c r="AZ105" s="622"/>
      <c r="BA105" s="622"/>
      <c r="BB105" s="622"/>
      <c r="BC105" s="622"/>
      <c r="BD105" s="622"/>
      <c r="BE105" s="622"/>
      <c r="BF105" s="622"/>
      <c r="BG105" s="622"/>
      <c r="BH105" s="622"/>
      <c r="BI105" s="622"/>
      <c r="BJ105" s="622"/>
      <c r="BK105" s="622"/>
      <c r="BL105" s="622"/>
      <c r="BM105" s="622"/>
      <c r="BN105" s="622"/>
      <c r="BO105" s="622"/>
      <c r="BP105" s="622"/>
      <c r="BQ105" s="622"/>
      <c r="BR105" s="622"/>
      <c r="BS105" s="622"/>
      <c r="BT105" s="622"/>
      <c r="BU105" s="622"/>
      <c r="BV105" s="623"/>
      <c r="BW105" s="623"/>
      <c r="BX105" s="623"/>
      <c r="BY105" s="623"/>
      <c r="BZ105" s="623"/>
      <c r="CA105" s="623"/>
      <c r="CB105" s="623"/>
      <c r="CC105" s="623"/>
      <c r="CD105" s="623"/>
      <c r="CE105" s="623"/>
    </row>
    <row s="2412" customFormat="1" customHeight="1" ht="24.75" hidden="1">
      <c r="A106" s="1841"/>
      <c r="B106" s="1161"/>
      <c r="C106" s="410"/>
      <c r="D106" s="2140"/>
      <c r="E106" s="2137" t="s">
        <v>417</v>
      </c>
      <c r="F106" s="2137"/>
      <c r="G106" s="2137"/>
      <c r="H106" s="2137"/>
      <c r="I106" s="2137"/>
      <c r="J106" s="2137"/>
      <c r="K106" s="2137"/>
      <c r="L106" s="2137"/>
      <c r="M106" s="2137"/>
      <c r="N106" s="2137"/>
      <c r="O106" s="2137"/>
      <c r="P106" s="2137"/>
      <c r="Q106" s="556">
        <f>SUMIF(T107:T108,"i",Q107:Q108)</f>
        <v>0</v>
      </c>
      <c r="R106" s="1018"/>
      <c r="S106" s="1833" t="s">
        <v>418</v>
      </c>
      <c r="T106" s="714" t="s">
        <v>419</v>
      </c>
      <c r="U106" s="2138">
        <v>1</v>
      </c>
      <c r="V106" s="2138" t="s">
        <v>420</v>
      </c>
      <c r="W106" s="1161"/>
      <c r="X106" s="1161"/>
      <c r="Y106" s="1161"/>
      <c r="Z106" s="1161"/>
      <c r="AA106" s="1667"/>
      <c r="AB106" s="1161"/>
      <c r="AC106" s="2123"/>
      <c r="AD106" s="626"/>
      <c r="AE106" s="1161"/>
      <c r="AF106" s="1161"/>
      <c r="AG106" s="1667"/>
      <c r="AH106" s="1667"/>
      <c r="AI106" s="1667"/>
      <c r="AJ106" s="1667"/>
      <c r="AK106" s="1667"/>
      <c r="AL106" s="1667"/>
      <c r="AM106" s="1667"/>
      <c r="AN106" s="1667"/>
      <c r="AO106" s="1667"/>
      <c r="AP106" s="1667"/>
      <c r="AQ106" s="1667"/>
      <c r="AR106" s="1667"/>
      <c r="AS106" s="1667"/>
      <c r="AT106" s="1667"/>
      <c r="AU106" s="1667"/>
      <c r="AV106" s="1667"/>
      <c r="AW106" s="1667"/>
      <c r="AX106" s="1667"/>
      <c r="AY106" s="1667"/>
      <c r="AZ106" s="1667"/>
      <c r="BA106" s="1667"/>
      <c r="BB106" s="1667"/>
      <c r="BC106" s="1667"/>
      <c r="BD106" s="1667"/>
      <c r="BE106" s="1667"/>
      <c r="BF106" s="1667"/>
      <c r="BG106" s="1667"/>
      <c r="BH106" s="1667"/>
      <c r="BI106" s="1667"/>
      <c r="BJ106" s="1667"/>
      <c r="BK106" s="1667"/>
      <c r="BL106" s="1667"/>
      <c r="BM106" s="1667"/>
      <c r="BN106" s="1667"/>
      <c r="BO106" s="1667"/>
      <c r="BP106" s="1667"/>
      <c r="BQ106" s="1667"/>
      <c r="BR106" s="1667"/>
      <c r="BS106" s="1667"/>
      <c r="BT106" s="1667"/>
      <c r="BU106" s="1667"/>
      <c r="BV106" s="1161"/>
      <c r="BW106" s="1161"/>
      <c r="BX106" s="1161"/>
      <c r="BY106" s="1161"/>
      <c r="BZ106" s="1161"/>
      <c r="CA106" s="1161"/>
      <c r="CB106" s="1161"/>
      <c r="CC106" s="1161"/>
      <c r="CD106" s="1161"/>
      <c r="CE106" s="1161"/>
    </row>
    <row s="2412" customFormat="1" customHeight="1" ht="11.25" hidden="1">
      <c r="A107" s="1828"/>
      <c r="B107" s="1667"/>
      <c r="C107" s="1667"/>
      <c r="D107" s="2140"/>
      <c r="E107" s="632"/>
      <c r="F107" s="632">
        <v>0</v>
      </c>
      <c r="G107" s="632"/>
      <c r="H107" s="632"/>
      <c r="I107" s="632"/>
      <c r="J107" s="632"/>
      <c r="K107" s="632"/>
      <c r="L107" s="632"/>
      <c r="M107" s="632"/>
      <c r="N107" s="632"/>
      <c r="O107" s="632"/>
      <c r="P107" s="632"/>
      <c r="Q107" s="632"/>
      <c r="R107" s="632"/>
      <c r="S107" s="633"/>
      <c r="T107" s="715"/>
      <c r="U107" s="2138"/>
      <c r="V107" s="2138"/>
      <c r="W107" s="1667"/>
      <c r="X107" s="1667"/>
      <c r="Y107" s="1667"/>
      <c r="Z107" s="1667"/>
      <c r="AA107" s="1667"/>
      <c r="AB107" s="1161"/>
      <c r="AC107" s="2123"/>
      <c r="AD107" s="626"/>
      <c r="AE107" s="1161"/>
      <c r="AF107" s="1161"/>
      <c r="AG107" s="1667"/>
      <c r="AH107" s="1667"/>
      <c r="AI107" s="1667"/>
      <c r="AJ107" s="1667"/>
      <c r="AK107" s="1667"/>
      <c r="AL107" s="1667"/>
      <c r="AM107" s="1667"/>
      <c r="AN107" s="1667"/>
      <c r="AO107" s="1667"/>
      <c r="AP107" s="1667"/>
      <c r="AQ107" s="1667"/>
      <c r="AR107" s="1667"/>
      <c r="AS107" s="1667"/>
      <c r="AT107" s="1667"/>
      <c r="AU107" s="1667"/>
      <c r="AV107" s="1667"/>
      <c r="AW107" s="1667"/>
      <c r="AX107" s="1667"/>
      <c r="AY107" s="1667"/>
      <c r="AZ107" s="1667"/>
      <c r="BA107" s="1667"/>
      <c r="BB107" s="1667"/>
      <c r="BC107" s="1667"/>
      <c r="BD107" s="1667"/>
      <c r="BE107" s="1667"/>
      <c r="BF107" s="1667"/>
      <c r="BG107" s="1667"/>
      <c r="BH107" s="1667"/>
      <c r="BI107" s="1667"/>
      <c r="BJ107" s="1667"/>
      <c r="BK107" s="1667"/>
      <c r="BL107" s="1667"/>
      <c r="BM107" s="1667"/>
      <c r="BN107" s="1667"/>
      <c r="BO107" s="1667"/>
      <c r="BP107" s="1667"/>
      <c r="BQ107" s="1667"/>
      <c r="BR107" s="1667"/>
      <c r="BS107" s="1667"/>
      <c r="BT107" s="1667"/>
      <c r="BU107" s="1667"/>
      <c r="BV107" s="1667"/>
      <c r="BW107" s="1667"/>
      <c r="BX107" s="1667"/>
      <c r="BY107" s="1667"/>
      <c r="BZ107" s="1667"/>
      <c r="CA107" s="1667"/>
      <c r="CB107" s="1667"/>
      <c r="CC107" s="1667"/>
      <c r="CD107" s="1667"/>
      <c r="CE107" s="1667"/>
    </row>
    <row s="2412" customFormat="1" customHeight="1" ht="11.25" hidden="1">
      <c r="A108" s="1841"/>
      <c r="B108" s="1161"/>
      <c r="C108" s="410"/>
      <c r="D108" s="2140"/>
      <c r="E108" s="646" t="s">
        <v>18</v>
      </c>
      <c r="F108" s="1169" t="s">
        <v>18</v>
      </c>
      <c r="G108" s="1169" t="s">
        <v>421</v>
      </c>
      <c r="H108" s="648" t="s">
        <v>18</v>
      </c>
      <c r="I108" s="648"/>
      <c r="J108" s="648"/>
      <c r="K108" s="648"/>
      <c r="L108" s="648"/>
      <c r="M108" s="648"/>
      <c r="N108" s="648"/>
      <c r="O108" s="648"/>
      <c r="P108" s="648"/>
      <c r="Q108" s="648"/>
      <c r="R108" s="649"/>
      <c r="S108" s="650"/>
      <c r="T108" s="715"/>
      <c r="U108" s="2138"/>
      <c r="V108" s="2138"/>
      <c r="W108" s="1161"/>
      <c r="X108" s="1161"/>
      <c r="Y108" s="1161"/>
      <c r="Z108" s="1161"/>
      <c r="AA108" s="1667"/>
      <c r="AB108" s="1161"/>
      <c r="AC108" s="2123"/>
      <c r="AD108" s="626"/>
      <c r="AE108" s="1161"/>
      <c r="AF108" s="1161"/>
      <c r="AG108" s="1667"/>
      <c r="AH108" s="1667"/>
      <c r="AI108" s="1667"/>
      <c r="AJ108" s="1667"/>
      <c r="AK108" s="1667"/>
      <c r="AL108" s="1667"/>
      <c r="AM108" s="1667"/>
      <c r="AN108" s="1667"/>
      <c r="AO108" s="1667"/>
      <c r="AP108" s="1667"/>
      <c r="AQ108" s="1667"/>
      <c r="AR108" s="1667"/>
      <c r="AS108" s="1667"/>
      <c r="AT108" s="1667"/>
      <c r="AU108" s="1667"/>
      <c r="AV108" s="1667"/>
      <c r="AW108" s="1667"/>
      <c r="AX108" s="1667"/>
      <c r="AY108" s="1667"/>
      <c r="AZ108" s="1667"/>
      <c r="BA108" s="1667"/>
      <c r="BB108" s="1667"/>
      <c r="BC108" s="1667"/>
      <c r="BD108" s="1667"/>
      <c r="BE108" s="1667"/>
      <c r="BF108" s="1667"/>
      <c r="BG108" s="1667"/>
      <c r="BH108" s="1667"/>
      <c r="BI108" s="1667"/>
      <c r="BJ108" s="1667"/>
      <c r="BK108" s="1667"/>
      <c r="BL108" s="1667"/>
      <c r="BM108" s="1667"/>
      <c r="BN108" s="1667"/>
      <c r="BO108" s="1667"/>
      <c r="BP108" s="1667"/>
      <c r="BQ108" s="1667"/>
      <c r="BR108" s="1667"/>
      <c r="BS108" s="1667"/>
      <c r="BT108" s="1667"/>
      <c r="BU108" s="1667"/>
      <c r="BV108" s="1161"/>
      <c r="BW108" s="1161"/>
      <c r="BX108" s="1161"/>
      <c r="BY108" s="1161"/>
      <c r="BZ108" s="1161"/>
      <c r="CA108" s="1161"/>
      <c r="CB108" s="1161"/>
      <c r="CC108" s="1161"/>
      <c r="CD108" s="1161"/>
      <c r="CE108" s="1161"/>
    </row>
    <row s="2412" customFormat="1" customHeight="1" ht="24.75" hidden="1">
      <c r="A109" s="1841"/>
      <c r="B109" s="1161"/>
      <c r="C109" s="410"/>
      <c r="D109" s="2140"/>
      <c r="E109" s="2137" t="s">
        <v>422</v>
      </c>
      <c r="F109" s="2137"/>
      <c r="G109" s="2137"/>
      <c r="H109" s="2137"/>
      <c r="I109" s="2137"/>
      <c r="J109" s="2137"/>
      <c r="K109" s="2137"/>
      <c r="L109" s="2137"/>
      <c r="M109" s="2137"/>
      <c r="N109" s="2137"/>
      <c r="O109" s="2137"/>
      <c r="P109" s="2137"/>
      <c r="Q109" s="556">
        <f>SUMIF(T110:T111,"i",Q110:Q111)</f>
        <v>0</v>
      </c>
      <c r="R109" s="1018"/>
      <c r="S109" s="1833" t="s">
        <v>423</v>
      </c>
      <c r="T109" s="714" t="s">
        <v>419</v>
      </c>
      <c r="U109" s="2138">
        <v>1</v>
      </c>
      <c r="V109" s="2138" t="s">
        <v>420</v>
      </c>
      <c r="W109" s="1161"/>
      <c r="X109" s="1161"/>
      <c r="Y109" s="1161"/>
      <c r="Z109" s="1161"/>
      <c r="AA109" s="1667"/>
      <c r="AB109" s="1161"/>
      <c r="AC109" s="1831"/>
      <c r="AD109" s="626"/>
      <c r="AE109" s="1161"/>
      <c r="AF109" s="1161"/>
      <c r="AG109" s="1667"/>
      <c r="AH109" s="1667"/>
      <c r="AI109" s="1667"/>
      <c r="AJ109" s="1667"/>
      <c r="AK109" s="1667"/>
      <c r="AL109" s="1667"/>
      <c r="AM109" s="1667"/>
      <c r="AN109" s="1667"/>
      <c r="AO109" s="1667"/>
      <c r="AP109" s="1667"/>
      <c r="AQ109" s="1667"/>
      <c r="AR109" s="1667"/>
      <c r="AS109" s="1667"/>
      <c r="AT109" s="1667"/>
      <c r="AU109" s="1667"/>
      <c r="AV109" s="1667"/>
      <c r="AW109" s="1667"/>
      <c r="AX109" s="1667"/>
      <c r="AY109" s="1667"/>
      <c r="AZ109" s="1667"/>
      <c r="BA109" s="1667"/>
      <c r="BB109" s="1667"/>
      <c r="BC109" s="1667"/>
      <c r="BD109" s="1667"/>
      <c r="BE109" s="1667"/>
      <c r="BF109" s="1667"/>
      <c r="BG109" s="1667"/>
      <c r="BH109" s="1667"/>
      <c r="BI109" s="1667"/>
      <c r="BJ109" s="1667"/>
      <c r="BK109" s="1667"/>
      <c r="BL109" s="1667"/>
      <c r="BM109" s="1667"/>
      <c r="BN109" s="1667"/>
      <c r="BO109" s="1667"/>
      <c r="BP109" s="1667"/>
      <c r="BQ109" s="1667"/>
      <c r="BR109" s="1667"/>
      <c r="BS109" s="1667"/>
      <c r="BT109" s="1667"/>
      <c r="BU109" s="1667"/>
      <c r="BV109" s="1161"/>
      <c r="BW109" s="1161"/>
      <c r="BX109" s="1161"/>
      <c r="BY109" s="1161"/>
      <c r="BZ109" s="1161"/>
      <c r="CA109" s="1161"/>
      <c r="CB109" s="1161"/>
      <c r="CC109" s="1161"/>
      <c r="CD109" s="1161"/>
      <c r="CE109" s="1161"/>
    </row>
    <row s="2412" customFormat="1" customHeight="1" ht="11.25" hidden="1">
      <c r="A110" s="1828"/>
      <c r="B110" s="1667"/>
      <c r="C110" s="1667"/>
      <c r="D110" s="2140"/>
      <c r="E110" s="632"/>
      <c r="F110" s="632">
        <v>0</v>
      </c>
      <c r="G110" s="632"/>
      <c r="H110" s="632"/>
      <c r="I110" s="632"/>
      <c r="J110" s="632"/>
      <c r="K110" s="632"/>
      <c r="L110" s="632"/>
      <c r="M110" s="632"/>
      <c r="N110" s="632"/>
      <c r="O110" s="632"/>
      <c r="P110" s="632"/>
      <c r="Q110" s="632"/>
      <c r="R110" s="632"/>
      <c r="S110" s="633"/>
      <c r="T110" s="715"/>
      <c r="U110" s="2138"/>
      <c r="V110" s="2138"/>
      <c r="W110" s="1667"/>
      <c r="X110" s="1667"/>
      <c r="Y110" s="1667"/>
      <c r="Z110" s="1667"/>
      <c r="AA110" s="1667"/>
      <c r="AB110" s="1161"/>
      <c r="AC110" s="1831"/>
      <c r="AD110" s="626"/>
      <c r="AE110" s="1161"/>
      <c r="AF110" s="1161"/>
      <c r="AG110" s="1667"/>
      <c r="AH110" s="1667"/>
      <c r="AI110" s="1667"/>
      <c r="AJ110" s="1667"/>
      <c r="AK110" s="1667"/>
      <c r="AL110" s="1667"/>
      <c r="AM110" s="1667"/>
      <c r="AN110" s="1667"/>
      <c r="AO110" s="1667"/>
      <c r="AP110" s="1667"/>
      <c r="AQ110" s="1667"/>
      <c r="AR110" s="1667"/>
      <c r="AS110" s="1667"/>
      <c r="AT110" s="1667"/>
      <c r="AU110" s="1667"/>
      <c r="AV110" s="1667"/>
      <c r="AW110" s="1667"/>
      <c r="AX110" s="1667"/>
      <c r="AY110" s="1667"/>
      <c r="AZ110" s="1667"/>
      <c r="BA110" s="1667"/>
      <c r="BB110" s="1667"/>
      <c r="BC110" s="1667"/>
      <c r="BD110" s="1667"/>
      <c r="BE110" s="1667"/>
      <c r="BF110" s="1667"/>
      <c r="BG110" s="1667"/>
      <c r="BH110" s="1667"/>
      <c r="BI110" s="1667"/>
      <c r="BJ110" s="1667"/>
      <c r="BK110" s="1667"/>
      <c r="BL110" s="1667"/>
      <c r="BM110" s="1667"/>
      <c r="BN110" s="1667"/>
      <c r="BO110" s="1667"/>
      <c r="BP110" s="1667"/>
      <c r="BQ110" s="1667"/>
      <c r="BR110" s="1667"/>
      <c r="BS110" s="1667"/>
      <c r="BT110" s="1667"/>
      <c r="BU110" s="1667"/>
      <c r="BV110" s="1667"/>
      <c r="BW110" s="1667"/>
      <c r="BX110" s="1667"/>
      <c r="BY110" s="1667"/>
      <c r="BZ110" s="1667"/>
      <c r="CA110" s="1667"/>
      <c r="CB110" s="1667"/>
      <c r="CC110" s="1667"/>
      <c r="CD110" s="1667"/>
      <c r="CE110" s="1667"/>
    </row>
    <row s="2412" customFormat="1" customHeight="1" ht="11.25" hidden="1">
      <c r="A111" s="1841"/>
      <c r="B111" s="1161"/>
      <c r="C111" s="410"/>
      <c r="D111" s="2141"/>
      <c r="E111" s="646" t="s">
        <v>18</v>
      </c>
      <c r="F111" s="1169" t="s">
        <v>18</v>
      </c>
      <c r="G111" s="1169" t="s">
        <v>421</v>
      </c>
      <c r="H111" s="648" t="s">
        <v>18</v>
      </c>
      <c r="I111" s="648"/>
      <c r="J111" s="648"/>
      <c r="K111" s="648"/>
      <c r="L111" s="648"/>
      <c r="M111" s="648"/>
      <c r="N111" s="648"/>
      <c r="O111" s="648"/>
      <c r="P111" s="648"/>
      <c r="Q111" s="648"/>
      <c r="R111" s="649"/>
      <c r="S111" s="650"/>
      <c r="T111" s="715"/>
      <c r="U111" s="2138"/>
      <c r="V111" s="2138"/>
      <c r="W111" s="1161"/>
      <c r="X111" s="1161"/>
      <c r="Y111" s="1161"/>
      <c r="Z111" s="1161"/>
      <c r="AA111" s="1667"/>
      <c r="AB111" s="1161"/>
      <c r="AC111" s="1831"/>
      <c r="AD111" s="626"/>
      <c r="AE111" s="1161"/>
      <c r="AF111" s="1161"/>
      <c r="AG111" s="1667"/>
      <c r="AH111" s="1667"/>
      <c r="AI111" s="1667"/>
      <c r="AJ111" s="1667"/>
      <c r="AK111" s="1667"/>
      <c r="AL111" s="1667"/>
      <c r="AM111" s="1667"/>
      <c r="AN111" s="1667"/>
      <c r="AO111" s="1667"/>
      <c r="AP111" s="1667"/>
      <c r="AQ111" s="1667"/>
      <c r="AR111" s="1667"/>
      <c r="AS111" s="1667"/>
      <c r="AT111" s="1667"/>
      <c r="AU111" s="1667"/>
      <c r="AV111" s="1667"/>
      <c r="AW111" s="1667"/>
      <c r="AX111" s="1667"/>
      <c r="AY111" s="1667"/>
      <c r="AZ111" s="1667"/>
      <c r="BA111" s="1667"/>
      <c r="BB111" s="1667"/>
      <c r="BC111" s="1667"/>
      <c r="BD111" s="1667"/>
      <c r="BE111" s="1667"/>
      <c r="BF111" s="1667"/>
      <c r="BG111" s="1667"/>
      <c r="BH111" s="1667"/>
      <c r="BI111" s="1667"/>
      <c r="BJ111" s="1667"/>
      <c r="BK111" s="1667"/>
      <c r="BL111" s="1667"/>
      <c r="BM111" s="1667"/>
      <c r="BN111" s="1667"/>
      <c r="BO111" s="1667"/>
      <c r="BP111" s="1667"/>
      <c r="BQ111" s="1667"/>
      <c r="BR111" s="1667"/>
      <c r="BS111" s="1667"/>
      <c r="BT111" s="1667"/>
      <c r="BU111" s="1667"/>
      <c r="BV111" s="1161"/>
      <c r="BW111" s="1161"/>
      <c r="BX111" s="1161"/>
      <c r="BY111" s="1161"/>
      <c r="BZ111" s="1161"/>
      <c r="CA111" s="1161"/>
      <c r="CB111" s="1161"/>
      <c r="CC111" s="1161"/>
      <c r="CD111" s="1161"/>
      <c r="CE111" s="1161"/>
    </row>
    <row r="113" s="1850" customFormat="1" customHeight="1" ht="11.25">
      <c r="A113" s="1850" t="s">
        <v>424</v>
      </c>
    </row>
    <row r="115" s="2412" customFormat="1" customHeight="1" ht="15">
      <c r="A115" s="621"/>
      <c r="B115" s="0"/>
      <c r="C115" s="0"/>
      <c r="D115" s="2139" t="s">
        <v>108</v>
      </c>
      <c r="E115" s="2124" t="s">
        <v>104</v>
      </c>
      <c r="F115" s="2125"/>
      <c r="G115" s="2126"/>
      <c r="H115" s="2127" t="str">
        <f>IF(A115="","",INDEX(DIFFERENTIATION_UNMERGE_VD,MATCH(A115,DIFFERENTIATION_ID_DIFF,0)))</f>
        <v/>
      </c>
      <c r="I115" s="2127"/>
      <c r="J115" s="2127"/>
      <c r="K115" s="2127"/>
      <c r="L115" s="2127"/>
      <c r="M115" s="2127"/>
      <c r="N115" s="2127"/>
      <c r="O115" s="2127"/>
      <c r="P115" s="2127"/>
      <c r="Q115" s="2127"/>
      <c r="R115" s="2127"/>
      <c r="S115" s="716"/>
      <c r="T115" s="713"/>
      <c r="U115" s="622"/>
      <c r="V115" s="622"/>
      <c r="W115" s="623"/>
      <c r="X115" s="623"/>
      <c r="Y115" s="623"/>
      <c r="Z115" s="623"/>
      <c r="AA115" s="624"/>
      <c r="AB115" s="625"/>
      <c r="AC115" s="2123"/>
      <c r="AD115" s="626"/>
      <c r="AE115" s="627" t="s">
        <v>18</v>
      </c>
      <c r="AF115" s="627"/>
      <c r="AG115" s="628" t="s">
        <v>414</v>
      </c>
      <c r="AH115" s="629">
        <v>3</v>
      </c>
      <c r="AI115" s="622"/>
      <c r="AJ115" s="622"/>
      <c r="AK115" s="622"/>
      <c r="AL115" s="622"/>
      <c r="AM115" s="622"/>
      <c r="AN115" s="622"/>
      <c r="AO115" s="622"/>
      <c r="AP115" s="622"/>
      <c r="AQ115" s="622"/>
      <c r="AR115" s="622"/>
      <c r="AS115" s="622"/>
      <c r="AT115" s="622"/>
      <c r="AU115" s="622"/>
      <c r="AV115" s="622"/>
      <c r="AW115" s="622"/>
      <c r="AX115" s="622"/>
      <c r="AY115" s="622"/>
      <c r="AZ115" s="622"/>
      <c r="BA115" s="622"/>
      <c r="BB115" s="622"/>
      <c r="BC115" s="622"/>
      <c r="BD115" s="622"/>
      <c r="BE115" s="622"/>
      <c r="BF115" s="622"/>
      <c r="BG115" s="622"/>
      <c r="BH115" s="622"/>
      <c r="BI115" s="622"/>
      <c r="BJ115" s="622"/>
      <c r="BK115" s="622"/>
      <c r="BL115" s="622"/>
      <c r="BM115" s="622"/>
      <c r="BN115" s="622"/>
      <c r="BO115" s="622"/>
      <c r="BP115" s="622"/>
      <c r="BQ115" s="622"/>
      <c r="BR115" s="622"/>
      <c r="BS115" s="622"/>
      <c r="BT115" s="622"/>
      <c r="BU115" s="622"/>
      <c r="BV115" s="623"/>
      <c r="BW115" s="623"/>
      <c r="BX115" s="623"/>
      <c r="BY115" s="623"/>
      <c r="BZ115" s="623"/>
      <c r="CA115" s="623"/>
      <c r="CB115" s="623"/>
      <c r="CC115" s="623"/>
      <c r="CD115" s="623"/>
      <c r="CE115" s="623"/>
    </row>
    <row s="2412" customFormat="1" customHeight="1" ht="15">
      <c r="A116" s="621"/>
      <c r="B116" s="0"/>
      <c r="C116" s="0"/>
      <c r="D116" s="2140"/>
      <c r="E116" s="2124" t="s">
        <v>415</v>
      </c>
      <c r="F116" s="2125"/>
      <c r="G116" s="2126"/>
      <c r="H116" s="2127" t="str">
        <f>IF(A115="","",INDEX(DIFFERENTIATION_UNMERGE_AREA,MATCH(A115,DIFFERENTIATION_ID_DIFF,0)))</f>
        <v/>
      </c>
      <c r="I116" s="2127"/>
      <c r="J116" s="2127"/>
      <c r="K116" s="2127"/>
      <c r="L116" s="2127"/>
      <c r="M116" s="2127"/>
      <c r="N116" s="2127"/>
      <c r="O116" s="2127"/>
      <c r="P116" s="2127"/>
      <c r="Q116" s="2127"/>
      <c r="R116" s="2127"/>
      <c r="S116" s="716"/>
      <c r="T116" s="713"/>
      <c r="U116" s="622"/>
      <c r="V116" s="622"/>
      <c r="W116" s="623"/>
      <c r="X116" s="623"/>
      <c r="Y116" s="623"/>
      <c r="Z116" s="623"/>
      <c r="AA116" s="624"/>
      <c r="AB116" s="625"/>
      <c r="AC116" s="2123"/>
      <c r="AD116" s="626"/>
      <c r="AE116" s="627"/>
      <c r="AF116" s="627"/>
      <c r="AG116" s="628"/>
      <c r="AH116" s="629"/>
      <c r="AI116" s="622"/>
      <c r="AJ116" s="622"/>
      <c r="AK116" s="622"/>
      <c r="AL116" s="622"/>
      <c r="AM116" s="622"/>
      <c r="AN116" s="622"/>
      <c r="AO116" s="622"/>
      <c r="AP116" s="622"/>
      <c r="AQ116" s="622"/>
      <c r="AR116" s="622"/>
      <c r="AS116" s="622"/>
      <c r="AT116" s="622"/>
      <c r="AU116" s="622"/>
      <c r="AV116" s="622"/>
      <c r="AW116" s="622"/>
      <c r="AX116" s="622"/>
      <c r="AY116" s="622"/>
      <c r="AZ116" s="622"/>
      <c r="BA116" s="622"/>
      <c r="BB116" s="622"/>
      <c r="BC116" s="622"/>
      <c r="BD116" s="622"/>
      <c r="BE116" s="622"/>
      <c r="BF116" s="622"/>
      <c r="BG116" s="622"/>
      <c r="BH116" s="622"/>
      <c r="BI116" s="622"/>
      <c r="BJ116" s="622"/>
      <c r="BK116" s="622"/>
      <c r="BL116" s="622"/>
      <c r="BM116" s="622"/>
      <c r="BN116" s="622"/>
      <c r="BO116" s="622"/>
      <c r="BP116" s="622"/>
      <c r="BQ116" s="622"/>
      <c r="BR116" s="622"/>
      <c r="BS116" s="622"/>
      <c r="BT116" s="622"/>
      <c r="BU116" s="622"/>
      <c r="BV116" s="623"/>
      <c r="BW116" s="623"/>
      <c r="BX116" s="623"/>
      <c r="BY116" s="623"/>
      <c r="BZ116" s="623"/>
      <c r="CA116" s="623"/>
      <c r="CB116" s="623"/>
      <c r="CC116" s="623"/>
      <c r="CD116" s="623"/>
      <c r="CE116" s="623"/>
    </row>
    <row s="2412" customFormat="1" customHeight="1" ht="15">
      <c r="A117" s="621"/>
      <c r="B117" s="0"/>
      <c r="C117" s="0"/>
      <c r="D117" s="2140"/>
      <c r="E117" s="2124" t="s">
        <v>416</v>
      </c>
      <c r="F117" s="2125"/>
      <c r="G117" s="2126"/>
      <c r="H117" s="2127" t="str">
        <f>IF(A115="","",INDEX(DIFFERENTIATION_UNMERGE_SYSTEM,MATCH(A115,DIFFERENTIATION_ID_DIFF,0)))</f>
        <v/>
      </c>
      <c r="I117" s="2127"/>
      <c r="J117" s="2127"/>
      <c r="K117" s="2127"/>
      <c r="L117" s="2127"/>
      <c r="M117" s="2127"/>
      <c r="N117" s="2127"/>
      <c r="O117" s="2127"/>
      <c r="P117" s="2127"/>
      <c r="Q117" s="2127"/>
      <c r="R117" s="2127"/>
      <c r="S117" s="716"/>
      <c r="T117" s="713"/>
      <c r="U117" s="622"/>
      <c r="V117" s="622"/>
      <c r="W117" s="623"/>
      <c r="X117" s="623"/>
      <c r="Y117" s="623"/>
      <c r="Z117" s="623"/>
      <c r="AA117" s="624"/>
      <c r="AB117" s="625"/>
      <c r="AC117" s="2123"/>
      <c r="AD117" s="626"/>
      <c r="AE117" s="627"/>
      <c r="AF117" s="627"/>
      <c r="AG117" s="628"/>
      <c r="AH117" s="629"/>
      <c r="AI117" s="622"/>
      <c r="AJ117" s="622"/>
      <c r="AK117" s="622"/>
      <c r="AL117" s="622"/>
      <c r="AM117" s="622"/>
      <c r="AN117" s="622"/>
      <c r="AO117" s="622"/>
      <c r="AP117" s="622"/>
      <c r="AQ117" s="622"/>
      <c r="AR117" s="622"/>
      <c r="AS117" s="622"/>
      <c r="AT117" s="622"/>
      <c r="AU117" s="622"/>
      <c r="AV117" s="622"/>
      <c r="AW117" s="622"/>
      <c r="AX117" s="622"/>
      <c r="AY117" s="622"/>
      <c r="AZ117" s="622"/>
      <c r="BA117" s="622"/>
      <c r="BB117" s="622"/>
      <c r="BC117" s="622"/>
      <c r="BD117" s="622"/>
      <c r="BE117" s="622"/>
      <c r="BF117" s="622"/>
      <c r="BG117" s="622"/>
      <c r="BH117" s="622"/>
      <c r="BI117" s="622"/>
      <c r="BJ117" s="622"/>
      <c r="BK117" s="622"/>
      <c r="BL117" s="622"/>
      <c r="BM117" s="622"/>
      <c r="BN117" s="622"/>
      <c r="BO117" s="622"/>
      <c r="BP117" s="622"/>
      <c r="BQ117" s="622"/>
      <c r="BR117" s="622"/>
      <c r="BS117" s="622"/>
      <c r="BT117" s="622"/>
      <c r="BU117" s="622"/>
      <c r="BV117" s="623"/>
      <c r="BW117" s="623"/>
      <c r="BX117" s="623"/>
      <c r="BY117" s="623"/>
      <c r="BZ117" s="623"/>
      <c r="CA117" s="623"/>
      <c r="CB117" s="623"/>
      <c r="CC117" s="623"/>
      <c r="CD117" s="623"/>
      <c r="CE117" s="623"/>
    </row>
    <row s="2412" customFormat="1" customHeight="1" ht="24.75">
      <c r="A118" s="1841"/>
      <c r="B118" s="1161"/>
      <c r="C118" s="410"/>
      <c r="D118" s="2140"/>
      <c r="E118" s="2137" t="s">
        <v>417</v>
      </c>
      <c r="F118" s="2137"/>
      <c r="G118" s="2137"/>
      <c r="H118" s="2137"/>
      <c r="I118" s="2137"/>
      <c r="J118" s="2137"/>
      <c r="K118" s="2137"/>
      <c r="L118" s="2137"/>
      <c r="M118" s="2137"/>
      <c r="N118" s="2137"/>
      <c r="O118" s="2137"/>
      <c r="P118" s="2137"/>
      <c r="Q118" s="556">
        <f>SUMIF(T119:T120,"i",Q119:Q120)</f>
        <v>0</v>
      </c>
      <c r="R118" s="1018"/>
      <c r="S118" s="1833" t="s">
        <v>418</v>
      </c>
      <c r="T118" s="714" t="s">
        <v>419</v>
      </c>
      <c r="U118" s="2138">
        <v>1</v>
      </c>
      <c r="V118" s="2138" t="s">
        <v>420</v>
      </c>
      <c r="W118" s="1161"/>
      <c r="X118" s="1161"/>
      <c r="Y118" s="1161"/>
      <c r="Z118" s="1161"/>
      <c r="AA118" s="1667"/>
      <c r="AB118" s="1161"/>
      <c r="AC118" s="2123"/>
      <c r="AD118" s="626"/>
      <c r="AE118" s="1161"/>
      <c r="AF118" s="1161"/>
      <c r="AG118" s="1667"/>
      <c r="AH118" s="1667"/>
      <c r="AI118" s="1667"/>
      <c r="AJ118" s="1667"/>
      <c r="AK118" s="1667"/>
      <c r="AL118" s="1667"/>
      <c r="AM118" s="1667"/>
      <c r="AN118" s="1667"/>
      <c r="AO118" s="1667"/>
      <c r="AP118" s="1667"/>
      <c r="AQ118" s="1667"/>
      <c r="AR118" s="1667"/>
      <c r="AS118" s="1667"/>
      <c r="AT118" s="1667"/>
      <c r="AU118" s="1667"/>
      <c r="AV118" s="1667"/>
      <c r="AW118" s="1667"/>
      <c r="AX118" s="1667"/>
      <c r="AY118" s="1667"/>
      <c r="AZ118" s="1667"/>
      <c r="BA118" s="1667"/>
      <c r="BB118" s="1667"/>
      <c r="BC118" s="1667"/>
      <c r="BD118" s="1667"/>
      <c r="BE118" s="1667"/>
      <c r="BF118" s="1667"/>
      <c r="BG118" s="1667"/>
      <c r="BH118" s="1667"/>
      <c r="BI118" s="1667"/>
      <c r="BJ118" s="1667"/>
      <c r="BK118" s="1667"/>
      <c r="BL118" s="1667"/>
      <c r="BM118" s="1667"/>
      <c r="BN118" s="1667"/>
      <c r="BO118" s="1667"/>
      <c r="BP118" s="1667"/>
      <c r="BQ118" s="1667"/>
      <c r="BR118" s="1667"/>
      <c r="BS118" s="1667"/>
      <c r="BT118" s="1667"/>
      <c r="BU118" s="1667"/>
      <c r="BV118" s="1161"/>
      <c r="BW118" s="1161"/>
      <c r="BX118" s="1161"/>
      <c r="BY118" s="1161"/>
      <c r="BZ118" s="1161"/>
      <c r="CA118" s="1161"/>
      <c r="CB118" s="1161"/>
      <c r="CC118" s="1161"/>
      <c r="CD118" s="1161"/>
      <c r="CE118" s="1161"/>
    </row>
    <row s="2412" customFormat="1" customHeight="1" ht="11.25" hidden="1">
      <c r="A119" s="1828"/>
      <c r="B119" s="1667"/>
      <c r="C119" s="1667"/>
      <c r="D119" s="2140"/>
      <c r="E119" s="632"/>
      <c r="F119" s="632">
        <v>0</v>
      </c>
      <c r="G119" s="632"/>
      <c r="H119" s="632"/>
      <c r="I119" s="632"/>
      <c r="J119" s="632"/>
      <c r="K119" s="632"/>
      <c r="L119" s="632"/>
      <c r="M119" s="632"/>
      <c r="N119" s="632"/>
      <c r="O119" s="632"/>
      <c r="P119" s="632"/>
      <c r="Q119" s="632"/>
      <c r="R119" s="632"/>
      <c r="S119" s="633"/>
      <c r="T119" s="715"/>
      <c r="U119" s="2138"/>
      <c r="V119" s="2138"/>
      <c r="W119" s="1667"/>
      <c r="X119" s="1667"/>
      <c r="Y119" s="1667"/>
      <c r="Z119" s="1667"/>
      <c r="AA119" s="1667"/>
      <c r="AB119" s="1161"/>
      <c r="AC119" s="2123"/>
      <c r="AD119" s="626"/>
      <c r="AE119" s="1161"/>
      <c r="AF119" s="1161"/>
      <c r="AG119" s="1667"/>
      <c r="AH119" s="1667"/>
      <c r="AI119" s="1667"/>
      <c r="AJ119" s="1667"/>
      <c r="AK119" s="1667"/>
      <c r="AL119" s="1667"/>
      <c r="AM119" s="1667"/>
      <c r="AN119" s="1667"/>
      <c r="AO119" s="1667"/>
      <c r="AP119" s="1667"/>
      <c r="AQ119" s="1667"/>
      <c r="AR119" s="1667"/>
      <c r="AS119" s="1667"/>
      <c r="AT119" s="1667"/>
      <c r="AU119" s="1667"/>
      <c r="AV119" s="1667"/>
      <c r="AW119" s="1667"/>
      <c r="AX119" s="1667"/>
      <c r="AY119" s="1667"/>
      <c r="AZ119" s="1667"/>
      <c r="BA119" s="1667"/>
      <c r="BB119" s="1667"/>
      <c r="BC119" s="1667"/>
      <c r="BD119" s="1667"/>
      <c r="BE119" s="1667"/>
      <c r="BF119" s="1667"/>
      <c r="BG119" s="1667"/>
      <c r="BH119" s="1667"/>
      <c r="BI119" s="1667"/>
      <c r="BJ119" s="1667"/>
      <c r="BK119" s="1667"/>
      <c r="BL119" s="1667"/>
      <c r="BM119" s="1667"/>
      <c r="BN119" s="1667"/>
      <c r="BO119" s="1667"/>
      <c r="BP119" s="1667"/>
      <c r="BQ119" s="1667"/>
      <c r="BR119" s="1667"/>
      <c r="BS119" s="1667"/>
      <c r="BT119" s="1667"/>
      <c r="BU119" s="1667"/>
      <c r="BV119" s="1667"/>
      <c r="BW119" s="1667"/>
      <c r="BX119" s="1667"/>
      <c r="BY119" s="1667"/>
      <c r="BZ119" s="1667"/>
      <c r="CA119" s="1667"/>
      <c r="CB119" s="1667"/>
      <c r="CC119" s="1667"/>
      <c r="CD119" s="1667"/>
      <c r="CE119" s="1667"/>
    </row>
    <row s="2412" customFormat="1" customHeight="1" ht="11.25">
      <c r="A120" s="1841"/>
      <c r="B120" s="1161"/>
      <c r="C120" s="410"/>
      <c r="D120" s="2140"/>
      <c r="E120" s="646" t="s">
        <v>18</v>
      </c>
      <c r="F120" s="1169" t="s">
        <v>18</v>
      </c>
      <c r="G120" s="1169" t="s">
        <v>421</v>
      </c>
      <c r="H120" s="648" t="s">
        <v>18</v>
      </c>
      <c r="I120" s="648"/>
      <c r="J120" s="648"/>
      <c r="K120" s="648"/>
      <c r="L120" s="648"/>
      <c r="M120" s="648"/>
      <c r="N120" s="648"/>
      <c r="O120" s="648"/>
      <c r="P120" s="648"/>
      <c r="Q120" s="648"/>
      <c r="R120" s="649"/>
      <c r="S120" s="650"/>
      <c r="T120" s="715"/>
      <c r="U120" s="2138"/>
      <c r="V120" s="2138"/>
      <c r="W120" s="1161"/>
      <c r="X120" s="1161"/>
      <c r="Y120" s="1161"/>
      <c r="Z120" s="1161"/>
      <c r="AA120" s="1667"/>
      <c r="AB120" s="1161"/>
      <c r="AC120" s="2123"/>
      <c r="AD120" s="626"/>
      <c r="AE120" s="1161"/>
      <c r="AF120" s="1161"/>
      <c r="AG120" s="1667"/>
      <c r="AH120" s="1667"/>
      <c r="AI120" s="1667"/>
      <c r="AJ120" s="1667"/>
      <c r="AK120" s="1667"/>
      <c r="AL120" s="1667"/>
      <c r="AM120" s="1667"/>
      <c r="AN120" s="1667"/>
      <c r="AO120" s="1667"/>
      <c r="AP120" s="1667"/>
      <c r="AQ120" s="1667"/>
      <c r="AR120" s="1667"/>
      <c r="AS120" s="1667"/>
      <c r="AT120" s="1667"/>
      <c r="AU120" s="1667"/>
      <c r="AV120" s="1667"/>
      <c r="AW120" s="1667"/>
      <c r="AX120" s="1667"/>
      <c r="AY120" s="1667"/>
      <c r="AZ120" s="1667"/>
      <c r="BA120" s="1667"/>
      <c r="BB120" s="1667"/>
      <c r="BC120" s="1667"/>
      <c r="BD120" s="1667"/>
      <c r="BE120" s="1667"/>
      <c r="BF120" s="1667"/>
      <c r="BG120" s="1667"/>
      <c r="BH120" s="1667"/>
      <c r="BI120" s="1667"/>
      <c r="BJ120" s="1667"/>
      <c r="BK120" s="1667"/>
      <c r="BL120" s="1667"/>
      <c r="BM120" s="1667"/>
      <c r="BN120" s="1667"/>
      <c r="BO120" s="1667"/>
      <c r="BP120" s="1667"/>
      <c r="BQ120" s="1667"/>
      <c r="BR120" s="1667"/>
      <c r="BS120" s="1667"/>
      <c r="BT120" s="1667"/>
      <c r="BU120" s="1667"/>
      <c r="BV120" s="1161"/>
      <c r="BW120" s="1161"/>
      <c r="BX120" s="1161"/>
      <c r="BY120" s="1161"/>
      <c r="BZ120" s="1161"/>
      <c r="CA120" s="1161"/>
      <c r="CB120" s="1161"/>
      <c r="CC120" s="1161"/>
      <c r="CD120" s="1161"/>
      <c r="CE120" s="1161"/>
    </row>
    <row s="1339" customFormat="1" customHeight="1" ht="5.25" hidden="1">
      <c r="A121" s="1828"/>
      <c r="B121" s="1667"/>
      <c r="C121" s="1667"/>
      <c r="D121" s="2140"/>
      <c r="E121" s="1040"/>
      <c r="F121" s="1040"/>
      <c r="G121" s="1040"/>
      <c r="H121" s="1040"/>
      <c r="I121" s="1040"/>
      <c r="J121" s="1040"/>
      <c r="K121" s="1040"/>
      <c r="L121" s="1040"/>
      <c r="M121" s="1040"/>
      <c r="N121" s="1040"/>
      <c r="O121" s="1040"/>
      <c r="P121" s="1040"/>
      <c r="Q121" s="1041"/>
      <c r="R121" s="1042"/>
      <c r="S121" s="1043"/>
      <c r="T121" s="714" t="s">
        <v>419</v>
      </c>
      <c r="U121" s="2138">
        <v>1</v>
      </c>
      <c r="V121" s="2138" t="s">
        <v>420</v>
      </c>
      <c r="W121" s="1667"/>
      <c r="X121" s="1667"/>
      <c r="Y121" s="1667"/>
      <c r="Z121" s="1667"/>
      <c r="AA121" s="1667"/>
      <c r="AB121" s="1667"/>
      <c r="AC121" s="1038"/>
      <c r="AD121" s="1039"/>
      <c r="AE121" s="1667"/>
      <c r="AF121" s="1667"/>
      <c r="AG121" s="1667"/>
      <c r="AH121" s="1667"/>
      <c r="AI121" s="1667"/>
      <c r="AJ121" s="1667"/>
      <c r="AK121" s="1667"/>
      <c r="AL121" s="1667"/>
      <c r="AM121" s="1667"/>
      <c r="AN121" s="1667"/>
      <c r="AO121" s="1667"/>
      <c r="AP121" s="1667"/>
      <c r="AQ121" s="1667"/>
      <c r="AR121" s="1667"/>
      <c r="AS121" s="1667"/>
      <c r="AT121" s="1667"/>
      <c r="AU121" s="1667"/>
      <c r="AV121" s="1667"/>
      <c r="AW121" s="1667"/>
      <c r="AX121" s="1667"/>
      <c r="AY121" s="1667"/>
      <c r="AZ121" s="1667"/>
      <c r="BA121" s="1667"/>
      <c r="BB121" s="1667"/>
      <c r="BC121" s="1667"/>
      <c r="BD121" s="1667"/>
      <c r="BE121" s="1667"/>
      <c r="BF121" s="1667"/>
      <c r="BG121" s="1667"/>
      <c r="BH121" s="1667"/>
      <c r="BI121" s="1667"/>
      <c r="BJ121" s="1667"/>
      <c r="BK121" s="1667"/>
      <c r="BL121" s="1667"/>
      <c r="BM121" s="1667"/>
      <c r="BN121" s="1667"/>
      <c r="BO121" s="1667"/>
      <c r="BP121" s="1667"/>
      <c r="BQ121" s="1667"/>
      <c r="BR121" s="1667"/>
      <c r="BS121" s="1667"/>
      <c r="BT121" s="1667"/>
      <c r="BU121" s="1667"/>
      <c r="BV121" s="1667"/>
      <c r="BW121" s="1667"/>
      <c r="BX121" s="1667"/>
      <c r="BY121" s="1667"/>
      <c r="BZ121" s="1667"/>
      <c r="CA121" s="1667"/>
      <c r="CB121" s="1667"/>
      <c r="CC121" s="1667"/>
      <c r="CD121" s="1667"/>
      <c r="CE121" s="1667"/>
    </row>
    <row s="1339" customFormat="1" customHeight="1" ht="5.25" hidden="1">
      <c r="A122" s="1828"/>
      <c r="B122" s="1667"/>
      <c r="C122" s="1667"/>
      <c r="D122" s="2140"/>
      <c r="E122" s="632"/>
      <c r="F122" s="632"/>
      <c r="G122" s="632"/>
      <c r="H122" s="632"/>
      <c r="I122" s="632"/>
      <c r="J122" s="632"/>
      <c r="K122" s="632"/>
      <c r="L122" s="632"/>
      <c r="M122" s="632"/>
      <c r="N122" s="632"/>
      <c r="O122" s="632"/>
      <c r="P122" s="632"/>
      <c r="Q122" s="632"/>
      <c r="R122" s="632"/>
      <c r="S122" s="633"/>
      <c r="T122" s="715"/>
      <c r="U122" s="2138"/>
      <c r="V122" s="2138"/>
      <c r="W122" s="1667"/>
      <c r="X122" s="1667"/>
      <c r="Y122" s="1667"/>
      <c r="Z122" s="1667"/>
      <c r="AA122" s="1667"/>
      <c r="AB122" s="1667"/>
      <c r="AC122" s="1038"/>
      <c r="AD122" s="1039"/>
      <c r="AE122" s="1667"/>
      <c r="AF122" s="1667"/>
      <c r="AG122" s="1667"/>
      <c r="AH122" s="1667"/>
      <c r="AI122" s="1667"/>
      <c r="AJ122" s="1667"/>
      <c r="AK122" s="1667"/>
      <c r="AL122" s="1667"/>
      <c r="AM122" s="1667"/>
      <c r="AN122" s="1667"/>
      <c r="AO122" s="1667"/>
      <c r="AP122" s="1667"/>
      <c r="AQ122" s="1667"/>
      <c r="AR122" s="1667"/>
      <c r="AS122" s="1667"/>
      <c r="AT122" s="1667"/>
      <c r="AU122" s="1667"/>
      <c r="AV122" s="1667"/>
      <c r="AW122" s="1667"/>
      <c r="AX122" s="1667"/>
      <c r="AY122" s="1667"/>
      <c r="AZ122" s="1667"/>
      <c r="BA122" s="1667"/>
      <c r="BB122" s="1667"/>
      <c r="BC122" s="1667"/>
      <c r="BD122" s="1667"/>
      <c r="BE122" s="1667"/>
      <c r="BF122" s="1667"/>
      <c r="BG122" s="1667"/>
      <c r="BH122" s="1667"/>
      <c r="BI122" s="1667"/>
      <c r="BJ122" s="1667"/>
      <c r="BK122" s="1667"/>
      <c r="BL122" s="1667"/>
      <c r="BM122" s="1667"/>
      <c r="BN122" s="1667"/>
      <c r="BO122" s="1667"/>
      <c r="BP122" s="1667"/>
      <c r="BQ122" s="1667"/>
      <c r="BR122" s="1667"/>
      <c r="BS122" s="1667"/>
      <c r="BT122" s="1667"/>
      <c r="BU122" s="1667"/>
      <c r="BV122" s="1667"/>
      <c r="BW122" s="1667"/>
      <c r="BX122" s="1667"/>
      <c r="BY122" s="1667"/>
      <c r="BZ122" s="1667"/>
      <c r="CA122" s="1667"/>
      <c r="CB122" s="1667"/>
      <c r="CC122" s="1667"/>
      <c r="CD122" s="1667"/>
      <c r="CE122" s="1667"/>
    </row>
    <row s="1339" customFormat="1" customHeight="1" ht="5.25" hidden="1">
      <c r="A123" s="1828"/>
      <c r="B123" s="1667"/>
      <c r="C123" s="1667"/>
      <c r="D123" s="2141"/>
      <c r="E123" s="1044"/>
      <c r="F123" s="1045"/>
      <c r="G123" s="1045"/>
      <c r="H123" s="1046"/>
      <c r="I123" s="1046"/>
      <c r="J123" s="1046"/>
      <c r="K123" s="1046"/>
      <c r="L123" s="1046"/>
      <c r="M123" s="1046"/>
      <c r="N123" s="1046"/>
      <c r="O123" s="1046"/>
      <c r="P123" s="1046"/>
      <c r="Q123" s="1046"/>
      <c r="R123" s="947"/>
      <c r="S123" s="1047"/>
      <c r="T123" s="715"/>
      <c r="U123" s="2138"/>
      <c r="V123" s="2138"/>
      <c r="W123" s="1667"/>
      <c r="X123" s="1667"/>
      <c r="Y123" s="1667"/>
      <c r="Z123" s="1667"/>
      <c r="AA123" s="1667"/>
      <c r="AB123" s="1667"/>
      <c r="AC123" s="1038"/>
      <c r="AD123" s="1039"/>
      <c r="AE123" s="1667"/>
      <c r="AF123" s="1667"/>
      <c r="AG123" s="1667"/>
      <c r="AH123" s="1667"/>
      <c r="AI123" s="1667"/>
      <c r="AJ123" s="1667"/>
      <c r="AK123" s="1667"/>
      <c r="AL123" s="1667"/>
      <c r="AM123" s="1667"/>
      <c r="AN123" s="1667"/>
      <c r="AO123" s="1667"/>
      <c r="AP123" s="1667"/>
      <c r="AQ123" s="1667"/>
      <c r="AR123" s="1667"/>
      <c r="AS123" s="1667"/>
      <c r="AT123" s="1667"/>
      <c r="AU123" s="1667"/>
      <c r="AV123" s="1667"/>
      <c r="AW123" s="1667"/>
      <c r="AX123" s="1667"/>
      <c r="AY123" s="1667"/>
      <c r="AZ123" s="1667"/>
      <c r="BA123" s="1667"/>
      <c r="BB123" s="1667"/>
      <c r="BC123" s="1667"/>
      <c r="BD123" s="1667"/>
      <c r="BE123" s="1667"/>
      <c r="BF123" s="1667"/>
      <c r="BG123" s="1667"/>
      <c r="BH123" s="1667"/>
      <c r="BI123" s="1667"/>
      <c r="BJ123" s="1667"/>
      <c r="BK123" s="1667"/>
      <c r="BL123" s="1667"/>
      <c r="BM123" s="1667"/>
      <c r="BN123" s="1667"/>
      <c r="BO123" s="1667"/>
      <c r="BP123" s="1667"/>
      <c r="BQ123" s="1667"/>
      <c r="BR123" s="1667"/>
      <c r="BS123" s="1667"/>
      <c r="BT123" s="1667"/>
      <c r="BU123" s="1667"/>
      <c r="BV123" s="1667"/>
      <c r="BW123" s="1667"/>
      <c r="BX123" s="1667"/>
      <c r="BY123" s="1667"/>
      <c r="BZ123" s="1667"/>
      <c r="CA123" s="1667"/>
      <c r="CB123" s="1667"/>
      <c r="CC123" s="1667"/>
      <c r="CD123" s="1667"/>
      <c r="CE123" s="1667"/>
    </row>
    <row customHeight="1" ht="17.25">
      <c r="D124" s="1871"/>
    </row>
    <row s="1850" customFormat="1" customHeight="1" ht="11.25">
      <c r="A125" s="1850" t="s">
        <v>425</v>
      </c>
    </row>
    <row r="127" s="2412" customFormat="1" customHeight="1" ht="45">
      <c r="A127" s="1841"/>
      <c r="B127" s="1161"/>
      <c r="C127" s="410"/>
      <c r="D127" s="0"/>
      <c r="E127" s="2128"/>
      <c r="F127" s="1929" t="s">
        <v>108</v>
      </c>
      <c r="G127" s="2131" t="s">
        <v>18</v>
      </c>
      <c r="H127" s="270"/>
      <c r="I127" s="634" t="s">
        <v>108</v>
      </c>
      <c r="J127" s="1842" t="s">
        <v>426</v>
      </c>
      <c r="K127" s="635" t="s">
        <v>427</v>
      </c>
      <c r="L127" s="2045" t="s">
        <v>427</v>
      </c>
      <c r="M127" s="2133"/>
      <c r="N127" s="635" t="s">
        <v>427</v>
      </c>
      <c r="O127" s="635" t="s">
        <v>427</v>
      </c>
      <c r="P127" s="635" t="s">
        <v>427</v>
      </c>
      <c r="Q127" s="636">
        <f>SUM(Q128:Q130)</f>
        <v>0</v>
      </c>
      <c r="R127" s="636">
        <f>IF(R124=0,0,(Q124/R124)*100)</f>
        <v>0</v>
      </c>
      <c r="S127" s="1998"/>
      <c r="T127" s="714" t="s">
        <v>419</v>
      </c>
      <c r="U127" s="0"/>
      <c r="V127" s="0"/>
      <c r="AC127" s="0"/>
    </row>
    <row s="2412" customFormat="1" customHeight="1" ht="11.25">
      <c r="A128" s="1841"/>
      <c r="B128" s="1161"/>
      <c r="C128" s="410"/>
      <c r="D128" s="0"/>
      <c r="E128" s="2129"/>
      <c r="F128" s="1929"/>
      <c r="G128" s="2131"/>
      <c r="H128" s="1948"/>
      <c r="I128" s="2076" t="s">
        <v>428</v>
      </c>
      <c r="J128" s="2134"/>
      <c r="K128" s="2135"/>
      <c r="L128" s="637"/>
      <c r="M128" s="638" t="s">
        <v>108</v>
      </c>
      <c r="N128" s="1830"/>
      <c r="O128" s="639"/>
      <c r="P128" s="640"/>
      <c r="Q128" s="639"/>
      <c r="R128" s="641">
        <v>0</v>
      </c>
      <c r="S128" s="1998"/>
      <c r="T128" s="714"/>
      <c r="U128" s="0"/>
      <c r="V128" s="0"/>
      <c r="AC128" s="0"/>
    </row>
    <row s="2412" customFormat="1" customHeight="1" ht="11.25">
      <c r="A129" s="1841"/>
      <c r="B129" s="1161"/>
      <c r="C129" s="410"/>
      <c r="D129" s="0"/>
      <c r="E129" s="2129"/>
      <c r="F129" s="1929"/>
      <c r="G129" s="2131"/>
      <c r="H129" s="1948"/>
      <c r="I129" s="2076"/>
      <c r="J129" s="2134"/>
      <c r="K129" s="2136"/>
      <c r="L129" s="642"/>
      <c r="M129" s="643"/>
      <c r="N129" s="644" t="s">
        <v>429</v>
      </c>
      <c r="O129" s="644"/>
      <c r="P129" s="644"/>
      <c r="Q129" s="644"/>
      <c r="R129" s="645"/>
      <c r="S129" s="1998"/>
      <c r="T129" s="714"/>
      <c r="U129" s="0"/>
      <c r="V129" s="0"/>
      <c r="AC129" s="0"/>
    </row>
    <row s="2412" customFormat="1" customHeight="1" ht="11.25">
      <c r="A130" s="1841"/>
      <c r="B130" s="1161"/>
      <c r="C130" s="410"/>
      <c r="D130" s="0"/>
      <c r="E130" s="2130"/>
      <c r="F130" s="1929"/>
      <c r="G130" s="2132"/>
      <c r="H130" s="642" t="s">
        <v>18</v>
      </c>
      <c r="I130" s="643"/>
      <c r="J130" s="644" t="s">
        <v>430</v>
      </c>
      <c r="K130" s="644"/>
      <c r="L130" s="644"/>
      <c r="M130" s="644"/>
      <c r="N130" s="644"/>
      <c r="O130" s="644"/>
      <c r="P130" s="644"/>
      <c r="Q130" s="644"/>
      <c r="R130" s="645"/>
      <c r="S130" s="1998"/>
      <c r="T130" s="714"/>
      <c r="U130" s="0"/>
      <c r="V130" s="0"/>
      <c r="AC130" s="0"/>
    </row>
    <row r="135" s="2412" customFormat="1" customHeight="1" ht="11.25">
      <c r="A135" s="1841"/>
      <c r="B135" s="1161"/>
      <c r="C135" s="410"/>
      <c r="D135" s="0"/>
      <c r="E135" s="1866"/>
      <c r="F135" s="1866"/>
      <c r="G135" s="1866"/>
      <c r="H135" s="1948"/>
      <c r="I135" s="2076" t="s">
        <v>428</v>
      </c>
      <c r="J135" s="2134"/>
      <c r="K135" s="2135"/>
      <c r="L135" s="637"/>
      <c r="M135" s="638" t="s">
        <v>108</v>
      </c>
      <c r="N135" s="1830"/>
      <c r="O135" s="639"/>
      <c r="P135" s="640"/>
      <c r="Q135" s="639"/>
      <c r="R135" s="641">
        <v>0</v>
      </c>
      <c r="S135" s="0"/>
      <c r="T135" s="714"/>
      <c r="U135" s="0"/>
      <c r="V135" s="0"/>
      <c r="AC135" s="0"/>
    </row>
    <row s="2412" customFormat="1" customHeight="1" ht="11.25">
      <c r="A136" s="1841"/>
      <c r="B136" s="1161"/>
      <c r="C136" s="410"/>
      <c r="D136" s="0"/>
      <c r="E136" s="1866"/>
      <c r="F136" s="1866"/>
      <c r="G136" s="1866"/>
      <c r="H136" s="1948"/>
      <c r="I136" s="2076"/>
      <c r="J136" s="2134"/>
      <c r="K136" s="2136"/>
      <c r="L136" s="642"/>
      <c r="M136" s="643"/>
      <c r="N136" s="644" t="s">
        <v>429</v>
      </c>
      <c r="O136" s="644"/>
      <c r="P136" s="644"/>
      <c r="Q136" s="644"/>
      <c r="R136" s="645"/>
      <c r="S136" s="0"/>
      <c r="T136" s="714"/>
      <c r="U136" s="0"/>
      <c r="V136" s="0"/>
      <c r="AC136" s="0"/>
    </row>
    <row r="138" s="2412" customFormat="1" customHeight="1" ht="11.25">
      <c r="A138" s="1841"/>
      <c r="B138" s="1161"/>
      <c r="C138" s="410"/>
      <c r="D138" s="0"/>
      <c r="E138" s="1872"/>
      <c r="F138" s="0"/>
      <c r="G138" s="0"/>
      <c r="H138" s="1873"/>
      <c r="I138" s="1866"/>
      <c r="J138" s="1867"/>
      <c r="K138" s="1867"/>
      <c r="L138" s="637"/>
      <c r="M138" s="638" t="s">
        <v>108</v>
      </c>
      <c r="N138" s="1830"/>
      <c r="O138" s="639"/>
      <c r="P138" s="640"/>
      <c r="Q138" s="639"/>
      <c r="R138" s="641">
        <v>0</v>
      </c>
      <c r="S138" s="0"/>
      <c r="T138" s="714"/>
      <c r="U138" s="0"/>
      <c r="V138" s="0"/>
      <c r="AC138" s="0"/>
    </row>
    <row r="140" s="1850" customFormat="1" customHeight="1" ht="17.25">
      <c r="A140" s="1850" t="s">
        <v>431</v>
      </c>
    </row>
    <row customHeight="1" ht="17.25">
      <c r="G141" s="1874"/>
      <c r="H141" s="1874"/>
      <c r="I141" s="1874"/>
      <c r="M141" s="0"/>
    </row>
    <row s="1888" customFormat="1" customHeight="1" ht="17.25">
      <c r="A142" s="1875"/>
      <c r="C142" s="1877"/>
      <c r="D142" s="2065"/>
      <c r="E142" s="1964"/>
      <c r="F142" s="1966"/>
      <c r="G142" s="2093"/>
      <c r="H142" s="2065"/>
      <c r="I142" s="2065">
        <v>1</v>
      </c>
      <c r="J142" s="2061"/>
      <c r="K142" s="2004" t="s">
        <v>58</v>
      </c>
      <c r="L142" s="1929"/>
      <c r="M142" s="1929" t="s">
        <v>108</v>
      </c>
      <c r="N142" s="2063" t="str">
        <f>IF(Z142="","",INDEX(TERRITORY_MR_LIST,MATCH(Z142,TERRITORY_LIST_ID,0)))</f>
        <v/>
      </c>
      <c r="O142" s="2004" t="s">
        <v>58</v>
      </c>
      <c r="P142" s="1929"/>
      <c r="Q142" s="1929" t="s">
        <v>108</v>
      </c>
      <c r="R142" s="2059" t="s">
        <v>18</v>
      </c>
      <c r="S142" s="1928" t="s">
        <v>58</v>
      </c>
      <c r="T142" s="1846"/>
      <c r="U142" s="1846" t="s">
        <v>108</v>
      </c>
      <c r="V142" s="1878" t="s">
        <v>18</v>
      </c>
      <c r="W142" s="1836"/>
      <c r="Y142" s="1289"/>
      <c r="Z142" s="1289"/>
      <c r="AA142" s="1289"/>
      <c r="AB142" s="1289"/>
      <c r="AC142" s="1289"/>
      <c r="AD142" s="1289"/>
      <c r="AE142" s="1289"/>
      <c r="AF142" s="1289"/>
      <c r="AG142" s="1289"/>
      <c r="AH142" s="1289"/>
      <c r="AI142" s="1289"/>
      <c r="AJ142" s="1289"/>
      <c r="AK142" s="1289"/>
      <c r="AL142" s="1879"/>
      <c r="AM142" s="1879"/>
      <c r="AN142" s="1289"/>
      <c r="AO142" s="1289"/>
      <c r="AP142" s="1289"/>
      <c r="AQ142" s="1289"/>
    </row>
    <row s="1888" customFormat="1" customHeight="1" ht="17.25">
      <c r="A143" s="1875"/>
      <c r="C143" s="1880"/>
      <c r="D143" s="2065"/>
      <c r="E143" s="1964"/>
      <c r="F143" s="1967"/>
      <c r="G143" s="2093"/>
      <c r="H143" s="2065"/>
      <c r="I143" s="2065"/>
      <c r="J143" s="2061"/>
      <c r="K143" s="2005"/>
      <c r="L143" s="1929"/>
      <c r="M143" s="1929"/>
      <c r="N143" s="2063"/>
      <c r="O143" s="2005"/>
      <c r="P143" s="1929"/>
      <c r="Q143" s="1929"/>
      <c r="R143" s="2059"/>
      <c r="S143" s="1928"/>
      <c r="T143" s="302"/>
      <c r="U143" s="303"/>
      <c r="V143" s="303" t="s">
        <v>432</v>
      </c>
      <c r="W143" s="304"/>
      <c r="Y143" s="1281"/>
      <c r="Z143" s="1281"/>
      <c r="AA143" s="1281"/>
      <c r="AB143" s="1281"/>
      <c r="AC143" s="1281"/>
      <c r="AD143" s="1281"/>
      <c r="AE143" s="1281"/>
      <c r="AF143" s="1281"/>
      <c r="AG143" s="1281"/>
      <c r="AH143" s="1281"/>
      <c r="AI143" s="1281"/>
      <c r="AJ143" s="1281"/>
      <c r="AK143" s="1281"/>
    </row>
    <row s="1888" customFormat="1" customHeight="1" ht="17.25">
      <c r="A144" s="1875"/>
      <c r="C144" s="1880"/>
      <c r="D144" s="2062"/>
      <c r="E144" s="2092"/>
      <c r="F144" s="1967"/>
      <c r="G144" s="2094"/>
      <c r="H144" s="2062"/>
      <c r="I144" s="2062"/>
      <c r="J144" s="2066"/>
      <c r="K144" s="2005"/>
      <c r="L144" s="2062"/>
      <c r="M144" s="2062"/>
      <c r="N144" s="2064"/>
      <c r="O144" s="1933"/>
      <c r="P144" s="302"/>
      <c r="Q144" s="303"/>
      <c r="R144" s="303" t="s">
        <v>433</v>
      </c>
      <c r="S144" s="1881"/>
      <c r="T144" s="1881"/>
      <c r="U144" s="1881"/>
      <c r="V144" s="1881"/>
      <c r="W144" s="304"/>
      <c r="Y144" s="1281"/>
      <c r="Z144" s="1281"/>
      <c r="AA144" s="1281"/>
      <c r="AB144" s="1281"/>
      <c r="AC144" s="1281"/>
      <c r="AD144" s="1281"/>
      <c r="AE144" s="1281"/>
      <c r="AF144" s="1281"/>
      <c r="AG144" s="1281"/>
      <c r="AH144" s="1281"/>
      <c r="AI144" s="1281"/>
      <c r="AJ144" s="1281"/>
      <c r="AK144" s="1281"/>
    </row>
    <row s="1888" customFormat="1" customHeight="1" ht="17.25">
      <c r="A145" s="1875"/>
      <c r="C145" s="1880"/>
      <c r="D145" s="2062"/>
      <c r="E145" s="2092"/>
      <c r="F145" s="1967"/>
      <c r="G145" s="2094"/>
      <c r="H145" s="2062"/>
      <c r="I145" s="2062"/>
      <c r="J145" s="2066"/>
      <c r="K145" s="1933"/>
      <c r="L145" s="302"/>
      <c r="M145" s="303"/>
      <c r="N145" s="303" t="s">
        <v>434</v>
      </c>
      <c r="O145" s="303"/>
      <c r="P145" s="303"/>
      <c r="Q145" s="303"/>
      <c r="R145" s="303"/>
      <c r="S145" s="1881"/>
      <c r="T145" s="1881"/>
      <c r="U145" s="1881"/>
      <c r="V145" s="1881"/>
      <c r="W145" s="304"/>
      <c r="Y145" s="1281"/>
      <c r="Z145" s="1281"/>
      <c r="AA145" s="1281"/>
      <c r="AB145" s="1281"/>
      <c r="AC145" s="1281"/>
      <c r="AD145" s="1281"/>
      <c r="AE145" s="1281"/>
      <c r="AF145" s="1281"/>
      <c r="AG145" s="1281"/>
      <c r="AH145" s="1281"/>
      <c r="AI145" s="1281"/>
      <c r="AJ145" s="1281"/>
      <c r="AK145" s="1281"/>
    </row>
    <row s="1888" customFormat="1" customHeight="1" ht="17.25">
      <c r="A146" s="1875"/>
      <c r="C146" s="1880"/>
      <c r="D146" s="2062"/>
      <c r="E146" s="2092"/>
      <c r="F146" s="1968"/>
      <c r="G146" s="2094"/>
      <c r="H146" s="302"/>
      <c r="I146" s="303"/>
      <c r="J146" s="303" t="s">
        <v>435</v>
      </c>
      <c r="K146" s="303"/>
      <c r="L146" s="303"/>
      <c r="M146" s="303"/>
      <c r="N146" s="303"/>
      <c r="O146" s="303"/>
      <c r="P146" s="303"/>
      <c r="Q146" s="303"/>
      <c r="R146" s="303"/>
      <c r="S146" s="1881"/>
      <c r="T146" s="1881"/>
      <c r="U146" s="1881"/>
      <c r="V146" s="1881"/>
      <c r="W146" s="304"/>
      <c r="Y146" s="1281"/>
      <c r="Z146" s="1281"/>
      <c r="AA146" s="1281"/>
      <c r="AB146" s="1281"/>
      <c r="AC146" s="1281"/>
      <c r="AD146" s="1281"/>
      <c r="AE146" s="1281"/>
      <c r="AF146" s="1281"/>
      <c r="AG146" s="1281"/>
      <c r="AH146" s="1281"/>
      <c r="AI146" s="1281"/>
      <c r="AJ146" s="1281"/>
      <c r="AK146" s="1281"/>
    </row>
    <row customHeight="1" ht="17.25">
      <c r="G147" s="1874"/>
      <c r="H147" s="1874"/>
      <c r="I147" s="1874"/>
      <c r="M147" s="0"/>
    </row>
    <row s="1888" customFormat="1" customHeight="1" ht="17.25">
      <c r="A148" s="1875"/>
      <c r="C148" s="1877"/>
      <c r="D148" s="1866"/>
      <c r="E148" s="1882"/>
      <c r="F148" s="1818"/>
      <c r="G148" s="1883"/>
      <c r="H148" s="2065"/>
      <c r="I148" s="2065">
        <v>1</v>
      </c>
      <c r="J148" s="2061"/>
      <c r="K148" s="2004" t="s">
        <v>58</v>
      </c>
      <c r="L148" s="1929"/>
      <c r="M148" s="1929" t="s">
        <v>108</v>
      </c>
      <c r="N148" s="2063" t="str">
        <f>IF(Z148="","",INDEX(TERRITORY_MR_LIST,MATCH(Z148,TERRITORY_LIST_ID,0)))</f>
        <v/>
      </c>
      <c r="O148" s="2004" t="s">
        <v>58</v>
      </c>
      <c r="P148" s="1929"/>
      <c r="Q148" s="1929" t="s">
        <v>108</v>
      </c>
      <c r="R148" s="2059" t="s">
        <v>18</v>
      </c>
      <c r="S148" s="1928" t="s">
        <v>58</v>
      </c>
      <c r="T148" s="1846"/>
      <c r="U148" s="1846" t="s">
        <v>108</v>
      </c>
      <c r="V148" s="1878" t="s">
        <v>18</v>
      </c>
      <c r="W148" s="1836"/>
      <c r="Y148" s="1289"/>
      <c r="Z148" s="1289"/>
      <c r="AA148" s="1289"/>
      <c r="AB148" s="1289"/>
      <c r="AC148" s="1289"/>
      <c r="AD148" s="1289"/>
      <c r="AE148" s="1289"/>
      <c r="AF148" s="1289"/>
      <c r="AG148" s="1289"/>
      <c r="AH148" s="1289"/>
      <c r="AI148" s="1289"/>
      <c r="AJ148" s="1289"/>
      <c r="AK148" s="1289"/>
      <c r="AL148" s="1879"/>
      <c r="AM148" s="1879"/>
      <c r="AN148" s="1289"/>
      <c r="AO148" s="1289"/>
      <c r="AP148" s="1289"/>
      <c r="AQ148" s="1289"/>
    </row>
    <row s="1888" customFormat="1" customHeight="1" ht="17.25">
      <c r="A149" s="1875"/>
      <c r="C149" s="1880"/>
      <c r="D149" s="1866"/>
      <c r="E149" s="1882"/>
      <c r="F149" s="1818"/>
      <c r="G149" s="1883"/>
      <c r="H149" s="2065"/>
      <c r="I149" s="2065"/>
      <c r="J149" s="2061"/>
      <c r="K149" s="2005"/>
      <c r="L149" s="1929"/>
      <c r="M149" s="1929"/>
      <c r="N149" s="2063"/>
      <c r="O149" s="2005"/>
      <c r="P149" s="1929"/>
      <c r="Q149" s="1929"/>
      <c r="R149" s="2059"/>
      <c r="S149" s="1928"/>
      <c r="T149" s="302"/>
      <c r="U149" s="303"/>
      <c r="V149" s="303" t="s">
        <v>432</v>
      </c>
      <c r="W149" s="304"/>
      <c r="Y149" s="1281"/>
      <c r="Z149" s="1281"/>
      <c r="AA149" s="1281"/>
      <c r="AB149" s="1281"/>
      <c r="AC149" s="1281"/>
      <c r="AD149" s="1281"/>
      <c r="AE149" s="1281"/>
      <c r="AF149" s="1281"/>
      <c r="AG149" s="1281"/>
      <c r="AH149" s="1281"/>
      <c r="AI149" s="1281"/>
      <c r="AJ149" s="1281"/>
      <c r="AK149" s="1281"/>
    </row>
    <row s="1888" customFormat="1" customHeight="1" ht="17.25">
      <c r="A150" s="1875"/>
      <c r="C150" s="1880"/>
      <c r="D150" s="1866"/>
      <c r="E150" s="1882"/>
      <c r="F150" s="1818"/>
      <c r="G150" s="1883"/>
      <c r="H150" s="2062"/>
      <c r="I150" s="2062"/>
      <c r="J150" s="2066"/>
      <c r="K150" s="2005"/>
      <c r="L150" s="2062"/>
      <c r="M150" s="2062"/>
      <c r="N150" s="2064"/>
      <c r="O150" s="1933"/>
      <c r="P150" s="302"/>
      <c r="Q150" s="303"/>
      <c r="R150" s="303" t="s">
        <v>433</v>
      </c>
      <c r="S150" s="1881"/>
      <c r="T150" s="1881"/>
      <c r="U150" s="1881"/>
      <c r="V150" s="1881"/>
      <c r="W150" s="304"/>
      <c r="Y150" s="1281"/>
      <c r="Z150" s="1281"/>
      <c r="AA150" s="1281"/>
      <c r="AB150" s="1281"/>
      <c r="AC150" s="1281"/>
      <c r="AD150" s="1281"/>
      <c r="AE150" s="1281"/>
      <c r="AF150" s="1281"/>
      <c r="AG150" s="1281"/>
      <c r="AH150" s="1281"/>
      <c r="AI150" s="1281"/>
      <c r="AJ150" s="1281"/>
      <c r="AK150" s="1281"/>
    </row>
    <row s="1888" customFormat="1" customHeight="1" ht="17.25">
      <c r="A151" s="1875"/>
      <c r="C151" s="1880"/>
      <c r="D151" s="1866"/>
      <c r="E151" s="1882"/>
      <c r="F151" s="1818"/>
      <c r="G151" s="1883"/>
      <c r="H151" s="2062"/>
      <c r="I151" s="2062"/>
      <c r="J151" s="2066"/>
      <c r="K151" s="1933"/>
      <c r="L151" s="302"/>
      <c r="M151" s="303"/>
      <c r="N151" s="303" t="s">
        <v>434</v>
      </c>
      <c r="O151" s="303"/>
      <c r="P151" s="303"/>
      <c r="Q151" s="303"/>
      <c r="R151" s="303"/>
      <c r="S151" s="1881"/>
      <c r="T151" s="1881"/>
      <c r="U151" s="1881"/>
      <c r="V151" s="1881"/>
      <c r="W151" s="304"/>
      <c r="Y151" s="1281"/>
      <c r="Z151" s="1281"/>
      <c r="AA151" s="1281"/>
      <c r="AB151" s="1281"/>
      <c r="AC151" s="1281"/>
      <c r="AD151" s="1281"/>
      <c r="AE151" s="1281"/>
      <c r="AF151" s="1281"/>
      <c r="AG151" s="1281"/>
      <c r="AH151" s="1281"/>
      <c r="AI151" s="1281"/>
      <c r="AJ151" s="1281"/>
      <c r="AK151" s="1281"/>
    </row>
    <row customHeight="1" ht="17.25">
      <c r="G152" s="1874"/>
      <c r="H152" s="1874"/>
      <c r="I152" s="1874"/>
      <c r="M152" s="0"/>
    </row>
    <row s="1888" customFormat="1" customHeight="1" ht="17.25">
      <c r="A153" s="1875"/>
      <c r="C153" s="1877"/>
      <c r="D153" s="1866"/>
      <c r="E153" s="1882"/>
      <c r="F153" s="1818"/>
      <c r="G153" s="1883"/>
      <c r="H153" s="1866"/>
      <c r="I153" s="1866"/>
      <c r="J153" s="1884"/>
      <c r="K153" s="1790"/>
      <c r="L153" s="1929"/>
      <c r="M153" s="1929" t="s">
        <v>108</v>
      </c>
      <c r="N153" s="2063" t="str">
        <f>IF(Z153="","",INDEX(TERRITORY_MR_LIST,MATCH(Z153,TERRITORY_LIST_ID,0)))</f>
        <v/>
      </c>
      <c r="O153" s="2004" t="s">
        <v>58</v>
      </c>
      <c r="P153" s="1929"/>
      <c r="Q153" s="1929" t="s">
        <v>108</v>
      </c>
      <c r="R153" s="2059" t="s">
        <v>18</v>
      </c>
      <c r="S153" s="1928" t="s">
        <v>58</v>
      </c>
      <c r="T153" s="1846"/>
      <c r="U153" s="1846" t="s">
        <v>108</v>
      </c>
      <c r="V153" s="1878" t="s">
        <v>18</v>
      </c>
      <c r="W153" s="1836"/>
      <c r="Y153" s="1289"/>
      <c r="Z153" s="1289"/>
      <c r="AA153" s="1289"/>
      <c r="AB153" s="1289"/>
      <c r="AC153" s="1289"/>
      <c r="AD153" s="1289"/>
      <c r="AE153" s="1289"/>
      <c r="AF153" s="1289"/>
      <c r="AG153" s="1289"/>
      <c r="AH153" s="1289"/>
      <c r="AI153" s="1289"/>
      <c r="AJ153" s="1289"/>
      <c r="AK153" s="1289"/>
      <c r="AL153" s="1879"/>
      <c r="AM153" s="1879"/>
      <c r="AN153" s="1289"/>
      <c r="AO153" s="1289"/>
      <c r="AP153" s="1289"/>
      <c r="AQ153" s="1289"/>
    </row>
    <row s="1888" customFormat="1" customHeight="1" ht="17.25">
      <c r="A154" s="1875"/>
      <c r="C154" s="1880"/>
      <c r="D154" s="1866"/>
      <c r="E154" s="1882"/>
      <c r="F154" s="1818"/>
      <c r="G154" s="1883"/>
      <c r="H154" s="1866"/>
      <c r="I154" s="1866"/>
      <c r="J154" s="1884"/>
      <c r="K154" s="1790"/>
      <c r="L154" s="1929"/>
      <c r="M154" s="1929"/>
      <c r="N154" s="2063"/>
      <c r="O154" s="2005"/>
      <c r="P154" s="1929"/>
      <c r="Q154" s="1929"/>
      <c r="R154" s="2059"/>
      <c r="S154" s="1928"/>
      <c r="T154" s="302"/>
      <c r="U154" s="303"/>
      <c r="V154" s="303" t="s">
        <v>432</v>
      </c>
      <c r="W154" s="304"/>
      <c r="Y154" s="1281"/>
      <c r="Z154" s="1281"/>
      <c r="AA154" s="1281"/>
      <c r="AB154" s="1281"/>
      <c r="AC154" s="1281"/>
      <c r="AD154" s="1281"/>
      <c r="AE154" s="1281"/>
      <c r="AF154" s="1281"/>
      <c r="AG154" s="1281"/>
      <c r="AH154" s="1281"/>
      <c r="AI154" s="1281"/>
      <c r="AJ154" s="1281"/>
      <c r="AK154" s="1281"/>
    </row>
    <row s="1888" customFormat="1" customHeight="1" ht="17.25">
      <c r="A155" s="1875"/>
      <c r="C155" s="1880"/>
      <c r="D155" s="1866"/>
      <c r="E155" s="1882"/>
      <c r="F155" s="1818"/>
      <c r="G155" s="1883"/>
      <c r="H155" s="1866"/>
      <c r="I155" s="1866"/>
      <c r="J155" s="1884"/>
      <c r="K155" s="1790"/>
      <c r="L155" s="2062"/>
      <c r="M155" s="2062"/>
      <c r="N155" s="2064"/>
      <c r="O155" s="1933"/>
      <c r="P155" s="302"/>
      <c r="Q155" s="303"/>
      <c r="R155" s="303" t="s">
        <v>433</v>
      </c>
      <c r="S155" s="1881"/>
      <c r="T155" s="1881"/>
      <c r="U155" s="1881"/>
      <c r="V155" s="1881"/>
      <c r="W155" s="304"/>
      <c r="Y155" s="1281"/>
      <c r="Z155" s="1281"/>
      <c r="AA155" s="1281"/>
      <c r="AB155" s="1281"/>
      <c r="AC155" s="1281"/>
      <c r="AD155" s="1281"/>
      <c r="AE155" s="1281"/>
      <c r="AF155" s="1281"/>
      <c r="AG155" s="1281"/>
      <c r="AH155" s="1281"/>
      <c r="AI155" s="1281"/>
      <c r="AJ155" s="1281"/>
      <c r="AK155" s="1281"/>
    </row>
    <row customHeight="1" ht="17.25">
      <c r="G156" s="1874"/>
      <c r="H156" s="1874"/>
      <c r="I156" s="1874"/>
      <c r="M156" s="0"/>
    </row>
    <row s="1888" customFormat="1" customHeight="1" ht="17.25">
      <c r="A157" s="1875"/>
      <c r="C157" s="1877"/>
      <c r="D157" s="1866"/>
      <c r="E157" s="1882"/>
      <c r="F157" s="1818"/>
      <c r="G157" s="1883"/>
      <c r="H157" s="1866"/>
      <c r="I157" s="1866"/>
      <c r="J157" s="1884"/>
      <c r="K157" s="1790"/>
      <c r="L157" s="1786"/>
      <c r="M157" s="1786"/>
      <c r="N157" s="1885"/>
      <c r="O157" s="1821"/>
      <c r="P157" s="1929"/>
      <c r="Q157" s="1929" t="s">
        <v>108</v>
      </c>
      <c r="R157" s="2059" t="s">
        <v>18</v>
      </c>
      <c r="S157" s="1928" t="s">
        <v>58</v>
      </c>
      <c r="T157" s="1846"/>
      <c r="U157" s="1846" t="s">
        <v>108</v>
      </c>
      <c r="V157" s="1878" t="s">
        <v>18</v>
      </c>
      <c r="W157" s="1836"/>
      <c r="Y157" s="1289"/>
      <c r="Z157" s="1289"/>
      <c r="AA157" s="1289"/>
      <c r="AB157" s="1289"/>
      <c r="AC157" s="1289"/>
      <c r="AD157" s="1289"/>
      <c r="AE157" s="1289"/>
      <c r="AF157" s="1289"/>
      <c r="AG157" s="1289"/>
      <c r="AH157" s="1289"/>
      <c r="AI157" s="1289"/>
      <c r="AJ157" s="1289"/>
      <c r="AK157" s="1289"/>
      <c r="AL157" s="1879"/>
      <c r="AM157" s="1879"/>
      <c r="AN157" s="1289"/>
      <c r="AO157" s="1289"/>
      <c r="AP157" s="1289"/>
      <c r="AQ157" s="1289"/>
    </row>
    <row s="1888" customFormat="1" customHeight="1" ht="17.25">
      <c r="A158" s="1875"/>
      <c r="C158" s="1880"/>
      <c r="D158" s="1866"/>
      <c r="E158" s="1882"/>
      <c r="F158" s="1818"/>
      <c r="G158" s="1883"/>
      <c r="H158" s="1866"/>
      <c r="I158" s="1866"/>
      <c r="J158" s="1884"/>
      <c r="K158" s="1790"/>
      <c r="L158" s="1786"/>
      <c r="M158" s="1786"/>
      <c r="N158" s="1885"/>
      <c r="O158" s="1821"/>
      <c r="P158" s="1929"/>
      <c r="Q158" s="1929"/>
      <c r="R158" s="2059"/>
      <c r="S158" s="1928"/>
      <c r="T158" s="302"/>
      <c r="U158" s="303"/>
      <c r="V158" s="303" t="s">
        <v>432</v>
      </c>
      <c r="W158" s="304"/>
      <c r="Y158" s="1281"/>
      <c r="Z158" s="1281"/>
      <c r="AA158" s="1281"/>
      <c r="AB158" s="1281"/>
      <c r="AC158" s="1281"/>
      <c r="AD158" s="1281"/>
      <c r="AE158" s="1281"/>
      <c r="AF158" s="1281"/>
      <c r="AG158" s="1281"/>
      <c r="AH158" s="1281"/>
      <c r="AI158" s="1281"/>
      <c r="AJ158" s="1281"/>
      <c r="AK158" s="1281"/>
    </row>
    <row customHeight="1" ht="17.25">
      <c r="G159" s="1874"/>
      <c r="H159" s="1874"/>
      <c r="I159" s="1874"/>
      <c r="M159" s="0"/>
    </row>
    <row s="1888" customFormat="1" customHeight="1" ht="17.25">
      <c r="A160" s="1875"/>
      <c r="C160" s="1877"/>
      <c r="D160" s="1866"/>
      <c r="E160" s="1882"/>
      <c r="F160" s="1818"/>
      <c r="G160" s="1883"/>
      <c r="H160" s="1786"/>
      <c r="I160" s="1786"/>
      <c r="J160" s="1787"/>
      <c r="K160" s="1883"/>
      <c r="L160" s="1786"/>
      <c r="M160" s="1786"/>
      <c r="N160" s="1883"/>
      <c r="O160" s="1883"/>
      <c r="P160" s="1786"/>
      <c r="Q160" s="1786"/>
      <c r="R160" s="1788"/>
      <c r="S160" s="1883"/>
      <c r="T160" s="1846"/>
      <c r="U160" s="1846" t="s">
        <v>108</v>
      </c>
      <c r="V160" s="1878" t="s">
        <v>18</v>
      </c>
      <c r="W160" s="1836"/>
      <c r="Y160" s="1289"/>
      <c r="Z160" s="1289"/>
      <c r="AA160" s="1289"/>
      <c r="AB160" s="1289"/>
      <c r="AC160" s="1289"/>
      <c r="AD160" s="1289"/>
      <c r="AE160" s="1289"/>
      <c r="AF160" s="1289"/>
      <c r="AG160" s="1289"/>
      <c r="AH160" s="1289"/>
      <c r="AI160" s="1289"/>
      <c r="AJ160" s="1289"/>
      <c r="AK160" s="1289"/>
      <c r="AL160" s="1879"/>
      <c r="AM160" s="1879"/>
      <c r="AN160" s="1289"/>
      <c r="AO160" s="1289"/>
      <c r="AP160" s="1289"/>
      <c r="AQ160" s="1289"/>
    </row>
    <row r="162" s="1850" customFormat="1" customHeight="1" ht="17.25">
      <c r="A162" s="1850" t="s">
        <v>436</v>
      </c>
    </row>
    <row customHeight="1" ht="17.25">
      <c r="G163" s="1874"/>
      <c r="H163" s="1874"/>
      <c r="I163" s="1874"/>
      <c r="M163" s="0"/>
    </row>
    <row s="1888" customFormat="1" customHeight="1" ht="17.25">
      <c r="A164" s="1875"/>
      <c r="C164" s="1877"/>
      <c r="D164" s="2065"/>
      <c r="E164" s="1964"/>
      <c r="F164" s="1966"/>
      <c r="G164" s="2093"/>
      <c r="H164" s="2065"/>
      <c r="I164" s="2065">
        <v>1</v>
      </c>
      <c r="J164" s="2061"/>
      <c r="K164" s="2004" t="s">
        <v>58</v>
      </c>
      <c r="L164" s="1929"/>
      <c r="M164" s="1929" t="s">
        <v>108</v>
      </c>
      <c r="N164" s="2063" t="str">
        <f>IF(Z164="","",INDEX(TERRITORY_MR_LIST,MATCH(Z164,TERRITORY_LIST_ID,0)))</f>
        <v/>
      </c>
      <c r="O164" s="2004" t="s">
        <v>58</v>
      </c>
      <c r="P164" s="1929"/>
      <c r="Q164" s="1929" t="s">
        <v>108</v>
      </c>
      <c r="R164" s="2059" t="s">
        <v>18</v>
      </c>
      <c r="S164" s="2060" t="s">
        <v>56</v>
      </c>
      <c r="T164" s="1837"/>
      <c r="U164" s="1837" t="s">
        <v>108</v>
      </c>
      <c r="V164" s="1457"/>
      <c r="W164" s="2061"/>
      <c r="Y164" s="1289"/>
      <c r="Z164" s="1289"/>
      <c r="AA164" s="1289"/>
      <c r="AB164" s="1289"/>
      <c r="AC164" s="1289"/>
      <c r="AD164" s="1289"/>
      <c r="AE164" s="1289"/>
      <c r="AF164" s="1289"/>
      <c r="AG164" s="1289"/>
      <c r="AH164" s="1289"/>
      <c r="AI164" s="1289"/>
      <c r="AJ164" s="1289"/>
      <c r="AK164" s="1289"/>
      <c r="AL164" s="1879"/>
      <c r="AM164" s="1879"/>
      <c r="AN164" s="1289"/>
      <c r="AO164" s="1289"/>
      <c r="AP164" s="1289"/>
      <c r="AQ164" s="1289"/>
    </row>
    <row s="1888" customFormat="1" customHeight="1" ht="17.25">
      <c r="A165" s="1875"/>
      <c r="C165" s="1880"/>
      <c r="D165" s="2065"/>
      <c r="E165" s="1964"/>
      <c r="F165" s="1967"/>
      <c r="G165" s="2093"/>
      <c r="H165" s="2065"/>
      <c r="I165" s="2065"/>
      <c r="J165" s="2061"/>
      <c r="K165" s="2005"/>
      <c r="L165" s="1929"/>
      <c r="M165" s="1929"/>
      <c r="N165" s="2063"/>
      <c r="O165" s="2005"/>
      <c r="P165" s="1929"/>
      <c r="Q165" s="1929"/>
      <c r="R165" s="2059"/>
      <c r="S165" s="2060"/>
      <c r="T165" s="1458"/>
      <c r="U165" s="1459"/>
      <c r="V165" s="1459"/>
      <c r="W165" s="2061"/>
      <c r="Y165" s="1281"/>
      <c r="Z165" s="1281"/>
      <c r="AA165" s="1281"/>
      <c r="AB165" s="1281"/>
      <c r="AC165" s="1281"/>
      <c r="AD165" s="1281"/>
      <c r="AE165" s="1281"/>
      <c r="AF165" s="1281"/>
      <c r="AG165" s="1281"/>
      <c r="AH165" s="1281"/>
      <c r="AI165" s="1281"/>
      <c r="AJ165" s="1281"/>
      <c r="AK165" s="1281"/>
    </row>
    <row s="1888" customFormat="1" customHeight="1" ht="17.25">
      <c r="A166" s="1875"/>
      <c r="C166" s="1880"/>
      <c r="D166" s="2062"/>
      <c r="E166" s="2092"/>
      <c r="F166" s="1967"/>
      <c r="G166" s="2094"/>
      <c r="H166" s="2062"/>
      <c r="I166" s="2062"/>
      <c r="J166" s="2066"/>
      <c r="K166" s="2005"/>
      <c r="L166" s="2062"/>
      <c r="M166" s="2062"/>
      <c r="N166" s="2064"/>
      <c r="O166" s="1933"/>
      <c r="P166" s="302"/>
      <c r="Q166" s="303"/>
      <c r="R166" s="303" t="s">
        <v>433</v>
      </c>
      <c r="S166" s="1881"/>
      <c r="T166" s="1881"/>
      <c r="U166" s="1881"/>
      <c r="V166" s="1881"/>
      <c r="W166" s="1456"/>
      <c r="Y166" s="1281"/>
      <c r="Z166" s="1281"/>
      <c r="AA166" s="1281"/>
      <c r="AB166" s="1281"/>
      <c r="AC166" s="1281"/>
      <c r="AD166" s="1281"/>
      <c r="AE166" s="1281"/>
      <c r="AF166" s="1281"/>
      <c r="AG166" s="1281"/>
      <c r="AH166" s="1281"/>
      <c r="AI166" s="1281"/>
      <c r="AJ166" s="1281"/>
      <c r="AK166" s="1281"/>
    </row>
    <row s="1888" customFormat="1" customHeight="1" ht="17.25">
      <c r="A167" s="1875"/>
      <c r="C167" s="1880"/>
      <c r="D167" s="2062"/>
      <c r="E167" s="2092"/>
      <c r="F167" s="1967"/>
      <c r="G167" s="2094"/>
      <c r="H167" s="2062"/>
      <c r="I167" s="2062"/>
      <c r="J167" s="2066"/>
      <c r="K167" s="1933"/>
      <c r="L167" s="302"/>
      <c r="M167" s="303"/>
      <c r="N167" s="303" t="s">
        <v>434</v>
      </c>
      <c r="O167" s="303"/>
      <c r="P167" s="303"/>
      <c r="Q167" s="303"/>
      <c r="R167" s="303"/>
      <c r="S167" s="1881"/>
      <c r="T167" s="1881"/>
      <c r="U167" s="1881"/>
      <c r="V167" s="1881"/>
      <c r="W167" s="304"/>
      <c r="Y167" s="1281"/>
      <c r="Z167" s="1281"/>
      <c r="AA167" s="1281"/>
      <c r="AB167" s="1281"/>
      <c r="AC167" s="1281"/>
      <c r="AD167" s="1281"/>
      <c r="AE167" s="1281"/>
      <c r="AF167" s="1281"/>
      <c r="AG167" s="1281"/>
      <c r="AH167" s="1281"/>
      <c r="AI167" s="1281"/>
      <c r="AJ167" s="1281"/>
      <c r="AK167" s="1281"/>
    </row>
    <row s="1888" customFormat="1" customHeight="1" ht="17.25">
      <c r="A168" s="1875"/>
      <c r="C168" s="1880"/>
      <c r="D168" s="2062"/>
      <c r="E168" s="2092"/>
      <c r="F168" s="1968"/>
      <c r="G168" s="2094"/>
      <c r="H168" s="302"/>
      <c r="I168" s="303"/>
      <c r="J168" s="303" t="s">
        <v>435</v>
      </c>
      <c r="K168" s="303"/>
      <c r="L168" s="303"/>
      <c r="M168" s="303"/>
      <c r="N168" s="303"/>
      <c r="O168" s="303"/>
      <c r="P168" s="303"/>
      <c r="Q168" s="303"/>
      <c r="R168" s="303"/>
      <c r="S168" s="1881"/>
      <c r="T168" s="1881"/>
      <c r="U168" s="1881"/>
      <c r="V168" s="1881"/>
      <c r="W168" s="304"/>
      <c r="Y168" s="1281"/>
      <c r="Z168" s="1281"/>
      <c r="AA168" s="1281"/>
      <c r="AB168" s="1281"/>
      <c r="AC168" s="1281"/>
      <c r="AD168" s="1281"/>
      <c r="AE168" s="1281"/>
      <c r="AF168" s="1281"/>
      <c r="AG168" s="1281"/>
      <c r="AH168" s="1281"/>
      <c r="AI168" s="1281"/>
      <c r="AJ168" s="1281"/>
      <c r="AK168" s="1281"/>
    </row>
    <row customHeight="1" ht="17.25">
      <c r="A169" s="0"/>
    </row>
    <row s="1888" customFormat="1" customHeight="1" ht="17.25">
      <c r="A170" s="1875"/>
      <c r="C170" s="1877"/>
      <c r="D170" s="1866"/>
      <c r="E170" s="1882"/>
      <c r="F170" s="1818"/>
      <c r="G170" s="1883"/>
      <c r="H170" s="2065"/>
      <c r="I170" s="2065">
        <v>1</v>
      </c>
      <c r="J170" s="2061"/>
      <c r="K170" s="2004" t="s">
        <v>58</v>
      </c>
      <c r="L170" s="1929"/>
      <c r="M170" s="1929" t="s">
        <v>108</v>
      </c>
      <c r="N170" s="2063" t="str">
        <f>IF(Z170="","",INDEX(TERRITORY_MR_LIST,MATCH(Z170,TERRITORY_LIST_ID,0)))</f>
        <v/>
      </c>
      <c r="O170" s="2004" t="s">
        <v>58</v>
      </c>
      <c r="P170" s="1929"/>
      <c r="Q170" s="1929" t="s">
        <v>108</v>
      </c>
      <c r="R170" s="2059" t="s">
        <v>18</v>
      </c>
      <c r="S170" s="2060" t="s">
        <v>56</v>
      </c>
      <c r="T170" s="1837"/>
      <c r="U170" s="1837" t="s">
        <v>108</v>
      </c>
      <c r="V170" s="1457"/>
      <c r="W170" s="2061"/>
      <c r="Y170" s="1289"/>
      <c r="Z170" s="1289"/>
      <c r="AA170" s="1289"/>
      <c r="AB170" s="1289"/>
      <c r="AC170" s="1289"/>
      <c r="AD170" s="1289"/>
      <c r="AE170" s="1289"/>
      <c r="AF170" s="1289"/>
      <c r="AG170" s="1289"/>
      <c r="AH170" s="1289"/>
      <c r="AI170" s="1289"/>
      <c r="AJ170" s="1289"/>
      <c r="AK170" s="1289"/>
      <c r="AL170" s="1879"/>
      <c r="AM170" s="1879"/>
      <c r="AN170" s="1289"/>
      <c r="AO170" s="1289"/>
      <c r="AP170" s="1289"/>
      <c r="AQ170" s="1289"/>
    </row>
    <row s="1888" customFormat="1" customHeight="1" ht="17.25">
      <c r="A171" s="1875"/>
      <c r="C171" s="1880"/>
      <c r="D171" s="1866"/>
      <c r="E171" s="1882"/>
      <c r="F171" s="1818"/>
      <c r="G171" s="1883"/>
      <c r="H171" s="2065"/>
      <c r="I171" s="2065"/>
      <c r="J171" s="2061"/>
      <c r="K171" s="2005"/>
      <c r="L171" s="1929"/>
      <c r="M171" s="1929"/>
      <c r="N171" s="2063"/>
      <c r="O171" s="2005"/>
      <c r="P171" s="1929"/>
      <c r="Q171" s="1929"/>
      <c r="R171" s="2059"/>
      <c r="S171" s="2060"/>
      <c r="T171" s="1458"/>
      <c r="U171" s="1459"/>
      <c r="V171" s="1459"/>
      <c r="W171" s="2061"/>
      <c r="Y171" s="1281"/>
      <c r="Z171" s="1281"/>
      <c r="AA171" s="1281"/>
      <c r="AB171" s="1281"/>
      <c r="AC171" s="1281"/>
      <c r="AD171" s="1281"/>
      <c r="AE171" s="1281"/>
      <c r="AF171" s="1281"/>
      <c r="AG171" s="1281"/>
      <c r="AH171" s="1281"/>
      <c r="AI171" s="1281"/>
      <c r="AJ171" s="1281"/>
      <c r="AK171" s="1281"/>
    </row>
    <row s="1888" customFormat="1" customHeight="1" ht="17.25">
      <c r="A172" s="1875"/>
      <c r="C172" s="1880"/>
      <c r="D172" s="1866"/>
      <c r="E172" s="1882"/>
      <c r="F172" s="1818"/>
      <c r="G172" s="1883"/>
      <c r="H172" s="2062"/>
      <c r="I172" s="2062"/>
      <c r="J172" s="2066"/>
      <c r="K172" s="2005"/>
      <c r="L172" s="2062"/>
      <c r="M172" s="2062"/>
      <c r="N172" s="2064"/>
      <c r="O172" s="1933"/>
      <c r="P172" s="302"/>
      <c r="Q172" s="303"/>
      <c r="R172" s="303" t="s">
        <v>433</v>
      </c>
      <c r="S172" s="1881"/>
      <c r="T172" s="1881"/>
      <c r="U172" s="1881"/>
      <c r="V172" s="1881"/>
      <c r="W172" s="1456"/>
      <c r="Y172" s="1281"/>
      <c r="Z172" s="1281"/>
      <c r="AA172" s="1281"/>
      <c r="AB172" s="1281"/>
      <c r="AC172" s="1281"/>
      <c r="AD172" s="1281"/>
      <c r="AE172" s="1281"/>
      <c r="AF172" s="1281"/>
      <c r="AG172" s="1281"/>
      <c r="AH172" s="1281"/>
      <c r="AI172" s="1281"/>
      <c r="AJ172" s="1281"/>
      <c r="AK172" s="1281"/>
    </row>
    <row s="1888" customFormat="1" customHeight="1" ht="17.25">
      <c r="A173" s="1875"/>
      <c r="C173" s="1880"/>
      <c r="D173" s="1866"/>
      <c r="E173" s="1882"/>
      <c r="F173" s="1818"/>
      <c r="G173" s="1883"/>
      <c r="H173" s="2062"/>
      <c r="I173" s="2062"/>
      <c r="J173" s="2066"/>
      <c r="K173" s="1933"/>
      <c r="L173" s="302"/>
      <c r="M173" s="303"/>
      <c r="N173" s="303" t="s">
        <v>434</v>
      </c>
      <c r="O173" s="303"/>
      <c r="P173" s="303"/>
      <c r="Q173" s="303"/>
      <c r="R173" s="303"/>
      <c r="S173" s="1881"/>
      <c r="T173" s="1881"/>
      <c r="U173" s="1881"/>
      <c r="V173" s="1881"/>
      <c r="W173" s="304"/>
      <c r="Y173" s="1281"/>
      <c r="Z173" s="1281"/>
      <c r="AA173" s="1281"/>
      <c r="AB173" s="1281"/>
      <c r="AC173" s="1281"/>
      <c r="AD173" s="1281"/>
      <c r="AE173" s="1281"/>
      <c r="AF173" s="1281"/>
      <c r="AG173" s="1281"/>
      <c r="AH173" s="1281"/>
      <c r="AI173" s="1281"/>
      <c r="AJ173" s="1281"/>
      <c r="AK173" s="1281"/>
    </row>
    <row customHeight="1" ht="17.25">
      <c r="A174" s="0"/>
    </row>
    <row s="1888" customFormat="1" customHeight="1" ht="17.25">
      <c r="A175" s="1875"/>
      <c r="C175" s="1877"/>
      <c r="D175" s="1866"/>
      <c r="E175" s="1882"/>
      <c r="F175" s="1818"/>
      <c r="G175" s="1883"/>
      <c r="H175" s="1866"/>
      <c r="I175" s="1866"/>
      <c r="J175" s="1886"/>
      <c r="K175" s="1883"/>
      <c r="L175" s="1929"/>
      <c r="M175" s="1929" t="s">
        <v>108</v>
      </c>
      <c r="N175" s="2063" t="str">
        <f>IF(Z175="","",INDEX(TERRITORY_MR_LIST,MATCH(Z175,TERRITORY_LIST_ID,0)))</f>
        <v/>
      </c>
      <c r="O175" s="2004" t="s">
        <v>58</v>
      </c>
      <c r="P175" s="1929"/>
      <c r="Q175" s="1929" t="s">
        <v>108</v>
      </c>
      <c r="R175" s="2059" t="s">
        <v>18</v>
      </c>
      <c r="S175" s="2060" t="s">
        <v>56</v>
      </c>
      <c r="T175" s="1837"/>
      <c r="U175" s="1837" t="s">
        <v>108</v>
      </c>
      <c r="V175" s="1457"/>
      <c r="W175" s="2061"/>
      <c r="Y175" s="1289"/>
      <c r="Z175" s="1289"/>
      <c r="AA175" s="1289"/>
      <c r="AB175" s="1289"/>
      <c r="AC175" s="1289"/>
      <c r="AD175" s="1289"/>
      <c r="AE175" s="1289"/>
      <c r="AF175" s="1289"/>
      <c r="AG175" s="1289"/>
      <c r="AH175" s="1289"/>
      <c r="AI175" s="1289"/>
      <c r="AJ175" s="1289"/>
      <c r="AK175" s="1289"/>
      <c r="AL175" s="1879"/>
      <c r="AM175" s="1879"/>
      <c r="AN175" s="1289"/>
      <c r="AO175" s="1289"/>
      <c r="AP175" s="1289"/>
      <c r="AQ175" s="1289"/>
    </row>
    <row s="1888" customFormat="1" customHeight="1" ht="17.25">
      <c r="A176" s="1875"/>
      <c r="C176" s="1880"/>
      <c r="D176" s="1866"/>
      <c r="E176" s="1882"/>
      <c r="F176" s="1818"/>
      <c r="G176" s="1883"/>
      <c r="H176" s="1866"/>
      <c r="I176" s="1866"/>
      <c r="J176" s="1886"/>
      <c r="K176" s="1883"/>
      <c r="L176" s="1929"/>
      <c r="M176" s="1929"/>
      <c r="N176" s="2063"/>
      <c r="O176" s="2005"/>
      <c r="P176" s="1929"/>
      <c r="Q176" s="1929"/>
      <c r="R176" s="2059"/>
      <c r="S176" s="2060"/>
      <c r="T176" s="1458"/>
      <c r="U176" s="1459"/>
      <c r="V176" s="1459"/>
      <c r="W176" s="2061"/>
      <c r="Y176" s="1281"/>
      <c r="Z176" s="1281"/>
      <c r="AA176" s="1281"/>
      <c r="AB176" s="1281"/>
      <c r="AC176" s="1281"/>
      <c r="AD176" s="1281"/>
      <c r="AE176" s="1281"/>
      <c r="AF176" s="1281"/>
      <c r="AG176" s="1281"/>
      <c r="AH176" s="1281"/>
      <c r="AI176" s="1281"/>
      <c r="AJ176" s="1281"/>
      <c r="AK176" s="1281"/>
    </row>
    <row s="1888" customFormat="1" customHeight="1" ht="17.25">
      <c r="A177" s="1875"/>
      <c r="C177" s="1880"/>
      <c r="D177" s="1866"/>
      <c r="E177" s="1882"/>
      <c r="F177" s="1818"/>
      <c r="G177" s="1883"/>
      <c r="H177" s="1866"/>
      <c r="I177" s="1866"/>
      <c r="J177" s="1886"/>
      <c r="K177" s="1883"/>
      <c r="L177" s="2062"/>
      <c r="M177" s="2062"/>
      <c r="N177" s="2064"/>
      <c r="O177" s="1933"/>
      <c r="P177" s="302"/>
      <c r="Q177" s="303"/>
      <c r="R177" s="303" t="s">
        <v>433</v>
      </c>
      <c r="S177" s="1881"/>
      <c r="T177" s="1881"/>
      <c r="U177" s="1881"/>
      <c r="V177" s="1881"/>
      <c r="W177" s="1456"/>
      <c r="Y177" s="1281"/>
      <c r="Z177" s="1281"/>
      <c r="AA177" s="1281"/>
      <c r="AB177" s="1281"/>
      <c r="AC177" s="1281"/>
      <c r="AD177" s="1281"/>
      <c r="AE177" s="1281"/>
      <c r="AF177" s="1281"/>
      <c r="AG177" s="1281"/>
      <c r="AH177" s="1281"/>
      <c r="AI177" s="1281"/>
      <c r="AJ177" s="1281"/>
      <c r="AK177" s="1281"/>
    </row>
    <row customHeight="1" ht="17.25">
      <c r="A178" s="0"/>
    </row>
    <row s="1888" customFormat="1" customHeight="1" ht="17.25">
      <c r="A179" s="1875"/>
      <c r="C179" s="1877"/>
      <c r="D179" s="1866"/>
      <c r="E179" s="1882"/>
      <c r="F179" s="1818"/>
      <c r="G179" s="1883"/>
      <c r="H179" s="1866"/>
      <c r="I179" s="1866"/>
      <c r="J179" s="1886"/>
      <c r="K179" s="1883"/>
      <c r="L179" s="1866"/>
      <c r="M179" s="1866"/>
      <c r="N179" s="1885"/>
      <c r="O179" s="1821"/>
      <c r="P179" s="1929"/>
      <c r="Q179" s="1929" t="s">
        <v>108</v>
      </c>
      <c r="R179" s="2059" t="s">
        <v>18</v>
      </c>
      <c r="S179" s="2060" t="s">
        <v>56</v>
      </c>
      <c r="T179" s="1837"/>
      <c r="U179" s="1837" t="s">
        <v>108</v>
      </c>
      <c r="V179" s="1457"/>
      <c r="W179" s="2061"/>
      <c r="Y179" s="1289"/>
      <c r="Z179" s="1289"/>
      <c r="AA179" s="1289"/>
      <c r="AB179" s="1289"/>
      <c r="AC179" s="1289"/>
      <c r="AD179" s="1289"/>
      <c r="AE179" s="1289"/>
      <c r="AF179" s="1289"/>
      <c r="AG179" s="1289"/>
      <c r="AH179" s="1289"/>
      <c r="AI179" s="1289"/>
      <c r="AJ179" s="1289"/>
      <c r="AK179" s="1289"/>
      <c r="AL179" s="1879"/>
      <c r="AM179" s="1879"/>
      <c r="AN179" s="1289"/>
      <c r="AO179" s="1289"/>
      <c r="AP179" s="1289"/>
      <c r="AQ179" s="1289"/>
    </row>
    <row s="1888" customFormat="1" customHeight="1" ht="17.25">
      <c r="A180" s="1875"/>
      <c r="C180" s="1880"/>
      <c r="D180" s="1866"/>
      <c r="E180" s="1882"/>
      <c r="F180" s="1818"/>
      <c r="G180" s="1883"/>
      <c r="H180" s="1866"/>
      <c r="I180" s="1866"/>
      <c r="J180" s="1886"/>
      <c r="K180" s="1883"/>
      <c r="L180" s="1866"/>
      <c r="M180" s="1866"/>
      <c r="N180" s="1885"/>
      <c r="O180" s="1821"/>
      <c r="P180" s="1929"/>
      <c r="Q180" s="1929"/>
      <c r="R180" s="2059"/>
      <c r="S180" s="2060"/>
      <c r="T180" s="1458"/>
      <c r="U180" s="1459"/>
      <c r="V180" s="1459"/>
      <c r="W180" s="2061"/>
      <c r="Y180" s="1281"/>
      <c r="Z180" s="1281"/>
      <c r="AA180" s="1281"/>
      <c r="AB180" s="1281"/>
      <c r="AC180" s="1281"/>
      <c r="AD180" s="1281"/>
      <c r="AE180" s="1281"/>
      <c r="AF180" s="1281"/>
      <c r="AG180" s="1281"/>
      <c r="AH180" s="1281"/>
      <c r="AI180" s="1281"/>
      <c r="AJ180" s="1281"/>
      <c r="AK180" s="1281"/>
    </row>
    <row customHeight="1" ht="17.25">
      <c r="A181" s="0"/>
    </row>
    <row customHeight="1" ht="16.5">
      <c r="A182" s="1875"/>
      <c r="B182" s="1876"/>
      <c r="C182" s="1880"/>
      <c r="D182" s="2117"/>
      <c r="E182" s="1998"/>
      <c r="F182" s="1998"/>
      <c r="G182" s="1948"/>
      <c r="H182" s="2118"/>
      <c r="I182" s="2108"/>
      <c r="J182" s="1973"/>
      <c r="K182" s="1956"/>
      <c r="L182" s="1956"/>
      <c r="M182" s="1956"/>
      <c r="N182" s="2121"/>
      <c r="O182" s="1956"/>
      <c r="P182" s="1956"/>
      <c r="Q182" s="1956"/>
      <c r="R182" s="2106"/>
      <c r="S182" s="1956"/>
      <c r="T182" s="1817"/>
      <c r="U182" s="1817"/>
      <c r="V182" s="1887"/>
      <c r="W182" s="1319"/>
    </row>
    <row customHeight="1" ht="16.5">
      <c r="A183" s="1875"/>
      <c r="B183" s="1876"/>
      <c r="C183" s="1880"/>
      <c r="D183" s="2117"/>
      <c r="E183" s="1998"/>
      <c r="F183" s="1998"/>
      <c r="G183" s="1948"/>
      <c r="H183" s="2119"/>
      <c r="I183" s="2109"/>
      <c r="J183" s="1974"/>
      <c r="K183" s="1957"/>
      <c r="L183" s="1957"/>
      <c r="M183" s="1957"/>
      <c r="N183" s="2122"/>
      <c r="O183" s="1957"/>
      <c r="P183" s="1957"/>
      <c r="Q183" s="1957"/>
      <c r="R183" s="2107"/>
      <c r="S183" s="1957"/>
      <c r="T183" s="1320"/>
      <c r="U183" s="1320"/>
      <c r="V183" s="1320"/>
      <c r="W183" s="1321"/>
    </row>
    <row customHeight="1" ht="17.25">
      <c r="A184" s="1875"/>
      <c r="B184" s="1876"/>
      <c r="C184" s="1880"/>
      <c r="D184" s="2117"/>
      <c r="E184" s="1998"/>
      <c r="F184" s="1998"/>
      <c r="G184" s="1948"/>
      <c r="H184" s="2119"/>
      <c r="I184" s="2109"/>
      <c r="J184" s="2120"/>
      <c r="K184" s="1957"/>
      <c r="L184" s="1957"/>
      <c r="M184" s="1957"/>
      <c r="N184" s="2107"/>
      <c r="O184" s="1957"/>
      <c r="P184" s="1820"/>
      <c r="Q184" s="1320"/>
      <c r="R184" s="1320"/>
      <c r="S184" s="1888"/>
      <c r="T184" s="1888"/>
      <c r="U184" s="1888"/>
      <c r="V184" s="1888"/>
      <c r="W184" s="1321"/>
    </row>
    <row customHeight="1" ht="17.25">
      <c r="A185" s="1875"/>
      <c r="B185" s="1876"/>
      <c r="C185" s="1880"/>
      <c r="D185" s="2117"/>
      <c r="E185" s="1998"/>
      <c r="F185" s="1998"/>
      <c r="G185" s="1948"/>
      <c r="H185" s="2119"/>
      <c r="I185" s="2109"/>
      <c r="J185" s="2120"/>
      <c r="K185" s="1957"/>
      <c r="L185" s="1320"/>
      <c r="M185" s="1320"/>
      <c r="N185" s="1320"/>
      <c r="O185" s="1320"/>
      <c r="P185" s="1320"/>
      <c r="Q185" s="1320"/>
      <c r="R185" s="1320"/>
      <c r="S185" s="1888"/>
      <c r="T185" s="1888"/>
      <c r="U185" s="1888"/>
      <c r="V185" s="1888"/>
      <c r="W185" s="1321"/>
    </row>
    <row customHeight="1" ht="17.25">
      <c r="A186" s="1875"/>
      <c r="B186" s="1876"/>
      <c r="C186" s="1880"/>
      <c r="D186" s="2117"/>
      <c r="E186" s="1998"/>
      <c r="F186" s="1998"/>
      <c r="G186" s="1948"/>
      <c r="H186" s="1322"/>
      <c r="I186" s="1323"/>
      <c r="J186" s="1323"/>
      <c r="K186" s="1323"/>
      <c r="L186" s="1323"/>
      <c r="M186" s="1323"/>
      <c r="N186" s="1323"/>
      <c r="O186" s="1323"/>
      <c r="P186" s="1323"/>
      <c r="Q186" s="1323"/>
      <c r="R186" s="1323"/>
      <c r="S186" s="1889"/>
      <c r="T186" s="1889"/>
      <c r="U186" s="1889"/>
      <c r="V186" s="1889"/>
      <c r="W186" s="1325"/>
    </row>
    <row r="188" s="1850" customFormat="1" customHeight="1" ht="17.25">
      <c r="A188" s="1850" t="s">
        <v>437</v>
      </c>
    </row>
    <row customHeight="1" ht="17.25">
      <c r="G189" s="1874"/>
      <c r="H189" s="1874"/>
      <c r="I189" s="1874"/>
      <c r="M189" s="0"/>
    </row>
    <row s="2412" customFormat="1" customHeight="1" ht="15">
      <c r="D190" s="2085"/>
      <c r="E190" s="2018"/>
      <c r="F190" s="2018"/>
      <c r="G190" s="2004"/>
      <c r="H190" s="1597"/>
      <c r="I190" s="2090">
        <v>1</v>
      </c>
      <c r="J190" s="2061"/>
      <c r="K190" s="1611"/>
      <c r="L190" s="2004" t="s">
        <v>58</v>
      </c>
      <c r="M190" s="2004" t="s">
        <v>58</v>
      </c>
      <c r="N190" s="1597"/>
      <c r="O190" s="1929" t="s">
        <v>108</v>
      </c>
      <c r="P190" s="2079"/>
      <c r="Q190" s="1612"/>
      <c r="R190" s="2004" t="s">
        <v>58</v>
      </c>
      <c r="S190" s="2004" t="s">
        <v>58</v>
      </c>
      <c r="T190" s="1890"/>
      <c r="U190" s="1929" t="s">
        <v>108</v>
      </c>
      <c r="V190" s="2086" t="str">
        <f>IF(AK190="","",INDEX(TERRITORY_MR_LIST,MATCH(AK190,TERRITORY_LIST_ID,0)))</f>
        <v/>
      </c>
      <c r="W190" s="1613"/>
      <c r="X190" s="2004" t="s">
        <v>58</v>
      </c>
      <c r="Y190" s="2004" t="s">
        <v>56</v>
      </c>
      <c r="Z190" s="1597"/>
      <c r="AA190" s="1929" t="s">
        <v>108</v>
      </c>
      <c r="AB190" s="2088"/>
      <c r="AC190" s="1614"/>
      <c r="AD190" s="2004" t="s">
        <v>58</v>
      </c>
      <c r="AE190" s="2004" t="s">
        <v>56</v>
      </c>
      <c r="AF190" s="1595"/>
      <c r="AG190" s="1846" t="s">
        <v>108</v>
      </c>
      <c r="AH190" s="1605"/>
      <c r="AI190" s="1836"/>
    </row>
    <row s="2412" customFormat="1" customHeight="1" ht="15">
      <c r="D191" s="2085"/>
      <c r="E191" s="2018"/>
      <c r="F191" s="2018"/>
      <c r="G191" s="2005"/>
      <c r="H191" s="1597"/>
      <c r="I191" s="2090"/>
      <c r="J191" s="2061"/>
      <c r="K191" s="1596"/>
      <c r="L191" s="2005"/>
      <c r="M191" s="2005"/>
      <c r="N191" s="1597"/>
      <c r="O191" s="1929"/>
      <c r="P191" s="2079"/>
      <c r="Q191" s="1593"/>
      <c r="R191" s="2005"/>
      <c r="S191" s="2005"/>
      <c r="T191" s="1890"/>
      <c r="U191" s="1929"/>
      <c r="V191" s="2087"/>
      <c r="W191" s="1594"/>
      <c r="X191" s="2005"/>
      <c r="Y191" s="2005"/>
      <c r="Z191" s="1597"/>
      <c r="AA191" s="1929"/>
      <c r="AB191" s="2089"/>
      <c r="AC191" s="1598"/>
      <c r="AD191" s="1933"/>
      <c r="AE191" s="1933"/>
      <c r="AF191" s="1599"/>
      <c r="AG191" s="1600"/>
      <c r="AH191" s="2080" t="s">
        <v>438</v>
      </c>
      <c r="AI191" s="2081"/>
    </row>
    <row s="2412" customFormat="1" customHeight="1" ht="15">
      <c r="D192" s="2085"/>
      <c r="E192" s="2018"/>
      <c r="F192" s="2018"/>
      <c r="G192" s="2005"/>
      <c r="H192" s="1597"/>
      <c r="I192" s="2090"/>
      <c r="J192" s="2061"/>
      <c r="K192" s="1596"/>
      <c r="L192" s="2005"/>
      <c r="M192" s="2005"/>
      <c r="N192" s="1597"/>
      <c r="O192" s="1929"/>
      <c r="P192" s="2079"/>
      <c r="Q192" s="1593"/>
      <c r="R192" s="2005"/>
      <c r="S192" s="2005"/>
      <c r="T192" s="1890"/>
      <c r="U192" s="1929"/>
      <c r="V192" s="2087"/>
      <c r="W192" s="1594"/>
      <c r="X192" s="2005"/>
      <c r="Y192" s="2005"/>
      <c r="Z192" s="1635"/>
      <c r="AA192" s="1602"/>
      <c r="AB192" s="2082" t="s">
        <v>439</v>
      </c>
      <c r="AC192" s="2082"/>
      <c r="AD192" s="2082"/>
      <c r="AE192" s="2082"/>
      <c r="AF192" s="2082"/>
      <c r="AG192" s="2082"/>
      <c r="AH192" s="2082"/>
      <c r="AI192" s="2083"/>
    </row>
    <row s="2412" customFormat="1" customHeight="1" ht="15">
      <c r="D193" s="2085"/>
      <c r="E193" s="2018"/>
      <c r="F193" s="2018"/>
      <c r="G193" s="2005"/>
      <c r="H193" s="1597"/>
      <c r="I193" s="2090"/>
      <c r="J193" s="2061"/>
      <c r="K193" s="1596"/>
      <c r="L193" s="2005"/>
      <c r="M193" s="2005"/>
      <c r="N193" s="1597"/>
      <c r="O193" s="1929"/>
      <c r="P193" s="2084"/>
      <c r="Q193" s="1593"/>
      <c r="R193" s="2005"/>
      <c r="S193" s="2005"/>
      <c r="T193" s="1891"/>
      <c r="U193" s="1636"/>
      <c r="V193" s="2080" t="s">
        <v>102</v>
      </c>
      <c r="W193" s="2080"/>
      <c r="X193" s="2080"/>
      <c r="Y193" s="2080"/>
      <c r="Z193" s="2080"/>
      <c r="AA193" s="2080"/>
      <c r="AB193" s="2080"/>
      <c r="AC193" s="2080"/>
      <c r="AD193" s="2080"/>
      <c r="AE193" s="2080"/>
      <c r="AF193" s="2080"/>
      <c r="AG193" s="2080"/>
      <c r="AH193" s="2080"/>
      <c r="AI193" s="2081"/>
    </row>
    <row s="2412" customFormat="1" customHeight="1" ht="11.25">
      <c r="D194" s="2085"/>
      <c r="E194" s="2018"/>
      <c r="F194" s="2018"/>
      <c r="G194" s="2005"/>
      <c r="H194" s="1601"/>
      <c r="I194" s="2090"/>
      <c r="J194" s="2091"/>
      <c r="K194" s="1596"/>
      <c r="L194" s="2005"/>
      <c r="M194" s="2005"/>
      <c r="N194" s="1601"/>
      <c r="O194" s="1602"/>
      <c r="P194" s="2080" t="s">
        <v>440</v>
      </c>
      <c r="Q194" s="2080"/>
      <c r="R194" s="2080"/>
      <c r="S194" s="2080"/>
      <c r="T194" s="2080"/>
      <c r="U194" s="2080"/>
      <c r="V194" s="2080"/>
      <c r="W194" s="2080"/>
      <c r="X194" s="2080"/>
      <c r="Y194" s="2080"/>
      <c r="Z194" s="2080"/>
      <c r="AA194" s="2080"/>
      <c r="AB194" s="2080"/>
      <c r="AC194" s="2080"/>
      <c r="AD194" s="2080"/>
      <c r="AE194" s="2080"/>
      <c r="AF194" s="2080"/>
      <c r="AG194" s="2080"/>
      <c r="AH194" s="2080"/>
      <c r="AI194" s="2081"/>
    </row>
    <row s="1587" customFormat="1" customHeight="1" ht="11.25">
      <c r="D195" s="2085"/>
      <c r="E195" s="2018"/>
      <c r="F195" s="2018"/>
      <c r="G195" s="1933"/>
      <c r="H195" s="1603"/>
      <c r="I195" s="1604"/>
      <c r="J195" s="2080" t="s">
        <v>435</v>
      </c>
      <c r="K195" s="2080"/>
      <c r="L195" s="2080"/>
      <c r="M195" s="2080"/>
      <c r="N195" s="2080"/>
      <c r="O195" s="2080"/>
      <c r="P195" s="2080"/>
      <c r="Q195" s="2080"/>
      <c r="R195" s="2080"/>
      <c r="S195" s="2080"/>
      <c r="T195" s="2080"/>
      <c r="U195" s="2080"/>
      <c r="V195" s="2080"/>
      <c r="W195" s="2080"/>
      <c r="X195" s="2080"/>
      <c r="Y195" s="2080"/>
      <c r="Z195" s="2080"/>
      <c r="AA195" s="2080"/>
      <c r="AB195" s="2080"/>
      <c r="AC195" s="2080"/>
      <c r="AD195" s="2080"/>
      <c r="AE195" s="2080"/>
      <c r="AF195" s="2080"/>
      <c r="AG195" s="2080"/>
      <c r="AH195" s="2080"/>
      <c r="AI195" s="2081"/>
      <c r="BK195" s="0"/>
    </row>
    <row customHeight="1" ht="17.25">
      <c r="G196" s="1874"/>
      <c r="I196" s="1874"/>
      <c r="J196" s="1874"/>
      <c r="N196" s="0"/>
    </row>
    <row s="2412" customFormat="1" customHeight="1" ht="15">
      <c r="D197" s="2085"/>
      <c r="E197" s="2018"/>
      <c r="F197" s="2018"/>
      <c r="G197" s="1998"/>
      <c r="H197" s="1631"/>
      <c r="I197" s="2000"/>
      <c r="J197" s="1973"/>
      <c r="K197" s="1819"/>
      <c r="L197" s="1956"/>
      <c r="M197" s="1956"/>
      <c r="N197" s="1616"/>
      <c r="O197" s="1956"/>
      <c r="P197" s="1973"/>
      <c r="Q197" s="1823"/>
      <c r="R197" s="1956"/>
      <c r="S197" s="1956"/>
      <c r="T197" s="1892"/>
      <c r="U197" s="1956"/>
      <c r="V197" s="1973"/>
      <c r="W197" s="1619"/>
      <c r="X197" s="1956"/>
      <c r="Y197" s="1956"/>
      <c r="Z197" s="1616"/>
      <c r="AA197" s="1956"/>
      <c r="AB197" s="1973"/>
      <c r="AC197" s="1620"/>
      <c r="AD197" s="1956"/>
      <c r="AE197" s="1956"/>
      <c r="AF197" s="1817"/>
      <c r="AG197" s="1817"/>
      <c r="AH197" s="1621"/>
      <c r="AI197" s="1319"/>
    </row>
    <row s="2412" customFormat="1" customHeight="1" ht="15">
      <c r="D198" s="2085"/>
      <c r="E198" s="2018"/>
      <c r="F198" s="2018"/>
      <c r="G198" s="1998"/>
      <c r="H198" s="1632"/>
      <c r="I198" s="2001"/>
      <c r="J198" s="1974"/>
      <c r="K198" s="1641"/>
      <c r="L198" s="1957"/>
      <c r="M198" s="1957"/>
      <c r="N198" s="1622"/>
      <c r="O198" s="1957"/>
      <c r="P198" s="1974"/>
      <c r="Q198" s="1824"/>
      <c r="R198" s="1957"/>
      <c r="S198" s="1957"/>
      <c r="T198" s="1893"/>
      <c r="U198" s="1957"/>
      <c r="V198" s="1974"/>
      <c r="W198" s="1625"/>
      <c r="X198" s="1957"/>
      <c r="Y198" s="1957"/>
      <c r="Z198" s="1622"/>
      <c r="AA198" s="1957"/>
      <c r="AB198" s="1974"/>
      <c r="AC198" s="1626"/>
      <c r="AD198" s="1957"/>
      <c r="AE198" s="1957"/>
      <c r="AF198" s="1822"/>
      <c r="AG198" s="1822"/>
      <c r="AH198" s="1996"/>
      <c r="AI198" s="1997"/>
    </row>
    <row s="2412" customFormat="1" customHeight="1" ht="15">
      <c r="D199" s="2085"/>
      <c r="E199" s="2018"/>
      <c r="F199" s="2018"/>
      <c r="G199" s="1998"/>
      <c r="H199" s="1632"/>
      <c r="I199" s="2001"/>
      <c r="J199" s="1974"/>
      <c r="K199" s="1641"/>
      <c r="L199" s="1957"/>
      <c r="M199" s="1957"/>
      <c r="N199" s="1622"/>
      <c r="O199" s="1957"/>
      <c r="P199" s="1974"/>
      <c r="Q199" s="1824"/>
      <c r="R199" s="1957"/>
      <c r="S199" s="1957"/>
      <c r="T199" s="1893"/>
      <c r="U199" s="1957"/>
      <c r="V199" s="1974"/>
      <c r="W199" s="1625"/>
      <c r="X199" s="1957"/>
      <c r="Y199" s="1957"/>
      <c r="Z199" s="1820"/>
      <c r="AA199" s="1822"/>
      <c r="AB199" s="1996"/>
      <c r="AC199" s="1996"/>
      <c r="AD199" s="1996"/>
      <c r="AE199" s="1996"/>
      <c r="AF199" s="1996"/>
      <c r="AG199" s="1996"/>
      <c r="AH199" s="1996"/>
      <c r="AI199" s="1997"/>
    </row>
    <row s="2412" customFormat="1" customHeight="1" ht="15">
      <c r="D200" s="2085"/>
      <c r="E200" s="2018"/>
      <c r="F200" s="2018"/>
      <c r="G200" s="1998"/>
      <c r="H200" s="1632"/>
      <c r="I200" s="2001"/>
      <c r="J200" s="1974"/>
      <c r="K200" s="1641"/>
      <c r="L200" s="1957"/>
      <c r="M200" s="1957"/>
      <c r="N200" s="1622"/>
      <c r="O200" s="1957"/>
      <c r="P200" s="1974"/>
      <c r="Q200" s="1824"/>
      <c r="R200" s="1957"/>
      <c r="S200" s="1957"/>
      <c r="T200" s="1894"/>
      <c r="U200" s="1629"/>
      <c r="V200" s="1996"/>
      <c r="W200" s="1996"/>
      <c r="X200" s="1996"/>
      <c r="Y200" s="1996"/>
      <c r="Z200" s="1996"/>
      <c r="AA200" s="1996"/>
      <c r="AB200" s="1996"/>
      <c r="AC200" s="1996"/>
      <c r="AD200" s="1996"/>
      <c r="AE200" s="1996"/>
      <c r="AF200" s="1996"/>
      <c r="AG200" s="1996"/>
      <c r="AH200" s="1996"/>
      <c r="AI200" s="1997"/>
    </row>
    <row s="2412" customFormat="1" customHeight="1" ht="11.25">
      <c r="D201" s="2085"/>
      <c r="E201" s="2018"/>
      <c r="F201" s="2018"/>
      <c r="G201" s="1998"/>
      <c r="H201" s="1633"/>
      <c r="I201" s="2001"/>
      <c r="J201" s="1974"/>
      <c r="K201" s="1641"/>
      <c r="L201" s="1957"/>
      <c r="M201" s="1957"/>
      <c r="N201" s="1822"/>
      <c r="O201" s="1822"/>
      <c r="P201" s="1996"/>
      <c r="Q201" s="1996"/>
      <c r="R201" s="1996"/>
      <c r="S201" s="1996"/>
      <c r="T201" s="1996"/>
      <c r="U201" s="1996"/>
      <c r="V201" s="1996"/>
      <c r="W201" s="1996"/>
      <c r="X201" s="1996"/>
      <c r="Y201" s="1996"/>
      <c r="Z201" s="1996"/>
      <c r="AA201" s="1996"/>
      <c r="AB201" s="1996"/>
      <c r="AC201" s="1996"/>
      <c r="AD201" s="1996"/>
      <c r="AE201" s="1996"/>
      <c r="AF201" s="1996"/>
      <c r="AG201" s="1996"/>
      <c r="AH201" s="1996"/>
      <c r="AI201" s="1997"/>
    </row>
    <row s="1587" customFormat="1" customHeight="1" ht="11.25">
      <c r="D202" s="2085"/>
      <c r="E202" s="2018"/>
      <c r="F202" s="2018"/>
      <c r="G202" s="2003"/>
      <c r="H202" s="1630"/>
      <c r="I202" s="1634"/>
      <c r="J202" s="2006"/>
      <c r="K202" s="2006"/>
      <c r="L202" s="2006"/>
      <c r="M202" s="2006"/>
      <c r="N202" s="2006"/>
      <c r="O202" s="2006"/>
      <c r="P202" s="2006"/>
      <c r="Q202" s="2006"/>
      <c r="R202" s="2006"/>
      <c r="S202" s="2006"/>
      <c r="T202" s="2006"/>
      <c r="U202" s="2006"/>
      <c r="V202" s="2006"/>
      <c r="W202" s="2006"/>
      <c r="X202" s="2006"/>
      <c r="Y202" s="2006"/>
      <c r="Z202" s="2006"/>
      <c r="AA202" s="2006"/>
      <c r="AB202" s="2006"/>
      <c r="AC202" s="2006"/>
      <c r="AD202" s="2006"/>
      <c r="AE202" s="2006"/>
      <c r="AF202" s="2006"/>
      <c r="AG202" s="2006"/>
      <c r="AH202" s="2006"/>
      <c r="AI202" s="2007"/>
      <c r="BK202" s="0"/>
    </row>
    <row customHeight="1" ht="17.25">
      <c r="A203" s="0"/>
    </row>
  </sheetData>
  <sheetProtection formatColumns="0" formatRows="0" sort="0" autoFilter="0" insertRows="0" insertColumns="1" deleteRows="0" deleteColumns="0"/>
  <mergeCells count="285">
    <mergeCell ref="F60:F61"/>
    <mergeCell ref="G60:G61"/>
    <mergeCell ref="H60:H61"/>
    <mergeCell ref="I60:I61"/>
    <mergeCell ref="J60:J61"/>
    <mergeCell ref="K60:K61"/>
    <mergeCell ref="U109:U111"/>
    <mergeCell ref="V109:V111"/>
    <mergeCell ref="D142:D146"/>
    <mergeCell ref="L60:L61"/>
    <mergeCell ref="G70:G74"/>
    <mergeCell ref="U121:U123"/>
    <mergeCell ref="V121:V123"/>
    <mergeCell ref="O142:O144"/>
    <mergeCell ref="S142:S143"/>
    <mergeCell ref="U60:U61"/>
    <mergeCell ref="V60:V61"/>
    <mergeCell ref="U118:U120"/>
    <mergeCell ref="V118:V120"/>
    <mergeCell ref="P142:P143"/>
    <mergeCell ref="Q142:Q143"/>
    <mergeCell ref="R142:R143"/>
    <mergeCell ref="G142:G146"/>
    <mergeCell ref="K142:K145"/>
    <mergeCell ref="D115:D123"/>
    <mergeCell ref="E115:G115"/>
    <mergeCell ref="H115:R115"/>
    <mergeCell ref="D103:D111"/>
    <mergeCell ref="E103:G103"/>
    <mergeCell ref="H103:R103"/>
    <mergeCell ref="M142:M144"/>
    <mergeCell ref="P71:P73"/>
    <mergeCell ref="Q71:Q73"/>
    <mergeCell ref="R71:R73"/>
    <mergeCell ref="N79:N81"/>
    <mergeCell ref="O79:O81"/>
    <mergeCell ref="P79:P81"/>
    <mergeCell ref="Q79:Q81"/>
    <mergeCell ref="R79:R81"/>
    <mergeCell ref="H135:H136"/>
    <mergeCell ref="I135:I136"/>
    <mergeCell ref="J135:J136"/>
    <mergeCell ref="K135:K136"/>
    <mergeCell ref="AC103:AC108"/>
    <mergeCell ref="E104:G104"/>
    <mergeCell ref="H104:R104"/>
    <mergeCell ref="E105:G105"/>
    <mergeCell ref="E127:E130"/>
    <mergeCell ref="F127:F130"/>
    <mergeCell ref="G127:G130"/>
    <mergeCell ref="L127:M127"/>
    <mergeCell ref="S127:S130"/>
    <mergeCell ref="H128:H129"/>
    <mergeCell ref="I128:I129"/>
    <mergeCell ref="J128:J129"/>
    <mergeCell ref="K128:K129"/>
    <mergeCell ref="H105:R105"/>
    <mergeCell ref="E106:P106"/>
    <mergeCell ref="U106:U108"/>
    <mergeCell ref="V106:V108"/>
    <mergeCell ref="E109:P109"/>
    <mergeCell ref="AC115:AC120"/>
    <mergeCell ref="E116:G116"/>
    <mergeCell ref="H116:R116"/>
    <mergeCell ref="E117:G117"/>
    <mergeCell ref="H117:R117"/>
    <mergeCell ref="E118:P118"/>
    <mergeCell ref="D182:D186"/>
    <mergeCell ref="I142:I145"/>
    <mergeCell ref="H182:H185"/>
    <mergeCell ref="J182:J185"/>
    <mergeCell ref="K182:K185"/>
    <mergeCell ref="M182:M184"/>
    <mergeCell ref="O182:O184"/>
    <mergeCell ref="L182:L184"/>
    <mergeCell ref="L142:L144"/>
    <mergeCell ref="N182:N184"/>
    <mergeCell ref="E142:E146"/>
    <mergeCell ref="N142:N144"/>
    <mergeCell ref="J142:J145"/>
    <mergeCell ref="F142:F146"/>
    <mergeCell ref="E182:E186"/>
    <mergeCell ref="H142:H145"/>
    <mergeCell ref="G182:G186"/>
    <mergeCell ref="H148:H151"/>
    <mergeCell ref="I148:I151"/>
    <mergeCell ref="J148:J151"/>
    <mergeCell ref="K148:K151"/>
    <mergeCell ref="L148:L150"/>
    <mergeCell ref="M148:M150"/>
    <mergeCell ref="N148:N150"/>
    <mergeCell ref="Q182:Q183"/>
    <mergeCell ref="R182:R183"/>
    <mergeCell ref="S182:S183"/>
    <mergeCell ref="P182:P183"/>
    <mergeCell ref="I182:I185"/>
    <mergeCell ref="F182:F186"/>
    <mergeCell ref="A13:A15"/>
    <mergeCell ref="D19:D21"/>
    <mergeCell ref="E19:E21"/>
    <mergeCell ref="F19:F21"/>
    <mergeCell ref="G19:G20"/>
    <mergeCell ref="H19:H20"/>
    <mergeCell ref="I19:I20"/>
    <mergeCell ref="J19:J20"/>
    <mergeCell ref="G25:G26"/>
    <mergeCell ref="H25:H26"/>
    <mergeCell ref="I25:I26"/>
    <mergeCell ref="J25:J26"/>
    <mergeCell ref="M164:M166"/>
    <mergeCell ref="N164:N166"/>
    <mergeCell ref="O164:O166"/>
    <mergeCell ref="P164:P165"/>
    <mergeCell ref="Q164:Q165"/>
    <mergeCell ref="R164:R165"/>
    <mergeCell ref="Y60:Y61"/>
    <mergeCell ref="S60:S61"/>
    <mergeCell ref="T60:T61"/>
    <mergeCell ref="M60:M61"/>
    <mergeCell ref="N60:N61"/>
    <mergeCell ref="O60:O61"/>
    <mergeCell ref="Q60:Q61"/>
    <mergeCell ref="R60:R61"/>
    <mergeCell ref="W60:W61"/>
    <mergeCell ref="X60:X61"/>
    <mergeCell ref="P60:P61"/>
    <mergeCell ref="AJ70:AJ74"/>
    <mergeCell ref="AK70:AK74"/>
    <mergeCell ref="I75:K75"/>
    <mergeCell ref="F70:F75"/>
    <mergeCell ref="AF70:AF74"/>
    <mergeCell ref="AG70:AG74"/>
    <mergeCell ref="AH70:AH74"/>
    <mergeCell ref="AI70:AI74"/>
    <mergeCell ref="S71:S73"/>
    <mergeCell ref="T71:T73"/>
    <mergeCell ref="U71:U73"/>
    <mergeCell ref="V71:V73"/>
    <mergeCell ref="W71:W73"/>
    <mergeCell ref="X71:X73"/>
    <mergeCell ref="Y71:Y73"/>
    <mergeCell ref="H70:H74"/>
    <mergeCell ref="I70:I74"/>
    <mergeCell ref="J70:J74"/>
    <mergeCell ref="K70:K74"/>
    <mergeCell ref="L70:L74"/>
    <mergeCell ref="M70:M74"/>
    <mergeCell ref="N71:N73"/>
    <mergeCell ref="O71:O73"/>
    <mergeCell ref="W164:W165"/>
    <mergeCell ref="D164:D168"/>
    <mergeCell ref="E164:E168"/>
    <mergeCell ref="F164:F168"/>
    <mergeCell ref="G164:G168"/>
    <mergeCell ref="H164:H167"/>
    <mergeCell ref="I164:I167"/>
    <mergeCell ref="J164:J167"/>
    <mergeCell ref="K164:K167"/>
    <mergeCell ref="L164:L166"/>
    <mergeCell ref="R190:R193"/>
    <mergeCell ref="S190:S193"/>
    <mergeCell ref="U190:U192"/>
    <mergeCell ref="V190:V192"/>
    <mergeCell ref="X190:X192"/>
    <mergeCell ref="Y190:Y192"/>
    <mergeCell ref="AA190:AA191"/>
    <mergeCell ref="AB190:AB191"/>
    <mergeCell ref="D190:D195"/>
    <mergeCell ref="E190:E195"/>
    <mergeCell ref="F190:F195"/>
    <mergeCell ref="G190:G195"/>
    <mergeCell ref="I190:I194"/>
    <mergeCell ref="J190:J194"/>
    <mergeCell ref="L190:L194"/>
    <mergeCell ref="M190:M194"/>
    <mergeCell ref="O190:O193"/>
    <mergeCell ref="D197:D202"/>
    <mergeCell ref="E197:E202"/>
    <mergeCell ref="F197:F202"/>
    <mergeCell ref="G197:G202"/>
    <mergeCell ref="I197:I201"/>
    <mergeCell ref="J197:J201"/>
    <mergeCell ref="L197:L201"/>
    <mergeCell ref="M197:M201"/>
    <mergeCell ref="O197:O200"/>
    <mergeCell ref="AB197:AB198"/>
    <mergeCell ref="AD197:AD198"/>
    <mergeCell ref="AE197:AE198"/>
    <mergeCell ref="AH198:AI198"/>
    <mergeCell ref="AB199:AI199"/>
    <mergeCell ref="V200:AI200"/>
    <mergeCell ref="P201:AI201"/>
    <mergeCell ref="J202:AI202"/>
    <mergeCell ref="AD190:AD191"/>
    <mergeCell ref="AE190:AE191"/>
    <mergeCell ref="AH191:AI191"/>
    <mergeCell ref="AB192:AI192"/>
    <mergeCell ref="V193:AI193"/>
    <mergeCell ref="P194:AI194"/>
    <mergeCell ref="J195:AI195"/>
    <mergeCell ref="P197:P200"/>
    <mergeCell ref="R197:R200"/>
    <mergeCell ref="S197:S200"/>
    <mergeCell ref="U197:U199"/>
    <mergeCell ref="V197:V199"/>
    <mergeCell ref="X197:X199"/>
    <mergeCell ref="Y197:Y199"/>
    <mergeCell ref="AA197:AA198"/>
    <mergeCell ref="P190:P193"/>
    <mergeCell ref="S79:S81"/>
    <mergeCell ref="T79:T81"/>
    <mergeCell ref="U79:U81"/>
    <mergeCell ref="V79:V81"/>
    <mergeCell ref="W79:W81"/>
    <mergeCell ref="X79:X81"/>
    <mergeCell ref="Y79:Y81"/>
    <mergeCell ref="H89:H93"/>
    <mergeCell ref="I89:I93"/>
    <mergeCell ref="J89:J93"/>
    <mergeCell ref="K89:K93"/>
    <mergeCell ref="L89:L93"/>
    <mergeCell ref="M89:M93"/>
    <mergeCell ref="AF89:AF93"/>
    <mergeCell ref="AG89:AG93"/>
    <mergeCell ref="AH89:AH93"/>
    <mergeCell ref="AI89:AI93"/>
    <mergeCell ref="AJ89:AJ93"/>
    <mergeCell ref="AK89:AK93"/>
    <mergeCell ref="N90:N92"/>
    <mergeCell ref="O90:O92"/>
    <mergeCell ref="P90:P92"/>
    <mergeCell ref="Q90:Q92"/>
    <mergeCell ref="R90:R92"/>
    <mergeCell ref="S90:S92"/>
    <mergeCell ref="T90:T92"/>
    <mergeCell ref="U90:U92"/>
    <mergeCell ref="V90:V92"/>
    <mergeCell ref="W90:W92"/>
    <mergeCell ref="X90:X92"/>
    <mergeCell ref="Y90:Y92"/>
    <mergeCell ref="O148:O150"/>
    <mergeCell ref="P148:P149"/>
    <mergeCell ref="Q148:Q149"/>
    <mergeCell ref="R148:R149"/>
    <mergeCell ref="S148:S149"/>
    <mergeCell ref="L153:L155"/>
    <mergeCell ref="M153:M155"/>
    <mergeCell ref="N153:N155"/>
    <mergeCell ref="O153:O155"/>
    <mergeCell ref="P153:P154"/>
    <mergeCell ref="Q153:Q154"/>
    <mergeCell ref="R153:R154"/>
    <mergeCell ref="S153:S154"/>
    <mergeCell ref="P157:P158"/>
    <mergeCell ref="Q157:Q158"/>
    <mergeCell ref="R157:R158"/>
    <mergeCell ref="S157:S158"/>
    <mergeCell ref="H170:H173"/>
    <mergeCell ref="I170:I173"/>
    <mergeCell ref="J170:J173"/>
    <mergeCell ref="K170:K173"/>
    <mergeCell ref="L170:L172"/>
    <mergeCell ref="M170:M172"/>
    <mergeCell ref="N170:N172"/>
    <mergeCell ref="O170:O172"/>
    <mergeCell ref="P170:P171"/>
    <mergeCell ref="Q170:Q171"/>
    <mergeCell ref="R170:R171"/>
    <mergeCell ref="S170:S171"/>
    <mergeCell ref="S164:S165"/>
    <mergeCell ref="P179:P180"/>
    <mergeCell ref="Q179:Q180"/>
    <mergeCell ref="R179:R180"/>
    <mergeCell ref="S179:S180"/>
    <mergeCell ref="W179:W180"/>
    <mergeCell ref="W170:W171"/>
    <mergeCell ref="L175:L177"/>
    <mergeCell ref="M175:M177"/>
    <mergeCell ref="N175:N177"/>
    <mergeCell ref="O175:O177"/>
    <mergeCell ref="P175:P176"/>
    <mergeCell ref="Q175:Q176"/>
    <mergeCell ref="R175:R176"/>
    <mergeCell ref="S175:S176"/>
    <mergeCell ref="W175:W176"/>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0 AC197">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2:N144 N164:N166 N148:N150 N153:N155 N157:N158 N170:N172 N175:N177 N179:N180"/>
    <dataValidation type="list" allowBlank="1" showInputMessage="1" showErrorMessage="1" errorTitle="Ошибка" error="Выберите значение из списка" prompt="Выберите значение из списка" sqref="H98">
      <formula1>QRE_METHOD_LIST</formula1>
    </dataValidation>
    <dataValidation type="list" allowBlank="1" showInputMessage="1" showErrorMessage="1" errorTitle="Ошибка" error="Выберите значение из списка" prompt="Выберите значение из списка" sqref="J128:J129 J135:J136 J138">
      <formula1>kind_of_purchase_method</formula1>
    </dataValidation>
    <dataValidation allowBlank="1" showInputMessage="1" showErrorMessage="1" promptTitle="Ввод" prompt="Для выбора ИП необходимо два раза нажать левую кнопку мыши!" sqref="G60 G65"/>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48"/>
    <dataValidation type="whole" allowBlank="1" showErrorMessage="1" errorTitle="Ошибка" error="Допускается ввод только неотрицательных целых чисел!" sqref="AF79:AF81 AI79:AI81 AF89:AF93 AI89:AI93 AF85 AI85 AF70:AF74 AI70:AI74 N48 P48 U48:V48 Y48:Z48 J48 R48:S48 AC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48">
      <formula1>kind_of_power_te_unit</formula1>
    </dataValidation>
    <dataValidation allowBlank="1" showInputMessage="1" showErrorMessage="1" prompt="Изменение значения по двойному щелчоку левой кнопки мыши" sqref="J44"/>
    <dataValidation type="list" allowBlank="1" showInputMessage="1" showErrorMessage="1" sqref="I30">
      <formula1>DESCRIPTION_TERRITORY</formula1>
    </dataValidation>
    <dataValidation type="textLength" operator="lessThan" allowBlank="1" showInputMessage="1" showErrorMessage="1" error="Допускается ввод не более 900 символов!" sqref="M25 M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5 I70:J73 K60 K65 I85:J85 I89:J92">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4 H52 F5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2:N184">
      <formula1>DESCRIPTION_TERRITORY</formula1>
    </dataValidation>
    <dataValidation allowBlank="1" showInputMessage="1" showErrorMessage="1" prompt="Выберите виды деятельности, выполнив двойной щелчок левой кнопки мыши по ячейке." sqref="G153:G155 G160 G142:G146 G179:G180 G148:G151 G164:G168 G170:G173 G175:G177 G157:G158"/>
    <dataValidation type="decimal" allowBlank="1" showErrorMessage="1" errorTitle="Ошибка" error="Допускается ввод только неотрицательных чисел!" sqref="Q135 O135 O138 Q138 Q128 O128 AC72 AE72 AC80 AE80 AE85 AE91 AC91 AC85 H48:I48 T48 X48 AB48 O48 Q48 K48 M48">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2 T60 I60:J60 X60 T65 I65:J65 X65"/>
    <dataValidation allowBlank="1" showInputMessage="1" showErrorMessage="1" prompt="Для выбора выполните двойной щелчок левой клавиши мыши по соответствующей ячейке." sqref="K182:K183 O182:O183 S142:S143 S182:S183 O142 K142 F153:F155 S164:S165 O164 K164 F160 K148 S148:S149 O148 F142:F146 K153 S153:S154 O153 O179 K157 S157:S158 O157 F148:F151 K170 S170:S171 O170 F164:F168 F170:F173 S175:S176 O175 F175:F177 F179:F180 S179:S180 F157:F158"/>
    <dataValidation type="textLength" operator="lessThanOrEqual" allowBlank="1" showInputMessage="1" showErrorMessage="1" errorTitle="Ошибка" error="Допускается ввод не более 900 символов!" sqref="L60:M60 E8 J182:J183 R182:R183 U60:W60 V182:W182 AB60 G13 M30 E35 E39:F39 E48 E52:F52 E56 G56 Q60:S60 M70 K70:K73 V142:W142 J142:J143 R142:R143 V164:W164 J164:J165 R164:R165 AI190 J190:J194 P190:P193 AI197 J197:J201 P197:P200 E4 L65:M65 U65:W65 AB65 Q65:S65 V160:W160 J160 R160 K79:K81 M89 K89:K92 K85 V148:W148 J148:J149 R148:R149 V153:W153 J153:J154 R153:R154 V157:W157 J157:J158 R157:R158 V170:W170 J170:J171 R170:R171 V175:W175 J175:J176 R175:R176 V179:W179 J179:J180 R179:R18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14A18-5651-4E48-A424-4132B352F376}"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2295" width="9.140625" hidden="1" customWidth="1"/>
    <col min="2" max="2" style="1389" width="9.140625" hidden="1" customWidth="1"/>
    <col min="3" max="3" style="332" width="3.7109375" customWidth="1"/>
    <col min="4" max="4" style="1666" width="6.28125" customWidth="1"/>
    <col min="5" max="6" style="1666" width="64.140625" customWidth="1"/>
    <col min="7" max="7" style="1666" width="141.140625" customWidth="1"/>
    <col min="8" max="8" style="1666" width="10.57421875"/>
    <col min="9" max="10" style="1655" width="10.57421875"/>
    <col min="11" max="16" style="1666" width="10.57421875"/>
  </cols>
  <sheetData>
    <row customHeight="1" ht="14.25" hidden="1">
      <c r="M1" s="234"/>
      <c r="N1" s="234"/>
      <c r="P1" s="234"/>
    </row>
    <row customHeight="1" ht="14.25" hidden="1"/>
    <row customHeight="1" ht="14.25" hidden="1"/>
    <row customHeight="1" ht="3">
      <c r="C4" s="76"/>
      <c r="D4" s="65"/>
      <c r="E4" s="65"/>
      <c r="F4" s="66"/>
      <c r="G4" s="66"/>
    </row>
    <row customHeight="1" ht="25.5">
      <c r="C5" s="76"/>
      <c r="D5" s="2150" t="str">
        <f>TERMS_NAME_FORM</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51"/>
      <c r="F5" s="2151"/>
      <c r="G5" s="2152"/>
    </row>
    <row s="1666" customFormat="1" customHeight="1" ht="18">
      <c r="A6" s="881"/>
      <c r="B6" s="415"/>
      <c r="C6" s="368"/>
      <c r="D6" s="2153" t="str">
        <f>IF(org=0,"Не определено",org)</f>
        <v>ПАО "ТГК-2"</v>
      </c>
      <c r="E6" s="2154"/>
      <c r="F6" s="2154"/>
      <c r="G6" s="2155"/>
      <c r="I6" s="498"/>
      <c r="J6" s="498"/>
    </row>
    <row customHeight="1" ht="14.25">
      <c r="C7" s="76"/>
      <c r="D7" s="65"/>
      <c r="E7" s="75"/>
      <c r="F7" s="751"/>
      <c r="G7" s="172"/>
    </row>
    <row s="1666" customFormat="1" customHeight="1" ht="0.75">
      <c r="A8" s="1700"/>
      <c r="B8" s="1161"/>
      <c r="C8" s="368"/>
      <c r="D8" s="353"/>
      <c r="E8" s="386"/>
      <c r="F8" s="751"/>
      <c r="G8" s="172"/>
      <c r="I8" s="1655"/>
      <c r="J8" s="1655"/>
    </row>
    <row customHeight="1" ht="14.25">
      <c r="C9" s="76"/>
      <c r="D9" s="2029" t="s">
        <v>290</v>
      </c>
      <c r="E9" s="2029"/>
      <c r="F9" s="2029"/>
      <c r="G9" s="2156" t="s">
        <v>291</v>
      </c>
    </row>
    <row customHeight="1" ht="14.25">
      <c r="C10" s="76"/>
      <c r="D10" s="85" t="s">
        <v>87</v>
      </c>
      <c r="E10" s="88" t="s">
        <v>292</v>
      </c>
      <c r="F10" s="88" t="s">
        <v>382</v>
      </c>
      <c r="G10" s="2156"/>
    </row>
    <row customHeight="1" ht="12" hidden="1">
      <c r="C11" s="76"/>
      <c r="D11" s="68"/>
      <c r="E11" s="68"/>
      <c r="F11" s="68"/>
      <c r="G11" s="68"/>
    </row>
    <row customHeight="1" ht="62.25">
      <c r="A12" s="171"/>
      <c r="C12" s="76"/>
      <c r="D12" s="127">
        <v>1</v>
      </c>
      <c r="E12" s="17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77" t="s">
        <v>296</v>
      </c>
      <c r="G12" s="131"/>
    </row>
    <row customHeight="1" ht="22.5">
      <c r="A13" s="171"/>
      <c r="C13" s="76"/>
      <c r="D13" s="127" t="s">
        <v>428</v>
      </c>
      <c r="E13" s="17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77" t="s">
        <v>296</v>
      </c>
      <c r="G13" s="131"/>
    </row>
    <row customHeight="1" ht="14.25">
      <c r="A14" s="171"/>
      <c r="C14" s="76"/>
      <c r="D14" s="127" t="s">
        <v>441</v>
      </c>
      <c r="E14" s="174"/>
      <c r="F14" s="192"/>
      <c r="G14" s="19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1"/>
      <c r="C15" s="76"/>
      <c r="D15" s="89"/>
      <c r="E15" s="337" t="s">
        <v>442</v>
      </c>
      <c r="F15" s="180"/>
      <c r="G15" s="1990"/>
    </row>
    <row customHeight="1" ht="14.25">
      <c r="A16" s="171"/>
      <c r="C16" s="76"/>
      <c r="D16" s="127" t="s">
        <v>443</v>
      </c>
      <c r="E16" s="17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77" t="s">
        <v>296</v>
      </c>
      <c r="G16" s="325"/>
    </row>
    <row customHeight="1" ht="14.25">
      <c r="A17" s="171"/>
      <c r="C17" s="76"/>
      <c r="D17" s="127" t="s">
        <v>444</v>
      </c>
      <c r="E17" s="174"/>
      <c r="F17" s="382"/>
      <c r="G17" s="19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1666" customFormat="1" customHeight="1" ht="21">
      <c r="A18" s="331"/>
      <c r="B18" s="126"/>
      <c r="C18" s="288"/>
      <c r="D18" s="335"/>
      <c r="E18" s="337" t="s">
        <v>445</v>
      </c>
      <c r="F18" s="326"/>
      <c r="G18" s="1990"/>
      <c r="I18" s="338"/>
      <c r="J18" s="338"/>
    </row>
    <row s="1666" customFormat="1" customHeight="1" ht="256.5" hidden="1">
      <c r="A19" s="331"/>
      <c r="B19" s="415"/>
      <c r="C19" s="368"/>
      <c r="D19" s="883" t="s">
        <v>446</v>
      </c>
      <c r="E19" s="882" t="s">
        <v>447</v>
      </c>
      <c r="F19" s="382"/>
      <c r="G19" s="325" t="s">
        <v>448</v>
      </c>
      <c r="I19" s="498"/>
      <c r="J19" s="498"/>
    </row>
    <row s="1666" customFormat="1" customHeight="1" ht="14.25">
      <c r="A20" s="331"/>
      <c r="B20" s="126"/>
      <c r="C20" s="288"/>
      <c r="D20" s="884">
        <v>2</v>
      </c>
      <c r="E20" s="318" t="s">
        <v>449</v>
      </c>
      <c r="F20" s="177" t="s">
        <v>296</v>
      </c>
      <c r="G20" s="325"/>
      <c r="I20" s="338"/>
      <c r="J20" s="338"/>
    </row>
    <row s="1666" customFormat="1" customHeight="1" ht="18.75" hidden="1">
      <c r="A21" s="331"/>
      <c r="B21" s="126"/>
      <c r="C21" s="288"/>
      <c r="D21" s="321" t="s">
        <v>450</v>
      </c>
      <c r="E21" s="320"/>
      <c r="F21" s="319"/>
      <c r="G21" s="329"/>
      <c r="H21" s="322"/>
      <c r="I21" s="338"/>
      <c r="J21" s="338"/>
    </row>
    <row customHeight="1" ht="15">
      <c r="A22" s="171"/>
      <c r="C22" s="76"/>
      <c r="D22" s="89"/>
      <c r="E22" s="182" t="s">
        <v>451</v>
      </c>
      <c r="F22" s="326"/>
      <c r="G22" s="327"/>
    </row>
    <row s="1666" customFormat="1" customHeight="1" ht="22.5" hidden="1">
      <c r="A23" s="331"/>
      <c r="B23" s="1161"/>
      <c r="C23" s="368"/>
      <c r="D23" s="1704" t="s">
        <v>109</v>
      </c>
      <c r="E23" s="176" t="s">
        <v>452</v>
      </c>
      <c r="F23" s="1701" t="s">
        <v>296</v>
      </c>
      <c r="G23" s="333"/>
      <c r="I23" s="1655"/>
      <c r="J23" s="1655"/>
    </row>
    <row s="1666" customFormat="1" customHeight="1" ht="14.25" hidden="1">
      <c r="A24" s="331"/>
      <c r="B24" s="1161"/>
      <c r="C24" s="368"/>
      <c r="D24" s="1704" t="s">
        <v>453</v>
      </c>
      <c r="E24" s="1703" t="s">
        <v>454</v>
      </c>
      <c r="F24" s="1701" t="s">
        <v>296</v>
      </c>
      <c r="G24" s="325"/>
      <c r="I24" s="1655"/>
      <c r="J24" s="1655"/>
    </row>
    <row s="1666" customFormat="1" customHeight="1" ht="14.25" hidden="1">
      <c r="A25" s="331"/>
      <c r="B25" s="1161"/>
      <c r="C25" s="368"/>
      <c r="D25" s="1704" t="s">
        <v>455</v>
      </c>
      <c r="E25" s="174"/>
      <c r="F25" s="382"/>
      <c r="G25" s="1988" t="s">
        <v>456</v>
      </c>
      <c r="I25" s="1655"/>
      <c r="J25" s="1655"/>
    </row>
    <row s="1666" customFormat="1" customHeight="1" ht="22.5" hidden="1">
      <c r="A26" s="331"/>
      <c r="B26" s="1161"/>
      <c r="C26" s="368"/>
      <c r="D26" s="335"/>
      <c r="E26" s="337" t="s">
        <v>457</v>
      </c>
      <c r="F26" s="326"/>
      <c r="G26" s="1990"/>
      <c r="I26" s="1655"/>
      <c r="J26" s="1655"/>
    </row>
    <row customHeight="1" ht="3"/>
    <row customHeight="1" ht="14.25">
      <c r="D28" s="324"/>
      <c r="E28" s="323"/>
      <c r="F28" s="299"/>
      <c r="G28" s="299"/>
      <c r="H28" s="299"/>
      <c r="I28" s="299"/>
      <c r="J28" s="299"/>
      <c r="K28" s="299"/>
      <c r="L28" s="299"/>
      <c r="M28" s="299"/>
      <c r="N28" s="299"/>
      <c r="O28" s="299"/>
      <c r="P28" s="299"/>
    </row>
    <row customHeight="1" ht="14.25">
      <c r="D29" s="324"/>
      <c r="E29" s="580"/>
    </row>
    <row r="31" customHeight="1" ht="14.25">
      <c r="E31" s="757"/>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1B5F78-1D51-4C9D-6EE2-8C13634B6BB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32">
        <f>INDEX(PT_DIFFERENTIATION_NUM_NTAR,MATCH(A2,PT_DIFFERENTIATION_NTAR_ID,0))</f>
      </c>
      <c r="T2" s="278" t="s">
        <v>127</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458</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27"/>
      <c r="Q3" s="340"/>
      <c r="R3" s="341"/>
      <c r="S3" s="1332">
        <f>INDEX(PT_DIFFERENTIATION_NUM_TER,MATCH(B3,PT_DIFFERENTIATION_TER_ID,0))</f>
      </c>
      <c r="T3" s="290" t="s">
        <v>459</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460</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32">
        <f>INDEX(PT_DIFFERENTIATION_NUM_CS,MATCH(C4,PT_DIFFERENTIATION_CS_ID,0))</f>
      </c>
      <c r="T4" s="291" t="s">
        <v>461</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462</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32">
        <f>INDEX(PT_DIFFERENTIATION_NUM_IST_TE,MATCH(D5,PT_DIFFERENTIATION_IST_TE_ID,0))</f>
      </c>
      <c r="T5" s="292" t="s">
        <v>463</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464</v>
      </c>
      <c r="AO5" s="498"/>
      <c r="AP5" s="498" t="str">
        <f>IF(T5="","",T5)</f>
        <v>Источник тепловой энергии  </v>
      </c>
      <c r="AQ5" s="498"/>
      <c r="AR5" s="498"/>
    </row>
    <row customHeight="1" ht="47.25" hidden="1">
      <c r="A6" s="1386"/>
      <c r="B6" s="1386"/>
      <c r="C6" s="1386"/>
      <c r="D6" s="1386"/>
      <c r="E6" s="2174"/>
      <c r="F6" s="2174"/>
      <c r="G6" s="2174"/>
      <c r="H6" s="2174"/>
      <c r="I6" s="2171">
        <f>S5&amp;".1"</f>
      </c>
      <c r="J6" s="1386"/>
      <c r="K6" s="1386"/>
      <c r="L6" s="1387" t="s">
        <v>465</v>
      </c>
      <c r="M6" s="535"/>
      <c r="P6" s="2172">
        <v>1</v>
      </c>
      <c r="Q6" s="1328"/>
      <c r="R6" s="344"/>
      <c r="S6" s="1332">
        <f>$I6</f>
      </c>
      <c r="T6" s="266" t="s">
        <v>466</v>
      </c>
      <c r="U6" s="280"/>
      <c r="V6" s="2160"/>
      <c r="W6" s="2161"/>
      <c r="X6" s="2161"/>
      <c r="Y6" s="2161"/>
      <c r="Z6" s="2161"/>
      <c r="AA6" s="2161"/>
      <c r="AB6" s="2161"/>
      <c r="AC6" s="2162"/>
      <c r="AD6" s="2160"/>
      <c r="AE6" s="2161"/>
      <c r="AF6" s="2161"/>
      <c r="AG6" s="2161"/>
      <c r="AH6" s="2161"/>
      <c r="AI6" s="2161"/>
      <c r="AJ6" s="2161"/>
      <c r="AK6" s="2161"/>
      <c r="AL6" s="2162"/>
      <c r="AM6" s="1279" t="s">
        <v>467</v>
      </c>
      <c r="AO6" s="498"/>
      <c r="AP6" s="498" t="str">
        <f>IF(T6="","",T6)</f>
        <v>Схема подключения теплопотребляющей установки к коллектору источника тепловой энергии</v>
      </c>
      <c r="AQ6" s="498"/>
      <c r="AR6" s="498"/>
    </row>
    <row customHeight="1" ht="21" hidden="1">
      <c r="A7" s="1386"/>
      <c r="B7" s="1386"/>
      <c r="C7" s="1386"/>
      <c r="D7" s="1386"/>
      <c r="E7" s="2174"/>
      <c r="F7" s="2174"/>
      <c r="G7" s="2174"/>
      <c r="H7" s="2174"/>
      <c r="I7" s="2201"/>
      <c r="J7" s="2171">
        <f>I6&amp;".1"</f>
      </c>
      <c r="K7" s="1386"/>
      <c r="L7" s="1387" t="s">
        <v>468</v>
      </c>
      <c r="M7" s="535"/>
      <c r="N7" s="1389"/>
      <c r="P7" s="2172"/>
      <c r="Q7" s="2172">
        <v>1</v>
      </c>
      <c r="R7" s="345"/>
      <c r="S7" s="1332">
        <f>$J7</f>
      </c>
      <c r="T7" s="267" t="s">
        <v>469</v>
      </c>
      <c r="U7" s="280"/>
      <c r="V7" s="2160"/>
      <c r="W7" s="2161"/>
      <c r="X7" s="2161"/>
      <c r="Y7" s="2161"/>
      <c r="Z7" s="2161"/>
      <c r="AA7" s="2161"/>
      <c r="AB7" s="2161"/>
      <c r="AC7" s="2162"/>
      <c r="AD7" s="2160"/>
      <c r="AE7" s="2161"/>
      <c r="AF7" s="2161"/>
      <c r="AG7" s="2161"/>
      <c r="AH7" s="2161"/>
      <c r="AI7" s="2161"/>
      <c r="AJ7" s="2161"/>
      <c r="AK7" s="2161"/>
      <c r="AL7" s="2162"/>
      <c r="AM7" s="1279" t="s">
        <v>470</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471</v>
      </c>
      <c r="M8" s="535"/>
      <c r="N8" s="1389"/>
      <c r="O8" s="1389"/>
      <c r="P8" s="2172"/>
      <c r="Q8" s="2172"/>
      <c r="R8" s="345">
        <v>1</v>
      </c>
      <c r="S8" s="1332">
        <f>$K8</f>
      </c>
      <c r="T8" s="1370"/>
      <c r="U8" s="280"/>
      <c r="V8" s="749"/>
      <c r="W8" s="312"/>
      <c r="X8" s="749"/>
      <c r="Y8" s="1278"/>
      <c r="Z8" s="2180"/>
      <c r="AA8" s="1928" t="s">
        <v>58</v>
      </c>
      <c r="AB8" s="2180"/>
      <c r="AC8" s="1928" t="s">
        <v>58</v>
      </c>
      <c r="AD8" s="749"/>
      <c r="AE8" s="312"/>
      <c r="AF8" s="749"/>
      <c r="AG8" s="1278"/>
      <c r="AH8" s="2180"/>
      <c r="AI8" s="1928" t="s">
        <v>58</v>
      </c>
      <c r="AJ8" s="2180"/>
      <c r="AK8" s="1928" t="s">
        <v>58</v>
      </c>
      <c r="AL8" s="312"/>
      <c r="AM8" s="2168" t="s">
        <v>472</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29"/>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9" t="s">
        <v>473</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28"/>
      <c r="R11" s="344"/>
      <c r="S11" s="1301"/>
      <c r="T11" s="268" t="s">
        <v>474</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301"/>
      <c r="T12" s="356" t="s">
        <v>475</v>
      </c>
      <c r="U12" s="359"/>
      <c r="V12" s="359"/>
      <c r="W12" s="359"/>
      <c r="X12" s="359"/>
      <c r="Y12" s="359"/>
      <c r="Z12" s="359"/>
      <c r="AA12" s="359"/>
      <c r="AB12" s="359"/>
      <c r="AC12" s="358"/>
      <c r="AD12" s="359"/>
      <c r="AE12" s="359"/>
      <c r="AF12" s="359"/>
      <c r="AG12" s="359"/>
      <c r="AH12" s="359"/>
      <c r="AI12" s="359"/>
      <c r="AJ12" s="359"/>
      <c r="AK12" s="358"/>
      <c r="AL12" s="359"/>
      <c r="AM12" s="283"/>
      <c r="AO12" s="498"/>
      <c r="AP12" s="498" t="str">
        <f>IF(T12="","",T12)</f>
        <v>Добавить схему подключения</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432</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433</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434</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P17" s="1334"/>
      <c r="AD17" s="1383"/>
      <c r="AE17" s="1383"/>
      <c r="AF17" s="1383"/>
      <c r="AG17" s="1384"/>
      <c r="AH17" s="2182"/>
      <c r="AI17" s="2183" t="s">
        <v>58</v>
      </c>
      <c r="AJ17" s="2182"/>
      <c r="AK17" s="2183" t="s">
        <v>58</v>
      </c>
    </row>
    <row customHeight="1" ht="14.25" hidden="1">
      <c r="P18" s="1334"/>
      <c r="AD18" s="1383"/>
      <c r="AE18" s="1383"/>
      <c r="AF18" s="1383"/>
      <c r="AG18" s="316" t="str">
        <f>AH17&amp;"-"&amp;AJ17</f>
        <v>-</v>
      </c>
      <c r="AH18" s="2183"/>
      <c r="AI18" s="2183"/>
      <c r="AJ18" s="2183"/>
      <c r="AK18" s="2183"/>
    </row>
    <row customHeight="1" ht="14.25" hidden="1">
      <c r="P19" s="1334"/>
      <c r="AK19" s="315"/>
    </row>
    <row s="1389" customFormat="1" customHeight="1" ht="22.5" hidden="1">
      <c r="L20" s="1352"/>
      <c r="M20" s="1385"/>
      <c r="N20" s="1385"/>
      <c r="O20" s="1390" t="s">
        <v>476</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477</v>
      </c>
      <c r="P22" s="1385"/>
      <c r="Q22" s="1394"/>
      <c r="R22" s="1394"/>
      <c r="S22" s="727"/>
      <c r="T22" s="1161" t="s">
        <v>478</v>
      </c>
      <c r="AA22" s="166" t="s">
        <v>479</v>
      </c>
      <c r="AC22" s="166" t="s">
        <v>480</v>
      </c>
      <c r="AD22" s="1161" t="s">
        <v>478</v>
      </c>
      <c r="AI22" s="166" t="s">
        <v>481</v>
      </c>
      <c r="AK22" s="166" t="s">
        <v>480</v>
      </c>
      <c r="AN22" s="509"/>
      <c r="AO22" s="509"/>
      <c r="AP22" s="509"/>
      <c r="AQ22" s="509"/>
      <c r="AR22" s="509"/>
    </row>
    <row customHeight="1" ht="14.25" hidden="1">
      <c r="O23" s="1387"/>
      <c r="P23" s="1334"/>
    </row>
    <row customHeight="1" ht="14.25" hidden="1">
      <c r="O24" s="1387"/>
      <c r="P24" s="1334"/>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ПАО "ТГК-2"</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39</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482</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483</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40</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P33" s="135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484</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485</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226"/>
      <c r="V36" s="314"/>
      <c r="W36" s="314"/>
      <c r="X36" s="314"/>
      <c r="Y36" s="314"/>
      <c r="Z36" s="314"/>
      <c r="AA36" s="314"/>
      <c r="AB36" s="314"/>
      <c r="AC36" s="259" t="s">
        <v>486</v>
      </c>
      <c r="AD36" s="314"/>
      <c r="AE36" s="314"/>
      <c r="AF36" s="314"/>
      <c r="AG36" s="314"/>
      <c r="AH36" s="314"/>
      <c r="AI36" s="314"/>
      <c r="AJ36" s="314"/>
      <c r="AK36" s="259" t="s">
        <v>486</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290</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291</v>
      </c>
    </row>
    <row customHeight="1" ht="14.25">
      <c r="Q39" s="368"/>
      <c r="R39" s="368"/>
      <c r="S39" s="2188" t="s">
        <v>87</v>
      </c>
      <c r="T39" s="2029" t="s">
        <v>487</v>
      </c>
      <c r="U39" s="281"/>
      <c r="V39" s="2189" t="s">
        <v>488</v>
      </c>
      <c r="W39" s="2190"/>
      <c r="X39" s="2190"/>
      <c r="Y39" s="2190"/>
      <c r="Z39" s="2190"/>
      <c r="AA39" s="2190"/>
      <c r="AB39" s="2191"/>
      <c r="AC39" s="2192" t="s">
        <v>489</v>
      </c>
      <c r="AD39" s="2189" t="s">
        <v>488</v>
      </c>
      <c r="AE39" s="2190"/>
      <c r="AF39" s="2190"/>
      <c r="AG39" s="2190"/>
      <c r="AH39" s="2190"/>
      <c r="AI39" s="2190"/>
      <c r="AJ39" s="2191"/>
      <c r="AK39" s="2192" t="s">
        <v>490</v>
      </c>
      <c r="AL39" s="2195" t="s">
        <v>491</v>
      </c>
      <c r="AM39" s="1948"/>
    </row>
    <row customHeight="1" ht="33.75">
      <c r="Q40" s="368"/>
      <c r="R40" s="368"/>
      <c r="S40" s="2188"/>
      <c r="T40" s="2029"/>
      <c r="U40" s="1032"/>
      <c r="V40" s="2175" t="s">
        <v>492</v>
      </c>
      <c r="W40" s="2421" t="s">
        <v>493</v>
      </c>
      <c r="X40" s="2177" t="s">
        <v>494</v>
      </c>
      <c r="Y40" s="2178"/>
      <c r="Z40" s="2177" t="s">
        <v>495</v>
      </c>
      <c r="AA40" s="2184"/>
      <c r="AB40" s="2178"/>
      <c r="AC40" s="2193"/>
      <c r="AD40" s="2175" t="s">
        <v>492</v>
      </c>
      <c r="AE40" s="2198" t="s">
        <v>493</v>
      </c>
      <c r="AF40" s="2177" t="s">
        <v>494</v>
      </c>
      <c r="AG40" s="2178"/>
      <c r="AH40" s="2177" t="s">
        <v>495</v>
      </c>
      <c r="AI40" s="2184"/>
      <c r="AJ40" s="2178"/>
      <c r="AK40" s="2193"/>
      <c r="AL40" s="2196"/>
      <c r="AM40" s="1948"/>
    </row>
    <row customHeight="1" ht="33.75">
      <c r="A41" s="1393"/>
      <c r="B41" s="1393" t="s">
        <v>139</v>
      </c>
      <c r="C41" s="1393" t="s">
        <v>140</v>
      </c>
      <c r="D41" s="1393" t="s">
        <v>141</v>
      </c>
      <c r="E41" s="1387" t="s">
        <v>496</v>
      </c>
      <c r="F41" s="1387" t="s">
        <v>497</v>
      </c>
      <c r="G41" s="1387" t="s">
        <v>498</v>
      </c>
      <c r="H41" s="1387" t="s">
        <v>499</v>
      </c>
      <c r="I41" s="1387" t="s">
        <v>500</v>
      </c>
      <c r="J41" s="1387" t="s">
        <v>501</v>
      </c>
      <c r="K41" s="1387" t="s">
        <v>502</v>
      </c>
      <c r="L41" s="1387" t="s">
        <v>477</v>
      </c>
      <c r="Q41" s="368"/>
      <c r="R41" s="368"/>
      <c r="S41" s="2188"/>
      <c r="T41" s="2029"/>
      <c r="U41" s="282"/>
      <c r="V41" s="2176"/>
      <c r="W41" s="2199"/>
      <c r="X41" s="1230" t="s">
        <v>503</v>
      </c>
      <c r="Y41" s="1230" t="s">
        <v>504</v>
      </c>
      <c r="Z41" s="1229" t="s">
        <v>505</v>
      </c>
      <c r="AA41" s="2185" t="s">
        <v>506</v>
      </c>
      <c r="AB41" s="2186"/>
      <c r="AC41" s="2194"/>
      <c r="AD41" s="2176"/>
      <c r="AE41" s="2199"/>
      <c r="AF41" s="1230" t="s">
        <v>503</v>
      </c>
      <c r="AG41" s="1230" t="s">
        <v>504</v>
      </c>
      <c r="AH41" s="1336" t="s">
        <v>505</v>
      </c>
      <c r="AI41" s="2185" t="s">
        <v>506</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108</v>
      </c>
      <c r="T42" s="1274" t="s">
        <v>109</v>
      </c>
      <c r="U42" s="1256" t="str">
        <f>OFFSET(U42,0,-1)</f>
        <v>2</v>
      </c>
      <c r="V42" s="1275">
        <f>OFFSET(V42,0,-1)+1</f>
        <v>3</v>
      </c>
      <c r="W42" s="1275"/>
      <c r="X42" s="1275">
        <f>OFFSET(X42,0,-1)+1</f>
        <v>1</v>
      </c>
      <c r="Y42" s="1275">
        <f>OFFSET(Y42,0,-1)+1</f>
        <v>2</v>
      </c>
      <c r="Z42" s="1275">
        <f>OFFSET(Z42,0,-1)+1</f>
        <v>3</v>
      </c>
      <c r="AA42" s="2187">
        <f>OFFSET(AA42,0,-1)+1</f>
        <v>4</v>
      </c>
      <c r="AB42" s="2187"/>
      <c r="AC42" s="1275">
        <f>OFFSET(AC42,0,-2)+1</f>
        <v>5</v>
      </c>
      <c r="AD42" s="1335">
        <f>OFFSET(AD42,0,-1)+1</f>
        <v>6</v>
      </c>
      <c r="AE42" s="1335"/>
      <c r="AF42" s="1335">
        <f>OFFSET(AF42,0,-1)+1</f>
        <v>1</v>
      </c>
      <c r="AG42" s="1335">
        <f>OFFSET(AG42,0,-1)+1</f>
        <v>2</v>
      </c>
      <c r="AH42" s="1335">
        <f>OFFSET(AH42,0,-1)+1</f>
        <v>3</v>
      </c>
      <c r="AI42" s="2187">
        <f>OFFSET(AI42,0,-1)+1</f>
        <v>4</v>
      </c>
      <c r="AJ42" s="2187"/>
      <c r="AK42" s="1335">
        <f>OFFSET(AK42,0,-2)+1</f>
        <v>5</v>
      </c>
      <c r="AL42" s="1256">
        <f>OFFSET(AL42,0,-1)</f>
        <v>5</v>
      </c>
      <c r="AM42" s="1275">
        <f>OFFSET(AM42,0,-1)+1</f>
        <v>6</v>
      </c>
      <c r="AN42" s="509"/>
      <c r="AO42" s="509"/>
      <c r="AP42" s="509"/>
      <c r="AQ42" s="509"/>
      <c r="AR42" s="509"/>
    </row>
    <row customHeight="1" ht="23.25">
      <c r="A43" s="1386" t="s">
        <v>160</v>
      </c>
      <c r="B43" s="1386"/>
      <c r="C43" s="1386"/>
      <c r="D43" s="1386"/>
      <c r="E43" s="2173">
        <v>1</v>
      </c>
      <c r="F43" s="1386"/>
      <c r="G43" s="1386"/>
      <c r="H43" s="1386"/>
      <c r="I43" s="1386"/>
      <c r="J43" s="1386"/>
      <c r="K43" s="1386"/>
      <c r="L43" s="1387"/>
      <c r="M43" s="1388"/>
      <c r="N43" s="1388"/>
      <c r="O43" s="1388"/>
      <c r="P43" s="349"/>
      <c r="Q43" s="348"/>
      <c r="R43" s="343"/>
      <c r="S43" s="1234">
        <f>INDEX(PT_DIFFERENTIATION_NUM_NTAR,MATCH(A43,PT_DIFFERENTIATION_NTAR_ID,0))</f>
        <v>0</v>
      </c>
      <c r="T43" s="278" t="s">
        <v>127</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3.25">
      <c r="A44" s="1386" t="s">
        <v>160</v>
      </c>
      <c r="B44" s="1386" t="s">
        <v>161</v>
      </c>
      <c r="C44" s="1386"/>
      <c r="D44" s="1386"/>
      <c r="E44" s="2174"/>
      <c r="F44" s="2173">
        <v>1</v>
      </c>
      <c r="G44" s="1386"/>
      <c r="H44" s="1386"/>
      <c r="I44" s="1386"/>
      <c r="J44" s="1386"/>
      <c r="K44" s="1386"/>
      <c r="L44" s="1387"/>
      <c r="M44" s="1388"/>
      <c r="N44" s="1388"/>
      <c r="O44" s="1388"/>
      <c r="P44" s="520"/>
      <c r="Q44" s="340"/>
      <c r="R44" s="341"/>
      <c r="S44" s="1234" t="str">
        <f>INDEX(PT_DIFFERENTIATION_NUM_TER,MATCH(B44,PT_DIFFERENTIATION_TER_ID,0))</f>
        <v>.</v>
      </c>
      <c r="T44" s="290" t="s">
        <v>459</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460</v>
      </c>
      <c r="AO44" s="498"/>
      <c r="AP44" s="498" t="str">
        <f>IF(T44="","",T44)</f>
        <v>Территория действия тарифа</v>
      </c>
      <c r="AQ44" s="498"/>
      <c r="AR44" s="498"/>
    </row>
    <row customHeight="1" ht="23.25">
      <c r="A45" s="1386" t="s">
        <v>160</v>
      </c>
      <c r="B45" s="1386" t="s">
        <v>161</v>
      </c>
      <c r="C45" s="1386" t="s">
        <v>162</v>
      </c>
      <c r="D45" s="1386"/>
      <c r="E45" s="2174"/>
      <c r="F45" s="2174"/>
      <c r="G45" s="2173">
        <v>1</v>
      </c>
      <c r="H45" s="1386"/>
      <c r="I45" s="1386"/>
      <c r="J45" s="1386"/>
      <c r="K45" s="1386"/>
      <c r="L45" s="1387"/>
      <c r="M45" s="1388"/>
      <c r="N45" s="1388"/>
      <c r="O45" s="1388"/>
      <c r="P45" s="342"/>
      <c r="Q45" s="340"/>
      <c r="R45" s="341"/>
      <c r="S45" s="1234" t="str">
        <f>INDEX(PT_DIFFERENTIATION_NUM_CS,MATCH(C45,PT_DIFFERENTIATION_CS_ID,0))</f>
        <v>..</v>
      </c>
      <c r="T45" s="291" t="s">
        <v>461</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462</v>
      </c>
      <c r="AO45" s="498"/>
      <c r="AP45" s="498" t="str">
        <f>IF(T45="","",T45)</f>
        <v>Наименование системы теплоснабжения </v>
      </c>
      <c r="AQ45" s="498"/>
      <c r="AR45" s="498"/>
    </row>
    <row customHeight="1" ht="23.25">
      <c r="A46" s="1386" t="s">
        <v>160</v>
      </c>
      <c r="B46" s="1386" t="s">
        <v>161</v>
      </c>
      <c r="C46" s="1386" t="s">
        <v>162</v>
      </c>
      <c r="D46" s="1386" t="s">
        <v>163</v>
      </c>
      <c r="E46" s="2174"/>
      <c r="F46" s="2174"/>
      <c r="G46" s="2174"/>
      <c r="H46" s="2173">
        <v>1</v>
      </c>
      <c r="I46" s="1386"/>
      <c r="J46" s="1386"/>
      <c r="K46" s="1386"/>
      <c r="L46" s="1387"/>
      <c r="M46" s="1388"/>
      <c r="N46" s="1388"/>
      <c r="O46" s="1388"/>
      <c r="P46" s="342"/>
      <c r="Q46" s="340"/>
      <c r="R46" s="341"/>
      <c r="S46" s="1234" t="str">
        <f>INDEX(PT_DIFFERENTIATION_NUM_IST_TE,MATCH(D46,PT_DIFFERENTIATION_IST_TE_ID,0))</f>
        <v>...</v>
      </c>
      <c r="T46" s="292" t="s">
        <v>463</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464</v>
      </c>
      <c r="AO46" s="498"/>
      <c r="AP46" s="498" t="str">
        <f>IF(T46="","",T46)</f>
        <v>Источник тепловой энергии  </v>
      </c>
      <c r="AQ46" s="498"/>
      <c r="AR46" s="498"/>
    </row>
    <row customHeight="1" ht="47.25">
      <c r="A47" s="1386" t="s">
        <v>160</v>
      </c>
      <c r="B47" s="1386" t="s">
        <v>161</v>
      </c>
      <c r="C47" s="1386" t="s">
        <v>162</v>
      </c>
      <c r="D47" s="1386" t="s">
        <v>163</v>
      </c>
      <c r="E47" s="2174"/>
      <c r="F47" s="2174"/>
      <c r="G47" s="2174"/>
      <c r="H47" s="2174"/>
      <c r="I47" s="2171" t="str">
        <f>S46&amp;".1"</f>
        <v>....1</v>
      </c>
      <c r="J47" s="1386"/>
      <c r="K47" s="1386"/>
      <c r="L47" s="1387" t="s">
        <v>465</v>
      </c>
      <c r="P47" s="2172">
        <v>1</v>
      </c>
      <c r="Q47" s="1228"/>
      <c r="R47" s="344"/>
      <c r="S47" s="1234" t="str">
        <f>$I47</f>
        <v>....1</v>
      </c>
      <c r="T47" s="266" t="s">
        <v>466</v>
      </c>
      <c r="U47" s="280"/>
      <c r="V47" s="2160"/>
      <c r="W47" s="2161"/>
      <c r="X47" s="2161"/>
      <c r="Y47" s="2161"/>
      <c r="Z47" s="2161"/>
      <c r="AA47" s="2161"/>
      <c r="AB47" s="2161"/>
      <c r="AC47" s="2162"/>
      <c r="AD47" s="2160"/>
      <c r="AE47" s="2161"/>
      <c r="AF47" s="2161"/>
      <c r="AG47" s="2161"/>
      <c r="AH47" s="2161"/>
      <c r="AI47" s="2161"/>
      <c r="AJ47" s="2161"/>
      <c r="AK47" s="2161"/>
      <c r="AL47" s="2162"/>
      <c r="AM47" s="1279" t="s">
        <v>467</v>
      </c>
      <c r="AO47" s="498"/>
      <c r="AP47" s="498" t="str">
        <f>IF(T47="","",T47)</f>
        <v>Схема подключения теплопотребляющей установки к коллектору источника тепловой энергии</v>
      </c>
      <c r="AQ47" s="498"/>
      <c r="AR47" s="498"/>
    </row>
    <row customHeight="1" ht="23.25">
      <c r="A48" s="1386" t="s">
        <v>160</v>
      </c>
      <c r="B48" s="1386" t="s">
        <v>161</v>
      </c>
      <c r="C48" s="1386" t="s">
        <v>162</v>
      </c>
      <c r="D48" s="1386" t="s">
        <v>163</v>
      </c>
      <c r="E48" s="2174"/>
      <c r="F48" s="2174"/>
      <c r="G48" s="2174"/>
      <c r="H48" s="2174"/>
      <c r="I48" s="2201"/>
      <c r="J48" s="2171" t="str">
        <f>I47&amp;".1"</f>
        <v>....1.1</v>
      </c>
      <c r="K48" s="1386"/>
      <c r="L48" s="1387" t="s">
        <v>468</v>
      </c>
      <c r="P48" s="2172"/>
      <c r="Q48" s="2172">
        <v>1</v>
      </c>
      <c r="R48" s="345"/>
      <c r="S48" s="1234" t="str">
        <f>$J48</f>
        <v>....1.1</v>
      </c>
      <c r="T48" s="267" t="s">
        <v>469</v>
      </c>
      <c r="U48" s="280"/>
      <c r="V48" s="2160"/>
      <c r="W48" s="2161"/>
      <c r="X48" s="2161"/>
      <c r="Y48" s="2161"/>
      <c r="Z48" s="2161"/>
      <c r="AA48" s="2161"/>
      <c r="AB48" s="2161"/>
      <c r="AC48" s="2162"/>
      <c r="AD48" s="2160"/>
      <c r="AE48" s="2161"/>
      <c r="AF48" s="2161"/>
      <c r="AG48" s="2161"/>
      <c r="AH48" s="2161"/>
      <c r="AI48" s="2161"/>
      <c r="AJ48" s="2161"/>
      <c r="AK48" s="2161"/>
      <c r="AL48" s="2162"/>
      <c r="AM48" s="1279" t="s">
        <v>470</v>
      </c>
      <c r="AO48" s="498"/>
      <c r="AP48" s="498" t="str">
        <f>IF(T48="","",T48)</f>
        <v>Группа потребителей</v>
      </c>
      <c r="AQ48" s="498"/>
      <c r="AR48" s="498"/>
    </row>
    <row customHeight="1" ht="23.25">
      <c r="A49" s="1386" t="s">
        <v>160</v>
      </c>
      <c r="B49" s="1386" t="s">
        <v>161</v>
      </c>
      <c r="C49" s="1386" t="s">
        <v>162</v>
      </c>
      <c r="D49" s="1386" t="s">
        <v>163</v>
      </c>
      <c r="E49" s="2174"/>
      <c r="F49" s="2174"/>
      <c r="G49" s="2174"/>
      <c r="H49" s="2174"/>
      <c r="I49" s="2201"/>
      <c r="J49" s="2201"/>
      <c r="K49" s="2171" t="str">
        <f>J48&amp;".1"</f>
        <v>....1.1.1</v>
      </c>
      <c r="L49" s="1387" t="s">
        <v>471</v>
      </c>
      <c r="P49" s="2172"/>
      <c r="Q49" s="2172"/>
      <c r="R49" s="345">
        <v>1</v>
      </c>
      <c r="S49" s="1234" t="str">
        <f>$K49</f>
        <v>....1.1.1</v>
      </c>
      <c r="T49" s="1370"/>
      <c r="U49" s="280"/>
      <c r="V49" s="749"/>
      <c r="W49" s="312"/>
      <c r="X49" s="749"/>
      <c r="Y49" s="1278"/>
      <c r="Z49" s="2180"/>
      <c r="AA49" s="1928" t="s">
        <v>58</v>
      </c>
      <c r="AB49" s="2180"/>
      <c r="AC49" s="1928" t="s">
        <v>58</v>
      </c>
      <c r="AD49" s="749"/>
      <c r="AE49" s="312"/>
      <c r="AF49" s="749"/>
      <c r="AG49" s="1278"/>
      <c r="AH49" s="2180"/>
      <c r="AI49" s="1928" t="s">
        <v>58</v>
      </c>
      <c r="AJ49" s="2202"/>
      <c r="AK49" s="1928" t="s">
        <v>58</v>
      </c>
      <c r="AL49" s="1371"/>
      <c r="AM49" s="2168" t="s">
        <v>472</v>
      </c>
      <c r="AN49" s="509">
        <f>STRCHECKDATE(V50:AL50)</f>
      </c>
      <c r="AO49" s="498"/>
      <c r="AP49" s="498" t="str">
        <f>IF(T49="","",T49)</f>
        <v/>
      </c>
      <c r="AQ49" s="498"/>
      <c r="AR49" s="498"/>
    </row>
    <row customHeight="1" ht="0.75">
      <c r="A50" s="1386" t="s">
        <v>160</v>
      </c>
      <c r="B50" s="1386" t="s">
        <v>161</v>
      </c>
      <c r="C50" s="1386" t="s">
        <v>162</v>
      </c>
      <c r="D50" s="1386" t="s">
        <v>163</v>
      </c>
      <c r="E50" s="2174"/>
      <c r="F50" s="2174"/>
      <c r="G50" s="2174"/>
      <c r="H50" s="2174"/>
      <c r="I50" s="2201"/>
      <c r="J50" s="2201"/>
      <c r="K50" s="2171"/>
      <c r="L50" s="1387"/>
      <c r="P50" s="2172"/>
      <c r="Q50" s="2172"/>
      <c r="R50" s="345"/>
      <c r="S50" s="1232"/>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160</v>
      </c>
      <c r="B51" s="1386" t="s">
        <v>161</v>
      </c>
      <c r="C51" s="1386" t="s">
        <v>162</v>
      </c>
      <c r="D51" s="1386" t="s">
        <v>163</v>
      </c>
      <c r="E51" s="2174"/>
      <c r="F51" s="2174"/>
      <c r="G51" s="2174"/>
      <c r="H51" s="2174"/>
      <c r="I51" s="2201"/>
      <c r="J51" s="2171"/>
      <c r="K51" s="1386"/>
      <c r="L51" s="1387"/>
      <c r="P51" s="2172"/>
      <c r="Q51" s="2172"/>
      <c r="R51" s="344"/>
      <c r="S51" s="1301"/>
      <c r="T51" s="269" t="s">
        <v>473</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160</v>
      </c>
      <c r="B52" s="1386" t="s">
        <v>161</v>
      </c>
      <c r="C52" s="1386" t="s">
        <v>162</v>
      </c>
      <c r="D52" s="1386" t="s">
        <v>163</v>
      </c>
      <c r="E52" s="2174"/>
      <c r="F52" s="2174"/>
      <c r="G52" s="2174"/>
      <c r="H52" s="2174"/>
      <c r="I52" s="2171"/>
      <c r="J52" s="1386"/>
      <c r="K52" s="1386"/>
      <c r="L52" s="1387"/>
      <c r="P52" s="2172"/>
      <c r="Q52" s="1228"/>
      <c r="R52" s="344"/>
      <c r="S52" s="1301"/>
      <c r="T52" s="268" t="s">
        <v>474</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14.25">
      <c r="A53" s="1386" t="s">
        <v>160</v>
      </c>
      <c r="B53" s="1386" t="s">
        <v>161</v>
      </c>
      <c r="C53" s="1386" t="s">
        <v>162</v>
      </c>
      <c r="D53" s="1386" t="s">
        <v>163</v>
      </c>
      <c r="E53" s="2174"/>
      <c r="F53" s="2174"/>
      <c r="G53" s="2174"/>
      <c r="H53" s="2173"/>
      <c r="I53" s="1386"/>
      <c r="J53" s="1386"/>
      <c r="K53" s="1386"/>
      <c r="L53" s="1387"/>
      <c r="M53" s="1388"/>
      <c r="N53" s="1388"/>
      <c r="O53" s="535"/>
      <c r="P53" s="348"/>
      <c r="Q53" s="367"/>
      <c r="R53" s="343"/>
      <c r="S53" s="1301"/>
      <c r="T53" s="356" t="s">
        <v>475</v>
      </c>
      <c r="U53" s="359"/>
      <c r="V53" s="359"/>
      <c r="W53" s="359"/>
      <c r="X53" s="359"/>
      <c r="Y53" s="359"/>
      <c r="Z53" s="359"/>
      <c r="AA53" s="359"/>
      <c r="AB53" s="359"/>
      <c r="AC53" s="358"/>
      <c r="AD53" s="359"/>
      <c r="AE53" s="359"/>
      <c r="AF53" s="359"/>
      <c r="AG53" s="359"/>
      <c r="AH53" s="359"/>
      <c r="AI53" s="359"/>
      <c r="AJ53" s="359"/>
      <c r="AK53" s="358"/>
      <c r="AL53" s="359"/>
      <c r="AM53" s="283"/>
      <c r="AO53" s="498"/>
      <c r="AP53" s="498" t="str">
        <f>IF(T53="","",T53)</f>
        <v>Добавить схему подключения</v>
      </c>
      <c r="AQ53" s="498"/>
      <c r="AR53" s="498"/>
    </row>
    <row s="1673" customFormat="1" customHeight="1" ht="0.75">
      <c r="A54" s="1366" t="s">
        <v>160</v>
      </c>
      <c r="B54" s="1366" t="s">
        <v>161</v>
      </c>
      <c r="C54" s="1366" t="s">
        <v>162</v>
      </c>
      <c r="D54" s="1337"/>
      <c r="E54" s="2174"/>
      <c r="F54" s="2174"/>
      <c r="G54" s="2173"/>
      <c r="H54" s="1337"/>
      <c r="I54" s="1337"/>
      <c r="J54" s="1337"/>
      <c r="K54" s="1337"/>
      <c r="L54" s="1362"/>
      <c r="M54" s="1338"/>
      <c r="N54" s="1338"/>
      <c r="P54" s="1339"/>
      <c r="Q54" s="1340"/>
      <c r="R54" s="1339"/>
      <c r="S54" s="1345"/>
      <c r="T54" s="1348" t="s">
        <v>432</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160</v>
      </c>
      <c r="B55" s="1366" t="s">
        <v>161</v>
      </c>
      <c r="C55" s="1337"/>
      <c r="D55" s="1337"/>
      <c r="E55" s="2174"/>
      <c r="F55" s="2173"/>
      <c r="G55" s="1337"/>
      <c r="H55" s="1337"/>
      <c r="I55" s="1337"/>
      <c r="J55" s="1337"/>
      <c r="K55" s="1337"/>
      <c r="L55" s="1362"/>
      <c r="M55" s="1344"/>
      <c r="N55" s="1344"/>
      <c r="P55" s="1339"/>
      <c r="Q55" s="1340"/>
      <c r="R55" s="1339"/>
      <c r="S55" s="1345"/>
      <c r="T55" s="1348" t="s">
        <v>433</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160</v>
      </c>
      <c r="B56" s="1366"/>
      <c r="C56" s="1366"/>
      <c r="D56" s="1366"/>
      <c r="E56" s="2173"/>
      <c r="F56" s="1366"/>
      <c r="G56" s="1366"/>
      <c r="H56" s="1366"/>
      <c r="I56" s="1366"/>
      <c r="J56" s="1366"/>
      <c r="K56" s="1366"/>
      <c r="L56" s="1369"/>
      <c r="M56" s="1344"/>
      <c r="N56" s="1344"/>
      <c r="O56" s="516"/>
      <c r="P56" s="376"/>
      <c r="Q56" s="1367"/>
      <c r="R56" s="376"/>
      <c r="S56" s="1345"/>
      <c r="T56" s="1348" t="s">
        <v>434</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435</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7" hidden="1">
      <c r="O59" s="535"/>
      <c r="S59" s="1266" t="s">
        <v>507</v>
      </c>
      <c r="T59" s="2200" t="s">
        <v>508</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64.5" hidden="1">
      <c r="O60" s="535"/>
      <c r="P60" s="1326"/>
      <c r="T60" s="2200" t="s">
        <v>509</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row>
    <row customHeight="1" ht="18" hidden="1">
      <c r="O62" s="535"/>
      <c r="P62" s="1351"/>
      <c r="S62" s="1266" t="s">
        <v>507</v>
      </c>
      <c r="T62" s="2200" t="s">
        <v>510</v>
      </c>
      <c r="U62" s="2200"/>
      <c r="V62" s="2200"/>
      <c r="W62" s="2200"/>
      <c r="X62" s="2200"/>
      <c r="Y62" s="2200"/>
      <c r="Z62" s="2200"/>
      <c r="AA62" s="2200"/>
      <c r="AB62" s="2200"/>
      <c r="AC62" s="2200"/>
      <c r="AD62" s="2200"/>
      <c r="AE62" s="2200"/>
      <c r="AF62" s="2200"/>
      <c r="AG62" s="2200"/>
      <c r="AH62" s="2200"/>
      <c r="AI62" s="2200"/>
      <c r="AJ62" s="2200"/>
      <c r="AK62" s="2200"/>
      <c r="AL62" s="2200"/>
      <c r="AM62" s="2200"/>
    </row>
    <row customHeight="1" ht="18" hidden="1">
      <c r="O63" s="535"/>
      <c r="P63" s="1351"/>
      <c r="T63" s="2200" t="s">
        <v>511</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P64" s="1351"/>
      <c r="S64" s="1266"/>
      <c r="T64" s="2200" t="s">
        <v>512</v>
      </c>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4742B-B24C-9BA9-C1BB-1B1181205EFB}"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127</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458</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459</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460</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461</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462</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463</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464</v>
      </c>
      <c r="AO5" s="498"/>
      <c r="AP5" s="498" t="str">
        <f>IF(T5="","",T5)</f>
        <v>Источник тепловой энергии  </v>
      </c>
      <c r="AQ5" s="498"/>
      <c r="AR5" s="498"/>
    </row>
    <row customHeight="1" ht="47.25" hidden="1">
      <c r="A6" s="1386"/>
      <c r="B6" s="1386"/>
      <c r="C6" s="1386"/>
      <c r="D6" s="1386"/>
      <c r="E6" s="2174"/>
      <c r="F6" s="2174"/>
      <c r="G6" s="2174"/>
      <c r="H6" s="2174"/>
      <c r="I6" s="2171">
        <f>S5&amp;".1"</f>
      </c>
      <c r="J6" s="1386"/>
      <c r="K6" s="1386"/>
      <c r="L6" s="1387" t="s">
        <v>465</v>
      </c>
      <c r="M6" s="535"/>
      <c r="P6" s="2172">
        <v>1</v>
      </c>
      <c r="Q6" s="1354"/>
      <c r="R6" s="344"/>
      <c r="S6" s="1359">
        <f>$I6</f>
      </c>
      <c r="T6" s="266" t="s">
        <v>466</v>
      </c>
      <c r="U6" s="280"/>
      <c r="V6" s="2160"/>
      <c r="W6" s="2161"/>
      <c r="X6" s="2161"/>
      <c r="Y6" s="2161"/>
      <c r="Z6" s="2161"/>
      <c r="AA6" s="2161"/>
      <c r="AB6" s="2161"/>
      <c r="AC6" s="2162"/>
      <c r="AD6" s="2160"/>
      <c r="AE6" s="2161"/>
      <c r="AF6" s="2161"/>
      <c r="AG6" s="2161"/>
      <c r="AH6" s="2161"/>
      <c r="AI6" s="2161"/>
      <c r="AJ6" s="2161"/>
      <c r="AK6" s="2161"/>
      <c r="AL6" s="2162"/>
      <c r="AM6" s="1279" t="s">
        <v>467</v>
      </c>
      <c r="AO6" s="498"/>
      <c r="AP6" s="498" t="str">
        <f>IF(T6="","",T6)</f>
        <v>Схема подключения теплопотребляющей установки к коллектору источника тепловой энергии</v>
      </c>
      <c r="AQ6" s="498"/>
      <c r="AR6" s="498"/>
    </row>
    <row customHeight="1" ht="21" hidden="1">
      <c r="A7" s="1386"/>
      <c r="B7" s="1386"/>
      <c r="C7" s="1386"/>
      <c r="D7" s="1386"/>
      <c r="E7" s="2174"/>
      <c r="F7" s="2174"/>
      <c r="G7" s="2174"/>
      <c r="H7" s="2174"/>
      <c r="I7" s="2201"/>
      <c r="J7" s="2171">
        <f>I6&amp;".1"</f>
      </c>
      <c r="K7" s="1386"/>
      <c r="L7" s="1387" t="s">
        <v>468</v>
      </c>
      <c r="M7" s="535"/>
      <c r="N7" s="1389"/>
      <c r="P7" s="2172"/>
      <c r="Q7" s="2172">
        <v>1</v>
      </c>
      <c r="R7" s="345"/>
      <c r="S7" s="1359">
        <f>$J7</f>
      </c>
      <c r="T7" s="267" t="s">
        <v>469</v>
      </c>
      <c r="U7" s="280"/>
      <c r="V7" s="2160"/>
      <c r="W7" s="2161"/>
      <c r="X7" s="2161"/>
      <c r="Y7" s="2161"/>
      <c r="Z7" s="2161"/>
      <c r="AA7" s="2161"/>
      <c r="AB7" s="2161"/>
      <c r="AC7" s="2162"/>
      <c r="AD7" s="2160"/>
      <c r="AE7" s="2161"/>
      <c r="AF7" s="2161"/>
      <c r="AG7" s="2161"/>
      <c r="AH7" s="2161"/>
      <c r="AI7" s="2161"/>
      <c r="AJ7" s="2161"/>
      <c r="AK7" s="2161"/>
      <c r="AL7" s="2162"/>
      <c r="AM7" s="1279" t="s">
        <v>470</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471</v>
      </c>
      <c r="M8" s="535"/>
      <c r="N8" s="1389"/>
      <c r="O8" s="1389"/>
      <c r="P8" s="2172"/>
      <c r="Q8" s="2172"/>
      <c r="R8" s="345">
        <v>1</v>
      </c>
      <c r="S8" s="1359">
        <f>$K8</f>
      </c>
      <c r="T8" s="1370"/>
      <c r="U8" s="280"/>
      <c r="V8" s="749"/>
      <c r="W8" s="312"/>
      <c r="X8" s="749"/>
      <c r="Y8" s="1278"/>
      <c r="Z8" s="2180"/>
      <c r="AA8" s="1928" t="s">
        <v>58</v>
      </c>
      <c r="AB8" s="2180"/>
      <c r="AC8" s="1928" t="s">
        <v>58</v>
      </c>
      <c r="AD8" s="749"/>
      <c r="AE8" s="312"/>
      <c r="AF8" s="749"/>
      <c r="AG8" s="1278"/>
      <c r="AH8" s="2180"/>
      <c r="AI8" s="1928" t="s">
        <v>58</v>
      </c>
      <c r="AJ8" s="2180"/>
      <c r="AK8" s="1928" t="s">
        <v>58</v>
      </c>
      <c r="AL8" s="312"/>
      <c r="AM8" s="2168" t="s">
        <v>472</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9" t="s">
        <v>473</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54"/>
      <c r="R11" s="344"/>
      <c r="S11" s="1301"/>
      <c r="T11" s="268" t="s">
        <v>474</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301"/>
      <c r="T12" s="356" t="s">
        <v>475</v>
      </c>
      <c r="U12" s="359"/>
      <c r="V12" s="359"/>
      <c r="W12" s="359"/>
      <c r="X12" s="359"/>
      <c r="Y12" s="359"/>
      <c r="Z12" s="359"/>
      <c r="AA12" s="359"/>
      <c r="AB12" s="359"/>
      <c r="AC12" s="358"/>
      <c r="AD12" s="359"/>
      <c r="AE12" s="359"/>
      <c r="AF12" s="359"/>
      <c r="AG12" s="359"/>
      <c r="AH12" s="359"/>
      <c r="AI12" s="359"/>
      <c r="AJ12" s="359"/>
      <c r="AK12" s="358"/>
      <c r="AL12" s="359"/>
      <c r="AM12" s="283"/>
      <c r="AO12" s="498"/>
      <c r="AP12" s="498" t="str">
        <f>IF(T12="","",T12)</f>
        <v>Добавить схему подключения</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432</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433</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434</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58</v>
      </c>
      <c r="AJ17" s="2182"/>
      <c r="AK17" s="2183" t="s">
        <v>58</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476</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477</v>
      </c>
      <c r="P22" s="1385"/>
      <c r="Q22" s="1394"/>
      <c r="R22" s="1394"/>
      <c r="S22" s="727"/>
      <c r="T22" s="1161" t="s">
        <v>478</v>
      </c>
      <c r="AA22" s="166" t="s">
        <v>479</v>
      </c>
      <c r="AC22" s="166" t="s">
        <v>480</v>
      </c>
      <c r="AD22" s="1161" t="s">
        <v>478</v>
      </c>
      <c r="AI22" s="166" t="s">
        <v>481</v>
      </c>
      <c r="AK22" s="166" t="s">
        <v>480</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ПАО "ТГК-2"</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39</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482</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483</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40</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484</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485</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486</v>
      </c>
      <c r="AD36" s="314"/>
      <c r="AE36" s="314"/>
      <c r="AF36" s="314"/>
      <c r="AG36" s="314"/>
      <c r="AH36" s="314"/>
      <c r="AI36" s="314"/>
      <c r="AJ36" s="314"/>
      <c r="AK36" s="259" t="s">
        <v>486</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290</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291</v>
      </c>
    </row>
    <row customHeight="1" ht="14.25">
      <c r="Q39" s="368"/>
      <c r="R39" s="368"/>
      <c r="S39" s="2188" t="s">
        <v>87</v>
      </c>
      <c r="T39" s="2029" t="s">
        <v>487</v>
      </c>
      <c r="U39" s="281"/>
      <c r="V39" s="2189" t="s">
        <v>488</v>
      </c>
      <c r="W39" s="2190"/>
      <c r="X39" s="2190"/>
      <c r="Y39" s="2190"/>
      <c r="Z39" s="2190"/>
      <c r="AA39" s="2190"/>
      <c r="AB39" s="2191"/>
      <c r="AC39" s="2192" t="s">
        <v>489</v>
      </c>
      <c r="AD39" s="2189" t="s">
        <v>488</v>
      </c>
      <c r="AE39" s="2190"/>
      <c r="AF39" s="2190"/>
      <c r="AG39" s="2190"/>
      <c r="AH39" s="2190"/>
      <c r="AI39" s="2190"/>
      <c r="AJ39" s="2191"/>
      <c r="AK39" s="2192" t="s">
        <v>490</v>
      </c>
      <c r="AL39" s="2195" t="s">
        <v>491</v>
      </c>
      <c r="AM39" s="1948"/>
    </row>
    <row customHeight="1" ht="33.75">
      <c r="Q40" s="368"/>
      <c r="R40" s="368"/>
      <c r="S40" s="2188"/>
      <c r="T40" s="2029"/>
      <c r="U40" s="1032"/>
      <c r="V40" s="2175" t="s">
        <v>492</v>
      </c>
      <c r="W40" s="2198" t="s">
        <v>493</v>
      </c>
      <c r="X40" s="2177" t="s">
        <v>494</v>
      </c>
      <c r="Y40" s="2178"/>
      <c r="Z40" s="2177" t="s">
        <v>513</v>
      </c>
      <c r="AA40" s="2184"/>
      <c r="AB40" s="2178"/>
      <c r="AC40" s="2193"/>
      <c r="AD40" s="2175" t="s">
        <v>492</v>
      </c>
      <c r="AE40" s="2198" t="s">
        <v>493</v>
      </c>
      <c r="AF40" s="2177" t="s">
        <v>494</v>
      </c>
      <c r="AG40" s="2178"/>
      <c r="AH40" s="2177" t="s">
        <v>495</v>
      </c>
      <c r="AI40" s="2184"/>
      <c r="AJ40" s="2178"/>
      <c r="AK40" s="2193"/>
      <c r="AL40" s="2196"/>
      <c r="AM40" s="1948"/>
    </row>
    <row customHeight="1" ht="33.75">
      <c r="A41" s="1393"/>
      <c r="B41" s="1393" t="s">
        <v>139</v>
      </c>
      <c r="C41" s="1393" t="s">
        <v>140</v>
      </c>
      <c r="D41" s="1393" t="s">
        <v>141</v>
      </c>
      <c r="E41" s="1387" t="s">
        <v>496</v>
      </c>
      <c r="F41" s="1387" t="s">
        <v>497</v>
      </c>
      <c r="G41" s="1387" t="s">
        <v>498</v>
      </c>
      <c r="H41" s="1387" t="s">
        <v>499</v>
      </c>
      <c r="I41" s="1387" t="s">
        <v>500</v>
      </c>
      <c r="J41" s="1387" t="s">
        <v>501</v>
      </c>
      <c r="K41" s="1387" t="s">
        <v>502</v>
      </c>
      <c r="L41" s="1387" t="s">
        <v>477</v>
      </c>
      <c r="Q41" s="368"/>
      <c r="R41" s="368"/>
      <c r="S41" s="2188"/>
      <c r="T41" s="2029"/>
      <c r="U41" s="282"/>
      <c r="V41" s="2176"/>
      <c r="W41" s="2199"/>
      <c r="X41" s="1230" t="s">
        <v>503</v>
      </c>
      <c r="Y41" s="1230" t="s">
        <v>504</v>
      </c>
      <c r="Z41" s="1361" t="s">
        <v>505</v>
      </c>
      <c r="AA41" s="2185" t="s">
        <v>506</v>
      </c>
      <c r="AB41" s="2186"/>
      <c r="AC41" s="2194"/>
      <c r="AD41" s="2176"/>
      <c r="AE41" s="2199"/>
      <c r="AF41" s="1230" t="s">
        <v>503</v>
      </c>
      <c r="AG41" s="1230" t="s">
        <v>504</v>
      </c>
      <c r="AH41" s="1361" t="s">
        <v>505</v>
      </c>
      <c r="AI41" s="2185" t="s">
        <v>506</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108</v>
      </c>
      <c r="T42" s="1274" t="s">
        <v>109</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166</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127</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166</v>
      </c>
      <c r="B44" s="1386" t="s">
        <v>167</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459</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460</v>
      </c>
      <c r="AO44" s="498"/>
      <c r="AP44" s="498" t="str">
        <f>IF(T44="","",T44)</f>
        <v>Территория действия тарифа</v>
      </c>
      <c r="AQ44" s="498"/>
      <c r="AR44" s="498"/>
    </row>
    <row customHeight="1" ht="23.25">
      <c r="A45" s="1386" t="s">
        <v>166</v>
      </c>
      <c r="B45" s="1386" t="s">
        <v>167</v>
      </c>
      <c r="C45" s="1386" t="s">
        <v>168</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461</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462</v>
      </c>
      <c r="AO45" s="498"/>
      <c r="AP45" s="498" t="str">
        <f>IF(T45="","",T45)</f>
        <v>Наименование системы теплоснабжения </v>
      </c>
      <c r="AQ45" s="498"/>
      <c r="AR45" s="498"/>
    </row>
    <row customHeight="1" ht="21">
      <c r="A46" s="1386" t="s">
        <v>166</v>
      </c>
      <c r="B46" s="1386" t="s">
        <v>167</v>
      </c>
      <c r="C46" s="1386" t="s">
        <v>168</v>
      </c>
      <c r="D46" s="1386" t="s">
        <v>169</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463</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464</v>
      </c>
      <c r="AO46" s="498"/>
      <c r="AP46" s="498" t="str">
        <f>IF(T46="","",T46)</f>
        <v>Источник тепловой энергии  </v>
      </c>
      <c r="AQ46" s="498"/>
      <c r="AR46" s="498"/>
    </row>
    <row customHeight="1" ht="47.25">
      <c r="A47" s="1386" t="s">
        <v>166</v>
      </c>
      <c r="B47" s="1386" t="s">
        <v>167</v>
      </c>
      <c r="C47" s="1386" t="s">
        <v>168</v>
      </c>
      <c r="D47" s="1386" t="s">
        <v>169</v>
      </c>
      <c r="E47" s="2174"/>
      <c r="F47" s="2174"/>
      <c r="G47" s="2174"/>
      <c r="H47" s="2174"/>
      <c r="I47" s="2171" t="str">
        <f>S46&amp;".1"</f>
        <v>....1</v>
      </c>
      <c r="J47" s="1386"/>
      <c r="K47" s="1386"/>
      <c r="L47" s="1387" t="s">
        <v>465</v>
      </c>
      <c r="P47" s="2172">
        <v>1</v>
      </c>
      <c r="Q47" s="1354"/>
      <c r="R47" s="344"/>
      <c r="S47" s="1359" t="str">
        <f>$I47</f>
        <v>....1</v>
      </c>
      <c r="T47" s="266" t="s">
        <v>466</v>
      </c>
      <c r="U47" s="280"/>
      <c r="V47" s="2160"/>
      <c r="W47" s="2161"/>
      <c r="X47" s="2161"/>
      <c r="Y47" s="2161"/>
      <c r="Z47" s="2161"/>
      <c r="AA47" s="2161"/>
      <c r="AB47" s="2161"/>
      <c r="AC47" s="2162"/>
      <c r="AD47" s="2160"/>
      <c r="AE47" s="2161"/>
      <c r="AF47" s="2161"/>
      <c r="AG47" s="2161"/>
      <c r="AH47" s="2161"/>
      <c r="AI47" s="2161"/>
      <c r="AJ47" s="2161"/>
      <c r="AK47" s="2161"/>
      <c r="AL47" s="2162"/>
      <c r="AM47" s="1279" t="s">
        <v>467</v>
      </c>
      <c r="AO47" s="498"/>
      <c r="AP47" s="498" t="str">
        <f>IF(T47="","",T47)</f>
        <v>Схема подключения теплопотребляющей установки к коллектору источника тепловой энергии</v>
      </c>
      <c r="AQ47" s="498"/>
      <c r="AR47" s="498"/>
    </row>
    <row customHeight="1" ht="21">
      <c r="A48" s="1386" t="s">
        <v>166</v>
      </c>
      <c r="B48" s="1386" t="s">
        <v>167</v>
      </c>
      <c r="C48" s="1386" t="s">
        <v>168</v>
      </c>
      <c r="D48" s="1386" t="s">
        <v>169</v>
      </c>
      <c r="E48" s="2174"/>
      <c r="F48" s="2174"/>
      <c r="G48" s="2174"/>
      <c r="H48" s="2174"/>
      <c r="I48" s="2201"/>
      <c r="J48" s="2171" t="str">
        <f>I47&amp;".1"</f>
        <v>....1.1</v>
      </c>
      <c r="K48" s="1386"/>
      <c r="L48" s="1387" t="s">
        <v>468</v>
      </c>
      <c r="P48" s="2172"/>
      <c r="Q48" s="2172">
        <v>1</v>
      </c>
      <c r="R48" s="345"/>
      <c r="S48" s="1359" t="str">
        <f>$J48</f>
        <v>....1.1</v>
      </c>
      <c r="T48" s="267" t="s">
        <v>469</v>
      </c>
      <c r="U48" s="280"/>
      <c r="V48" s="2160"/>
      <c r="W48" s="2161"/>
      <c r="X48" s="2161"/>
      <c r="Y48" s="2161"/>
      <c r="Z48" s="2161"/>
      <c r="AA48" s="2161"/>
      <c r="AB48" s="2161"/>
      <c r="AC48" s="2162"/>
      <c r="AD48" s="2160"/>
      <c r="AE48" s="2161"/>
      <c r="AF48" s="2161"/>
      <c r="AG48" s="2161"/>
      <c r="AH48" s="2161"/>
      <c r="AI48" s="2161"/>
      <c r="AJ48" s="2161"/>
      <c r="AK48" s="2161"/>
      <c r="AL48" s="2162"/>
      <c r="AM48" s="1279" t="s">
        <v>470</v>
      </c>
      <c r="AO48" s="498"/>
      <c r="AP48" s="498" t="str">
        <f>IF(T48="","",T48)</f>
        <v>Группа потребителей</v>
      </c>
      <c r="AQ48" s="498"/>
      <c r="AR48" s="498"/>
    </row>
    <row customHeight="1" ht="21">
      <c r="A49" s="1386" t="s">
        <v>166</v>
      </c>
      <c r="B49" s="1386" t="s">
        <v>167</v>
      </c>
      <c r="C49" s="1386" t="s">
        <v>168</v>
      </c>
      <c r="D49" s="1386" t="s">
        <v>169</v>
      </c>
      <c r="E49" s="2174"/>
      <c r="F49" s="2174"/>
      <c r="G49" s="2174"/>
      <c r="H49" s="2174"/>
      <c r="I49" s="2201"/>
      <c r="J49" s="2201"/>
      <c r="K49" s="2171" t="str">
        <f>J48&amp;".1"</f>
        <v>....1.1.1</v>
      </c>
      <c r="L49" s="1387" t="s">
        <v>471</v>
      </c>
      <c r="P49" s="2172"/>
      <c r="Q49" s="2172"/>
      <c r="R49" s="345">
        <v>1</v>
      </c>
      <c r="S49" s="1359" t="str">
        <f>$K49</f>
        <v>....1.1.1</v>
      </c>
      <c r="T49" s="1370"/>
      <c r="U49" s="280"/>
      <c r="V49" s="749"/>
      <c r="W49" s="312"/>
      <c r="X49" s="749"/>
      <c r="Y49" s="1278"/>
      <c r="Z49" s="2180"/>
      <c r="AA49" s="1928" t="s">
        <v>58</v>
      </c>
      <c r="AB49" s="2180"/>
      <c r="AC49" s="1928" t="s">
        <v>58</v>
      </c>
      <c r="AD49" s="749"/>
      <c r="AE49" s="312"/>
      <c r="AF49" s="749"/>
      <c r="AG49" s="1278"/>
      <c r="AH49" s="2180"/>
      <c r="AI49" s="1928" t="s">
        <v>58</v>
      </c>
      <c r="AJ49" s="2202"/>
      <c r="AK49" s="1928" t="s">
        <v>58</v>
      </c>
      <c r="AL49" s="1371"/>
      <c r="AM49" s="2168" t="s">
        <v>472</v>
      </c>
      <c r="AN49" s="509">
        <f>STRCHECKDATE(V50:AL50)</f>
      </c>
      <c r="AO49" s="498"/>
      <c r="AP49" s="498" t="str">
        <f>IF(T49="","",T49)</f>
        <v/>
      </c>
      <c r="AQ49" s="498"/>
      <c r="AR49" s="498"/>
    </row>
    <row customHeight="1" ht="0.75">
      <c r="A50" s="1386" t="s">
        <v>166</v>
      </c>
      <c r="B50" s="1386" t="s">
        <v>167</v>
      </c>
      <c r="C50" s="1386" t="s">
        <v>168</v>
      </c>
      <c r="D50" s="1386" t="s">
        <v>169</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166</v>
      </c>
      <c r="B51" s="1386" t="s">
        <v>167</v>
      </c>
      <c r="C51" s="1386" t="s">
        <v>168</v>
      </c>
      <c r="D51" s="1386" t="s">
        <v>169</v>
      </c>
      <c r="E51" s="2174"/>
      <c r="F51" s="2174"/>
      <c r="G51" s="2174"/>
      <c r="H51" s="2174"/>
      <c r="I51" s="2201"/>
      <c r="J51" s="2171"/>
      <c r="K51" s="1386"/>
      <c r="L51" s="1387"/>
      <c r="P51" s="2172"/>
      <c r="Q51" s="2172"/>
      <c r="R51" s="344"/>
      <c r="S51" s="1301"/>
      <c r="T51" s="269" t="s">
        <v>473</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166</v>
      </c>
      <c r="B52" s="1386" t="s">
        <v>167</v>
      </c>
      <c r="C52" s="1386" t="s">
        <v>168</v>
      </c>
      <c r="D52" s="1386" t="s">
        <v>169</v>
      </c>
      <c r="E52" s="2174"/>
      <c r="F52" s="2174"/>
      <c r="G52" s="2174"/>
      <c r="H52" s="2174"/>
      <c r="I52" s="2171"/>
      <c r="J52" s="1386"/>
      <c r="K52" s="1386"/>
      <c r="L52" s="1387"/>
      <c r="P52" s="2172"/>
      <c r="Q52" s="1354"/>
      <c r="R52" s="344"/>
      <c r="S52" s="1301"/>
      <c r="T52" s="268" t="s">
        <v>474</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14.25">
      <c r="A53" s="1386" t="s">
        <v>166</v>
      </c>
      <c r="B53" s="1386" t="s">
        <v>167</v>
      </c>
      <c r="C53" s="1386" t="s">
        <v>168</v>
      </c>
      <c r="D53" s="1386" t="s">
        <v>169</v>
      </c>
      <c r="E53" s="2174"/>
      <c r="F53" s="2174"/>
      <c r="G53" s="2174"/>
      <c r="H53" s="2173"/>
      <c r="I53" s="1386"/>
      <c r="J53" s="1386"/>
      <c r="K53" s="1386"/>
      <c r="L53" s="1387"/>
      <c r="M53" s="1388"/>
      <c r="N53" s="1388"/>
      <c r="O53" s="535"/>
      <c r="P53" s="348"/>
      <c r="Q53" s="367"/>
      <c r="R53" s="343"/>
      <c r="S53" s="1301"/>
      <c r="T53" s="356" t="s">
        <v>475</v>
      </c>
      <c r="U53" s="359"/>
      <c r="V53" s="359"/>
      <c r="W53" s="359"/>
      <c r="X53" s="359"/>
      <c r="Y53" s="359"/>
      <c r="Z53" s="359"/>
      <c r="AA53" s="359"/>
      <c r="AB53" s="359"/>
      <c r="AC53" s="358"/>
      <c r="AD53" s="359"/>
      <c r="AE53" s="359"/>
      <c r="AF53" s="359"/>
      <c r="AG53" s="359"/>
      <c r="AH53" s="359"/>
      <c r="AI53" s="359"/>
      <c r="AJ53" s="359"/>
      <c r="AK53" s="358"/>
      <c r="AL53" s="359"/>
      <c r="AM53" s="283"/>
      <c r="AO53" s="498"/>
      <c r="AP53" s="498" t="str">
        <f>IF(T53="","",T53)</f>
        <v>Добавить схему подключения</v>
      </c>
      <c r="AQ53" s="498"/>
      <c r="AR53" s="498"/>
    </row>
    <row s="1673" customFormat="1" customHeight="1" ht="0.75">
      <c r="A54" s="1366" t="s">
        <v>166</v>
      </c>
      <c r="B54" s="1366" t="s">
        <v>167</v>
      </c>
      <c r="C54" s="1366" t="s">
        <v>168</v>
      </c>
      <c r="D54" s="1337"/>
      <c r="E54" s="2174"/>
      <c r="F54" s="2174"/>
      <c r="G54" s="2173"/>
      <c r="H54" s="1337"/>
      <c r="I54" s="1337"/>
      <c r="J54" s="1337"/>
      <c r="K54" s="1337"/>
      <c r="L54" s="1362"/>
      <c r="M54" s="1338"/>
      <c r="N54" s="1338"/>
      <c r="P54" s="1339"/>
      <c r="Q54" s="1340"/>
      <c r="R54" s="1339"/>
      <c r="S54" s="1345"/>
      <c r="T54" s="1348" t="s">
        <v>432</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166</v>
      </c>
      <c r="B55" s="1366" t="s">
        <v>167</v>
      </c>
      <c r="C55" s="1337"/>
      <c r="D55" s="1337"/>
      <c r="E55" s="2174"/>
      <c r="F55" s="2173"/>
      <c r="G55" s="1337"/>
      <c r="H55" s="1337"/>
      <c r="I55" s="1337"/>
      <c r="J55" s="1337"/>
      <c r="K55" s="1337"/>
      <c r="L55" s="1362"/>
      <c r="M55" s="1344"/>
      <c r="N55" s="1344"/>
      <c r="P55" s="1339"/>
      <c r="Q55" s="1340"/>
      <c r="R55" s="1339"/>
      <c r="S55" s="1345"/>
      <c r="T55" s="1348" t="s">
        <v>433</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166</v>
      </c>
      <c r="B56" s="1366"/>
      <c r="C56" s="1366"/>
      <c r="D56" s="1366"/>
      <c r="E56" s="2173"/>
      <c r="F56" s="1366"/>
      <c r="G56" s="1366"/>
      <c r="H56" s="1366"/>
      <c r="I56" s="1366"/>
      <c r="J56" s="1366"/>
      <c r="K56" s="1366"/>
      <c r="L56" s="1369"/>
      <c r="M56" s="1344"/>
      <c r="N56" s="1344"/>
      <c r="O56" s="516"/>
      <c r="P56" s="376"/>
      <c r="Q56" s="1367"/>
      <c r="R56" s="376"/>
      <c r="S56" s="1345"/>
      <c r="T56" s="1348" t="s">
        <v>434</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435</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7" hidden="1">
      <c r="O59" s="535"/>
      <c r="S59" s="1266" t="s">
        <v>507</v>
      </c>
      <c r="T59" s="2200" t="s">
        <v>514</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62.25" hidden="1">
      <c r="O60" s="535"/>
      <c r="T60" s="2200" t="s">
        <v>509</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row>
    <row customHeight="1" ht="18" hidden="1">
      <c r="O62" s="535"/>
      <c r="S62" s="1266" t="s">
        <v>507</v>
      </c>
      <c r="T62" s="2200" t="s">
        <v>510</v>
      </c>
      <c r="U62" s="2200"/>
      <c r="V62" s="2200"/>
      <c r="W62" s="2200"/>
      <c r="X62" s="2200"/>
      <c r="Y62" s="2200"/>
      <c r="Z62" s="2200"/>
      <c r="AA62" s="2200"/>
      <c r="AB62" s="2200"/>
      <c r="AC62" s="2200"/>
      <c r="AD62" s="2200"/>
      <c r="AE62" s="2200"/>
      <c r="AF62" s="2200"/>
      <c r="AG62" s="2200"/>
      <c r="AH62" s="2200"/>
      <c r="AI62" s="2200"/>
      <c r="AJ62" s="2200"/>
      <c r="AK62" s="2200"/>
      <c r="AL62" s="2200"/>
      <c r="AM62" s="2200"/>
    </row>
    <row customHeight="1" ht="18" hidden="1">
      <c r="O63" s="535"/>
      <c r="T63" s="2200" t="s">
        <v>511</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S64" s="1266"/>
      <c r="T64" s="2200" t="s">
        <v>512</v>
      </c>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F76BA-4F23-53B9-16B3-87981C9E4755}"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2.00390625" customWidth="1"/>
    <col min="21" max="22" style="1666" width="0.140625" customWidth="1"/>
    <col min="23" max="23" style="1666" width="24.7109375" hidden="1" customWidth="1"/>
    <col min="24" max="25" style="1666" width="0.14062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0.140625" customWidth="1"/>
    <col min="31" max="31" style="1666" width="24.7109375" customWidth="1"/>
    <col min="32" max="33" style="1666" width="0.14062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127</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458</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459</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460</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461</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462</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463</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464</v>
      </c>
      <c r="AO5" s="498"/>
      <c r="AP5" s="498" t="str">
        <f>IF(T5="","",T5)</f>
        <v>Источник тепловой энергии  </v>
      </c>
      <c r="AQ5" s="498"/>
      <c r="AR5" s="498"/>
    </row>
    <row customHeight="1" ht="47.25" hidden="1">
      <c r="A6" s="1386"/>
      <c r="B6" s="1386"/>
      <c r="C6" s="1386"/>
      <c r="D6" s="1386"/>
      <c r="E6" s="2174"/>
      <c r="F6" s="2174"/>
      <c r="G6" s="2174"/>
      <c r="H6" s="2174"/>
      <c r="I6" s="2171">
        <f>S5&amp;".1"</f>
      </c>
      <c r="J6" s="1386"/>
      <c r="K6" s="1386"/>
      <c r="L6" s="1387" t="s">
        <v>465</v>
      </c>
      <c r="M6" s="535"/>
      <c r="P6" s="2172">
        <v>1</v>
      </c>
      <c r="Q6" s="1354"/>
      <c r="R6" s="344"/>
      <c r="S6" s="1359">
        <f>$I6</f>
      </c>
      <c r="T6" s="266" t="s">
        <v>466</v>
      </c>
      <c r="U6" s="280"/>
      <c r="V6" s="2160"/>
      <c r="W6" s="2161"/>
      <c r="X6" s="2161"/>
      <c r="Y6" s="2161"/>
      <c r="Z6" s="2161"/>
      <c r="AA6" s="2161"/>
      <c r="AB6" s="2161"/>
      <c r="AC6" s="2162"/>
      <c r="AD6" s="2160"/>
      <c r="AE6" s="2161"/>
      <c r="AF6" s="2161"/>
      <c r="AG6" s="2161"/>
      <c r="AH6" s="2161"/>
      <c r="AI6" s="2161"/>
      <c r="AJ6" s="2161"/>
      <c r="AK6" s="2161"/>
      <c r="AL6" s="2162"/>
      <c r="AM6" s="1279" t="s">
        <v>467</v>
      </c>
      <c r="AO6" s="498"/>
      <c r="AP6" s="498" t="str">
        <f>IF(T6="","",T6)</f>
        <v>Схема подключения теплопотребляющей установки к коллектору источника тепловой энергии</v>
      </c>
      <c r="AQ6" s="498"/>
      <c r="AR6" s="498"/>
    </row>
    <row customHeight="1" ht="21" hidden="1">
      <c r="A7" s="1386"/>
      <c r="B7" s="1386"/>
      <c r="C7" s="1386"/>
      <c r="D7" s="1386"/>
      <c r="E7" s="2174"/>
      <c r="F7" s="2174"/>
      <c r="G7" s="2174"/>
      <c r="H7" s="2174"/>
      <c r="I7" s="2201"/>
      <c r="J7" s="2171">
        <f>I6&amp;".1"</f>
      </c>
      <c r="K7" s="1386"/>
      <c r="L7" s="1387" t="s">
        <v>468</v>
      </c>
      <c r="M7" s="535"/>
      <c r="N7" s="1389"/>
      <c r="P7" s="2172"/>
      <c r="Q7" s="2172">
        <v>1</v>
      </c>
      <c r="R7" s="345"/>
      <c r="S7" s="1359">
        <f>$J7</f>
      </c>
      <c r="T7" s="267" t="s">
        <v>469</v>
      </c>
      <c r="U7" s="280"/>
      <c r="V7" s="2160"/>
      <c r="W7" s="2161"/>
      <c r="X7" s="2161"/>
      <c r="Y7" s="2161"/>
      <c r="Z7" s="2161"/>
      <c r="AA7" s="2161"/>
      <c r="AB7" s="2161"/>
      <c r="AC7" s="2162"/>
      <c r="AD7" s="2160"/>
      <c r="AE7" s="2161"/>
      <c r="AF7" s="2161"/>
      <c r="AG7" s="2161"/>
      <c r="AH7" s="2161"/>
      <c r="AI7" s="2161"/>
      <c r="AJ7" s="2161"/>
      <c r="AK7" s="2161"/>
      <c r="AL7" s="2162"/>
      <c r="AM7" s="1279" t="s">
        <v>470</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471</v>
      </c>
      <c r="M8" s="535"/>
      <c r="N8" s="1389"/>
      <c r="O8" s="1389"/>
      <c r="P8" s="2172"/>
      <c r="Q8" s="2172"/>
      <c r="R8" s="345">
        <v>1</v>
      </c>
      <c r="S8" s="1359">
        <f>$K8</f>
      </c>
      <c r="T8" s="1370"/>
      <c r="U8" s="280"/>
      <c r="V8" s="312"/>
      <c r="W8" s="749"/>
      <c r="X8" s="312"/>
      <c r="Y8" s="381"/>
      <c r="Z8" s="2180"/>
      <c r="AA8" s="1928" t="s">
        <v>58</v>
      </c>
      <c r="AB8" s="2180"/>
      <c r="AC8" s="1928" t="s">
        <v>58</v>
      </c>
      <c r="AD8" s="312"/>
      <c r="AE8" s="749"/>
      <c r="AF8" s="312"/>
      <c r="AG8" s="381"/>
      <c r="AH8" s="2180"/>
      <c r="AI8" s="1928" t="s">
        <v>58</v>
      </c>
      <c r="AJ8" s="2180"/>
      <c r="AK8" s="1928" t="s">
        <v>58</v>
      </c>
      <c r="AL8" s="312"/>
      <c r="AM8" s="2168" t="s">
        <v>472</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9" t="s">
        <v>473</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54"/>
      <c r="R11" s="344"/>
      <c r="S11" s="1301"/>
      <c r="T11" s="268" t="s">
        <v>474</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301"/>
      <c r="T12" s="356" t="s">
        <v>475</v>
      </c>
      <c r="U12" s="359"/>
      <c r="V12" s="359"/>
      <c r="W12" s="359"/>
      <c r="X12" s="359"/>
      <c r="Y12" s="359"/>
      <c r="Z12" s="359"/>
      <c r="AA12" s="359"/>
      <c r="AB12" s="359"/>
      <c r="AC12" s="358"/>
      <c r="AD12" s="359"/>
      <c r="AE12" s="359"/>
      <c r="AF12" s="359"/>
      <c r="AG12" s="359"/>
      <c r="AH12" s="359"/>
      <c r="AI12" s="359"/>
      <c r="AJ12" s="359"/>
      <c r="AK12" s="358"/>
      <c r="AL12" s="359"/>
      <c r="AM12" s="283"/>
      <c r="AO12" s="498"/>
      <c r="AP12" s="498" t="str">
        <f>IF(T12="","",T12)</f>
        <v>Добавить схему подключения</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432</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433</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434</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58</v>
      </c>
      <c r="AJ17" s="2182"/>
      <c r="AK17" s="2183" t="s">
        <v>58</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476</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33.75" hidden="1">
      <c r="L22" s="1352"/>
      <c r="M22" s="1385"/>
      <c r="N22" s="1385"/>
      <c r="O22" s="1387" t="s">
        <v>477</v>
      </c>
      <c r="P22" s="1385"/>
      <c r="Q22" s="1394"/>
      <c r="R22" s="1394"/>
      <c r="S22" s="727"/>
      <c r="T22" s="1161" t="s">
        <v>478</v>
      </c>
      <c r="AA22" s="166" t="s">
        <v>479</v>
      </c>
      <c r="AC22" s="166" t="s">
        <v>480</v>
      </c>
      <c r="AD22" s="1161" t="s">
        <v>478</v>
      </c>
      <c r="AI22" s="166" t="s">
        <v>481</v>
      </c>
      <c r="AK22" s="166" t="s">
        <v>480</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88.5">
      <c r="Q26" s="368"/>
      <c r="R26" s="368"/>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ПАО "ТГК-2"</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39</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482</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483</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40</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484</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485</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486</v>
      </c>
      <c r="AD36" s="314"/>
      <c r="AE36" s="314"/>
      <c r="AF36" s="314"/>
      <c r="AG36" s="314"/>
      <c r="AH36" s="314"/>
      <c r="AI36" s="314"/>
      <c r="AJ36" s="314"/>
      <c r="AK36" s="259" t="s">
        <v>486</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290</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291</v>
      </c>
    </row>
    <row customHeight="1" ht="14.25">
      <c r="Q39" s="368"/>
      <c r="R39" s="368"/>
      <c r="S39" s="2188" t="s">
        <v>87</v>
      </c>
      <c r="T39" s="2029" t="s">
        <v>487</v>
      </c>
      <c r="U39" s="281"/>
      <c r="V39" s="2189" t="s">
        <v>488</v>
      </c>
      <c r="W39" s="2190"/>
      <c r="X39" s="2204"/>
      <c r="Y39" s="2204"/>
      <c r="Z39" s="2190"/>
      <c r="AA39" s="2190"/>
      <c r="AB39" s="2191"/>
      <c r="AC39" s="2192" t="s">
        <v>489</v>
      </c>
      <c r="AD39" s="2189" t="s">
        <v>488</v>
      </c>
      <c r="AE39" s="2190"/>
      <c r="AF39" s="2204"/>
      <c r="AG39" s="2204"/>
      <c r="AH39" s="2190"/>
      <c r="AI39" s="2190"/>
      <c r="AJ39" s="2191"/>
      <c r="AK39" s="2192" t="s">
        <v>490</v>
      </c>
      <c r="AL39" s="2195" t="s">
        <v>491</v>
      </c>
      <c r="AM39" s="1948"/>
    </row>
    <row customHeight="1" ht="23.25">
      <c r="Q40" s="368"/>
      <c r="R40" s="368"/>
      <c r="S40" s="2188"/>
      <c r="T40" s="2029"/>
      <c r="U40" s="1032"/>
      <c r="V40" s="2205" t="s">
        <v>492</v>
      </c>
      <c r="W40" s="2207" t="s">
        <v>493</v>
      </c>
      <c r="X40" s="1399" t="s">
        <v>494</v>
      </c>
      <c r="Y40" s="1399"/>
      <c r="Z40" s="2184" t="s">
        <v>495</v>
      </c>
      <c r="AA40" s="2184"/>
      <c r="AB40" s="2178"/>
      <c r="AC40" s="2193"/>
      <c r="AD40" s="2205" t="s">
        <v>492</v>
      </c>
      <c r="AE40" s="2207" t="s">
        <v>493</v>
      </c>
      <c r="AF40" s="1399" t="s">
        <v>494</v>
      </c>
      <c r="AG40" s="1399"/>
      <c r="AH40" s="2184" t="s">
        <v>495</v>
      </c>
      <c r="AI40" s="2184"/>
      <c r="AJ40" s="2178"/>
      <c r="AK40" s="2193"/>
      <c r="AL40" s="2196"/>
      <c r="AM40" s="1948"/>
    </row>
    <row s="1288" customFormat="1" customHeight="1" ht="23.25">
      <c r="A41" s="1393"/>
      <c r="B41" s="1393" t="s">
        <v>139</v>
      </c>
      <c r="C41" s="1393" t="s">
        <v>140</v>
      </c>
      <c r="D41" s="1393" t="s">
        <v>141</v>
      </c>
      <c r="E41" s="1387" t="s">
        <v>496</v>
      </c>
      <c r="F41" s="1387" t="s">
        <v>497</v>
      </c>
      <c r="G41" s="1387" t="s">
        <v>498</v>
      </c>
      <c r="H41" s="1387" t="s">
        <v>499</v>
      </c>
      <c r="I41" s="1387" t="s">
        <v>500</v>
      </c>
      <c r="J41" s="1387" t="s">
        <v>501</v>
      </c>
      <c r="K41" s="1387" t="s">
        <v>502</v>
      </c>
      <c r="L41" s="1387" t="s">
        <v>477</v>
      </c>
      <c r="M41" s="1385"/>
      <c r="N41" s="1385"/>
      <c r="O41" s="1385"/>
      <c r="P41" s="1351"/>
      <c r="Q41" s="368"/>
      <c r="R41" s="368"/>
      <c r="S41" s="2188"/>
      <c r="T41" s="2029"/>
      <c r="U41" s="282"/>
      <c r="V41" s="2206"/>
      <c r="W41" s="2208"/>
      <c r="X41" s="1396" t="s">
        <v>503</v>
      </c>
      <c r="Y41" s="1396" t="s">
        <v>504</v>
      </c>
      <c r="Z41" s="1357" t="s">
        <v>505</v>
      </c>
      <c r="AA41" s="2185" t="s">
        <v>506</v>
      </c>
      <c r="AB41" s="2186"/>
      <c r="AC41" s="2194"/>
      <c r="AD41" s="2206"/>
      <c r="AE41" s="2208"/>
      <c r="AF41" s="1396" t="s">
        <v>503</v>
      </c>
      <c r="AG41" s="1396" t="s">
        <v>504</v>
      </c>
      <c r="AH41" s="1357" t="s">
        <v>505</v>
      </c>
      <c r="AI41" s="2185" t="s">
        <v>506</v>
      </c>
      <c r="AJ41" s="2186"/>
      <c r="AK41" s="2194"/>
      <c r="AL41" s="2197"/>
      <c r="AM41" s="1948"/>
      <c r="AN41" s="509"/>
      <c r="AO41" s="498"/>
      <c r="AP41" s="498"/>
      <c r="AQ41" s="498"/>
      <c r="AR41" s="49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108</v>
      </c>
      <c r="T42" s="1274" t="s">
        <v>109</v>
      </c>
      <c r="U42" s="1256" t="str">
        <f>OFFSET(U42,0,-1)</f>
        <v>2</v>
      </c>
      <c r="V42" s="1358">
        <f>OFFSET(V42,0,-1)+1</f>
        <v>3</v>
      </c>
      <c r="W42" s="1358"/>
      <c r="X42" s="1364">
        <f>OFFSET(X42,0,-1)+1</f>
        <v>1</v>
      </c>
      <c r="Y42" s="1364">
        <f>OFFSET(Y42,0,-1)+1</f>
        <v>2</v>
      </c>
      <c r="Z42" s="1358">
        <f>OFFSET(Z42,0,-1)+1</f>
        <v>3</v>
      </c>
      <c r="AA42" s="2187">
        <f>OFFSET(AA42,0,-1)+1</f>
        <v>4</v>
      </c>
      <c r="AB42" s="2187"/>
      <c r="AC42" s="1358">
        <f>OFFSET(AC42,0,-2)+1</f>
        <v>5</v>
      </c>
      <c r="AD42" s="1358">
        <f>OFFSET(AD42,0,-1)+1</f>
        <v>6</v>
      </c>
      <c r="AE42" s="1358"/>
      <c r="AF42" s="1364">
        <f>OFFSET(AF42,0,-1)+1</f>
        <v>1</v>
      </c>
      <c r="AG42" s="1364">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196</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127</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196</v>
      </c>
      <c r="B44" s="1386" t="s">
        <v>197</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459</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460</v>
      </c>
      <c r="AO44" s="498"/>
      <c r="AP44" s="498" t="str">
        <f>IF(T44="","",T44)</f>
        <v>Территория действия тарифа</v>
      </c>
      <c r="AQ44" s="498"/>
      <c r="AR44" s="498"/>
    </row>
    <row customHeight="1" ht="23.25">
      <c r="A45" s="1386" t="s">
        <v>196</v>
      </c>
      <c r="B45" s="1386" t="s">
        <v>197</v>
      </c>
      <c r="C45" s="1386" t="s">
        <v>198</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461</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462</v>
      </c>
      <c r="AO45" s="498"/>
      <c r="AP45" s="498" t="str">
        <f>IF(T45="","",T45)</f>
        <v>Наименование системы теплоснабжения </v>
      </c>
      <c r="AQ45" s="498"/>
      <c r="AR45" s="498"/>
    </row>
    <row customHeight="1" ht="21">
      <c r="A46" s="1386" t="s">
        <v>196</v>
      </c>
      <c r="B46" s="1386" t="s">
        <v>197</v>
      </c>
      <c r="C46" s="1386" t="s">
        <v>198</v>
      </c>
      <c r="D46" s="1386" t="s">
        <v>199</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463</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464</v>
      </c>
      <c r="AO46" s="498"/>
      <c r="AP46" s="498" t="str">
        <f>IF(T46="","",T46)</f>
        <v>Источник тепловой энергии  </v>
      </c>
      <c r="AQ46" s="498"/>
      <c r="AR46" s="498"/>
    </row>
    <row customHeight="1" ht="47.25">
      <c r="A47" s="1386" t="s">
        <v>196</v>
      </c>
      <c r="B47" s="1386" t="s">
        <v>197</v>
      </c>
      <c r="C47" s="1386" t="s">
        <v>198</v>
      </c>
      <c r="D47" s="1386" t="s">
        <v>199</v>
      </c>
      <c r="E47" s="2174"/>
      <c r="F47" s="2174"/>
      <c r="G47" s="2174"/>
      <c r="H47" s="2174"/>
      <c r="I47" s="2171" t="str">
        <f>S46&amp;".1"</f>
        <v>....1</v>
      </c>
      <c r="J47" s="1386"/>
      <c r="K47" s="1386"/>
      <c r="L47" s="1387" t="s">
        <v>465</v>
      </c>
      <c r="P47" s="2172">
        <v>1</v>
      </c>
      <c r="Q47" s="1354"/>
      <c r="R47" s="344"/>
      <c r="S47" s="1359" t="str">
        <f>$I47</f>
        <v>....1</v>
      </c>
      <c r="T47" s="266" t="s">
        <v>466</v>
      </c>
      <c r="U47" s="280"/>
      <c r="V47" s="2160"/>
      <c r="W47" s="2161"/>
      <c r="X47" s="2161"/>
      <c r="Y47" s="2161"/>
      <c r="Z47" s="2161"/>
      <c r="AA47" s="2161"/>
      <c r="AB47" s="2161"/>
      <c r="AC47" s="2162"/>
      <c r="AD47" s="2160"/>
      <c r="AE47" s="2161"/>
      <c r="AF47" s="2161"/>
      <c r="AG47" s="2161"/>
      <c r="AH47" s="2161"/>
      <c r="AI47" s="2161"/>
      <c r="AJ47" s="2161"/>
      <c r="AK47" s="2161"/>
      <c r="AL47" s="2162"/>
      <c r="AM47" s="1279" t="s">
        <v>467</v>
      </c>
      <c r="AO47" s="498"/>
      <c r="AP47" s="498" t="str">
        <f>IF(T47="","",T47)</f>
        <v>Схема подключения теплопотребляющей установки к коллектору источника тепловой энергии</v>
      </c>
      <c r="AQ47" s="498"/>
      <c r="AR47" s="498"/>
    </row>
    <row customHeight="1" ht="21">
      <c r="A48" s="1386" t="s">
        <v>196</v>
      </c>
      <c r="B48" s="1386" t="s">
        <v>197</v>
      </c>
      <c r="C48" s="1386" t="s">
        <v>198</v>
      </c>
      <c r="D48" s="1386" t="s">
        <v>199</v>
      </c>
      <c r="E48" s="2174"/>
      <c r="F48" s="2174"/>
      <c r="G48" s="2174"/>
      <c r="H48" s="2174"/>
      <c r="I48" s="2201"/>
      <c r="J48" s="2171" t="str">
        <f>I47&amp;".1"</f>
        <v>....1.1</v>
      </c>
      <c r="K48" s="1386"/>
      <c r="L48" s="1387" t="s">
        <v>468</v>
      </c>
      <c r="P48" s="2172"/>
      <c r="Q48" s="2172">
        <v>1</v>
      </c>
      <c r="R48" s="345"/>
      <c r="S48" s="1359" t="str">
        <f>$J48</f>
        <v>....1.1</v>
      </c>
      <c r="T48" s="267" t="s">
        <v>469</v>
      </c>
      <c r="U48" s="280"/>
      <c r="V48" s="2160"/>
      <c r="W48" s="2161"/>
      <c r="X48" s="2161"/>
      <c r="Y48" s="2161"/>
      <c r="Z48" s="2161"/>
      <c r="AA48" s="2161"/>
      <c r="AB48" s="2161"/>
      <c r="AC48" s="2162"/>
      <c r="AD48" s="2160"/>
      <c r="AE48" s="2161"/>
      <c r="AF48" s="2161"/>
      <c r="AG48" s="2161"/>
      <c r="AH48" s="2161"/>
      <c r="AI48" s="2161"/>
      <c r="AJ48" s="2161"/>
      <c r="AK48" s="2161"/>
      <c r="AL48" s="2162"/>
      <c r="AM48" s="1279" t="s">
        <v>470</v>
      </c>
      <c r="AO48" s="498"/>
      <c r="AP48" s="498" t="str">
        <f>IF(T48="","",T48)</f>
        <v>Группа потребителей</v>
      </c>
      <c r="AQ48" s="498"/>
      <c r="AR48" s="498"/>
    </row>
    <row customHeight="1" ht="21">
      <c r="A49" s="1386" t="s">
        <v>196</v>
      </c>
      <c r="B49" s="1386" t="s">
        <v>197</v>
      </c>
      <c r="C49" s="1386" t="s">
        <v>198</v>
      </c>
      <c r="D49" s="1386" t="s">
        <v>199</v>
      </c>
      <c r="E49" s="2174"/>
      <c r="F49" s="2174"/>
      <c r="G49" s="2174"/>
      <c r="H49" s="2174"/>
      <c r="I49" s="2201"/>
      <c r="J49" s="2201"/>
      <c r="K49" s="2171" t="str">
        <f>J48&amp;".1"</f>
        <v>....1.1.1</v>
      </c>
      <c r="L49" s="1387" t="s">
        <v>471</v>
      </c>
      <c r="P49" s="2172"/>
      <c r="Q49" s="2172"/>
      <c r="R49" s="345">
        <v>1</v>
      </c>
      <c r="S49" s="1359" t="str">
        <f>$K49</f>
        <v>....1.1.1</v>
      </c>
      <c r="T49" s="1370"/>
      <c r="U49" s="280"/>
      <c r="V49" s="312"/>
      <c r="W49" s="749"/>
      <c r="X49" s="312"/>
      <c r="Y49" s="381"/>
      <c r="Z49" s="2180"/>
      <c r="AA49" s="1928" t="s">
        <v>58</v>
      </c>
      <c r="AB49" s="2180"/>
      <c r="AC49" s="1928" t="s">
        <v>58</v>
      </c>
      <c r="AD49" s="312"/>
      <c r="AE49" s="749"/>
      <c r="AF49" s="312"/>
      <c r="AG49" s="381"/>
      <c r="AH49" s="2180"/>
      <c r="AI49" s="1928" t="s">
        <v>58</v>
      </c>
      <c r="AJ49" s="2202"/>
      <c r="AK49" s="1928" t="s">
        <v>58</v>
      </c>
      <c r="AL49" s="1371"/>
      <c r="AM49" s="2168" t="s">
        <v>472</v>
      </c>
      <c r="AN49" s="509">
        <f>STRCHECKDATE(V50:AL50)</f>
      </c>
      <c r="AO49" s="498"/>
      <c r="AP49" s="498" t="str">
        <f>IF(T49="","",T49)</f>
        <v/>
      </c>
      <c r="AQ49" s="498"/>
      <c r="AR49" s="498"/>
    </row>
    <row customHeight="1" ht="0.75">
      <c r="A50" s="1386" t="s">
        <v>196</v>
      </c>
      <c r="B50" s="1386" t="s">
        <v>197</v>
      </c>
      <c r="C50" s="1386" t="s">
        <v>198</v>
      </c>
      <c r="D50" s="1386" t="s">
        <v>199</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196</v>
      </c>
      <c r="B51" s="1386" t="s">
        <v>197</v>
      </c>
      <c r="C51" s="1386" t="s">
        <v>198</v>
      </c>
      <c r="D51" s="1386" t="s">
        <v>199</v>
      </c>
      <c r="E51" s="2174"/>
      <c r="F51" s="2174"/>
      <c r="G51" s="2174"/>
      <c r="H51" s="2174"/>
      <c r="I51" s="2201"/>
      <c r="J51" s="2171"/>
      <c r="K51" s="1386"/>
      <c r="L51" s="1387"/>
      <c r="P51" s="2172"/>
      <c r="Q51" s="2172"/>
      <c r="R51" s="344"/>
      <c r="S51" s="1301"/>
      <c r="T51" s="269" t="s">
        <v>473</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196</v>
      </c>
      <c r="B52" s="1386" t="s">
        <v>197</v>
      </c>
      <c r="C52" s="1386" t="s">
        <v>198</v>
      </c>
      <c r="D52" s="1386" t="s">
        <v>199</v>
      </c>
      <c r="E52" s="2174"/>
      <c r="F52" s="2174"/>
      <c r="G52" s="2174"/>
      <c r="H52" s="2174"/>
      <c r="I52" s="2171"/>
      <c r="J52" s="1386"/>
      <c r="K52" s="1386"/>
      <c r="L52" s="1387"/>
      <c r="P52" s="2172"/>
      <c r="Q52" s="1354"/>
      <c r="R52" s="344"/>
      <c r="S52" s="1301"/>
      <c r="T52" s="268" t="s">
        <v>474</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14.25">
      <c r="A53" s="1386" t="s">
        <v>196</v>
      </c>
      <c r="B53" s="1386" t="s">
        <v>197</v>
      </c>
      <c r="C53" s="1386" t="s">
        <v>198</v>
      </c>
      <c r="D53" s="1386" t="s">
        <v>199</v>
      </c>
      <c r="E53" s="2174"/>
      <c r="F53" s="2174"/>
      <c r="G53" s="2174"/>
      <c r="H53" s="2173"/>
      <c r="I53" s="1386"/>
      <c r="J53" s="1386"/>
      <c r="K53" s="1386"/>
      <c r="L53" s="1387"/>
      <c r="M53" s="1388"/>
      <c r="N53" s="1388"/>
      <c r="O53" s="535"/>
      <c r="P53" s="348"/>
      <c r="Q53" s="367"/>
      <c r="R53" s="343"/>
      <c r="S53" s="1301"/>
      <c r="T53" s="356" t="s">
        <v>475</v>
      </c>
      <c r="U53" s="359"/>
      <c r="V53" s="359"/>
      <c r="W53" s="359"/>
      <c r="X53" s="359"/>
      <c r="Y53" s="359"/>
      <c r="Z53" s="359"/>
      <c r="AA53" s="359"/>
      <c r="AB53" s="359"/>
      <c r="AC53" s="358"/>
      <c r="AD53" s="359"/>
      <c r="AE53" s="359"/>
      <c r="AF53" s="359"/>
      <c r="AG53" s="359"/>
      <c r="AH53" s="359"/>
      <c r="AI53" s="359"/>
      <c r="AJ53" s="359"/>
      <c r="AK53" s="358"/>
      <c r="AL53" s="359"/>
      <c r="AM53" s="283"/>
      <c r="AO53" s="498"/>
      <c r="AP53" s="498" t="str">
        <f>IF(T53="","",T53)</f>
        <v>Добавить схему подключения</v>
      </c>
      <c r="AQ53" s="498"/>
      <c r="AR53" s="498"/>
    </row>
    <row s="1673" customFormat="1" customHeight="1" ht="0.75">
      <c r="A54" s="1366" t="s">
        <v>196</v>
      </c>
      <c r="B54" s="1366" t="s">
        <v>197</v>
      </c>
      <c r="C54" s="1366" t="s">
        <v>198</v>
      </c>
      <c r="D54" s="1337"/>
      <c r="E54" s="2174"/>
      <c r="F54" s="2174"/>
      <c r="G54" s="2173"/>
      <c r="H54" s="1337"/>
      <c r="I54" s="1337"/>
      <c r="J54" s="1337"/>
      <c r="K54" s="1337"/>
      <c r="L54" s="1362"/>
      <c r="M54" s="1338"/>
      <c r="N54" s="1338"/>
      <c r="P54" s="1339"/>
      <c r="Q54" s="1340"/>
      <c r="R54" s="1339"/>
      <c r="S54" s="1345"/>
      <c r="T54" s="1348" t="s">
        <v>432</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196</v>
      </c>
      <c r="B55" s="1366" t="s">
        <v>197</v>
      </c>
      <c r="C55" s="1337"/>
      <c r="D55" s="1337"/>
      <c r="E55" s="2174"/>
      <c r="F55" s="2173"/>
      <c r="G55" s="1337"/>
      <c r="H55" s="1337"/>
      <c r="I55" s="1337"/>
      <c r="J55" s="1337"/>
      <c r="K55" s="1337"/>
      <c r="L55" s="1362"/>
      <c r="M55" s="1344"/>
      <c r="N55" s="1344"/>
      <c r="P55" s="1339"/>
      <c r="Q55" s="1340"/>
      <c r="R55" s="1339"/>
      <c r="S55" s="1345"/>
      <c r="T55" s="1348" t="s">
        <v>433</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196</v>
      </c>
      <c r="B56" s="1366"/>
      <c r="C56" s="1366"/>
      <c r="D56" s="1366"/>
      <c r="E56" s="2173"/>
      <c r="F56" s="1366"/>
      <c r="G56" s="1366"/>
      <c r="H56" s="1366"/>
      <c r="I56" s="1366"/>
      <c r="J56" s="1366"/>
      <c r="K56" s="1366"/>
      <c r="L56" s="1369"/>
      <c r="M56" s="1344"/>
      <c r="N56" s="1344"/>
      <c r="O56" s="516"/>
      <c r="P56" s="376"/>
      <c r="Q56" s="1367"/>
      <c r="R56" s="376"/>
      <c r="S56" s="1345"/>
      <c r="T56" s="1348" t="s">
        <v>434</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435</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7" hidden="1">
      <c r="O59" s="535"/>
      <c r="S59" s="1266" t="s">
        <v>507</v>
      </c>
      <c r="T59" s="2200" t="s">
        <v>514</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75" hidden="1">
      <c r="O60" s="535"/>
      <c r="T60" s="2200" t="s">
        <v>509</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row>
    <row customHeight="1" ht="18" hidden="1">
      <c r="O62" s="535"/>
      <c r="S62" s="1266" t="s">
        <v>507</v>
      </c>
      <c r="T62" s="2200" t="s">
        <v>510</v>
      </c>
      <c r="U62" s="2200"/>
      <c r="V62" s="2200"/>
      <c r="W62" s="2200"/>
      <c r="X62" s="2200"/>
      <c r="Y62" s="2200"/>
      <c r="Z62" s="2200"/>
      <c r="AA62" s="2200"/>
      <c r="AB62" s="2200"/>
      <c r="AC62" s="2200"/>
      <c r="AD62" s="2200"/>
      <c r="AE62" s="2200"/>
      <c r="AF62" s="2200"/>
      <c r="AG62" s="2200"/>
      <c r="AH62" s="2200"/>
      <c r="AI62" s="2200"/>
      <c r="AJ62" s="2200"/>
      <c r="AK62" s="2200"/>
      <c r="AL62" s="2200"/>
      <c r="AM62" s="2200"/>
    </row>
    <row customHeight="1" ht="18" hidden="1">
      <c r="O63" s="535"/>
      <c r="T63" s="2200" t="s">
        <v>511</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38.25" hidden="1">
      <c r="O64" s="535"/>
      <c r="S64" s="1266"/>
      <c r="T64" s="2200" t="s">
        <v>512</v>
      </c>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099FE-741A-F89B-7C7F-F994D227FD76}"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hidden="1"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127</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458</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459</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460</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461</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462</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463</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464</v>
      </c>
      <c r="AO5" s="498"/>
      <c r="AP5" s="498" t="str">
        <f>IF(T5="","",T5)</f>
        <v>Источник тепловой энергии  </v>
      </c>
      <c r="AQ5" s="498"/>
      <c r="AR5" s="498"/>
    </row>
    <row customHeight="1" ht="14.25" hidden="1">
      <c r="A6" s="1386"/>
      <c r="B6" s="1386"/>
      <c r="C6" s="1386"/>
      <c r="D6" s="1386"/>
      <c r="E6" s="2174"/>
      <c r="F6" s="2174"/>
      <c r="G6" s="2174"/>
      <c r="H6" s="2174"/>
      <c r="I6" s="2171">
        <f>S5&amp;".1"</f>
      </c>
      <c r="J6" s="1386"/>
      <c r="K6" s="1386"/>
      <c r="L6" s="1387" t="s">
        <v>465</v>
      </c>
      <c r="M6" s="535"/>
      <c r="P6" s="2172">
        <v>1</v>
      </c>
      <c r="Q6" s="1354"/>
      <c r="R6" s="344"/>
      <c r="S6" s="1043"/>
      <c r="T6" s="1406"/>
      <c r="U6" s="1407"/>
      <c r="V6" s="2209"/>
      <c r="W6" s="2210"/>
      <c r="X6" s="2210"/>
      <c r="Y6" s="2210"/>
      <c r="Z6" s="2210"/>
      <c r="AA6" s="2210"/>
      <c r="AB6" s="2210"/>
      <c r="AC6" s="2211"/>
      <c r="AD6" s="2209"/>
      <c r="AE6" s="2210"/>
      <c r="AF6" s="2210"/>
      <c r="AG6" s="2210"/>
      <c r="AH6" s="2210"/>
      <c r="AI6" s="2210"/>
      <c r="AJ6" s="2210"/>
      <c r="AK6" s="2210"/>
      <c r="AL6" s="2211"/>
      <c r="AM6" s="1408"/>
      <c r="AO6" s="498"/>
      <c r="AP6" s="498" t="str">
        <f>IF(T6="","",T6)</f>
        <v/>
      </c>
      <c r="AQ6" s="498"/>
      <c r="AR6" s="498"/>
    </row>
    <row customHeight="1" ht="21" hidden="1">
      <c r="A7" s="1386"/>
      <c r="B7" s="1386"/>
      <c r="C7" s="1386"/>
      <c r="D7" s="1386"/>
      <c r="E7" s="2174"/>
      <c r="F7" s="2174"/>
      <c r="G7" s="2174"/>
      <c r="H7" s="2174"/>
      <c r="I7" s="2201"/>
      <c r="J7" s="2171">
        <f>I6&amp;".1"</f>
      </c>
      <c r="K7" s="1386"/>
      <c r="L7" s="1387" t="s">
        <v>468</v>
      </c>
      <c r="M7" s="535"/>
      <c r="N7" s="1389"/>
      <c r="P7" s="2172"/>
      <c r="Q7" s="2172">
        <v>1</v>
      </c>
      <c r="R7" s="345"/>
      <c r="S7" s="1359">
        <f>$J7</f>
      </c>
      <c r="T7" s="267" t="s">
        <v>469</v>
      </c>
      <c r="U7" s="280"/>
      <c r="V7" s="2160"/>
      <c r="W7" s="2161"/>
      <c r="X7" s="2161"/>
      <c r="Y7" s="2161"/>
      <c r="Z7" s="2161"/>
      <c r="AA7" s="2161"/>
      <c r="AB7" s="2161"/>
      <c r="AC7" s="2162"/>
      <c r="AD7" s="2160"/>
      <c r="AE7" s="2161"/>
      <c r="AF7" s="2161"/>
      <c r="AG7" s="2161"/>
      <c r="AH7" s="2161"/>
      <c r="AI7" s="2161"/>
      <c r="AJ7" s="2161"/>
      <c r="AK7" s="2161"/>
      <c r="AL7" s="2162"/>
      <c r="AM7" s="1279" t="s">
        <v>470</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471</v>
      </c>
      <c r="M8" s="535"/>
      <c r="N8" s="1389"/>
      <c r="O8" s="1389"/>
      <c r="P8" s="2172"/>
      <c r="Q8" s="2172"/>
      <c r="R8" s="345">
        <v>1</v>
      </c>
      <c r="S8" s="1359">
        <f>$K8</f>
      </c>
      <c r="T8" s="1370"/>
      <c r="U8" s="280"/>
      <c r="V8" s="749"/>
      <c r="W8" s="312"/>
      <c r="X8" s="749"/>
      <c r="Y8" s="1278"/>
      <c r="Z8" s="2180"/>
      <c r="AA8" s="1928" t="s">
        <v>58</v>
      </c>
      <c r="AB8" s="2180"/>
      <c r="AC8" s="1928" t="s">
        <v>58</v>
      </c>
      <c r="AD8" s="749"/>
      <c r="AE8" s="312"/>
      <c r="AF8" s="749"/>
      <c r="AG8" s="1278"/>
      <c r="AH8" s="2180"/>
      <c r="AI8" s="1928" t="s">
        <v>58</v>
      </c>
      <c r="AJ8" s="2180"/>
      <c r="AK8" s="1928" t="s">
        <v>58</v>
      </c>
      <c r="AL8" s="312"/>
      <c r="AM8" s="2168" t="s">
        <v>472</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8" t="s">
        <v>473</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54"/>
      <c r="R11" s="344"/>
      <c r="S11" s="1301"/>
      <c r="T11" s="356" t="s">
        <v>474</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409"/>
      <c r="T12" s="1410"/>
      <c r="U12" s="1411"/>
      <c r="V12" s="1411"/>
      <c r="W12" s="1411"/>
      <c r="X12" s="1411"/>
      <c r="Y12" s="1411"/>
      <c r="Z12" s="1411"/>
      <c r="AA12" s="1411"/>
      <c r="AB12" s="1411"/>
      <c r="AC12" s="1411"/>
      <c r="AD12" s="1411"/>
      <c r="AE12" s="1411"/>
      <c r="AF12" s="1411"/>
      <c r="AG12" s="1411"/>
      <c r="AH12" s="1411"/>
      <c r="AI12" s="1411"/>
      <c r="AJ12" s="1411"/>
      <c r="AK12" s="1411"/>
      <c r="AL12" s="1411"/>
      <c r="AM12" s="1412"/>
      <c r="AO12" s="498"/>
      <c r="AP12" s="498" t="str">
        <f>IF(T12="","",T12)</f>
        <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432</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433</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434</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58</v>
      </c>
      <c r="AJ17" s="2182"/>
      <c r="AK17" s="2183" t="s">
        <v>58</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476</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477</v>
      </c>
      <c r="P22" s="1385"/>
      <c r="Q22" s="1394"/>
      <c r="R22" s="1394"/>
      <c r="S22" s="727"/>
      <c r="T22" s="1161" t="s">
        <v>478</v>
      </c>
      <c r="AA22" s="166" t="s">
        <v>479</v>
      </c>
      <c r="AC22" s="166" t="s">
        <v>480</v>
      </c>
      <c r="AD22" s="1161" t="s">
        <v>478</v>
      </c>
      <c r="AI22" s="166" t="s">
        <v>481</v>
      </c>
      <c r="AK22" s="166" t="s">
        <v>480</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ПАО "ТГК-2"</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39</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482</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483</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40</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484</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485</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486</v>
      </c>
      <c r="AD36" s="314"/>
      <c r="AE36" s="314"/>
      <c r="AF36" s="314"/>
      <c r="AG36" s="314"/>
      <c r="AH36" s="314"/>
      <c r="AI36" s="314"/>
      <c r="AJ36" s="314"/>
      <c r="AK36" s="259" t="s">
        <v>486</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290</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291</v>
      </c>
    </row>
    <row customHeight="1" ht="14.25">
      <c r="Q39" s="368"/>
      <c r="R39" s="368"/>
      <c r="S39" s="2188" t="s">
        <v>87</v>
      </c>
      <c r="T39" s="2029" t="s">
        <v>487</v>
      </c>
      <c r="U39" s="281"/>
      <c r="V39" s="2189" t="s">
        <v>488</v>
      </c>
      <c r="W39" s="2190"/>
      <c r="X39" s="2190"/>
      <c r="Y39" s="2190"/>
      <c r="Z39" s="2190"/>
      <c r="AA39" s="2190"/>
      <c r="AB39" s="2191"/>
      <c r="AC39" s="2192" t="s">
        <v>489</v>
      </c>
      <c r="AD39" s="2189" t="s">
        <v>488</v>
      </c>
      <c r="AE39" s="2190"/>
      <c r="AF39" s="2190"/>
      <c r="AG39" s="2190"/>
      <c r="AH39" s="2190"/>
      <c r="AI39" s="2190"/>
      <c r="AJ39" s="2191"/>
      <c r="AK39" s="2192" t="s">
        <v>490</v>
      </c>
      <c r="AL39" s="2195" t="s">
        <v>491</v>
      </c>
      <c r="AM39" s="1948"/>
    </row>
    <row customHeight="1" ht="33.75">
      <c r="Q40" s="368"/>
      <c r="R40" s="368"/>
      <c r="S40" s="2188"/>
      <c r="T40" s="2029"/>
      <c r="U40" s="1032"/>
      <c r="V40" s="2175" t="s">
        <v>492</v>
      </c>
      <c r="W40" s="2198"/>
      <c r="X40" s="2177" t="s">
        <v>494</v>
      </c>
      <c r="Y40" s="2178"/>
      <c r="Z40" s="2177" t="s">
        <v>495</v>
      </c>
      <c r="AA40" s="2184"/>
      <c r="AB40" s="2178"/>
      <c r="AC40" s="2193"/>
      <c r="AD40" s="2175" t="s">
        <v>492</v>
      </c>
      <c r="AE40" s="2198"/>
      <c r="AF40" s="2177" t="s">
        <v>494</v>
      </c>
      <c r="AG40" s="2178"/>
      <c r="AH40" s="2177" t="s">
        <v>495</v>
      </c>
      <c r="AI40" s="2184"/>
      <c r="AJ40" s="2178"/>
      <c r="AK40" s="2193"/>
      <c r="AL40" s="2196"/>
      <c r="AM40" s="1948"/>
    </row>
    <row customHeight="1" ht="33.75">
      <c r="A41" s="1393"/>
      <c r="B41" s="1393" t="s">
        <v>139</v>
      </c>
      <c r="C41" s="1393" t="s">
        <v>140</v>
      </c>
      <c r="D41" s="1393" t="s">
        <v>141</v>
      </c>
      <c r="E41" s="1387" t="s">
        <v>496</v>
      </c>
      <c r="F41" s="1387" t="s">
        <v>497</v>
      </c>
      <c r="G41" s="1387" t="s">
        <v>498</v>
      </c>
      <c r="H41" s="1387" t="s">
        <v>499</v>
      </c>
      <c r="I41" s="1387" t="s">
        <v>500</v>
      </c>
      <c r="J41" s="1387" t="s">
        <v>501</v>
      </c>
      <c r="K41" s="1387" t="s">
        <v>502</v>
      </c>
      <c r="L41" s="1387" t="s">
        <v>477</v>
      </c>
      <c r="Q41" s="368"/>
      <c r="R41" s="368"/>
      <c r="S41" s="2188"/>
      <c r="T41" s="2029"/>
      <c r="U41" s="282"/>
      <c r="V41" s="2176"/>
      <c r="W41" s="2199"/>
      <c r="X41" s="1230" t="s">
        <v>503</v>
      </c>
      <c r="Y41" s="1230" t="s">
        <v>504</v>
      </c>
      <c r="Z41" s="1361" t="s">
        <v>505</v>
      </c>
      <c r="AA41" s="2185" t="s">
        <v>506</v>
      </c>
      <c r="AB41" s="2186"/>
      <c r="AC41" s="2194"/>
      <c r="AD41" s="2176"/>
      <c r="AE41" s="2199"/>
      <c r="AF41" s="1230" t="s">
        <v>503</v>
      </c>
      <c r="AG41" s="1230" t="s">
        <v>504</v>
      </c>
      <c r="AH41" s="1361" t="s">
        <v>505</v>
      </c>
      <c r="AI41" s="2185" t="s">
        <v>506</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108</v>
      </c>
      <c r="T42" s="1274" t="s">
        <v>109</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172</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127</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172</v>
      </c>
      <c r="B44" s="1386" t="s">
        <v>173</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459</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460</v>
      </c>
      <c r="AO44" s="498"/>
      <c r="AP44" s="498" t="str">
        <f>IF(T44="","",T44)</f>
        <v>Территория действия тарифа</v>
      </c>
      <c r="AQ44" s="498"/>
      <c r="AR44" s="498"/>
    </row>
    <row customHeight="1" ht="23.25">
      <c r="A45" s="1386" t="s">
        <v>172</v>
      </c>
      <c r="B45" s="1386" t="s">
        <v>173</v>
      </c>
      <c r="C45" s="1386" t="s">
        <v>174</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461</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462</v>
      </c>
      <c r="AO45" s="498"/>
      <c r="AP45" s="498" t="str">
        <f>IF(T45="","",T45)</f>
        <v>Наименование системы теплоснабжения </v>
      </c>
      <c r="AQ45" s="498"/>
      <c r="AR45" s="498"/>
    </row>
    <row customHeight="1" ht="21">
      <c r="A46" s="1386" t="s">
        <v>172</v>
      </c>
      <c r="B46" s="1386" t="s">
        <v>173</v>
      </c>
      <c r="C46" s="1386" t="s">
        <v>174</v>
      </c>
      <c r="D46" s="1386" t="s">
        <v>175</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463</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464</v>
      </c>
      <c r="AO46" s="498"/>
      <c r="AP46" s="498" t="str">
        <f>IF(T46="","",T46)</f>
        <v>Источник тепловой энергии  </v>
      </c>
      <c r="AQ46" s="498"/>
      <c r="AR46" s="498"/>
    </row>
    <row s="1673" customFormat="1" customHeight="1" ht="0">
      <c r="A47" s="1366" t="s">
        <v>172</v>
      </c>
      <c r="B47" s="1366" t="s">
        <v>173</v>
      </c>
      <c r="C47" s="1366" t="s">
        <v>174</v>
      </c>
      <c r="D47" s="1366" t="s">
        <v>175</v>
      </c>
      <c r="E47" s="2174"/>
      <c r="F47" s="2174"/>
      <c r="G47" s="2174"/>
      <c r="H47" s="2174"/>
      <c r="I47" s="2171" t="str">
        <f>S46&amp;".1"</f>
        <v>....1</v>
      </c>
      <c r="J47" s="1366"/>
      <c r="K47" s="1366"/>
      <c r="L47" s="1369" t="s">
        <v>465</v>
      </c>
      <c r="M47" s="508"/>
      <c r="N47" s="508"/>
      <c r="O47" s="508"/>
      <c r="P47" s="2172">
        <v>1</v>
      </c>
      <c r="Q47" s="1354"/>
      <c r="R47" s="344"/>
      <c r="S47" s="1043"/>
      <c r="T47" s="1406"/>
      <c r="U47" s="1407"/>
      <c r="V47" s="2209"/>
      <c r="W47" s="2210"/>
      <c r="X47" s="2210"/>
      <c r="Y47" s="2210"/>
      <c r="Z47" s="2210"/>
      <c r="AA47" s="2210"/>
      <c r="AB47" s="2210"/>
      <c r="AC47" s="2211"/>
      <c r="AD47" s="2209"/>
      <c r="AE47" s="2210"/>
      <c r="AF47" s="2210"/>
      <c r="AG47" s="2210"/>
      <c r="AH47" s="2210"/>
      <c r="AI47" s="2210"/>
      <c r="AJ47" s="2210"/>
      <c r="AK47" s="2210"/>
      <c r="AL47" s="2211"/>
      <c r="AM47" s="1408"/>
      <c r="AO47" s="498"/>
      <c r="AP47" s="498" t="str">
        <f>IF(T47="","",T47)</f>
        <v/>
      </c>
      <c r="AQ47" s="498"/>
      <c r="AR47" s="498"/>
    </row>
    <row customHeight="1" ht="21">
      <c r="A48" s="1386" t="s">
        <v>172</v>
      </c>
      <c r="B48" s="1386" t="s">
        <v>173</v>
      </c>
      <c r="C48" s="1386" t="s">
        <v>174</v>
      </c>
      <c r="D48" s="1386" t="s">
        <v>175</v>
      </c>
      <c r="E48" s="2174"/>
      <c r="F48" s="2174"/>
      <c r="G48" s="2174"/>
      <c r="H48" s="2174"/>
      <c r="I48" s="2201"/>
      <c r="J48" s="2171" t="str">
        <f>S46&amp;".1"</f>
        <v>....1</v>
      </c>
      <c r="K48" s="1386"/>
      <c r="L48" s="1387" t="s">
        <v>468</v>
      </c>
      <c r="P48" s="2172"/>
      <c r="Q48" s="2172">
        <v>1</v>
      </c>
      <c r="R48" s="345"/>
      <c r="S48" s="1359" t="str">
        <f>$J48</f>
        <v>....1</v>
      </c>
      <c r="T48" s="267" t="s">
        <v>469</v>
      </c>
      <c r="U48" s="280"/>
      <c r="V48" s="2160"/>
      <c r="W48" s="2161"/>
      <c r="X48" s="2161"/>
      <c r="Y48" s="2161"/>
      <c r="Z48" s="2161"/>
      <c r="AA48" s="2161"/>
      <c r="AB48" s="2161"/>
      <c r="AC48" s="2162"/>
      <c r="AD48" s="2160"/>
      <c r="AE48" s="2161"/>
      <c r="AF48" s="2161"/>
      <c r="AG48" s="2161"/>
      <c r="AH48" s="2161"/>
      <c r="AI48" s="2161"/>
      <c r="AJ48" s="2161"/>
      <c r="AK48" s="2161"/>
      <c r="AL48" s="2162"/>
      <c r="AM48" s="1279" t="s">
        <v>470</v>
      </c>
      <c r="AO48" s="498"/>
      <c r="AP48" s="498" t="str">
        <f>IF(T48="","",T48)</f>
        <v>Группа потребителей</v>
      </c>
      <c r="AQ48" s="498"/>
      <c r="AR48" s="498"/>
    </row>
    <row customHeight="1" ht="21">
      <c r="A49" s="1386" t="s">
        <v>172</v>
      </c>
      <c r="B49" s="1386" t="s">
        <v>173</v>
      </c>
      <c r="C49" s="1386" t="s">
        <v>174</v>
      </c>
      <c r="D49" s="1386" t="s">
        <v>175</v>
      </c>
      <c r="E49" s="2174"/>
      <c r="F49" s="2174"/>
      <c r="G49" s="2174"/>
      <c r="H49" s="2174"/>
      <c r="I49" s="2201"/>
      <c r="J49" s="2201"/>
      <c r="K49" s="2171" t="str">
        <f>J48&amp;".1"</f>
        <v>....1.1</v>
      </c>
      <c r="L49" s="1387" t="s">
        <v>471</v>
      </c>
      <c r="P49" s="2172"/>
      <c r="Q49" s="2172"/>
      <c r="R49" s="345">
        <v>1</v>
      </c>
      <c r="S49" s="1359" t="str">
        <f>$K49</f>
        <v>....1.1</v>
      </c>
      <c r="T49" s="1370"/>
      <c r="U49" s="280"/>
      <c r="V49" s="749"/>
      <c r="W49" s="312"/>
      <c r="X49" s="749"/>
      <c r="Y49" s="1278"/>
      <c r="Z49" s="2180"/>
      <c r="AA49" s="1928" t="s">
        <v>58</v>
      </c>
      <c r="AB49" s="2180"/>
      <c r="AC49" s="1928" t="s">
        <v>58</v>
      </c>
      <c r="AD49" s="749"/>
      <c r="AE49" s="312"/>
      <c r="AF49" s="749"/>
      <c r="AG49" s="1278"/>
      <c r="AH49" s="2180"/>
      <c r="AI49" s="1928" t="s">
        <v>58</v>
      </c>
      <c r="AJ49" s="2202"/>
      <c r="AK49" s="1928" t="s">
        <v>58</v>
      </c>
      <c r="AL49" s="1371"/>
      <c r="AM49" s="2168" t="s">
        <v>515</v>
      </c>
      <c r="AN49" s="509">
        <f>STRCHECKDATE(V50:AL50)</f>
      </c>
      <c r="AO49" s="498"/>
      <c r="AP49" s="498" t="str">
        <f>IF(T49="","",T49)</f>
        <v/>
      </c>
      <c r="AQ49" s="498"/>
      <c r="AR49" s="498"/>
    </row>
    <row customHeight="1" ht="0.75">
      <c r="A50" s="1386" t="s">
        <v>172</v>
      </c>
      <c r="B50" s="1386" t="s">
        <v>173</v>
      </c>
      <c r="C50" s="1386" t="s">
        <v>174</v>
      </c>
      <c r="D50" s="1386" t="s">
        <v>175</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172</v>
      </c>
      <c r="B51" s="1386" t="s">
        <v>173</v>
      </c>
      <c r="C51" s="1386" t="s">
        <v>174</v>
      </c>
      <c r="D51" s="1386" t="s">
        <v>175</v>
      </c>
      <c r="E51" s="2174"/>
      <c r="F51" s="2174"/>
      <c r="G51" s="2174"/>
      <c r="H51" s="2174"/>
      <c r="I51" s="2201"/>
      <c r="J51" s="2171"/>
      <c r="K51" s="1386"/>
      <c r="L51" s="1387"/>
      <c r="P51" s="2172"/>
      <c r="Q51" s="2172"/>
      <c r="R51" s="344"/>
      <c r="S51" s="1301"/>
      <c r="T51" s="268" t="s">
        <v>473</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172</v>
      </c>
      <c r="B52" s="1386" t="s">
        <v>173</v>
      </c>
      <c r="C52" s="1386" t="s">
        <v>174</v>
      </c>
      <c r="D52" s="1386" t="s">
        <v>175</v>
      </c>
      <c r="E52" s="2174"/>
      <c r="F52" s="2174"/>
      <c r="G52" s="2174"/>
      <c r="H52" s="2174"/>
      <c r="I52" s="2171"/>
      <c r="J52" s="1386"/>
      <c r="K52" s="1386"/>
      <c r="L52" s="1387"/>
      <c r="P52" s="2172"/>
      <c r="Q52" s="1354"/>
      <c r="R52" s="344"/>
      <c r="S52" s="1301"/>
      <c r="T52" s="356" t="s">
        <v>474</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0">
      <c r="A53" s="1386" t="s">
        <v>172</v>
      </c>
      <c r="B53" s="1386" t="s">
        <v>173</v>
      </c>
      <c r="C53" s="1386" t="s">
        <v>174</v>
      </c>
      <c r="D53" s="1386" t="s">
        <v>175</v>
      </c>
      <c r="E53" s="2174"/>
      <c r="F53" s="2174"/>
      <c r="G53" s="2174"/>
      <c r="H53" s="2173"/>
      <c r="I53" s="1386"/>
      <c r="J53" s="1386"/>
      <c r="K53" s="1386"/>
      <c r="L53" s="1387"/>
      <c r="M53" s="1388"/>
      <c r="N53" s="1388"/>
      <c r="O53" s="535"/>
      <c r="P53" s="348"/>
      <c r="Q53" s="367"/>
      <c r="R53" s="343"/>
      <c r="S53" s="1409"/>
      <c r="T53" s="1410"/>
      <c r="U53" s="1411"/>
      <c r="V53" s="1411"/>
      <c r="W53" s="1411"/>
      <c r="X53" s="1411"/>
      <c r="Y53" s="1411"/>
      <c r="Z53" s="1411"/>
      <c r="AA53" s="1411"/>
      <c r="AB53" s="1411"/>
      <c r="AC53" s="1411"/>
      <c r="AD53" s="1411"/>
      <c r="AE53" s="1411"/>
      <c r="AF53" s="1411"/>
      <c r="AG53" s="1411"/>
      <c r="AH53" s="1411"/>
      <c r="AI53" s="1411"/>
      <c r="AJ53" s="1411"/>
      <c r="AK53" s="1411"/>
      <c r="AL53" s="1411"/>
      <c r="AM53" s="1412"/>
      <c r="AO53" s="498"/>
      <c r="AP53" s="498" t="str">
        <f>IF(T53="","",T53)</f>
        <v/>
      </c>
      <c r="AQ53" s="498"/>
      <c r="AR53" s="498"/>
    </row>
    <row s="1673" customFormat="1" customHeight="1" ht="0.75">
      <c r="A54" s="1366" t="s">
        <v>172</v>
      </c>
      <c r="B54" s="1366" t="s">
        <v>173</v>
      </c>
      <c r="C54" s="1366" t="s">
        <v>174</v>
      </c>
      <c r="D54" s="1337"/>
      <c r="E54" s="2174"/>
      <c r="F54" s="2174"/>
      <c r="G54" s="2173"/>
      <c r="H54" s="1337"/>
      <c r="I54" s="1337"/>
      <c r="J54" s="1337"/>
      <c r="K54" s="1337"/>
      <c r="L54" s="1362"/>
      <c r="M54" s="1338"/>
      <c r="N54" s="1338"/>
      <c r="P54" s="1339"/>
      <c r="Q54" s="1340"/>
      <c r="R54" s="1339"/>
      <c r="S54" s="1345"/>
      <c r="T54" s="1348" t="s">
        <v>432</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172</v>
      </c>
      <c r="B55" s="1366" t="s">
        <v>173</v>
      </c>
      <c r="C55" s="1337"/>
      <c r="D55" s="1337"/>
      <c r="E55" s="2174"/>
      <c r="F55" s="2173"/>
      <c r="G55" s="1337"/>
      <c r="H55" s="1337"/>
      <c r="I55" s="1337"/>
      <c r="J55" s="1337"/>
      <c r="K55" s="1337"/>
      <c r="L55" s="1362"/>
      <c r="M55" s="1344"/>
      <c r="N55" s="1344"/>
      <c r="P55" s="1339"/>
      <c r="Q55" s="1340"/>
      <c r="R55" s="1339"/>
      <c r="S55" s="1345"/>
      <c r="T55" s="1348" t="s">
        <v>433</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172</v>
      </c>
      <c r="B56" s="1366"/>
      <c r="C56" s="1366"/>
      <c r="D56" s="1366"/>
      <c r="E56" s="2173"/>
      <c r="F56" s="1366"/>
      <c r="G56" s="1366"/>
      <c r="H56" s="1366"/>
      <c r="I56" s="1366"/>
      <c r="J56" s="1366"/>
      <c r="K56" s="1366"/>
      <c r="L56" s="1369"/>
      <c r="M56" s="1344"/>
      <c r="N56" s="1344"/>
      <c r="O56" s="516"/>
      <c r="P56" s="376"/>
      <c r="Q56" s="1367"/>
      <c r="R56" s="376"/>
      <c r="S56" s="1345"/>
      <c r="T56" s="1348" t="s">
        <v>434</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435</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18.75" hidden="1">
      <c r="O59" s="535"/>
      <c r="S59" s="1266" t="s">
        <v>507</v>
      </c>
      <c r="T59" s="2200" t="s">
        <v>516</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27.75" hidden="1">
      <c r="O60" s="535"/>
      <c r="T60" s="2200" t="s">
        <v>517</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39.75" hidden="1">
      <c r="O61" s="535"/>
      <c r="T61" s="2200" t="s">
        <v>518</v>
      </c>
      <c r="U61" s="2200"/>
      <c r="V61" s="2200"/>
      <c r="W61" s="2200"/>
      <c r="X61" s="2200"/>
      <c r="Y61" s="2200"/>
      <c r="Z61" s="2200"/>
      <c r="AA61" s="2200"/>
      <c r="AB61" s="2200"/>
      <c r="AC61" s="2200"/>
      <c r="AD61" s="2200"/>
      <c r="AE61" s="2200"/>
      <c r="AF61" s="2200"/>
      <c r="AG61" s="2200"/>
      <c r="AH61" s="2200"/>
      <c r="AI61" s="2200"/>
      <c r="AJ61" s="2200"/>
      <c r="AK61" s="2200"/>
      <c r="AL61" s="2200"/>
      <c r="AM61" s="2200"/>
    </row>
    <row customHeight="1" ht="14.25" hidden="1">
      <c r="O62" s="535"/>
    </row>
    <row customHeight="1" ht="19.5" hidden="1">
      <c r="O63" s="535"/>
      <c r="S63" s="1266" t="s">
        <v>507</v>
      </c>
      <c r="T63" s="2212" t="s">
        <v>510</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T64" s="2200" t="s">
        <v>519</v>
      </c>
      <c r="U64" s="2200"/>
      <c r="V64" s="2200"/>
      <c r="W64" s="2200"/>
      <c r="X64" s="2200"/>
      <c r="Y64" s="2200"/>
      <c r="Z64" s="2200"/>
      <c r="AA64" s="2200"/>
      <c r="AB64" s="2200"/>
      <c r="AC64" s="2200"/>
      <c r="AD64" s="2200"/>
      <c r="AE64" s="2200"/>
      <c r="AF64" s="2200"/>
      <c r="AG64" s="2200"/>
      <c r="AH64" s="2200"/>
      <c r="AI64" s="2200"/>
      <c r="AJ64" s="2200"/>
      <c r="AK64" s="2200"/>
      <c r="AL64" s="2200"/>
      <c r="AM64" s="2200"/>
    </row>
    <row customHeight="1" ht="33.75" hidden="1">
      <c r="T65" s="2200" t="s">
        <v>520</v>
      </c>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2A171-35C9-2573-ACF6-C518DCF36C0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hidden="1"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127</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458</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459</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460</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461</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462</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463</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464</v>
      </c>
      <c r="AO5" s="498"/>
      <c r="AP5" s="498" t="str">
        <f>IF(T5="","",T5)</f>
        <v>Источник тепловой энергии  </v>
      </c>
      <c r="AQ5" s="498"/>
      <c r="AR5" s="498"/>
    </row>
    <row customHeight="1" ht="14.25" hidden="1">
      <c r="A6" s="1386"/>
      <c r="B6" s="1386"/>
      <c r="C6" s="1386"/>
      <c r="D6" s="1386"/>
      <c r="E6" s="2174"/>
      <c r="F6" s="2174"/>
      <c r="G6" s="2174"/>
      <c r="H6" s="2174"/>
      <c r="I6" s="2171">
        <f>S5&amp;".1"</f>
      </c>
      <c r="J6" s="1386"/>
      <c r="K6" s="1386"/>
      <c r="L6" s="1387" t="s">
        <v>465</v>
      </c>
      <c r="M6" s="535"/>
      <c r="P6" s="2172">
        <v>1</v>
      </c>
      <c r="Q6" s="1354"/>
      <c r="R6" s="344"/>
      <c r="S6" s="1043"/>
      <c r="T6" s="1406"/>
      <c r="U6" s="1407"/>
      <c r="V6" s="2209"/>
      <c r="W6" s="2210"/>
      <c r="X6" s="2210"/>
      <c r="Y6" s="2210"/>
      <c r="Z6" s="2210"/>
      <c r="AA6" s="2210"/>
      <c r="AB6" s="2210"/>
      <c r="AC6" s="2211"/>
      <c r="AD6" s="2209"/>
      <c r="AE6" s="2210"/>
      <c r="AF6" s="2210"/>
      <c r="AG6" s="2210"/>
      <c r="AH6" s="2210"/>
      <c r="AI6" s="2210"/>
      <c r="AJ6" s="2210"/>
      <c r="AK6" s="2210"/>
      <c r="AL6" s="2211"/>
      <c r="AM6" s="1408"/>
      <c r="AO6" s="498"/>
      <c r="AP6" s="498" t="str">
        <f>IF(T6="","",T6)</f>
        <v/>
      </c>
      <c r="AQ6" s="498"/>
      <c r="AR6" s="498"/>
    </row>
    <row customHeight="1" ht="21" hidden="1">
      <c r="A7" s="1386"/>
      <c r="B7" s="1386"/>
      <c r="C7" s="1386"/>
      <c r="D7" s="1386"/>
      <c r="E7" s="2174"/>
      <c r="F7" s="2174"/>
      <c r="G7" s="2174"/>
      <c r="H7" s="2174"/>
      <c r="I7" s="2201"/>
      <c r="J7" s="2171">
        <f>I6&amp;".1"</f>
      </c>
      <c r="K7" s="1386"/>
      <c r="L7" s="1387" t="s">
        <v>468</v>
      </c>
      <c r="M7" s="535"/>
      <c r="N7" s="1389"/>
      <c r="P7" s="2172"/>
      <c r="Q7" s="2172">
        <v>1</v>
      </c>
      <c r="R7" s="345"/>
      <c r="S7" s="1359">
        <f>$J7</f>
      </c>
      <c r="T7" s="267" t="s">
        <v>469</v>
      </c>
      <c r="U7" s="280"/>
      <c r="V7" s="2160"/>
      <c r="W7" s="2161"/>
      <c r="X7" s="2161"/>
      <c r="Y7" s="2161"/>
      <c r="Z7" s="2161"/>
      <c r="AA7" s="2161"/>
      <c r="AB7" s="2161"/>
      <c r="AC7" s="2162"/>
      <c r="AD7" s="2160"/>
      <c r="AE7" s="2161"/>
      <c r="AF7" s="2161"/>
      <c r="AG7" s="2161"/>
      <c r="AH7" s="2161"/>
      <c r="AI7" s="2161"/>
      <c r="AJ7" s="2161"/>
      <c r="AK7" s="2161"/>
      <c r="AL7" s="2162"/>
      <c r="AM7" s="1279" t="s">
        <v>470</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471</v>
      </c>
      <c r="M8" s="535"/>
      <c r="N8" s="1389"/>
      <c r="O8" s="1389"/>
      <c r="P8" s="2172"/>
      <c r="Q8" s="2172"/>
      <c r="R8" s="345">
        <v>1</v>
      </c>
      <c r="S8" s="1359">
        <f>$K8</f>
      </c>
      <c r="T8" s="1370"/>
      <c r="U8" s="280"/>
      <c r="V8" s="749"/>
      <c r="W8" s="312"/>
      <c r="X8" s="749"/>
      <c r="Y8" s="1278"/>
      <c r="Z8" s="2180"/>
      <c r="AA8" s="1928" t="s">
        <v>58</v>
      </c>
      <c r="AB8" s="2180"/>
      <c r="AC8" s="1928" t="s">
        <v>58</v>
      </c>
      <c r="AD8" s="749"/>
      <c r="AE8" s="312"/>
      <c r="AF8" s="749"/>
      <c r="AG8" s="1278"/>
      <c r="AH8" s="2180"/>
      <c r="AI8" s="1928" t="s">
        <v>58</v>
      </c>
      <c r="AJ8" s="2180"/>
      <c r="AK8" s="1928" t="s">
        <v>58</v>
      </c>
      <c r="AL8" s="312"/>
      <c r="AM8" s="2168" t="s">
        <v>472</v>
      </c>
      <c r="AN8" s="509">
        <f>STRCHECKDATE(V9:AL9)</f>
      </c>
      <c r="AO8" s="498"/>
      <c r="AP8" s="498" t="str">
        <f>IF(T8="","",T8)</f>
        <v/>
      </c>
      <c r="AQ8" s="498"/>
      <c r="AR8" s="498"/>
    </row>
    <row customHeight="1" ht="14.2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8" t="s">
        <v>473</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1.25" hidden="1">
      <c r="A11" s="1386"/>
      <c r="B11" s="1386"/>
      <c r="C11" s="1386"/>
      <c r="D11" s="1386"/>
      <c r="E11" s="2174"/>
      <c r="F11" s="2174"/>
      <c r="G11" s="2174"/>
      <c r="H11" s="2174"/>
      <c r="I11" s="2171"/>
      <c r="J11" s="1386"/>
      <c r="K11" s="1386"/>
      <c r="L11" s="1387"/>
      <c r="M11" s="535"/>
      <c r="P11" s="2172"/>
      <c r="Q11" s="1354"/>
      <c r="R11" s="344"/>
      <c r="S11" s="1301"/>
      <c r="T11" s="356" t="s">
        <v>474</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409"/>
      <c r="T12" s="1410"/>
      <c r="U12" s="1411"/>
      <c r="V12" s="1411"/>
      <c r="W12" s="1411"/>
      <c r="X12" s="1411"/>
      <c r="Y12" s="1411"/>
      <c r="Z12" s="1411"/>
      <c r="AA12" s="1411"/>
      <c r="AB12" s="1411"/>
      <c r="AC12" s="1411"/>
      <c r="AD12" s="1411"/>
      <c r="AE12" s="1411"/>
      <c r="AF12" s="1411"/>
      <c r="AG12" s="1411"/>
      <c r="AH12" s="1411"/>
      <c r="AI12" s="1411"/>
      <c r="AJ12" s="1411"/>
      <c r="AK12" s="1411"/>
      <c r="AL12" s="1411"/>
      <c r="AM12" s="1412"/>
      <c r="AO12" s="498"/>
      <c r="AP12" s="498" t="str">
        <f>IF(T12="","",T12)</f>
        <v/>
      </c>
      <c r="AQ12" s="498"/>
      <c r="AR12" s="498"/>
    </row>
    <row s="1673" customFormat="1" customHeight="1" ht="14.25" hidden="1">
      <c r="A13" s="1337"/>
      <c r="B13" s="1337"/>
      <c r="C13" s="1337"/>
      <c r="D13" s="1337"/>
      <c r="E13" s="2174"/>
      <c r="F13" s="2174"/>
      <c r="G13" s="2173"/>
      <c r="H13" s="1337"/>
      <c r="I13" s="1337"/>
      <c r="J13" s="1337"/>
      <c r="K13" s="1337"/>
      <c r="L13" s="1362"/>
      <c r="M13" s="1338"/>
      <c r="N13" s="1338"/>
      <c r="P13" s="1339"/>
      <c r="Q13" s="1340"/>
      <c r="R13" s="1339"/>
      <c r="S13" s="1341"/>
      <c r="T13" s="1342" t="s">
        <v>432</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14.25" hidden="1">
      <c r="A14" s="1337"/>
      <c r="B14" s="1337"/>
      <c r="C14" s="1337"/>
      <c r="D14" s="1337"/>
      <c r="E14" s="2174"/>
      <c r="F14" s="2173"/>
      <c r="G14" s="1337"/>
      <c r="H14" s="1337"/>
      <c r="I14" s="1337"/>
      <c r="J14" s="1337"/>
      <c r="K14" s="1337"/>
      <c r="L14" s="1362"/>
      <c r="M14" s="1344"/>
      <c r="N14" s="1344"/>
      <c r="P14" s="1339"/>
      <c r="Q14" s="1340"/>
      <c r="R14" s="1339"/>
      <c r="S14" s="1345"/>
      <c r="T14" s="1346" t="s">
        <v>433</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14.25" hidden="1">
      <c r="A15" s="1337"/>
      <c r="B15" s="1337"/>
      <c r="C15" s="1337"/>
      <c r="D15" s="1337"/>
      <c r="E15" s="2173"/>
      <c r="F15" s="1337"/>
      <c r="G15" s="1337"/>
      <c r="H15" s="1337"/>
      <c r="I15" s="1337"/>
      <c r="J15" s="1337"/>
      <c r="K15" s="1337"/>
      <c r="L15" s="1362"/>
      <c r="M15" s="1344"/>
      <c r="N15" s="1344"/>
      <c r="P15" s="1339"/>
      <c r="Q15" s="1340"/>
      <c r="R15" s="1339"/>
      <c r="S15" s="1345"/>
      <c r="T15" s="1348" t="s">
        <v>434</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58</v>
      </c>
      <c r="AJ17" s="2182"/>
      <c r="AK17" s="2183" t="s">
        <v>58</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476</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477</v>
      </c>
      <c r="P22" s="1385"/>
      <c r="Q22" s="1394"/>
      <c r="R22" s="1394"/>
      <c r="S22" s="727"/>
      <c r="T22" s="1161" t="s">
        <v>478</v>
      </c>
      <c r="AA22" s="166" t="s">
        <v>479</v>
      </c>
      <c r="AC22" s="166" t="s">
        <v>480</v>
      </c>
      <c r="AD22" s="1161" t="s">
        <v>478</v>
      </c>
      <c r="AI22" s="166" t="s">
        <v>481</v>
      </c>
      <c r="AK22" s="166" t="s">
        <v>480</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ПАО "ТГК-2"</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39</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482</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483</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40</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484</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485</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486</v>
      </c>
      <c r="AD36" s="314"/>
      <c r="AE36" s="314"/>
      <c r="AF36" s="314"/>
      <c r="AG36" s="314"/>
      <c r="AH36" s="314"/>
      <c r="AI36" s="314"/>
      <c r="AJ36" s="314"/>
      <c r="AK36" s="259" t="s">
        <v>486</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290</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291</v>
      </c>
    </row>
    <row customHeight="1" ht="14.25">
      <c r="Q39" s="368"/>
      <c r="R39" s="368"/>
      <c r="S39" s="2188" t="s">
        <v>87</v>
      </c>
      <c r="T39" s="2029" t="s">
        <v>487</v>
      </c>
      <c r="U39" s="281"/>
      <c r="V39" s="2189" t="s">
        <v>488</v>
      </c>
      <c r="W39" s="2190"/>
      <c r="X39" s="2190"/>
      <c r="Y39" s="2190"/>
      <c r="Z39" s="2190"/>
      <c r="AA39" s="2190"/>
      <c r="AB39" s="2191"/>
      <c r="AC39" s="2192" t="s">
        <v>489</v>
      </c>
      <c r="AD39" s="2189" t="s">
        <v>488</v>
      </c>
      <c r="AE39" s="2190"/>
      <c r="AF39" s="2190"/>
      <c r="AG39" s="2190"/>
      <c r="AH39" s="2190"/>
      <c r="AI39" s="2190"/>
      <c r="AJ39" s="2191"/>
      <c r="AK39" s="2192" t="s">
        <v>490</v>
      </c>
      <c r="AL39" s="2195" t="s">
        <v>491</v>
      </c>
      <c r="AM39" s="1948"/>
    </row>
    <row customHeight="1" ht="33.75">
      <c r="Q40" s="368"/>
      <c r="R40" s="368"/>
      <c r="S40" s="2188"/>
      <c r="T40" s="2029"/>
      <c r="U40" s="1032"/>
      <c r="V40" s="2175" t="s">
        <v>492</v>
      </c>
      <c r="W40" s="2198"/>
      <c r="X40" s="2177" t="s">
        <v>494</v>
      </c>
      <c r="Y40" s="2178"/>
      <c r="Z40" s="2177" t="s">
        <v>495</v>
      </c>
      <c r="AA40" s="2184"/>
      <c r="AB40" s="2178"/>
      <c r="AC40" s="2193"/>
      <c r="AD40" s="2175" t="s">
        <v>492</v>
      </c>
      <c r="AE40" s="2198"/>
      <c r="AF40" s="2177" t="s">
        <v>494</v>
      </c>
      <c r="AG40" s="2178"/>
      <c r="AH40" s="2177" t="s">
        <v>495</v>
      </c>
      <c r="AI40" s="2184"/>
      <c r="AJ40" s="2178"/>
      <c r="AK40" s="2193"/>
      <c r="AL40" s="2196"/>
      <c r="AM40" s="1948"/>
    </row>
    <row customHeight="1" ht="33.75">
      <c r="A41" s="1393"/>
      <c r="B41" s="1393" t="s">
        <v>139</v>
      </c>
      <c r="C41" s="1393" t="s">
        <v>140</v>
      </c>
      <c r="D41" s="1393" t="s">
        <v>141</v>
      </c>
      <c r="E41" s="1387" t="s">
        <v>496</v>
      </c>
      <c r="F41" s="1387" t="s">
        <v>497</v>
      </c>
      <c r="G41" s="1387" t="s">
        <v>498</v>
      </c>
      <c r="H41" s="1387" t="s">
        <v>499</v>
      </c>
      <c r="I41" s="1387" t="s">
        <v>500</v>
      </c>
      <c r="J41" s="1387" t="s">
        <v>501</v>
      </c>
      <c r="K41" s="1387" t="s">
        <v>502</v>
      </c>
      <c r="L41" s="1387" t="s">
        <v>477</v>
      </c>
      <c r="Q41" s="368"/>
      <c r="R41" s="368"/>
      <c r="S41" s="2188"/>
      <c r="T41" s="2029"/>
      <c r="U41" s="282"/>
      <c r="V41" s="2176"/>
      <c r="W41" s="2199"/>
      <c r="X41" s="1230" t="s">
        <v>503</v>
      </c>
      <c r="Y41" s="1230" t="s">
        <v>504</v>
      </c>
      <c r="Z41" s="1361" t="s">
        <v>505</v>
      </c>
      <c r="AA41" s="2185" t="s">
        <v>506</v>
      </c>
      <c r="AB41" s="2186"/>
      <c r="AC41" s="2194"/>
      <c r="AD41" s="2176"/>
      <c r="AE41" s="2199"/>
      <c r="AF41" s="1230" t="s">
        <v>503</v>
      </c>
      <c r="AG41" s="1230" t="s">
        <v>504</v>
      </c>
      <c r="AH41" s="1361" t="s">
        <v>505</v>
      </c>
      <c r="AI41" s="2185" t="s">
        <v>506</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108</v>
      </c>
      <c r="T42" s="1274" t="s">
        <v>109</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184</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127</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184</v>
      </c>
      <c r="B44" s="1386" t="s">
        <v>185</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459</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460</v>
      </c>
      <c r="AO44" s="498"/>
      <c r="AP44" s="498" t="str">
        <f>IF(T44="","",T44)</f>
        <v>Территория действия тарифа</v>
      </c>
      <c r="AQ44" s="498"/>
      <c r="AR44" s="498"/>
    </row>
    <row customHeight="1" ht="23.25">
      <c r="A45" s="1386" t="s">
        <v>184</v>
      </c>
      <c r="B45" s="1386" t="s">
        <v>185</v>
      </c>
      <c r="C45" s="1386" t="s">
        <v>186</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461</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462</v>
      </c>
      <c r="AO45" s="498"/>
      <c r="AP45" s="498" t="str">
        <f>IF(T45="","",T45)</f>
        <v>Наименование системы теплоснабжения </v>
      </c>
      <c r="AQ45" s="498"/>
      <c r="AR45" s="498"/>
    </row>
    <row customHeight="1" ht="21">
      <c r="A46" s="1386" t="s">
        <v>184</v>
      </c>
      <c r="B46" s="1386" t="s">
        <v>185</v>
      </c>
      <c r="C46" s="1386" t="s">
        <v>186</v>
      </c>
      <c r="D46" s="1386" t="s">
        <v>187</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463</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464</v>
      </c>
      <c r="AO46" s="498"/>
      <c r="AP46" s="498" t="str">
        <f>IF(T46="","",T46)</f>
        <v>Источник тепловой энергии  </v>
      </c>
      <c r="AQ46" s="498"/>
      <c r="AR46" s="498"/>
    </row>
    <row s="1673" customFormat="1" customHeight="1" ht="0">
      <c r="A47" s="1366" t="s">
        <v>184</v>
      </c>
      <c r="B47" s="1366" t="s">
        <v>185</v>
      </c>
      <c r="C47" s="1366" t="s">
        <v>186</v>
      </c>
      <c r="D47" s="1366" t="s">
        <v>187</v>
      </c>
      <c r="E47" s="2174"/>
      <c r="F47" s="2174"/>
      <c r="G47" s="2174"/>
      <c r="H47" s="2174"/>
      <c r="I47" s="2171" t="str">
        <f>S46&amp;".1"</f>
        <v>....1</v>
      </c>
      <c r="J47" s="1366"/>
      <c r="K47" s="1366"/>
      <c r="L47" s="1369" t="s">
        <v>465</v>
      </c>
      <c r="M47" s="508"/>
      <c r="N47" s="508"/>
      <c r="O47" s="508"/>
      <c r="P47" s="2172">
        <v>1</v>
      </c>
      <c r="Q47" s="1354"/>
      <c r="R47" s="344"/>
      <c r="S47" s="1043"/>
      <c r="T47" s="1406"/>
      <c r="U47" s="1407"/>
      <c r="V47" s="2209"/>
      <c r="W47" s="2210"/>
      <c r="X47" s="2210"/>
      <c r="Y47" s="2210"/>
      <c r="Z47" s="2210"/>
      <c r="AA47" s="2210"/>
      <c r="AB47" s="2210"/>
      <c r="AC47" s="2211"/>
      <c r="AD47" s="2209"/>
      <c r="AE47" s="2210"/>
      <c r="AF47" s="2210"/>
      <c r="AG47" s="2210"/>
      <c r="AH47" s="2210"/>
      <c r="AI47" s="2210"/>
      <c r="AJ47" s="2210"/>
      <c r="AK47" s="2210"/>
      <c r="AL47" s="2211"/>
      <c r="AM47" s="1408"/>
      <c r="AO47" s="498"/>
      <c r="AP47" s="498" t="str">
        <f>IF(T47="","",T47)</f>
        <v/>
      </c>
      <c r="AQ47" s="498"/>
      <c r="AR47" s="498"/>
    </row>
    <row customHeight="1" ht="21">
      <c r="A48" s="1386" t="s">
        <v>184</v>
      </c>
      <c r="B48" s="1386" t="s">
        <v>185</v>
      </c>
      <c r="C48" s="1386" t="s">
        <v>186</v>
      </c>
      <c r="D48" s="1386" t="s">
        <v>187</v>
      </c>
      <c r="E48" s="2174"/>
      <c r="F48" s="2174"/>
      <c r="G48" s="2174"/>
      <c r="H48" s="2174"/>
      <c r="I48" s="2201"/>
      <c r="J48" s="2171" t="str">
        <f>S46&amp;".1"</f>
        <v>....1</v>
      </c>
      <c r="K48" s="1386"/>
      <c r="L48" s="1387" t="s">
        <v>468</v>
      </c>
      <c r="P48" s="2172"/>
      <c r="Q48" s="2172">
        <v>1</v>
      </c>
      <c r="R48" s="345"/>
      <c r="S48" s="1359" t="str">
        <f>$J48</f>
        <v>....1</v>
      </c>
      <c r="T48" s="267" t="s">
        <v>469</v>
      </c>
      <c r="U48" s="280"/>
      <c r="V48" s="2160"/>
      <c r="W48" s="2161"/>
      <c r="X48" s="2161"/>
      <c r="Y48" s="2161"/>
      <c r="Z48" s="2161"/>
      <c r="AA48" s="2161"/>
      <c r="AB48" s="2161"/>
      <c r="AC48" s="2162"/>
      <c r="AD48" s="2160"/>
      <c r="AE48" s="2161"/>
      <c r="AF48" s="2161"/>
      <c r="AG48" s="2161"/>
      <c r="AH48" s="2161"/>
      <c r="AI48" s="2161"/>
      <c r="AJ48" s="2161"/>
      <c r="AK48" s="2161"/>
      <c r="AL48" s="2162"/>
      <c r="AM48" s="1279" t="s">
        <v>470</v>
      </c>
      <c r="AO48" s="498"/>
      <c r="AP48" s="498" t="str">
        <f>IF(T48="","",T48)</f>
        <v>Группа потребителей</v>
      </c>
      <c r="AQ48" s="498"/>
      <c r="AR48" s="498"/>
    </row>
    <row customHeight="1" ht="21">
      <c r="A49" s="1386" t="s">
        <v>184</v>
      </c>
      <c r="B49" s="1386" t="s">
        <v>185</v>
      </c>
      <c r="C49" s="1386" t="s">
        <v>186</v>
      </c>
      <c r="D49" s="1386" t="s">
        <v>187</v>
      </c>
      <c r="E49" s="2174"/>
      <c r="F49" s="2174"/>
      <c r="G49" s="2174"/>
      <c r="H49" s="2174"/>
      <c r="I49" s="2201"/>
      <c r="J49" s="2201"/>
      <c r="K49" s="2171" t="str">
        <f>J48&amp;".1"</f>
        <v>....1.1</v>
      </c>
      <c r="L49" s="1387" t="s">
        <v>471</v>
      </c>
      <c r="P49" s="2172"/>
      <c r="Q49" s="2172"/>
      <c r="R49" s="345">
        <v>1</v>
      </c>
      <c r="S49" s="1359" t="str">
        <f>$K49</f>
        <v>....1.1</v>
      </c>
      <c r="T49" s="1370"/>
      <c r="U49" s="280"/>
      <c r="V49" s="749"/>
      <c r="W49" s="312"/>
      <c r="X49" s="749"/>
      <c r="Y49" s="1278"/>
      <c r="Z49" s="2180"/>
      <c r="AA49" s="1928" t="s">
        <v>58</v>
      </c>
      <c r="AB49" s="2180"/>
      <c r="AC49" s="1928" t="s">
        <v>58</v>
      </c>
      <c r="AD49" s="749"/>
      <c r="AE49" s="312"/>
      <c r="AF49" s="749"/>
      <c r="AG49" s="1278"/>
      <c r="AH49" s="2180"/>
      <c r="AI49" s="1928" t="s">
        <v>58</v>
      </c>
      <c r="AJ49" s="2202"/>
      <c r="AK49" s="1928" t="s">
        <v>58</v>
      </c>
      <c r="AL49" s="1371"/>
      <c r="AM49" s="2168" t="s">
        <v>515</v>
      </c>
      <c r="AN49" s="509">
        <f>STRCHECKDATE(V50:AL50)</f>
      </c>
      <c r="AO49" s="498"/>
      <c r="AP49" s="498" t="str">
        <f>IF(T49="","",T49)</f>
        <v/>
      </c>
      <c r="AQ49" s="498"/>
      <c r="AR49" s="498"/>
    </row>
    <row customHeight="1" ht="0.75">
      <c r="A50" s="1386" t="s">
        <v>184</v>
      </c>
      <c r="B50" s="1386" t="s">
        <v>185</v>
      </c>
      <c r="C50" s="1386" t="s">
        <v>186</v>
      </c>
      <c r="D50" s="1386" t="s">
        <v>187</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184</v>
      </c>
      <c r="B51" s="1386" t="s">
        <v>185</v>
      </c>
      <c r="C51" s="1386" t="s">
        <v>186</v>
      </c>
      <c r="D51" s="1386" t="s">
        <v>187</v>
      </c>
      <c r="E51" s="2174"/>
      <c r="F51" s="2174"/>
      <c r="G51" s="2174"/>
      <c r="H51" s="2174"/>
      <c r="I51" s="2201"/>
      <c r="J51" s="2171"/>
      <c r="K51" s="1386"/>
      <c r="L51" s="1387"/>
      <c r="P51" s="2172"/>
      <c r="Q51" s="2172"/>
      <c r="R51" s="344"/>
      <c r="S51" s="1301"/>
      <c r="T51" s="268" t="s">
        <v>473</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184</v>
      </c>
      <c r="B52" s="1386" t="s">
        <v>185</v>
      </c>
      <c r="C52" s="1386" t="s">
        <v>186</v>
      </c>
      <c r="D52" s="1386" t="s">
        <v>187</v>
      </c>
      <c r="E52" s="2174"/>
      <c r="F52" s="2174"/>
      <c r="G52" s="2174"/>
      <c r="H52" s="2174"/>
      <c r="I52" s="2171"/>
      <c r="J52" s="1386"/>
      <c r="K52" s="1386"/>
      <c r="L52" s="1387"/>
      <c r="P52" s="2172"/>
      <c r="Q52" s="1354"/>
      <c r="R52" s="344"/>
      <c r="S52" s="1301"/>
      <c r="T52" s="356" t="s">
        <v>474</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0">
      <c r="A53" s="1386" t="s">
        <v>184</v>
      </c>
      <c r="B53" s="1386" t="s">
        <v>185</v>
      </c>
      <c r="C53" s="1386" t="s">
        <v>186</v>
      </c>
      <c r="D53" s="1386" t="s">
        <v>187</v>
      </c>
      <c r="E53" s="2174"/>
      <c r="F53" s="2174"/>
      <c r="G53" s="2174"/>
      <c r="H53" s="2173"/>
      <c r="I53" s="1386"/>
      <c r="J53" s="1386"/>
      <c r="K53" s="1386"/>
      <c r="L53" s="1387"/>
      <c r="M53" s="1388"/>
      <c r="N53" s="1388"/>
      <c r="O53" s="535"/>
      <c r="P53" s="348"/>
      <c r="Q53" s="367"/>
      <c r="R53" s="343"/>
      <c r="S53" s="1409"/>
      <c r="T53" s="1410"/>
      <c r="U53" s="1411"/>
      <c r="V53" s="1411"/>
      <c r="W53" s="1411"/>
      <c r="X53" s="1411"/>
      <c r="Y53" s="1411"/>
      <c r="Z53" s="1411"/>
      <c r="AA53" s="1411"/>
      <c r="AB53" s="1411"/>
      <c r="AC53" s="1411"/>
      <c r="AD53" s="1411"/>
      <c r="AE53" s="1411"/>
      <c r="AF53" s="1411"/>
      <c r="AG53" s="1411"/>
      <c r="AH53" s="1411"/>
      <c r="AI53" s="1411"/>
      <c r="AJ53" s="1411"/>
      <c r="AK53" s="1411"/>
      <c r="AL53" s="1411"/>
      <c r="AM53" s="1412"/>
      <c r="AO53" s="498"/>
      <c r="AP53" s="498" t="str">
        <f>IF(T53="","",T53)</f>
        <v/>
      </c>
      <c r="AQ53" s="498"/>
      <c r="AR53" s="498"/>
    </row>
    <row s="1673" customFormat="1" customHeight="1" ht="0.75">
      <c r="A54" s="1366" t="s">
        <v>184</v>
      </c>
      <c r="B54" s="1366" t="s">
        <v>185</v>
      </c>
      <c r="C54" s="1366" t="s">
        <v>186</v>
      </c>
      <c r="D54" s="1337"/>
      <c r="E54" s="2174"/>
      <c r="F54" s="2174"/>
      <c r="G54" s="2173"/>
      <c r="H54" s="1337"/>
      <c r="I54" s="1337"/>
      <c r="J54" s="1337"/>
      <c r="K54" s="1337"/>
      <c r="L54" s="1362"/>
      <c r="M54" s="1338"/>
      <c r="N54" s="1338"/>
      <c r="P54" s="1339"/>
      <c r="Q54" s="1340"/>
      <c r="R54" s="1339"/>
      <c r="S54" s="1345"/>
      <c r="T54" s="1348" t="s">
        <v>432</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184</v>
      </c>
      <c r="B55" s="1366" t="s">
        <v>185</v>
      </c>
      <c r="C55" s="1337"/>
      <c r="D55" s="1337"/>
      <c r="E55" s="2174"/>
      <c r="F55" s="2173"/>
      <c r="G55" s="1337"/>
      <c r="H55" s="1337"/>
      <c r="I55" s="1337"/>
      <c r="J55" s="1337"/>
      <c r="K55" s="1337"/>
      <c r="L55" s="1362"/>
      <c r="M55" s="1344"/>
      <c r="N55" s="1344"/>
      <c r="P55" s="1339"/>
      <c r="Q55" s="1340"/>
      <c r="R55" s="1339"/>
      <c r="S55" s="1345"/>
      <c r="T55" s="1348" t="s">
        <v>433</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184</v>
      </c>
      <c r="B56" s="1366"/>
      <c r="C56" s="1366"/>
      <c r="D56" s="1366"/>
      <c r="E56" s="2173"/>
      <c r="F56" s="1366"/>
      <c r="G56" s="1366"/>
      <c r="H56" s="1366"/>
      <c r="I56" s="1366"/>
      <c r="J56" s="1366"/>
      <c r="K56" s="1366"/>
      <c r="L56" s="1369"/>
      <c r="M56" s="1344"/>
      <c r="N56" s="1344"/>
      <c r="O56" s="516"/>
      <c r="P56" s="376"/>
      <c r="Q56" s="1367"/>
      <c r="R56" s="376"/>
      <c r="S56" s="1345"/>
      <c r="T56" s="1348" t="s">
        <v>434</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435</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1.75" hidden="1">
      <c r="O59" s="535"/>
      <c r="S59" s="1266" t="s">
        <v>507</v>
      </c>
      <c r="T59" s="2200" t="s">
        <v>516</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29.25" hidden="1">
      <c r="O60" s="535"/>
      <c r="T60" s="2200" t="s">
        <v>517</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39.75" hidden="1">
      <c r="O61" s="535"/>
      <c r="T61" s="2200" t="s">
        <v>518</v>
      </c>
      <c r="U61" s="2200"/>
      <c r="V61" s="2200"/>
      <c r="W61" s="2200"/>
      <c r="X61" s="2200"/>
      <c r="Y61" s="2200"/>
      <c r="Z61" s="2200"/>
      <c r="AA61" s="2200"/>
      <c r="AB61" s="2200"/>
      <c r="AC61" s="2200"/>
      <c r="AD61" s="2200"/>
      <c r="AE61" s="2200"/>
      <c r="AF61" s="2200"/>
      <c r="AG61" s="2200"/>
      <c r="AH61" s="2200"/>
      <c r="AI61" s="2200"/>
      <c r="AJ61" s="2200"/>
      <c r="AK61" s="2200"/>
      <c r="AL61" s="2200"/>
      <c r="AM61" s="2200"/>
    </row>
    <row customHeight="1" ht="14.25" hidden="1">
      <c r="O62" s="535"/>
    </row>
    <row customHeight="1" ht="19.5" hidden="1">
      <c r="O63" s="535"/>
      <c r="S63" s="1266" t="s">
        <v>507</v>
      </c>
      <c r="T63" s="2212" t="s">
        <v>510</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T64" s="2200" t="s">
        <v>519</v>
      </c>
      <c r="U64" s="2200"/>
      <c r="V64" s="2200"/>
      <c r="W64" s="2200"/>
      <c r="X64" s="2200"/>
      <c r="Y64" s="2200"/>
      <c r="Z64" s="2200"/>
      <c r="AA64" s="2200"/>
      <c r="AB64" s="2200"/>
      <c r="AC64" s="2200"/>
      <c r="AD64" s="2200"/>
      <c r="AE64" s="2200"/>
      <c r="AF64" s="2200"/>
      <c r="AG64" s="2200"/>
      <c r="AH64" s="2200"/>
      <c r="AI64" s="2200"/>
      <c r="AJ64" s="2200"/>
      <c r="AK64" s="2200"/>
      <c r="AL64" s="2200"/>
      <c r="AM64" s="2200"/>
    </row>
    <row customHeight="1" ht="33.75" hidden="1">
      <c r="T65" s="2200" t="s">
        <v>520</v>
      </c>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A3DD2-06EE-AF8C-0BD6-08B1BE684A1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hidden="1"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127</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458</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459</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460</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461</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462</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463</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464</v>
      </c>
      <c r="AO5" s="498"/>
      <c r="AP5" s="498" t="str">
        <f>IF(T5="","",T5)</f>
        <v>Источник тепловой энергии  </v>
      </c>
      <c r="AQ5" s="498"/>
      <c r="AR5" s="498"/>
    </row>
    <row customHeight="1" ht="14.25" hidden="1">
      <c r="A6" s="1386"/>
      <c r="B6" s="1386"/>
      <c r="C6" s="1386"/>
      <c r="D6" s="1386"/>
      <c r="E6" s="2174"/>
      <c r="F6" s="2174"/>
      <c r="G6" s="2174"/>
      <c r="H6" s="2174"/>
      <c r="I6" s="2171">
        <f>S5&amp;".1"</f>
      </c>
      <c r="J6" s="1386"/>
      <c r="K6" s="1386"/>
      <c r="L6" s="1387" t="s">
        <v>465</v>
      </c>
      <c r="M6" s="535"/>
      <c r="P6" s="2172">
        <v>1</v>
      </c>
      <c r="Q6" s="1354"/>
      <c r="R6" s="344"/>
      <c r="S6" s="1043"/>
      <c r="T6" s="1406"/>
      <c r="U6" s="1407"/>
      <c r="V6" s="2209"/>
      <c r="W6" s="2210"/>
      <c r="X6" s="2210"/>
      <c r="Y6" s="2210"/>
      <c r="Z6" s="2210"/>
      <c r="AA6" s="2210"/>
      <c r="AB6" s="2210"/>
      <c r="AC6" s="2211"/>
      <c r="AD6" s="2209"/>
      <c r="AE6" s="2210"/>
      <c r="AF6" s="2210"/>
      <c r="AG6" s="2210"/>
      <c r="AH6" s="2210"/>
      <c r="AI6" s="2210"/>
      <c r="AJ6" s="2210"/>
      <c r="AK6" s="2210"/>
      <c r="AL6" s="2211"/>
      <c r="AM6" s="1408"/>
      <c r="AO6" s="498"/>
      <c r="AP6" s="498" t="str">
        <f>IF(T6="","",T6)</f>
        <v/>
      </c>
      <c r="AQ6" s="498"/>
      <c r="AR6" s="498"/>
    </row>
    <row customHeight="1" ht="21" hidden="1">
      <c r="A7" s="1386"/>
      <c r="B7" s="1386"/>
      <c r="C7" s="1386"/>
      <c r="D7" s="1386"/>
      <c r="E7" s="2174"/>
      <c r="F7" s="2174"/>
      <c r="G7" s="2174"/>
      <c r="H7" s="2174"/>
      <c r="I7" s="2201"/>
      <c r="J7" s="2171">
        <f>I6&amp;".1"</f>
      </c>
      <c r="K7" s="1386"/>
      <c r="L7" s="1387" t="s">
        <v>468</v>
      </c>
      <c r="M7" s="535"/>
      <c r="N7" s="1389"/>
      <c r="P7" s="2172"/>
      <c r="Q7" s="2172">
        <v>1</v>
      </c>
      <c r="R7" s="345"/>
      <c r="S7" s="1359">
        <f>$J7</f>
      </c>
      <c r="T7" s="267" t="s">
        <v>469</v>
      </c>
      <c r="U7" s="280"/>
      <c r="V7" s="2160"/>
      <c r="W7" s="2161"/>
      <c r="X7" s="2161"/>
      <c r="Y7" s="2161"/>
      <c r="Z7" s="2161"/>
      <c r="AA7" s="2161"/>
      <c r="AB7" s="2161"/>
      <c r="AC7" s="2162"/>
      <c r="AD7" s="2160"/>
      <c r="AE7" s="2161"/>
      <c r="AF7" s="2161"/>
      <c r="AG7" s="2161"/>
      <c r="AH7" s="2161"/>
      <c r="AI7" s="2161"/>
      <c r="AJ7" s="2161"/>
      <c r="AK7" s="2161"/>
      <c r="AL7" s="2162"/>
      <c r="AM7" s="1279" t="s">
        <v>470</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471</v>
      </c>
      <c r="M8" s="535"/>
      <c r="N8" s="1389"/>
      <c r="O8" s="1389"/>
      <c r="P8" s="2172"/>
      <c r="Q8" s="2172"/>
      <c r="R8" s="345">
        <v>1</v>
      </c>
      <c r="S8" s="1359">
        <f>$K8</f>
      </c>
      <c r="T8" s="1370"/>
      <c r="U8" s="280"/>
      <c r="V8" s="749"/>
      <c r="W8" s="312"/>
      <c r="X8" s="749"/>
      <c r="Y8" s="1278"/>
      <c r="Z8" s="2180"/>
      <c r="AA8" s="1928" t="s">
        <v>58</v>
      </c>
      <c r="AB8" s="2180"/>
      <c r="AC8" s="1928" t="s">
        <v>58</v>
      </c>
      <c r="AD8" s="749"/>
      <c r="AE8" s="312"/>
      <c r="AF8" s="749"/>
      <c r="AG8" s="1278"/>
      <c r="AH8" s="2180"/>
      <c r="AI8" s="1928" t="s">
        <v>58</v>
      </c>
      <c r="AJ8" s="2180"/>
      <c r="AK8" s="1928" t="s">
        <v>58</v>
      </c>
      <c r="AL8" s="312"/>
      <c r="AM8" s="2168" t="s">
        <v>472</v>
      </c>
      <c r="AN8" s="509">
        <f>STRCHECKDATE(V9:AL9)</f>
      </c>
      <c r="AO8" s="498"/>
      <c r="AP8" s="498" t="str">
        <f>IF(T8="","",T8)</f>
        <v/>
      </c>
      <c r="AQ8" s="498"/>
      <c r="AR8" s="498"/>
    </row>
    <row customHeight="1" ht="14.2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8" t="s">
        <v>473</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1.25" hidden="1">
      <c r="A11" s="1386"/>
      <c r="B11" s="1386"/>
      <c r="C11" s="1386"/>
      <c r="D11" s="1386"/>
      <c r="E11" s="2174"/>
      <c r="F11" s="2174"/>
      <c r="G11" s="2174"/>
      <c r="H11" s="2174"/>
      <c r="I11" s="2171"/>
      <c r="J11" s="1386"/>
      <c r="K11" s="1386"/>
      <c r="L11" s="1387"/>
      <c r="M11" s="535"/>
      <c r="P11" s="2172"/>
      <c r="Q11" s="1354"/>
      <c r="R11" s="344"/>
      <c r="S11" s="1301"/>
      <c r="T11" s="356" t="s">
        <v>474</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409"/>
      <c r="T12" s="1410"/>
      <c r="U12" s="1411"/>
      <c r="V12" s="1411"/>
      <c r="W12" s="1411"/>
      <c r="X12" s="1411"/>
      <c r="Y12" s="1411"/>
      <c r="Z12" s="1411"/>
      <c r="AA12" s="1411"/>
      <c r="AB12" s="1411"/>
      <c r="AC12" s="1411"/>
      <c r="AD12" s="1411"/>
      <c r="AE12" s="1411"/>
      <c r="AF12" s="1411"/>
      <c r="AG12" s="1411"/>
      <c r="AH12" s="1411"/>
      <c r="AI12" s="1411"/>
      <c r="AJ12" s="1411"/>
      <c r="AK12" s="1411"/>
      <c r="AL12" s="1411"/>
      <c r="AM12" s="1412"/>
      <c r="AO12" s="498"/>
      <c r="AP12" s="498" t="str">
        <f>IF(T12="","",T12)</f>
        <v/>
      </c>
      <c r="AQ12" s="498"/>
      <c r="AR12" s="498"/>
    </row>
    <row s="1673" customFormat="1" customHeight="1" ht="14.25" hidden="1">
      <c r="A13" s="1337"/>
      <c r="B13" s="1337"/>
      <c r="C13" s="1337"/>
      <c r="D13" s="1337"/>
      <c r="E13" s="2174"/>
      <c r="F13" s="2174"/>
      <c r="G13" s="2173"/>
      <c r="H13" s="1337"/>
      <c r="I13" s="1337"/>
      <c r="J13" s="1337"/>
      <c r="K13" s="1337"/>
      <c r="L13" s="1362"/>
      <c r="M13" s="1338"/>
      <c r="N13" s="1338"/>
      <c r="P13" s="1339"/>
      <c r="Q13" s="1340"/>
      <c r="R13" s="1339"/>
      <c r="S13" s="1341"/>
      <c r="T13" s="1342" t="s">
        <v>432</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14.25" hidden="1">
      <c r="A14" s="1337"/>
      <c r="B14" s="1337"/>
      <c r="C14" s="1337"/>
      <c r="D14" s="1337"/>
      <c r="E14" s="2174"/>
      <c r="F14" s="2173"/>
      <c r="G14" s="1337"/>
      <c r="H14" s="1337"/>
      <c r="I14" s="1337"/>
      <c r="J14" s="1337"/>
      <c r="K14" s="1337"/>
      <c r="L14" s="1362"/>
      <c r="M14" s="1344"/>
      <c r="N14" s="1344"/>
      <c r="P14" s="1339"/>
      <c r="Q14" s="1340"/>
      <c r="R14" s="1339"/>
      <c r="S14" s="1345"/>
      <c r="T14" s="1346" t="s">
        <v>433</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14.25" hidden="1">
      <c r="A15" s="1337"/>
      <c r="B15" s="1337"/>
      <c r="C15" s="1337"/>
      <c r="D15" s="1337"/>
      <c r="E15" s="2173"/>
      <c r="F15" s="1337"/>
      <c r="G15" s="1337"/>
      <c r="H15" s="1337"/>
      <c r="I15" s="1337"/>
      <c r="J15" s="1337"/>
      <c r="K15" s="1337"/>
      <c r="L15" s="1362"/>
      <c r="M15" s="1344"/>
      <c r="N15" s="1344"/>
      <c r="P15" s="1339"/>
      <c r="Q15" s="1340"/>
      <c r="R15" s="1339"/>
      <c r="S15" s="1345"/>
      <c r="T15" s="1348" t="s">
        <v>434</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58</v>
      </c>
      <c r="AJ17" s="2182"/>
      <c r="AK17" s="2183" t="s">
        <v>58</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476</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477</v>
      </c>
      <c r="P22" s="1385"/>
      <c r="Q22" s="1394"/>
      <c r="R22" s="1394"/>
      <c r="S22" s="727"/>
      <c r="T22" s="1161" t="s">
        <v>478</v>
      </c>
      <c r="AA22" s="166" t="s">
        <v>479</v>
      </c>
      <c r="AC22" s="166" t="s">
        <v>480</v>
      </c>
      <c r="AD22" s="1161" t="s">
        <v>478</v>
      </c>
      <c r="AI22" s="166" t="s">
        <v>481</v>
      </c>
      <c r="AK22" s="166" t="s">
        <v>480</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ПАО "ТГК-2"</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39</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482</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483</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40</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484</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25.5" hidden="1">
      <c r="A35" s="1391"/>
      <c r="B35" s="1391"/>
      <c r="C35" s="1391"/>
      <c r="D35" s="1391"/>
      <c r="E35" s="1391"/>
      <c r="F35" s="1391"/>
      <c r="G35" s="1391"/>
      <c r="H35" s="1391"/>
      <c r="I35" s="1391"/>
      <c r="J35" s="1391"/>
      <c r="K35" s="1391"/>
      <c r="L35" s="1392"/>
      <c r="M35" s="1391"/>
      <c r="N35" s="1391"/>
      <c r="O35" s="1391"/>
      <c r="S35" s="2165" t="s">
        <v>485</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486</v>
      </c>
      <c r="AD36" s="314"/>
      <c r="AE36" s="314"/>
      <c r="AF36" s="314"/>
      <c r="AG36" s="314"/>
      <c r="AH36" s="314"/>
      <c r="AI36" s="314"/>
      <c r="AJ36" s="314"/>
      <c r="AK36" s="259" t="s">
        <v>486</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290</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291</v>
      </c>
    </row>
    <row customHeight="1" ht="14.25">
      <c r="Q39" s="368"/>
      <c r="R39" s="368"/>
      <c r="S39" s="2188" t="s">
        <v>87</v>
      </c>
      <c r="T39" s="2029" t="s">
        <v>487</v>
      </c>
      <c r="U39" s="281"/>
      <c r="V39" s="2189" t="s">
        <v>488</v>
      </c>
      <c r="W39" s="2190"/>
      <c r="X39" s="2190"/>
      <c r="Y39" s="2190"/>
      <c r="Z39" s="2190"/>
      <c r="AA39" s="2190"/>
      <c r="AB39" s="2191"/>
      <c r="AC39" s="2192" t="s">
        <v>489</v>
      </c>
      <c r="AD39" s="2189" t="s">
        <v>488</v>
      </c>
      <c r="AE39" s="2190"/>
      <c r="AF39" s="2190"/>
      <c r="AG39" s="2190"/>
      <c r="AH39" s="2190"/>
      <c r="AI39" s="2190"/>
      <c r="AJ39" s="2191"/>
      <c r="AK39" s="2192" t="s">
        <v>490</v>
      </c>
      <c r="AL39" s="2195" t="s">
        <v>491</v>
      </c>
      <c r="AM39" s="1948"/>
    </row>
    <row customHeight="1" ht="33.75">
      <c r="Q40" s="368"/>
      <c r="R40" s="368"/>
      <c r="S40" s="2188"/>
      <c r="T40" s="2029"/>
      <c r="U40" s="1032"/>
      <c r="V40" s="2175" t="s">
        <v>492</v>
      </c>
      <c r="W40" s="2198"/>
      <c r="X40" s="2177" t="s">
        <v>494</v>
      </c>
      <c r="Y40" s="2178"/>
      <c r="Z40" s="2177" t="s">
        <v>495</v>
      </c>
      <c r="AA40" s="2184"/>
      <c r="AB40" s="2178"/>
      <c r="AC40" s="2193"/>
      <c r="AD40" s="2175" t="s">
        <v>492</v>
      </c>
      <c r="AE40" s="2198"/>
      <c r="AF40" s="2177" t="s">
        <v>494</v>
      </c>
      <c r="AG40" s="2178"/>
      <c r="AH40" s="2177" t="s">
        <v>495</v>
      </c>
      <c r="AI40" s="2184"/>
      <c r="AJ40" s="2178"/>
      <c r="AK40" s="2193"/>
      <c r="AL40" s="2196"/>
      <c r="AM40" s="1948"/>
    </row>
    <row customHeight="1" ht="33.75">
      <c r="A41" s="1393"/>
      <c r="B41" s="1393" t="s">
        <v>139</v>
      </c>
      <c r="C41" s="1393" t="s">
        <v>140</v>
      </c>
      <c r="D41" s="1393" t="s">
        <v>141</v>
      </c>
      <c r="E41" s="1387" t="s">
        <v>496</v>
      </c>
      <c r="F41" s="1387" t="s">
        <v>497</v>
      </c>
      <c r="G41" s="1387" t="s">
        <v>498</v>
      </c>
      <c r="H41" s="1387" t="s">
        <v>499</v>
      </c>
      <c r="I41" s="1387" t="s">
        <v>500</v>
      </c>
      <c r="J41" s="1387" t="s">
        <v>501</v>
      </c>
      <c r="K41" s="1387" t="s">
        <v>502</v>
      </c>
      <c r="L41" s="1387" t="s">
        <v>477</v>
      </c>
      <c r="Q41" s="368"/>
      <c r="R41" s="368"/>
      <c r="S41" s="2188"/>
      <c r="T41" s="2029"/>
      <c r="U41" s="282"/>
      <c r="V41" s="2176"/>
      <c r="W41" s="2199"/>
      <c r="X41" s="1230" t="s">
        <v>503</v>
      </c>
      <c r="Y41" s="1230" t="s">
        <v>504</v>
      </c>
      <c r="Z41" s="1361" t="s">
        <v>505</v>
      </c>
      <c r="AA41" s="2185" t="s">
        <v>506</v>
      </c>
      <c r="AB41" s="2186"/>
      <c r="AC41" s="2194"/>
      <c r="AD41" s="2176"/>
      <c r="AE41" s="2199"/>
      <c r="AF41" s="1230" t="s">
        <v>503</v>
      </c>
      <c r="AG41" s="1230" t="s">
        <v>504</v>
      </c>
      <c r="AH41" s="1361" t="s">
        <v>505</v>
      </c>
      <c r="AI41" s="2185" t="s">
        <v>506</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108</v>
      </c>
      <c r="T42" s="1274" t="s">
        <v>109</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190</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127</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190</v>
      </c>
      <c r="B44" s="1386" t="s">
        <v>191</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459</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460</v>
      </c>
      <c r="AO44" s="498"/>
      <c r="AP44" s="498" t="str">
        <f>IF(T44="","",T44)</f>
        <v>Территория действия тарифа</v>
      </c>
      <c r="AQ44" s="498"/>
      <c r="AR44" s="498"/>
    </row>
    <row customHeight="1" ht="23.25">
      <c r="A45" s="1386" t="s">
        <v>190</v>
      </c>
      <c r="B45" s="1386" t="s">
        <v>191</v>
      </c>
      <c r="C45" s="1386" t="s">
        <v>192</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461</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462</v>
      </c>
      <c r="AO45" s="498"/>
      <c r="AP45" s="498" t="str">
        <f>IF(T45="","",T45)</f>
        <v>Наименование системы теплоснабжения </v>
      </c>
      <c r="AQ45" s="498"/>
      <c r="AR45" s="498"/>
    </row>
    <row customHeight="1" ht="21">
      <c r="A46" s="1386" t="s">
        <v>190</v>
      </c>
      <c r="B46" s="1386" t="s">
        <v>191</v>
      </c>
      <c r="C46" s="1386" t="s">
        <v>192</v>
      </c>
      <c r="D46" s="1386" t="s">
        <v>193</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463</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464</v>
      </c>
      <c r="AO46" s="498"/>
      <c r="AP46" s="498" t="str">
        <f>IF(T46="","",T46)</f>
        <v>Источник тепловой энергии  </v>
      </c>
      <c r="AQ46" s="498"/>
      <c r="AR46" s="498"/>
    </row>
    <row s="1673" customFormat="1" customHeight="1" ht="0">
      <c r="A47" s="1366" t="s">
        <v>190</v>
      </c>
      <c r="B47" s="1366" t="s">
        <v>191</v>
      </c>
      <c r="C47" s="1366" t="s">
        <v>192</v>
      </c>
      <c r="D47" s="1366" t="s">
        <v>193</v>
      </c>
      <c r="E47" s="2174"/>
      <c r="F47" s="2174"/>
      <c r="G47" s="2174"/>
      <c r="H47" s="2174"/>
      <c r="I47" s="2171" t="str">
        <f>S46&amp;".1"</f>
        <v>....1</v>
      </c>
      <c r="J47" s="1366"/>
      <c r="K47" s="1366"/>
      <c r="L47" s="1369" t="s">
        <v>465</v>
      </c>
      <c r="M47" s="508"/>
      <c r="N47" s="508"/>
      <c r="O47" s="508"/>
      <c r="P47" s="2172">
        <v>1</v>
      </c>
      <c r="Q47" s="1354"/>
      <c r="R47" s="344"/>
      <c r="S47" s="1043"/>
      <c r="T47" s="1406"/>
      <c r="U47" s="1407"/>
      <c r="V47" s="2209"/>
      <c r="W47" s="2210"/>
      <c r="X47" s="2210"/>
      <c r="Y47" s="2210"/>
      <c r="Z47" s="2210"/>
      <c r="AA47" s="2210"/>
      <c r="AB47" s="2210"/>
      <c r="AC47" s="2211"/>
      <c r="AD47" s="2209"/>
      <c r="AE47" s="2210"/>
      <c r="AF47" s="2210"/>
      <c r="AG47" s="2210"/>
      <c r="AH47" s="2210"/>
      <c r="AI47" s="2210"/>
      <c r="AJ47" s="2210"/>
      <c r="AK47" s="2210"/>
      <c r="AL47" s="2211"/>
      <c r="AM47" s="1408"/>
      <c r="AO47" s="498"/>
      <c r="AP47" s="498" t="str">
        <f>IF(T47="","",T47)</f>
        <v/>
      </c>
      <c r="AQ47" s="498"/>
      <c r="AR47" s="498"/>
    </row>
    <row customHeight="1" ht="21">
      <c r="A48" s="1386" t="s">
        <v>190</v>
      </c>
      <c r="B48" s="1386" t="s">
        <v>191</v>
      </c>
      <c r="C48" s="1386" t="s">
        <v>192</v>
      </c>
      <c r="D48" s="1386" t="s">
        <v>193</v>
      </c>
      <c r="E48" s="2174"/>
      <c r="F48" s="2174"/>
      <c r="G48" s="2174"/>
      <c r="H48" s="2174"/>
      <c r="I48" s="2201"/>
      <c r="J48" s="2171" t="str">
        <f>S46&amp;".1"</f>
        <v>....1</v>
      </c>
      <c r="K48" s="1386"/>
      <c r="L48" s="1387" t="s">
        <v>468</v>
      </c>
      <c r="P48" s="2172"/>
      <c r="Q48" s="2172">
        <v>1</v>
      </c>
      <c r="R48" s="345"/>
      <c r="S48" s="1359" t="str">
        <f>$J48</f>
        <v>....1</v>
      </c>
      <c r="T48" s="267" t="s">
        <v>469</v>
      </c>
      <c r="U48" s="280"/>
      <c r="V48" s="2160"/>
      <c r="W48" s="2161"/>
      <c r="X48" s="2161"/>
      <c r="Y48" s="2161"/>
      <c r="Z48" s="2161"/>
      <c r="AA48" s="2161"/>
      <c r="AB48" s="2161"/>
      <c r="AC48" s="2162"/>
      <c r="AD48" s="2160"/>
      <c r="AE48" s="2161"/>
      <c r="AF48" s="2161"/>
      <c r="AG48" s="2161"/>
      <c r="AH48" s="2161"/>
      <c r="AI48" s="2161"/>
      <c r="AJ48" s="2161"/>
      <c r="AK48" s="2161"/>
      <c r="AL48" s="2162"/>
      <c r="AM48" s="1279" t="s">
        <v>470</v>
      </c>
      <c r="AO48" s="498"/>
      <c r="AP48" s="498" t="str">
        <f>IF(T48="","",T48)</f>
        <v>Группа потребителей</v>
      </c>
      <c r="AQ48" s="498"/>
      <c r="AR48" s="498"/>
    </row>
    <row customHeight="1" ht="21">
      <c r="A49" s="1386" t="s">
        <v>190</v>
      </c>
      <c r="B49" s="1386" t="s">
        <v>191</v>
      </c>
      <c r="C49" s="1386" t="s">
        <v>192</v>
      </c>
      <c r="D49" s="1386" t="s">
        <v>193</v>
      </c>
      <c r="E49" s="2174"/>
      <c r="F49" s="2174"/>
      <c r="G49" s="2174"/>
      <c r="H49" s="2174"/>
      <c r="I49" s="2201"/>
      <c r="J49" s="2201"/>
      <c r="K49" s="2171" t="str">
        <f>J48&amp;".1"</f>
        <v>....1.1</v>
      </c>
      <c r="L49" s="1387" t="s">
        <v>471</v>
      </c>
      <c r="P49" s="2172"/>
      <c r="Q49" s="2172"/>
      <c r="R49" s="345">
        <v>1</v>
      </c>
      <c r="S49" s="1359" t="str">
        <f>$K49</f>
        <v>....1.1</v>
      </c>
      <c r="T49" s="1370"/>
      <c r="U49" s="280"/>
      <c r="V49" s="749"/>
      <c r="W49" s="312"/>
      <c r="X49" s="749"/>
      <c r="Y49" s="1278"/>
      <c r="Z49" s="2180"/>
      <c r="AA49" s="1928" t="s">
        <v>58</v>
      </c>
      <c r="AB49" s="2180"/>
      <c r="AC49" s="1928" t="s">
        <v>58</v>
      </c>
      <c r="AD49" s="749"/>
      <c r="AE49" s="312"/>
      <c r="AF49" s="749"/>
      <c r="AG49" s="1278"/>
      <c r="AH49" s="2180"/>
      <c r="AI49" s="1928" t="s">
        <v>58</v>
      </c>
      <c r="AJ49" s="2202"/>
      <c r="AK49" s="1928" t="s">
        <v>58</v>
      </c>
      <c r="AL49" s="1371"/>
      <c r="AM49" s="2168" t="s">
        <v>515</v>
      </c>
      <c r="AN49" s="509">
        <f>STRCHECKDATE(V50:AL50)</f>
      </c>
      <c r="AO49" s="498"/>
      <c r="AP49" s="498" t="str">
        <f>IF(T49="","",T49)</f>
        <v/>
      </c>
      <c r="AQ49" s="498"/>
      <c r="AR49" s="498"/>
    </row>
    <row customHeight="1" ht="0">
      <c r="A50" s="1386" t="s">
        <v>190</v>
      </c>
      <c r="B50" s="1386" t="s">
        <v>191</v>
      </c>
      <c r="C50" s="1386" t="s">
        <v>192</v>
      </c>
      <c r="D50" s="1386" t="s">
        <v>193</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190</v>
      </c>
      <c r="B51" s="1386" t="s">
        <v>191</v>
      </c>
      <c r="C51" s="1386" t="s">
        <v>192</v>
      </c>
      <c r="D51" s="1386" t="s">
        <v>193</v>
      </c>
      <c r="E51" s="2174"/>
      <c r="F51" s="2174"/>
      <c r="G51" s="2174"/>
      <c r="H51" s="2174"/>
      <c r="I51" s="2201"/>
      <c r="J51" s="2171"/>
      <c r="K51" s="1386"/>
      <c r="L51" s="1387"/>
      <c r="P51" s="2172"/>
      <c r="Q51" s="2172"/>
      <c r="R51" s="344"/>
      <c r="S51" s="1301"/>
      <c r="T51" s="268" t="s">
        <v>473</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190</v>
      </c>
      <c r="B52" s="1386" t="s">
        <v>191</v>
      </c>
      <c r="C52" s="1386" t="s">
        <v>192</v>
      </c>
      <c r="D52" s="1386" t="s">
        <v>193</v>
      </c>
      <c r="E52" s="2174"/>
      <c r="F52" s="2174"/>
      <c r="G52" s="2174"/>
      <c r="H52" s="2174"/>
      <c r="I52" s="2171"/>
      <c r="J52" s="1386"/>
      <c r="K52" s="1386"/>
      <c r="L52" s="1387"/>
      <c r="P52" s="2172"/>
      <c r="Q52" s="1354"/>
      <c r="R52" s="344"/>
      <c r="S52" s="1301"/>
      <c r="T52" s="356" t="s">
        <v>474</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0">
      <c r="A53" s="1386" t="s">
        <v>190</v>
      </c>
      <c r="B53" s="1386" t="s">
        <v>191</v>
      </c>
      <c r="C53" s="1386" t="s">
        <v>192</v>
      </c>
      <c r="D53" s="1386" t="s">
        <v>193</v>
      </c>
      <c r="E53" s="2174"/>
      <c r="F53" s="2174"/>
      <c r="G53" s="2174"/>
      <c r="H53" s="2173"/>
      <c r="I53" s="1386"/>
      <c r="J53" s="1386"/>
      <c r="K53" s="1386"/>
      <c r="L53" s="1387"/>
      <c r="M53" s="1388"/>
      <c r="N53" s="1388"/>
      <c r="O53" s="535"/>
      <c r="P53" s="348"/>
      <c r="Q53" s="367"/>
      <c r="R53" s="343"/>
      <c r="S53" s="1409"/>
      <c r="T53" s="1410"/>
      <c r="U53" s="1411"/>
      <c r="V53" s="1411"/>
      <c r="W53" s="1411"/>
      <c r="X53" s="1411"/>
      <c r="Y53" s="1411"/>
      <c r="Z53" s="1411"/>
      <c r="AA53" s="1411"/>
      <c r="AB53" s="1411"/>
      <c r="AC53" s="1411"/>
      <c r="AD53" s="1411"/>
      <c r="AE53" s="1411"/>
      <c r="AF53" s="1411"/>
      <c r="AG53" s="1411"/>
      <c r="AH53" s="1411"/>
      <c r="AI53" s="1411"/>
      <c r="AJ53" s="1411"/>
      <c r="AK53" s="1411"/>
      <c r="AL53" s="1411"/>
      <c r="AM53" s="1412"/>
      <c r="AO53" s="498"/>
      <c r="AP53" s="498" t="str">
        <f>IF(T53="","",T53)</f>
        <v/>
      </c>
      <c r="AQ53" s="498"/>
      <c r="AR53" s="498"/>
    </row>
    <row s="1673" customFormat="1" customHeight="1" ht="0">
      <c r="A54" s="1366" t="s">
        <v>190</v>
      </c>
      <c r="B54" s="1366" t="s">
        <v>191</v>
      </c>
      <c r="C54" s="1366" t="s">
        <v>192</v>
      </c>
      <c r="D54" s="1337"/>
      <c r="E54" s="2174"/>
      <c r="F54" s="2174"/>
      <c r="G54" s="2173"/>
      <c r="H54" s="1337"/>
      <c r="I54" s="1337"/>
      <c r="J54" s="1337"/>
      <c r="K54" s="1337"/>
      <c r="L54" s="1362"/>
      <c r="M54" s="1338"/>
      <c r="N54" s="1338"/>
      <c r="P54" s="1339"/>
      <c r="Q54" s="1340"/>
      <c r="R54" s="1339"/>
      <c r="S54" s="1345"/>
      <c r="T54" s="1348" t="s">
        <v>432</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
      <c r="A55" s="1366" t="s">
        <v>190</v>
      </c>
      <c r="B55" s="1366" t="s">
        <v>191</v>
      </c>
      <c r="C55" s="1337"/>
      <c r="D55" s="1337"/>
      <c r="E55" s="2174"/>
      <c r="F55" s="2173"/>
      <c r="G55" s="1337"/>
      <c r="H55" s="1337"/>
      <c r="I55" s="1337"/>
      <c r="J55" s="1337"/>
      <c r="K55" s="1337"/>
      <c r="L55" s="1362"/>
      <c r="M55" s="1344"/>
      <c r="N55" s="1344"/>
      <c r="P55" s="1339"/>
      <c r="Q55" s="1340"/>
      <c r="R55" s="1339"/>
      <c r="S55" s="1345"/>
      <c r="T55" s="1348" t="s">
        <v>433</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
      <c r="A56" s="1366" t="s">
        <v>190</v>
      </c>
      <c r="B56" s="1366"/>
      <c r="C56" s="1366"/>
      <c r="D56" s="1366"/>
      <c r="E56" s="2173"/>
      <c r="F56" s="1366"/>
      <c r="G56" s="1366"/>
      <c r="H56" s="1366"/>
      <c r="I56" s="1366"/>
      <c r="J56" s="1366"/>
      <c r="K56" s="1366"/>
      <c r="L56" s="1369"/>
      <c r="M56" s="1344"/>
      <c r="N56" s="1344"/>
      <c r="O56" s="516"/>
      <c r="P56" s="376"/>
      <c r="Q56" s="1367"/>
      <c r="R56" s="376"/>
      <c r="S56" s="1345"/>
      <c r="T56" s="1348" t="s">
        <v>434</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5.25">
      <c r="A57" s="1337"/>
      <c r="B57" s="1337"/>
      <c r="C57" s="1337"/>
      <c r="D57" s="1337"/>
      <c r="E57" s="1366"/>
      <c r="F57" s="1337"/>
      <c r="G57" s="1337"/>
      <c r="H57" s="1337"/>
      <c r="I57" s="1337"/>
      <c r="J57" s="1337"/>
      <c r="K57" s="1337"/>
      <c r="L57" s="1362"/>
      <c r="M57" s="1344"/>
      <c r="N57" s="1344"/>
      <c r="P57" s="1339"/>
      <c r="Q57" s="1340"/>
      <c r="R57" s="1339"/>
      <c r="S57" s="1345"/>
      <c r="T57" s="1348" t="s">
        <v>435</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14.25" hidden="1">
      <c r="O59" s="535"/>
      <c r="S59" s="1266" t="s">
        <v>507</v>
      </c>
      <c r="T59" s="2200" t="s">
        <v>516</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14.25" hidden="1">
      <c r="O60" s="535"/>
      <c r="T60" s="2200" t="s">
        <v>517</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c r="T61" s="2200" t="s">
        <v>518</v>
      </c>
      <c r="U61" s="2200"/>
      <c r="V61" s="2200"/>
      <c r="W61" s="2200"/>
      <c r="X61" s="2200"/>
      <c r="Y61" s="2200"/>
      <c r="Z61" s="2200"/>
      <c r="AA61" s="2200"/>
      <c r="AB61" s="2200"/>
      <c r="AC61" s="2200"/>
      <c r="AD61" s="2200"/>
      <c r="AE61" s="2200"/>
      <c r="AF61" s="2200"/>
      <c r="AG61" s="2200"/>
      <c r="AH61" s="2200"/>
      <c r="AI61" s="2200"/>
      <c r="AJ61" s="2200"/>
      <c r="AK61" s="2200"/>
      <c r="AL61" s="2200"/>
      <c r="AM61" s="2200"/>
    </row>
    <row customHeight="1" ht="14.25" hidden="1">
      <c r="O62" s="535"/>
    </row>
    <row customHeight="1" ht="14.25" hidden="1">
      <c r="O63" s="535"/>
      <c r="S63" s="1266" t="s">
        <v>507</v>
      </c>
      <c r="T63" s="2212" t="s">
        <v>510</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14.25" hidden="1">
      <c r="O64" s="535"/>
      <c r="T64" s="2200" t="s">
        <v>519</v>
      </c>
      <c r="U64" s="2200"/>
      <c r="V64" s="2200"/>
      <c r="W64" s="2200"/>
      <c r="X64" s="2200"/>
      <c r="Y64" s="2200"/>
      <c r="Z64" s="2200"/>
      <c r="AA64" s="2200"/>
      <c r="AB64" s="2200"/>
      <c r="AC64" s="2200"/>
      <c r="AD64" s="2200"/>
      <c r="AE64" s="2200"/>
      <c r="AF64" s="2200"/>
      <c r="AG64" s="2200"/>
      <c r="AH64" s="2200"/>
      <c r="AI64" s="2200"/>
      <c r="AJ64" s="2200"/>
      <c r="AK64" s="2200"/>
      <c r="AL64" s="2200"/>
      <c r="AM64" s="2200"/>
    </row>
    <row customHeight="1" ht="14.25" hidden="1">
      <c r="T65" s="2200" t="s">
        <v>520</v>
      </c>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198B8-7FBA-4273-C701-BF652FF34C31}" mc:Ignorable="x14ac xr xr2 xr3">
  <sheetPr>
    <tabColor theme="6" tint="0.4"/>
  </sheetPr>
  <dimension ref="A1:AV73"/>
  <sheetViews>
    <sheetView topLeftCell="R29" showGridLines="0" zoomScale="90" workbookViewId="0">
      <selection activeCell="A1" sqref="A1"/>
    </sheetView>
  </sheetViews>
  <sheetFormatPr defaultColWidth="10.57421875" customHeight="1" defaultRowHeight="14.25"/>
  <cols>
    <col min="1" max="1" style="1666" width="10.57421875" hidden="1"/>
    <col min="2" max="2" style="1666" width="11.00390625" hidden="1" customWidth="1"/>
    <col min="3" max="3" style="1666" width="10.57421875" hidden="1"/>
    <col min="4" max="4" style="1666" width="11.8515625" hidden="1" customWidth="1"/>
    <col min="5" max="5" style="1666" width="10.00390625" hidden="1" customWidth="1"/>
    <col min="6" max="6" style="1666" width="8.7109375" hidden="1" customWidth="1"/>
    <col min="7" max="7" style="1666" width="7.57421875" hidden="1" customWidth="1"/>
    <col min="8" max="8" style="1666" width="11.421875" hidden="1" customWidth="1"/>
    <col min="9" max="9" style="1666" width="12.00390625" hidden="1" customWidth="1"/>
    <col min="10" max="10" style="1666" width="9.8515625" hidden="1" customWidth="1"/>
    <col min="11" max="12" style="1666" width="11.421875" hidden="1" customWidth="1"/>
    <col min="13" max="13" style="1946" width="19.140625" hidden="1" customWidth="1"/>
    <col min="14" max="15" style="2295" width="12.28125" hidden="1" customWidth="1"/>
    <col min="16" max="16" style="2295" width="23.421875" hidden="1" customWidth="1"/>
    <col min="17" max="17" style="2295" width="3.7109375" hidden="1" customWidth="1"/>
    <col min="18" max="20" style="332" width="3.7109375" customWidth="1"/>
    <col min="21" max="21" style="2337" width="12.7109375" customWidth="1"/>
    <col min="22" max="22" style="1666" width="32.00390625" customWidth="1"/>
    <col min="23" max="23" style="1666" width="0.140625" customWidth="1"/>
    <col min="24" max="28" style="1666" width="21.7109375" hidden="1" customWidth="1"/>
    <col min="29" max="29" style="1666" width="11.7109375" hidden="1" customWidth="1"/>
    <col min="30" max="30" style="1666" width="3.7109375" hidden="1" customWidth="1"/>
    <col min="31" max="31" style="1666" width="11.7109375" hidden="1" customWidth="1"/>
    <col min="32" max="32" style="1666" width="8.57421875" hidden="1" customWidth="1"/>
    <col min="33" max="37" style="1666" width="21.7109375" customWidth="1"/>
    <col min="38" max="38" style="1666" width="11.7109375" customWidth="1"/>
    <col min="39" max="39" style="1666" width="3.7109375" customWidth="1"/>
    <col min="40" max="40" style="1666" width="11.7109375" customWidth="1"/>
    <col min="41" max="41" style="1666" width="8.57421875" customWidth="1"/>
    <col min="42" max="42" style="1666" width="4.7109375" customWidth="1"/>
    <col min="43" max="43" style="1666" width="115.7109375" customWidth="1"/>
    <col min="44" max="45" style="1673" width="10.57421875"/>
    <col min="46" max="46" style="1673" width="11.140625" customWidth="1"/>
    <col min="47" max="48" style="1673" width="10.57421875"/>
  </cols>
  <sheetData>
    <row customHeight="1" ht="14.25" hidden="1">
      <c r="AB1" s="315"/>
      <c r="AC1" s="315"/>
      <c r="AK1" s="315"/>
      <c r="AL1" s="315"/>
    </row>
    <row customHeight="1" ht="21" hidden="1">
      <c r="A2" s="1289"/>
      <c r="B2" s="1289"/>
      <c r="C2" s="1289"/>
      <c r="D2" s="1289"/>
      <c r="E2" s="2213">
        <v>1</v>
      </c>
      <c r="F2" s="1289"/>
      <c r="G2" s="1289"/>
      <c r="H2" s="1289"/>
      <c r="I2" s="1289"/>
      <c r="J2" s="1289"/>
      <c r="K2" s="1289"/>
      <c r="L2" s="1289"/>
      <c r="M2" s="1333"/>
      <c r="N2" s="685"/>
      <c r="O2" s="685"/>
      <c r="P2" s="685"/>
      <c r="Q2" s="349"/>
      <c r="R2" s="348"/>
      <c r="S2" s="348"/>
      <c r="T2" s="343"/>
      <c r="U2" s="1359">
        <f>INDEX(PT_DIFFERENTIATION_NUM_NTAR,MATCH(A2,PT_DIFFERENTIATION_NTAR_ID,0))</f>
      </c>
      <c r="V2" s="278" t="s">
        <v>127</v>
      </c>
      <c r="W2" s="280"/>
      <c r="X2" s="2157"/>
      <c r="Y2" s="2158"/>
      <c r="Z2" s="2158"/>
      <c r="AA2" s="2158"/>
      <c r="AB2" s="2158"/>
      <c r="AC2" s="2158"/>
      <c r="AD2" s="2158"/>
      <c r="AE2" s="2158"/>
      <c r="AF2" s="2159"/>
      <c r="AG2" s="2157">
        <f>INDEX(PT_DIFFERENTIATION_NTAR,MATCH(A2,PT_DIFFERENTIATION_NTAR_ID,0))</f>
      </c>
      <c r="AH2" s="2158"/>
      <c r="AI2" s="2158"/>
      <c r="AJ2" s="2158"/>
      <c r="AK2" s="2158"/>
      <c r="AL2" s="2158"/>
      <c r="AM2" s="2158"/>
      <c r="AN2" s="2158"/>
      <c r="AO2" s="2158"/>
      <c r="AP2" s="2159"/>
      <c r="AQ2" s="1279" t="s">
        <v>458</v>
      </c>
      <c r="AS2" s="498"/>
      <c r="AT2" s="498" t="str">
        <f>IF(V2="","",V2)</f>
        <v>Наименование тарифа</v>
      </c>
      <c r="AU2" s="498"/>
      <c r="AV2" s="498"/>
    </row>
    <row customHeight="1" ht="21" hidden="1">
      <c r="A3" s="1289"/>
      <c r="B3" s="1289"/>
      <c r="C3" s="1289"/>
      <c r="D3" s="1289"/>
      <c r="E3" s="2214"/>
      <c r="F3" s="2213">
        <v>1</v>
      </c>
      <c r="G3" s="1289"/>
      <c r="H3" s="1289"/>
      <c r="I3" s="1289"/>
      <c r="J3" s="1289"/>
      <c r="K3" s="1289"/>
      <c r="L3" s="1289"/>
      <c r="M3" s="1333"/>
      <c r="N3" s="685"/>
      <c r="O3" s="685"/>
      <c r="P3" s="685"/>
      <c r="Q3" s="1355"/>
      <c r="R3" s="340"/>
      <c r="S3" s="507"/>
      <c r="T3" s="341"/>
      <c r="U3" s="1359">
        <f>INDEX(PT_DIFFERENTIATION_NUM_TER,MATCH(B3,PT_DIFFERENTIATION_TER_ID,0))</f>
      </c>
      <c r="V3" s="290" t="s">
        <v>459</v>
      </c>
      <c r="W3" s="280"/>
      <c r="X3" s="2157"/>
      <c r="Y3" s="2158"/>
      <c r="Z3" s="2158"/>
      <c r="AA3" s="2158"/>
      <c r="AB3" s="2158"/>
      <c r="AC3" s="2158"/>
      <c r="AD3" s="2158"/>
      <c r="AE3" s="2158"/>
      <c r="AF3" s="2159"/>
      <c r="AG3" s="2157">
        <f>INDEX(PT_DIFFERENTIATION_TER,MATCH(B3,PT_DIFFERENTIATION_TER_ID,0))</f>
      </c>
      <c r="AH3" s="2158"/>
      <c r="AI3" s="2158"/>
      <c r="AJ3" s="2158"/>
      <c r="AK3" s="2158"/>
      <c r="AL3" s="2158"/>
      <c r="AM3" s="2158"/>
      <c r="AN3" s="2158"/>
      <c r="AO3" s="2158"/>
      <c r="AP3" s="2159"/>
      <c r="AQ3" s="1279" t="s">
        <v>460</v>
      </c>
      <c r="AS3" s="498"/>
      <c r="AT3" s="498" t="str">
        <f>IF(V3="","",V3)</f>
        <v>Территория действия тарифа</v>
      </c>
      <c r="AU3" s="498"/>
      <c r="AV3" s="498"/>
    </row>
    <row customHeight="1" ht="22.5" hidden="1">
      <c r="A4" s="1289"/>
      <c r="B4" s="1289"/>
      <c r="C4" s="1289"/>
      <c r="D4" s="1289"/>
      <c r="E4" s="2214"/>
      <c r="F4" s="2214"/>
      <c r="G4" s="2213">
        <v>1</v>
      </c>
      <c r="H4" s="1289"/>
      <c r="I4" s="1289"/>
      <c r="J4" s="1289"/>
      <c r="K4" s="1289"/>
      <c r="L4" s="1289"/>
      <c r="M4" s="1333"/>
      <c r="N4" s="685"/>
      <c r="O4" s="685"/>
      <c r="P4" s="685"/>
      <c r="Q4" s="342"/>
      <c r="R4" s="340"/>
      <c r="S4" s="507"/>
      <c r="T4" s="341"/>
      <c r="U4" s="1359">
        <f>INDEX(PT_DIFFERENTIATION_NUM_CS,MATCH(C4,PT_DIFFERENTIATION_CS_ID,0))</f>
      </c>
      <c r="V4" s="291" t="s">
        <v>461</v>
      </c>
      <c r="W4" s="280"/>
      <c r="X4" s="2157"/>
      <c r="Y4" s="2158"/>
      <c r="Z4" s="2158"/>
      <c r="AA4" s="2158"/>
      <c r="AB4" s="2158"/>
      <c r="AC4" s="2158"/>
      <c r="AD4" s="2158"/>
      <c r="AE4" s="2158"/>
      <c r="AF4" s="2159"/>
      <c r="AG4" s="2157">
        <f>INDEX(PT_DIFFERENTIATION_CS,MATCH(C4,PT_DIFFERENTIATION_CS_ID,0))</f>
      </c>
      <c r="AH4" s="2158"/>
      <c r="AI4" s="2158"/>
      <c r="AJ4" s="2158"/>
      <c r="AK4" s="2158"/>
      <c r="AL4" s="2158"/>
      <c r="AM4" s="2158"/>
      <c r="AN4" s="2158"/>
      <c r="AO4" s="2158"/>
      <c r="AP4" s="2159"/>
      <c r="AQ4" s="1279" t="s">
        <v>462</v>
      </c>
      <c r="AS4" s="498"/>
      <c r="AT4" s="498" t="str">
        <f>IF(V4="","",V4)</f>
        <v>Наименование системы теплоснабжения </v>
      </c>
      <c r="AU4" s="498"/>
      <c r="AV4" s="498"/>
    </row>
    <row customHeight="1" ht="21" hidden="1">
      <c r="A5" s="1289"/>
      <c r="B5" s="1289"/>
      <c r="C5" s="1289"/>
      <c r="D5" s="1289"/>
      <c r="E5" s="2214"/>
      <c r="F5" s="2214"/>
      <c r="G5" s="2214"/>
      <c r="H5" s="2213">
        <v>1</v>
      </c>
      <c r="I5" s="1289"/>
      <c r="J5" s="1289"/>
      <c r="K5" s="1289"/>
      <c r="L5" s="1289"/>
      <c r="M5" s="1333"/>
      <c r="N5" s="685"/>
      <c r="O5" s="685"/>
      <c r="P5" s="685"/>
      <c r="Q5" s="342"/>
      <c r="R5" s="340"/>
      <c r="S5" s="507"/>
      <c r="T5" s="341"/>
      <c r="U5" s="1359">
        <f>INDEX(PT_DIFFERENTIATION_NUM_IST_TE,MATCH(D5,PT_DIFFERENTIATION_IST_TE_ID,0))</f>
      </c>
      <c r="V5" s="292" t="s">
        <v>463</v>
      </c>
      <c r="W5" s="280"/>
      <c r="X5" s="2157"/>
      <c r="Y5" s="2158"/>
      <c r="Z5" s="2158"/>
      <c r="AA5" s="2158"/>
      <c r="AB5" s="2158"/>
      <c r="AC5" s="2158"/>
      <c r="AD5" s="2158"/>
      <c r="AE5" s="2158"/>
      <c r="AF5" s="2159"/>
      <c r="AG5" s="2157">
        <f>INDEX(PT_DIFFERENTIATION_IST_TE,MATCH(D5,PT_DIFFERENTIATION_IST_TE_ID,0))</f>
      </c>
      <c r="AH5" s="2158"/>
      <c r="AI5" s="2158"/>
      <c r="AJ5" s="2158"/>
      <c r="AK5" s="2158"/>
      <c r="AL5" s="2158"/>
      <c r="AM5" s="2158"/>
      <c r="AN5" s="2158"/>
      <c r="AO5" s="2158"/>
      <c r="AP5" s="2159"/>
      <c r="AQ5" s="1279" t="s">
        <v>464</v>
      </c>
      <c r="AS5" s="498"/>
      <c r="AT5" s="498" t="str">
        <f>IF(V5="","",V5)</f>
        <v>Источник тепловой энергии  </v>
      </c>
      <c r="AU5" s="498"/>
      <c r="AV5" s="498"/>
    </row>
    <row customHeight="1" ht="14.25" hidden="1">
      <c r="A6" s="1289"/>
      <c r="B6" s="1289"/>
      <c r="C6" s="1289"/>
      <c r="D6" s="1289"/>
      <c r="E6" s="2214"/>
      <c r="F6" s="2214"/>
      <c r="G6" s="2214"/>
      <c r="H6" s="2214"/>
      <c r="I6" s="1948">
        <f>U5&amp;".1"</f>
      </c>
      <c r="J6" s="1289"/>
      <c r="K6" s="1289"/>
      <c r="L6" s="1289"/>
      <c r="M6" s="1333" t="s">
        <v>465</v>
      </c>
      <c r="N6" s="507"/>
      <c r="Q6" s="2172">
        <v>1</v>
      </c>
      <c r="R6" s="1354"/>
      <c r="S6" s="1354"/>
      <c r="T6" s="344"/>
      <c r="U6" s="1043"/>
      <c r="V6" s="1406"/>
      <c r="W6" s="1407"/>
      <c r="X6" s="2209"/>
      <c r="Y6" s="2210"/>
      <c r="Z6" s="2210"/>
      <c r="AA6" s="2210"/>
      <c r="AB6" s="2210"/>
      <c r="AC6" s="2210"/>
      <c r="AD6" s="2210"/>
      <c r="AE6" s="2210"/>
      <c r="AF6" s="2211"/>
      <c r="AG6" s="2209"/>
      <c r="AH6" s="2210"/>
      <c r="AI6" s="2210"/>
      <c r="AJ6" s="2210"/>
      <c r="AK6" s="2210"/>
      <c r="AL6" s="2210"/>
      <c r="AM6" s="2210"/>
      <c r="AN6" s="2210"/>
      <c r="AO6" s="2210"/>
      <c r="AP6" s="2211"/>
      <c r="AQ6" s="1408"/>
      <c r="AS6" s="498"/>
      <c r="AT6" s="498" t="str">
        <f>IF(V6="","",V6)</f>
        <v/>
      </c>
      <c r="AU6" s="498"/>
      <c r="AV6" s="498"/>
    </row>
    <row customHeight="1" ht="21" hidden="1">
      <c r="A7" s="1289"/>
      <c r="B7" s="1289"/>
      <c r="C7" s="1289"/>
      <c r="D7" s="1289"/>
      <c r="E7" s="2214"/>
      <c r="F7" s="2214"/>
      <c r="G7" s="2214"/>
      <c r="H7" s="2214"/>
      <c r="I7" s="1922"/>
      <c r="J7" s="1948">
        <f>I6&amp;".1"</f>
      </c>
      <c r="K7" s="1289"/>
      <c r="L7" s="1289"/>
      <c r="M7" s="1333" t="s">
        <v>468</v>
      </c>
      <c r="N7" s="507"/>
      <c r="O7" s="315"/>
      <c r="Q7" s="2172"/>
      <c r="R7" s="2172">
        <v>1</v>
      </c>
      <c r="S7" s="516"/>
      <c r="T7" s="345"/>
      <c r="U7" s="1359">
        <f>$J7</f>
      </c>
      <c r="V7" s="267" t="s">
        <v>469</v>
      </c>
      <c r="W7" s="280"/>
      <c r="X7" s="2160"/>
      <c r="Y7" s="2161"/>
      <c r="Z7" s="2161"/>
      <c r="AA7" s="2161"/>
      <c r="AB7" s="2161"/>
      <c r="AC7" s="2056"/>
      <c r="AD7" s="2056"/>
      <c r="AE7" s="2056"/>
      <c r="AF7" s="2215"/>
      <c r="AG7" s="2160"/>
      <c r="AH7" s="2161"/>
      <c r="AI7" s="2161"/>
      <c r="AJ7" s="2161"/>
      <c r="AK7" s="2161"/>
      <c r="AL7" s="2161"/>
      <c r="AM7" s="2161"/>
      <c r="AN7" s="2161"/>
      <c r="AO7" s="2161"/>
      <c r="AP7" s="2162"/>
      <c r="AQ7" s="1279" t="s">
        <v>470</v>
      </c>
      <c r="AS7" s="498"/>
      <c r="AT7" s="498" t="str">
        <f>IF(V7="","",V7)</f>
        <v>Группа потребителей</v>
      </c>
      <c r="AU7" s="498"/>
      <c r="AV7" s="498"/>
    </row>
    <row customHeight="1" ht="21" hidden="1">
      <c r="A8" s="1289"/>
      <c r="B8" s="1289"/>
      <c r="C8" s="1289"/>
      <c r="D8" s="1289"/>
      <c r="E8" s="2214"/>
      <c r="F8" s="2214"/>
      <c r="G8" s="2214"/>
      <c r="H8" s="2214"/>
      <c r="I8" s="1922"/>
      <c r="J8" s="1922"/>
      <c r="K8" s="1948">
        <f>J7&amp;".1"</f>
      </c>
      <c r="L8" s="119"/>
      <c r="M8" s="1333" t="s">
        <v>471</v>
      </c>
      <c r="N8" s="507"/>
      <c r="O8" s="315"/>
      <c r="P8" s="315"/>
      <c r="Q8" s="2172"/>
      <c r="R8" s="2172"/>
      <c r="S8" s="2172">
        <v>1</v>
      </c>
      <c r="T8" s="345"/>
      <c r="U8" s="1359">
        <f>$K8</f>
      </c>
      <c r="V8" s="1370"/>
      <c r="W8" s="280"/>
      <c r="X8" s="749"/>
      <c r="Y8" s="749"/>
      <c r="Z8" s="749"/>
      <c r="AA8" s="749"/>
      <c r="AB8" s="1428"/>
      <c r="AC8" s="2180"/>
      <c r="AD8" s="1928" t="s">
        <v>58</v>
      </c>
      <c r="AE8" s="2180"/>
      <c r="AF8" s="1928" t="s">
        <v>58</v>
      </c>
      <c r="AG8" s="1430"/>
      <c r="AH8" s="749"/>
      <c r="AI8" s="749"/>
      <c r="AJ8" s="749"/>
      <c r="AK8" s="1278"/>
      <c r="AL8" s="2180"/>
      <c r="AM8" s="1928" t="s">
        <v>58</v>
      </c>
      <c r="AN8" s="2180"/>
      <c r="AO8" s="1928" t="s">
        <v>58</v>
      </c>
      <c r="AP8" s="312"/>
      <c r="AQ8" s="1330" t="s">
        <v>521</v>
      </c>
      <c r="AR8" s="509">
        <f>STRCHECKDATE(X10:AP10)</f>
      </c>
      <c r="AS8" s="498"/>
      <c r="AT8" s="498" t="str">
        <f>IF(V8="","",V8)</f>
        <v/>
      </c>
      <c r="AU8" s="498"/>
      <c r="AV8" s="498"/>
    </row>
    <row customHeight="1" ht="21" hidden="1">
      <c r="A9" s="1289"/>
      <c r="B9" s="1289"/>
      <c r="C9" s="1289"/>
      <c r="D9" s="1289"/>
      <c r="E9" s="2214"/>
      <c r="F9" s="2214"/>
      <c r="G9" s="2214"/>
      <c r="H9" s="2214"/>
      <c r="I9" s="1922"/>
      <c r="J9" s="1922"/>
      <c r="K9" s="1922"/>
      <c r="L9" s="1948">
        <f>K8&amp;".1"</f>
      </c>
      <c r="M9" s="1333"/>
      <c r="N9" s="507"/>
      <c r="O9" s="315"/>
      <c r="P9" s="315"/>
      <c r="Q9" s="2172"/>
      <c r="R9" s="2172"/>
      <c r="S9" s="2172"/>
      <c r="T9" s="345"/>
      <c r="U9" s="1359">
        <f>$L9</f>
      </c>
      <c r="V9" s="1414"/>
      <c r="W9" s="280"/>
      <c r="X9" s="312"/>
      <c r="Y9" s="749"/>
      <c r="Z9" s="749"/>
      <c r="AA9" s="749"/>
      <c r="AB9" s="1428"/>
      <c r="AC9" s="2216"/>
      <c r="AD9" s="1928"/>
      <c r="AE9" s="2216"/>
      <c r="AF9" s="1928"/>
      <c r="AG9" s="1430"/>
      <c r="AH9" s="749"/>
      <c r="AI9" s="749"/>
      <c r="AJ9" s="749"/>
      <c r="AK9" s="1278"/>
      <c r="AL9" s="2216"/>
      <c r="AM9" s="1928"/>
      <c r="AN9" s="2216"/>
      <c r="AO9" s="1928"/>
      <c r="AP9" s="312"/>
      <c r="AQ9" s="2168" t="s">
        <v>522</v>
      </c>
      <c r="AS9" s="498"/>
      <c r="AT9" s="498"/>
      <c r="AU9" s="498"/>
      <c r="AV9" s="498"/>
    </row>
    <row customHeight="1" ht="14.25" hidden="1">
      <c r="A10" s="1289"/>
      <c r="B10" s="1289"/>
      <c r="C10" s="1289"/>
      <c r="D10" s="1289"/>
      <c r="E10" s="2214"/>
      <c r="F10" s="2214"/>
      <c r="G10" s="2214"/>
      <c r="H10" s="2214"/>
      <c r="I10" s="1922"/>
      <c r="J10" s="1922"/>
      <c r="K10" s="1922"/>
      <c r="L10" s="1948"/>
      <c r="M10" s="1333"/>
      <c r="N10" s="507"/>
      <c r="O10" s="315"/>
      <c r="P10" s="315"/>
      <c r="Q10" s="2172"/>
      <c r="R10" s="2172"/>
      <c r="S10" s="2172"/>
      <c r="T10" s="345"/>
      <c r="U10" s="1365"/>
      <c r="V10" s="280"/>
      <c r="W10" s="280"/>
      <c r="X10" s="312"/>
      <c r="Y10" s="312"/>
      <c r="Z10" s="312"/>
      <c r="AA10" s="312"/>
      <c r="AB10" s="1429" t="str">
        <f>AC8&amp;"-"&amp;AE8</f>
        <v>-</v>
      </c>
      <c r="AC10" s="2216"/>
      <c r="AD10" s="1928"/>
      <c r="AE10" s="2216"/>
      <c r="AF10" s="1928"/>
      <c r="AG10" s="1405"/>
      <c r="AH10" s="312"/>
      <c r="AI10" s="312"/>
      <c r="AJ10" s="312"/>
      <c r="AK10" s="316" t="str">
        <f>AL8&amp;"-"&amp;AN8</f>
        <v>-</v>
      </c>
      <c r="AL10" s="2216"/>
      <c r="AM10" s="1928"/>
      <c r="AN10" s="2216"/>
      <c r="AO10" s="1928"/>
      <c r="AP10" s="312"/>
      <c r="AQ10" s="2169"/>
      <c r="AS10" s="498"/>
      <c r="AT10" s="498" t="str">
        <f>IF(V10="","",V10)</f>
        <v/>
      </c>
      <c r="AU10" s="498"/>
      <c r="AV10" s="498"/>
    </row>
    <row customHeight="1" ht="11.25" hidden="1">
      <c r="A11" s="1289"/>
      <c r="B11" s="1289"/>
      <c r="C11" s="1289"/>
      <c r="D11" s="1289"/>
      <c r="E11" s="2214"/>
      <c r="F11" s="2214"/>
      <c r="G11" s="2214"/>
      <c r="H11" s="2214"/>
      <c r="I11" s="1922"/>
      <c r="J11" s="1922"/>
      <c r="K11" s="1948"/>
      <c r="L11" s="1289"/>
      <c r="M11" s="1333"/>
      <c r="N11" s="507"/>
      <c r="O11" s="315"/>
      <c r="P11" s="315"/>
      <c r="Q11" s="2172"/>
      <c r="R11" s="2172"/>
      <c r="S11" s="2172"/>
      <c r="T11" s="345"/>
      <c r="U11" s="1301"/>
      <c r="V11" s="269" t="s">
        <v>523</v>
      </c>
      <c r="W11" s="1415"/>
      <c r="X11" s="1416"/>
      <c r="Y11" s="1416"/>
      <c r="Z11" s="1416"/>
      <c r="AA11" s="1416"/>
      <c r="AB11" s="1417"/>
      <c r="AC11" s="2216"/>
      <c r="AD11" s="1928"/>
      <c r="AE11" s="2216"/>
      <c r="AF11" s="1928"/>
      <c r="AG11" s="1416"/>
      <c r="AH11" s="1416"/>
      <c r="AI11" s="1416"/>
      <c r="AJ11" s="1416"/>
      <c r="AK11" s="1417"/>
      <c r="AL11" s="2216"/>
      <c r="AM11" s="1928"/>
      <c r="AN11" s="2216"/>
      <c r="AO11" s="1928"/>
      <c r="AP11" s="1418"/>
      <c r="AQ11" s="2169"/>
      <c r="AS11" s="498"/>
      <c r="AT11" s="498"/>
      <c r="AU11" s="498"/>
      <c r="AV11" s="498"/>
    </row>
    <row customHeight="1" ht="15" hidden="1">
      <c r="A12" s="1289"/>
      <c r="B12" s="1289"/>
      <c r="C12" s="1289"/>
      <c r="D12" s="1289"/>
      <c r="E12" s="2214"/>
      <c r="F12" s="2214"/>
      <c r="G12" s="2214"/>
      <c r="H12" s="2214"/>
      <c r="I12" s="1922"/>
      <c r="J12" s="1948"/>
      <c r="K12" s="1289"/>
      <c r="L12" s="1289"/>
      <c r="M12" s="1333"/>
      <c r="N12" s="507"/>
      <c r="O12" s="315"/>
      <c r="Q12" s="2172"/>
      <c r="R12" s="2172"/>
      <c r="S12" s="1354"/>
      <c r="T12" s="344"/>
      <c r="U12" s="1301"/>
      <c r="V12" s="268" t="s">
        <v>473</v>
      </c>
      <c r="W12" s="359"/>
      <c r="X12" s="359"/>
      <c r="Y12" s="359"/>
      <c r="Z12" s="359"/>
      <c r="AA12" s="359"/>
      <c r="AB12" s="359"/>
      <c r="AC12" s="1431"/>
      <c r="AD12" s="1431"/>
      <c r="AE12" s="1431"/>
      <c r="AF12" s="1431"/>
      <c r="AG12" s="359"/>
      <c r="AH12" s="359"/>
      <c r="AI12" s="359"/>
      <c r="AJ12" s="359"/>
      <c r="AK12" s="359"/>
      <c r="AL12" s="359"/>
      <c r="AM12" s="359"/>
      <c r="AN12" s="359"/>
      <c r="AO12" s="359"/>
      <c r="AP12" s="311"/>
      <c r="AQ12" s="2170"/>
      <c r="AS12" s="498"/>
      <c r="AT12" s="498" t="str">
        <f>IF(V12="","",V12)</f>
        <v>Добавить вид теплоносителя (параметры теплоносителя)</v>
      </c>
      <c r="AU12" s="498"/>
      <c r="AV12" s="498"/>
    </row>
    <row customHeight="1" ht="11.25" hidden="1">
      <c r="A13" s="1289"/>
      <c r="B13" s="1289"/>
      <c r="C13" s="1289"/>
      <c r="D13" s="1289"/>
      <c r="E13" s="2214"/>
      <c r="F13" s="2214"/>
      <c r="G13" s="2214"/>
      <c r="H13" s="2214"/>
      <c r="I13" s="1948"/>
      <c r="J13" s="1289"/>
      <c r="K13" s="1289"/>
      <c r="L13" s="1289"/>
      <c r="M13" s="1333"/>
      <c r="N13" s="507"/>
      <c r="Q13" s="2172"/>
      <c r="R13" s="1354"/>
      <c r="S13" s="1354"/>
      <c r="T13" s="344"/>
      <c r="U13" s="1301"/>
      <c r="V13" s="356" t="s">
        <v>474</v>
      </c>
      <c r="W13" s="359"/>
      <c r="X13" s="359"/>
      <c r="Y13" s="359"/>
      <c r="Z13" s="359"/>
      <c r="AA13" s="359"/>
      <c r="AB13" s="359"/>
      <c r="AC13" s="359"/>
      <c r="AD13" s="359"/>
      <c r="AE13" s="359"/>
      <c r="AF13" s="358"/>
      <c r="AG13" s="359"/>
      <c r="AH13" s="359"/>
      <c r="AI13" s="359"/>
      <c r="AJ13" s="359"/>
      <c r="AK13" s="359"/>
      <c r="AL13" s="359"/>
      <c r="AM13" s="359"/>
      <c r="AN13" s="359"/>
      <c r="AO13" s="358"/>
      <c r="AP13" s="359"/>
      <c r="AQ13" s="283"/>
      <c r="AS13" s="498"/>
      <c r="AT13" s="498" t="str">
        <f>IF(V13="","",V13)</f>
        <v>Добавить группу потребителей</v>
      </c>
      <c r="AU13" s="498"/>
      <c r="AV13" s="498"/>
    </row>
    <row customHeight="1" ht="14.25" hidden="1">
      <c r="A14" s="1289"/>
      <c r="B14" s="1289"/>
      <c r="C14" s="1289"/>
      <c r="D14" s="1289"/>
      <c r="E14" s="2214"/>
      <c r="F14" s="2214"/>
      <c r="G14" s="2214"/>
      <c r="H14" s="2213"/>
      <c r="I14" s="1289"/>
      <c r="J14" s="1289"/>
      <c r="K14" s="1289"/>
      <c r="L14" s="1289"/>
      <c r="M14" s="1333"/>
      <c r="N14" s="685"/>
      <c r="O14" s="685"/>
      <c r="P14" s="507"/>
      <c r="Q14" s="348"/>
      <c r="R14" s="367"/>
      <c r="S14" s="343"/>
      <c r="T14" s="348"/>
      <c r="U14" s="1409"/>
      <c r="V14" s="1410"/>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2"/>
      <c r="AS14" s="498"/>
      <c r="AT14" s="498" t="str">
        <f>IF(V14="","",V14)</f>
        <v/>
      </c>
      <c r="AU14" s="498"/>
      <c r="AV14" s="498"/>
    </row>
    <row s="1673" customFormat="1" customHeight="1" ht="14.25" hidden="1">
      <c r="A15" s="1397"/>
      <c r="B15" s="1397"/>
      <c r="C15" s="1397"/>
      <c r="D15" s="1397"/>
      <c r="E15" s="2214"/>
      <c r="F15" s="2214"/>
      <c r="G15" s="2213"/>
      <c r="H15" s="1397"/>
      <c r="I15" s="1397"/>
      <c r="J15" s="1397"/>
      <c r="K15" s="1397"/>
      <c r="L15" s="1397"/>
      <c r="M15" s="1400"/>
      <c r="N15" s="1401"/>
      <c r="O15" s="1401"/>
      <c r="P15" s="339"/>
      <c r="Q15" s="1339"/>
      <c r="R15" s="1340"/>
      <c r="S15" s="1339"/>
      <c r="T15" s="1339"/>
      <c r="U15" s="1341"/>
      <c r="V15" s="1342" t="s">
        <v>432</v>
      </c>
      <c r="W15" s="1343"/>
      <c r="X15" s="1343"/>
      <c r="Y15" s="1343"/>
      <c r="Z15" s="1343"/>
      <c r="AA15" s="1343"/>
      <c r="AB15" s="1343"/>
      <c r="AC15" s="1343"/>
      <c r="AD15" s="1343"/>
      <c r="AE15" s="1343"/>
      <c r="AF15" s="1343"/>
      <c r="AG15" s="1343"/>
      <c r="AH15" s="1343"/>
      <c r="AI15" s="1343"/>
      <c r="AJ15" s="1343"/>
      <c r="AK15" s="1343"/>
      <c r="AL15" s="1343"/>
      <c r="AM15" s="1343"/>
      <c r="AN15" s="1343"/>
      <c r="AO15" s="1343"/>
      <c r="AP15" s="1343"/>
      <c r="AQ15" s="1343"/>
      <c r="AS15" s="787"/>
      <c r="AT15" s="787" t="str">
        <f>IF(V15="","",V15)</f>
        <v>Добавить источник для дифференциации</v>
      </c>
      <c r="AU15" s="787"/>
      <c r="AV15" s="787"/>
    </row>
    <row s="1673" customFormat="1" customHeight="1" ht="14.25" hidden="1">
      <c r="A16" s="1397"/>
      <c r="B16" s="1397"/>
      <c r="C16" s="1397"/>
      <c r="D16" s="1397"/>
      <c r="E16" s="2214"/>
      <c r="F16" s="2213"/>
      <c r="G16" s="1397"/>
      <c r="H16" s="1397"/>
      <c r="I16" s="1397"/>
      <c r="J16" s="1397"/>
      <c r="K16" s="1397"/>
      <c r="L16" s="1397"/>
      <c r="M16" s="1400"/>
      <c r="N16" s="1402"/>
      <c r="O16" s="1402"/>
      <c r="P16" s="339"/>
      <c r="Q16" s="1339"/>
      <c r="R16" s="1340"/>
      <c r="S16" s="1339"/>
      <c r="T16" s="1339"/>
      <c r="U16" s="1345"/>
      <c r="V16" s="1346" t="s">
        <v>433</v>
      </c>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S16" s="787"/>
      <c r="AT16" s="787" t="str">
        <f>IF(V16="","",V16)</f>
        <v>Добавить централизованную систему для дифференциации</v>
      </c>
      <c r="AU16" s="787"/>
      <c r="AV16" s="787"/>
    </row>
    <row s="1673" customFormat="1" customHeight="1" ht="14.25" hidden="1">
      <c r="A17" s="1397"/>
      <c r="B17" s="1397"/>
      <c r="C17" s="1397"/>
      <c r="D17" s="1397"/>
      <c r="E17" s="2213"/>
      <c r="F17" s="1397"/>
      <c r="G17" s="1397"/>
      <c r="H17" s="1397"/>
      <c r="I17" s="1397"/>
      <c r="J17" s="1397"/>
      <c r="K17" s="1397"/>
      <c r="L17" s="1397"/>
      <c r="M17" s="1400"/>
      <c r="N17" s="1402"/>
      <c r="O17" s="1402"/>
      <c r="P17" s="339"/>
      <c r="Q17" s="1339"/>
      <c r="R17" s="1340"/>
      <c r="S17" s="1339"/>
      <c r="T17" s="1339"/>
      <c r="U17" s="1345"/>
      <c r="V17" s="1348" t="s">
        <v>434</v>
      </c>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S17" s="787"/>
      <c r="AT17" s="787" t="str">
        <f>IF(V17="","",V17)</f>
        <v>Добавить территорию для дифференциации</v>
      </c>
      <c r="AU17" s="787"/>
      <c r="AV17" s="787"/>
    </row>
    <row customHeight="1" ht="14.25" hidden="1">
      <c r="AF18" s="315"/>
      <c r="AO18" s="315"/>
    </row>
    <row customHeight="1" ht="14.25" hidden="1">
      <c r="AG19" s="1383"/>
      <c r="AH19" s="1383"/>
      <c r="AI19" s="1383"/>
      <c r="AJ19" s="1383"/>
      <c r="AK19" s="1384"/>
      <c r="AL19" s="2182"/>
      <c r="AM19" s="2183" t="s">
        <v>58</v>
      </c>
      <c r="AN19" s="2182"/>
      <c r="AO19" s="2183" t="s">
        <v>58</v>
      </c>
    </row>
    <row customHeight="1" ht="14.25" hidden="1">
      <c r="AG20" s="1383"/>
      <c r="AH20" s="1383"/>
      <c r="AI20" s="1383"/>
      <c r="AJ20" s="1383"/>
      <c r="AK20" s="1384"/>
      <c r="AL20" s="2182"/>
      <c r="AM20" s="2183"/>
      <c r="AN20" s="2182"/>
      <c r="AO20" s="2183"/>
    </row>
    <row customHeight="1" ht="14.25" hidden="1">
      <c r="AG21" s="1383"/>
      <c r="AH21" s="1383"/>
      <c r="AI21" s="1383"/>
      <c r="AJ21" s="1383"/>
      <c r="AK21" s="1384"/>
      <c r="AL21" s="2182"/>
      <c r="AM21" s="2183"/>
      <c r="AN21" s="2182"/>
      <c r="AO21" s="2183"/>
    </row>
    <row customHeight="1" ht="14.25" hidden="1">
      <c r="AG22" s="1383"/>
      <c r="AH22" s="1383"/>
      <c r="AI22" s="1383"/>
      <c r="AJ22" s="1383"/>
      <c r="AK22" s="316" t="str">
        <f>AL19&amp;"-"&amp;AN19</f>
        <v>-</v>
      </c>
      <c r="AL22" s="2183"/>
      <c r="AM22" s="2183"/>
      <c r="AN22" s="2183"/>
      <c r="AO22" s="2183"/>
    </row>
    <row customHeight="1" ht="14.25" hidden="1">
      <c r="AO23" s="315"/>
    </row>
    <row s="1389" customFormat="1" customHeight="1" ht="22.5" hidden="1">
      <c r="A24" s="1156"/>
      <c r="B24" s="1156"/>
      <c r="C24" s="1156"/>
      <c r="D24" s="1156"/>
      <c r="E24" s="1156"/>
      <c r="F24" s="1156"/>
      <c r="G24" s="1156"/>
      <c r="H24" s="1156"/>
      <c r="I24" s="1156"/>
      <c r="J24" s="1156"/>
      <c r="K24" s="1156"/>
      <c r="L24" s="1156"/>
      <c r="M24" s="1350"/>
      <c r="N24" s="1351"/>
      <c r="O24" s="1351"/>
      <c r="P24" s="1368" t="s">
        <v>476</v>
      </c>
      <c r="Q24" s="1385"/>
      <c r="R24" s="1394"/>
      <c r="S24" s="1394"/>
      <c r="T24" s="1394"/>
      <c r="U24" s="727"/>
      <c r="AC24" s="1390"/>
      <c r="AE24" s="1390"/>
      <c r="AF24" s="1389"/>
      <c r="AL24" s="1390"/>
      <c r="AN24" s="1390"/>
      <c r="AO24" s="1389"/>
      <c r="AR24" s="509"/>
      <c r="AS24" s="509"/>
      <c r="AT24" s="509"/>
      <c r="AU24" s="509"/>
      <c r="AV24" s="509"/>
    </row>
    <row s="1389" customFormat="1" customHeight="1" ht="14.25" hidden="1">
      <c r="A25" s="1156"/>
      <c r="B25" s="1156"/>
      <c r="C25" s="1156"/>
      <c r="D25" s="1156"/>
      <c r="E25" s="1156"/>
      <c r="F25" s="1156"/>
      <c r="G25" s="1156"/>
      <c r="H25" s="1156"/>
      <c r="I25" s="1156"/>
      <c r="J25" s="1156"/>
      <c r="K25" s="1156"/>
      <c r="L25" s="1156"/>
      <c r="M25" s="1350"/>
      <c r="N25" s="1351"/>
      <c r="O25" s="1351"/>
      <c r="P25" s="1351"/>
      <c r="Q25" s="1385"/>
      <c r="R25" s="1394"/>
      <c r="S25" s="1394"/>
      <c r="T25" s="1394"/>
      <c r="U25" s="727"/>
      <c r="AF25" s="1389"/>
      <c r="AO25" s="1389"/>
      <c r="AR25" s="509"/>
      <c r="AS25" s="509"/>
      <c r="AT25" s="509"/>
      <c r="AU25" s="509"/>
      <c r="AV25" s="509"/>
    </row>
    <row s="1389" customFormat="1" customHeight="1" ht="14.25" hidden="1">
      <c r="A26" s="1156"/>
      <c r="B26" s="1156"/>
      <c r="C26" s="1156"/>
      <c r="D26" s="1156"/>
      <c r="E26" s="1156"/>
      <c r="F26" s="1156"/>
      <c r="G26" s="1156"/>
      <c r="H26" s="1156"/>
      <c r="I26" s="1156"/>
      <c r="J26" s="1156"/>
      <c r="K26" s="1156"/>
      <c r="L26" s="1156"/>
      <c r="M26" s="1350"/>
      <c r="N26" s="1351"/>
      <c r="O26" s="1351"/>
      <c r="P26" s="1333" t="s">
        <v>477</v>
      </c>
      <c r="Q26" s="1385"/>
      <c r="R26" s="1394"/>
      <c r="S26" s="1394"/>
      <c r="T26" s="1394"/>
      <c r="U26" s="727"/>
      <c r="V26" s="1161" t="s">
        <v>478</v>
      </c>
      <c r="AD26" s="166" t="s">
        <v>479</v>
      </c>
      <c r="AF26" s="166" t="s">
        <v>480</v>
      </c>
      <c r="AG26" s="1161" t="s">
        <v>478</v>
      </c>
      <c r="AM26" s="166" t="s">
        <v>481</v>
      </c>
      <c r="AO26" s="166" t="s">
        <v>480</v>
      </c>
      <c r="AR26" s="509"/>
      <c r="AS26" s="509"/>
      <c r="AT26" s="509"/>
      <c r="AU26" s="509"/>
      <c r="AV26" s="509"/>
    </row>
    <row customHeight="1" ht="14.25" hidden="1">
      <c r="P27" s="1333"/>
    </row>
    <row customHeight="1" ht="14.25" hidden="1">
      <c r="P28" s="1333"/>
    </row>
    <row customHeight="1" ht="14.25">
      <c r="R29" s="368"/>
      <c r="S29" s="368"/>
      <c r="T29" s="368"/>
      <c r="U29" s="1298"/>
      <c r="V29" s="353"/>
      <c r="W29" s="353"/>
      <c r="X29" s="507"/>
      <c r="Y29" s="507"/>
      <c r="Z29" s="507"/>
      <c r="AA29" s="507"/>
      <c r="AB29" s="507"/>
      <c r="AC29" s="507"/>
      <c r="AD29" s="507"/>
      <c r="AE29" s="507"/>
      <c r="AF29" s="507"/>
      <c r="AG29" s="507"/>
      <c r="AH29" s="507"/>
      <c r="AI29" s="507"/>
      <c r="AJ29" s="507"/>
      <c r="AK29" s="507"/>
      <c r="AL29" s="507"/>
      <c r="AM29" s="507"/>
      <c r="AN29" s="507"/>
      <c r="AO29" s="507"/>
    </row>
    <row customHeight="1" ht="64.5">
      <c r="R30" s="368"/>
      <c r="S30" s="368"/>
      <c r="T30" s="368"/>
      <c r="U30" s="216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3"/>
      <c r="W30" s="2163"/>
      <c r="X30" s="2163"/>
      <c r="Y30" s="2163"/>
      <c r="Z30" s="2163"/>
      <c r="AA30" s="2163"/>
      <c r="AB30" s="2163"/>
      <c r="AC30" s="2163"/>
      <c r="AD30" s="2163"/>
      <c r="AE30" s="2163"/>
      <c r="AF30" s="2163"/>
      <c r="AG30" s="2163"/>
      <c r="AH30" s="2163"/>
      <c r="AI30" s="2163"/>
      <c r="AJ30" s="2163"/>
      <c r="AK30" s="2163"/>
      <c r="AL30" s="2163"/>
      <c r="AM30" s="2163"/>
      <c r="AN30" s="2163"/>
      <c r="AO30" s="1254"/>
    </row>
    <row customHeight="1" ht="14.25">
      <c r="R31" s="368"/>
      <c r="S31" s="368"/>
      <c r="T31" s="368"/>
      <c r="U31" s="2164" t="str">
        <f>IF(org=0,"Не определено",org)</f>
        <v>ПАО "ТГК-2"</v>
      </c>
      <c r="V31" s="2164"/>
      <c r="W31" s="2164"/>
      <c r="X31" s="2164"/>
      <c r="Y31" s="2164"/>
      <c r="Z31" s="2164"/>
      <c r="AA31" s="2164"/>
      <c r="AB31" s="2164"/>
      <c r="AC31" s="2164"/>
      <c r="AD31" s="2164"/>
      <c r="AE31" s="2164"/>
      <c r="AF31" s="2164"/>
      <c r="AG31" s="2164"/>
      <c r="AH31" s="2164"/>
      <c r="AI31" s="2164"/>
      <c r="AJ31" s="2164"/>
      <c r="AK31" s="2164"/>
      <c r="AL31" s="2164"/>
      <c r="AM31" s="2164"/>
      <c r="AN31" s="2164"/>
      <c r="AO31" s="1254"/>
    </row>
    <row customHeight="1" ht="14.25" hidden="1">
      <c r="R32" s="368"/>
      <c r="S32" s="368"/>
      <c r="T32" s="368"/>
      <c r="U32" s="1298"/>
      <c r="V32" s="353"/>
      <c r="W32" s="353"/>
      <c r="X32" s="308"/>
      <c r="Y32" s="308"/>
      <c r="Z32" s="308"/>
      <c r="AA32" s="308"/>
      <c r="AB32" s="308"/>
      <c r="AC32" s="308"/>
      <c r="AD32" s="308"/>
      <c r="AE32" s="308"/>
      <c r="AF32" s="308"/>
      <c r="AG32" s="308"/>
      <c r="AH32" s="308"/>
      <c r="AI32" s="308"/>
      <c r="AJ32" s="308"/>
      <c r="AK32" s="308"/>
      <c r="AL32" s="308"/>
      <c r="AM32" s="308"/>
      <c r="AN32" s="308"/>
      <c r="AO32" s="308"/>
      <c r="AP32" s="507"/>
    </row>
    <row s="1888" customFormat="1" customHeight="1" ht="25.5" hidden="1">
      <c r="A33" s="1260"/>
      <c r="B33" s="1260"/>
      <c r="C33" s="1260"/>
      <c r="D33" s="1260"/>
      <c r="E33" s="1260"/>
      <c r="F33" s="1260"/>
      <c r="G33" s="1260"/>
      <c r="H33" s="1260"/>
      <c r="I33" s="1260"/>
      <c r="J33" s="1260"/>
      <c r="K33" s="1260"/>
      <c r="L33" s="1260"/>
      <c r="M33" s="1403"/>
      <c r="N33" s="1260"/>
      <c r="O33" s="1260"/>
      <c r="P33" s="1260"/>
      <c r="U33" s="2165" t="s">
        <v>39</v>
      </c>
      <c r="V33" s="2165"/>
      <c r="W33" s="1395"/>
      <c r="X33" s="2166" t="str">
        <f>IF(TITLE_NAME_OR_PR_CHANGE="",IF(TITLE_NAME_OR_PR="","",TITLE_NAME_OR_PR),TITLE_NAME_OR_PR_CHANGE)</f>
        <v/>
      </c>
      <c r="Y33" s="2166"/>
      <c r="Z33" s="2166"/>
      <c r="AA33" s="2166"/>
      <c r="AB33" s="2166"/>
      <c r="AC33" s="2166"/>
      <c r="AD33" s="2166"/>
      <c r="AE33" s="2166"/>
      <c r="AF33" s="314"/>
      <c r="AG33" s="2166" t="str">
        <f>IF(TITLE_NAME_OR_PR_CHANGE="",IF(TITLE_NAME_OR_PR="","",TITLE_NAME_OR_PR),TITLE_NAME_OR_PR_CHANGE)</f>
        <v/>
      </c>
      <c r="AH33" s="2166"/>
      <c r="AI33" s="2166"/>
      <c r="AJ33" s="2166"/>
      <c r="AK33" s="2166"/>
      <c r="AL33" s="2166"/>
      <c r="AM33" s="2166"/>
      <c r="AN33" s="2166"/>
      <c r="AO33" s="314"/>
      <c r="AP33" s="314"/>
      <c r="AQ33" s="261"/>
      <c r="AR33" s="360"/>
      <c r="AS33" s="360"/>
      <c r="AT33" s="360"/>
      <c r="AU33" s="360"/>
      <c r="AV33" s="360"/>
    </row>
    <row s="1888" customFormat="1" customHeight="1" ht="18.75" hidden="1">
      <c r="A34" s="1260"/>
      <c r="B34" s="1260"/>
      <c r="C34" s="1260"/>
      <c r="D34" s="1260"/>
      <c r="E34" s="1260"/>
      <c r="F34" s="1260"/>
      <c r="G34" s="1260"/>
      <c r="H34" s="1260"/>
      <c r="I34" s="1260"/>
      <c r="J34" s="1260"/>
      <c r="K34" s="1260"/>
      <c r="L34" s="1260"/>
      <c r="M34" s="1403"/>
      <c r="N34" s="1260"/>
      <c r="O34" s="1260"/>
      <c r="P34" s="1260"/>
      <c r="U34" s="2165" t="s">
        <v>482</v>
      </c>
      <c r="V34" s="2165"/>
      <c r="W34" s="1395"/>
      <c r="X34" s="2179" t="str">
        <f>IF(TITLE_DATE_CHANGE_PERIOD="",IF(TITLE_DATE_PR="","",TITLE_DATE_PR),TITLE_DATE_CHANGE_PERIOD)</f>
        <v/>
      </c>
      <c r="Y34" s="2179"/>
      <c r="Z34" s="2179"/>
      <c r="AA34" s="2179"/>
      <c r="AB34" s="2179"/>
      <c r="AC34" s="2179"/>
      <c r="AD34" s="2179"/>
      <c r="AE34" s="2179"/>
      <c r="AF34" s="314"/>
      <c r="AG34" s="2179" t="str">
        <f>IF(TITLE_DATE_CHANGE_PERIOD="",IF(TITLE_DATE_PR="","",TITLE_DATE_PR),TITLE_DATE_CHANGE_PERIOD)</f>
        <v/>
      </c>
      <c r="AH34" s="2179"/>
      <c r="AI34" s="2179"/>
      <c r="AJ34" s="2179"/>
      <c r="AK34" s="2179"/>
      <c r="AL34" s="2179"/>
      <c r="AM34" s="2179"/>
      <c r="AN34" s="2179"/>
      <c r="AO34" s="314"/>
      <c r="AP34" s="314"/>
      <c r="AQ34" s="261"/>
      <c r="AR34" s="360"/>
      <c r="AS34" s="360"/>
      <c r="AT34" s="360"/>
      <c r="AU34" s="360"/>
      <c r="AV34" s="360"/>
    </row>
    <row s="1888" customFormat="1" customHeight="1" ht="18.75" hidden="1">
      <c r="A35" s="1260"/>
      <c r="B35" s="1260"/>
      <c r="C35" s="1260"/>
      <c r="D35" s="1260"/>
      <c r="E35" s="1260"/>
      <c r="F35" s="1260"/>
      <c r="G35" s="1260"/>
      <c r="H35" s="1260"/>
      <c r="I35" s="1260"/>
      <c r="J35" s="1260"/>
      <c r="K35" s="1260"/>
      <c r="L35" s="1260"/>
      <c r="M35" s="1403"/>
      <c r="N35" s="1260"/>
      <c r="O35" s="1260"/>
      <c r="P35" s="1260"/>
      <c r="U35" s="2165" t="s">
        <v>483</v>
      </c>
      <c r="V35" s="2165"/>
      <c r="W35" s="1395"/>
      <c r="X35" s="2166" t="str">
        <f>IF(TITLE_NUMBER_PR_CHANGE="",IF(TITLE_NUMBER_PR="","",TITLE_NUMBER_PR),TITLE_NUMBER_PR_CHANGE)</f>
        <v/>
      </c>
      <c r="Y35" s="2166"/>
      <c r="Z35" s="2166"/>
      <c r="AA35" s="2166"/>
      <c r="AB35" s="2166"/>
      <c r="AC35" s="2166"/>
      <c r="AD35" s="2166"/>
      <c r="AE35" s="2166"/>
      <c r="AF35" s="314"/>
      <c r="AG35" s="2166" t="str">
        <f>IF(TITLE_NUMBER_PR_CHANGE="",IF(TITLE_NUMBER_PR="","",TITLE_NUMBER_PR),TITLE_NUMBER_PR_CHANGE)</f>
        <v/>
      </c>
      <c r="AH35" s="2166"/>
      <c r="AI35" s="2166"/>
      <c r="AJ35" s="2166"/>
      <c r="AK35" s="2166"/>
      <c r="AL35" s="2166"/>
      <c r="AM35" s="2166"/>
      <c r="AN35" s="2166"/>
      <c r="AO35" s="314"/>
      <c r="AP35" s="314"/>
      <c r="AQ35" s="261"/>
      <c r="AR35" s="360"/>
      <c r="AS35" s="360"/>
      <c r="AT35" s="360"/>
      <c r="AU35" s="360"/>
      <c r="AV35" s="360"/>
    </row>
    <row s="1888" customFormat="1" customHeight="1" ht="18.75" hidden="1">
      <c r="A36" s="1260"/>
      <c r="B36" s="1260"/>
      <c r="C36" s="1260"/>
      <c r="D36" s="1260"/>
      <c r="E36" s="1260"/>
      <c r="F36" s="1260"/>
      <c r="G36" s="1260"/>
      <c r="H36" s="1260"/>
      <c r="I36" s="1260"/>
      <c r="J36" s="1260"/>
      <c r="K36" s="1260"/>
      <c r="L36" s="1260"/>
      <c r="M36" s="1403"/>
      <c r="N36" s="1260"/>
      <c r="O36" s="1260"/>
      <c r="P36" s="1260"/>
      <c r="U36" s="2165" t="s">
        <v>40</v>
      </c>
      <c r="V36" s="2165"/>
      <c r="W36" s="1395"/>
      <c r="X36" s="2166" t="str">
        <f>IF(TITLE_IST_PUB_CHANGE="",IF(TITLE_IST_PUB="","",TITLE_IST_PUB),TITLE_IST_PUB_CHANGE)</f>
        <v/>
      </c>
      <c r="Y36" s="2166"/>
      <c r="Z36" s="2166"/>
      <c r="AA36" s="2166"/>
      <c r="AB36" s="2166"/>
      <c r="AC36" s="2166"/>
      <c r="AD36" s="2166"/>
      <c r="AE36" s="2166"/>
      <c r="AF36" s="314"/>
      <c r="AG36" s="2166" t="str">
        <f>IF(TITLE_IST_PUB_CHANGE="",IF(TITLE_IST_PUB="","",TITLE_IST_PUB),TITLE_IST_PUB_CHANGE)</f>
        <v/>
      </c>
      <c r="AH36" s="2166"/>
      <c r="AI36" s="2166"/>
      <c r="AJ36" s="2166"/>
      <c r="AK36" s="2166"/>
      <c r="AL36" s="2166"/>
      <c r="AM36" s="2166"/>
      <c r="AN36" s="2166"/>
      <c r="AO36" s="314"/>
      <c r="AP36" s="314"/>
      <c r="AQ36" s="261"/>
      <c r="AR36" s="360"/>
      <c r="AS36" s="360"/>
      <c r="AT36" s="360"/>
      <c r="AU36" s="360"/>
      <c r="AV36" s="360"/>
    </row>
    <row customHeight="1" ht="14.25" hidden="1">
      <c r="R37" s="368"/>
      <c r="S37" s="368"/>
      <c r="T37" s="368"/>
      <c r="U37" s="1298"/>
      <c r="V37" s="353"/>
      <c r="W37" s="353"/>
      <c r="X37" s="308"/>
      <c r="Y37" s="308"/>
      <c r="Z37" s="308"/>
      <c r="AA37" s="308"/>
      <c r="AB37" s="308"/>
      <c r="AC37" s="308"/>
      <c r="AD37" s="308"/>
      <c r="AE37" s="308"/>
      <c r="AF37" s="308"/>
      <c r="AG37" s="308"/>
      <c r="AH37" s="308"/>
      <c r="AI37" s="308"/>
      <c r="AJ37" s="308"/>
      <c r="AK37" s="308"/>
      <c r="AL37" s="308"/>
      <c r="AM37" s="308"/>
      <c r="AN37" s="308"/>
      <c r="AO37" s="308"/>
      <c r="AP37" s="507"/>
    </row>
    <row s="1888" customFormat="1" customHeight="1" ht="18.75" hidden="1">
      <c r="A38" s="1260"/>
      <c r="B38" s="1260"/>
      <c r="C38" s="1260"/>
      <c r="D38" s="1260"/>
      <c r="E38" s="1260"/>
      <c r="F38" s="1260"/>
      <c r="G38" s="1260"/>
      <c r="H38" s="1260"/>
      <c r="I38" s="1260"/>
      <c r="J38" s="1260"/>
      <c r="K38" s="1260"/>
      <c r="L38" s="1260"/>
      <c r="M38" s="1403"/>
      <c r="N38" s="1260"/>
      <c r="O38" s="1260"/>
      <c r="P38" s="1260"/>
      <c r="U38" s="2165" t="s">
        <v>484</v>
      </c>
      <c r="V38" s="2165"/>
      <c r="W38" s="1395"/>
      <c r="X38" s="2179" t="str">
        <f>IF(TITLE_DATE_CHANGE_PERIOD="",IF(TITLE_DATE_PR="","",TITLE_DATE_PR),TITLE_DATE_CHANGE_PERIOD)</f>
        <v/>
      </c>
      <c r="Y38" s="2179"/>
      <c r="Z38" s="2179"/>
      <c r="AA38" s="2179"/>
      <c r="AB38" s="2179"/>
      <c r="AC38" s="2179"/>
      <c r="AD38" s="2179"/>
      <c r="AE38" s="2179"/>
      <c r="AF38" s="314"/>
      <c r="AG38" s="2179" t="str">
        <f>IF(TITLE_DATE_CHANGE_PERIOD="",IF(TITLE_DATE_PR="","",TITLE_DATE_PR),TITLE_DATE_CHANGE_PERIOD)</f>
        <v/>
      </c>
      <c r="AH38" s="2179"/>
      <c r="AI38" s="2179"/>
      <c r="AJ38" s="2179"/>
      <c r="AK38" s="2179"/>
      <c r="AL38" s="2179"/>
      <c r="AM38" s="2179"/>
      <c r="AN38" s="2179"/>
      <c r="AO38" s="314"/>
      <c r="AP38" s="314"/>
      <c r="AQ38" s="261"/>
      <c r="AR38" s="360"/>
      <c r="AS38" s="360"/>
      <c r="AT38" s="360"/>
      <c r="AU38" s="360"/>
      <c r="AV38" s="360"/>
    </row>
    <row s="1888" customFormat="1" customHeight="1" ht="18.75" hidden="1">
      <c r="A39" s="1260"/>
      <c r="B39" s="1260"/>
      <c r="C39" s="1260"/>
      <c r="D39" s="1260"/>
      <c r="E39" s="1260"/>
      <c r="F39" s="1260"/>
      <c r="G39" s="1260"/>
      <c r="H39" s="1260"/>
      <c r="I39" s="1260"/>
      <c r="J39" s="1260"/>
      <c r="K39" s="1260"/>
      <c r="L39" s="1260"/>
      <c r="M39" s="1403"/>
      <c r="N39" s="1260"/>
      <c r="O39" s="1260"/>
      <c r="P39" s="1260"/>
      <c r="U39" s="2165" t="s">
        <v>485</v>
      </c>
      <c r="V39" s="2165"/>
      <c r="W39" s="1395"/>
      <c r="X39" s="2166" t="str">
        <f>IF(TITLE_NUMBER_PR_CHANGE="",IF(TITLE_NUMBER_PR="","",TITLE_NUMBER_PR),TITLE_NUMBER_PR_CHANGE)</f>
        <v/>
      </c>
      <c r="Y39" s="2166"/>
      <c r="Z39" s="2166"/>
      <c r="AA39" s="2166"/>
      <c r="AB39" s="2166"/>
      <c r="AC39" s="2166"/>
      <c r="AD39" s="2166"/>
      <c r="AE39" s="2166"/>
      <c r="AF39" s="314"/>
      <c r="AG39" s="2166" t="str">
        <f>IF(TITLE_NUMBER_PR_CHANGE="",IF(TITLE_NUMBER_PR="","",TITLE_NUMBER_PR),TITLE_NUMBER_PR_CHANGE)</f>
        <v/>
      </c>
      <c r="AH39" s="2166"/>
      <c r="AI39" s="2166"/>
      <c r="AJ39" s="2166"/>
      <c r="AK39" s="2166"/>
      <c r="AL39" s="2166"/>
      <c r="AM39" s="2166"/>
      <c r="AN39" s="2166"/>
      <c r="AO39" s="314"/>
      <c r="AP39" s="314"/>
      <c r="AQ39" s="261"/>
      <c r="AR39" s="360"/>
      <c r="AS39" s="360"/>
      <c r="AT39" s="360"/>
      <c r="AU39" s="360"/>
      <c r="AV39" s="360"/>
    </row>
    <row s="1888" customFormat="1" customHeight="1" ht="0">
      <c r="A40" s="1260"/>
      <c r="B40" s="1260"/>
      <c r="C40" s="1260"/>
      <c r="D40" s="1260"/>
      <c r="E40" s="1260"/>
      <c r="F40" s="1260"/>
      <c r="G40" s="1260"/>
      <c r="H40" s="1260"/>
      <c r="I40" s="1260"/>
      <c r="J40" s="1260"/>
      <c r="K40" s="1260"/>
      <c r="L40" s="1260"/>
      <c r="M40" s="1403"/>
      <c r="N40" s="1260"/>
      <c r="O40" s="1260"/>
      <c r="P40" s="1260"/>
      <c r="U40" s="310"/>
      <c r="V40" s="310"/>
      <c r="W40" s="1363"/>
      <c r="X40" s="314"/>
      <c r="Y40" s="314"/>
      <c r="Z40" s="314"/>
      <c r="AA40" s="314"/>
      <c r="AB40" s="314"/>
      <c r="AC40" s="314"/>
      <c r="AD40" s="314"/>
      <c r="AE40" s="314"/>
      <c r="AF40" s="259" t="s">
        <v>486</v>
      </c>
      <c r="AG40" s="314"/>
      <c r="AH40" s="314"/>
      <c r="AI40" s="314"/>
      <c r="AJ40" s="314"/>
      <c r="AK40" s="314"/>
      <c r="AL40" s="314"/>
      <c r="AM40" s="314"/>
      <c r="AN40" s="314"/>
      <c r="AO40" s="259" t="s">
        <v>486</v>
      </c>
      <c r="AR40" s="360"/>
      <c r="AS40" s="360"/>
      <c r="AT40" s="360"/>
      <c r="AU40" s="360"/>
      <c r="AV40" s="360"/>
    </row>
    <row customHeight="1" ht="14.25">
      <c r="R41" s="368"/>
      <c r="S41" s="368"/>
      <c r="T41" s="368"/>
      <c r="U41" s="1298"/>
      <c r="V41" s="353"/>
      <c r="W41" s="1255"/>
      <c r="X41" s="2167"/>
      <c r="Y41" s="2167"/>
      <c r="Z41" s="2167"/>
      <c r="AA41" s="2167"/>
      <c r="AB41" s="2167"/>
      <c r="AC41" s="2167"/>
      <c r="AD41" s="2167"/>
      <c r="AE41" s="2167"/>
      <c r="AF41" s="2167"/>
      <c r="AG41" s="2167"/>
      <c r="AH41" s="2167"/>
      <c r="AI41" s="2167"/>
      <c r="AJ41" s="2167"/>
      <c r="AK41" s="2167"/>
      <c r="AL41" s="2167"/>
      <c r="AM41" s="2167"/>
      <c r="AN41" s="2167"/>
      <c r="AO41" s="2167"/>
    </row>
    <row customHeight="1" ht="14.25">
      <c r="R42" s="368"/>
      <c r="S42" s="368"/>
      <c r="T42" s="368"/>
      <c r="U42" s="1948" t="s">
        <v>290</v>
      </c>
      <c r="V42" s="1948"/>
      <c r="W42" s="1948"/>
      <c r="X42" s="1948"/>
      <c r="Y42" s="1948"/>
      <c r="Z42" s="1948"/>
      <c r="AA42" s="1948"/>
      <c r="AB42" s="1948"/>
      <c r="AC42" s="1948"/>
      <c r="AD42" s="1948"/>
      <c r="AE42" s="1948"/>
      <c r="AF42" s="1948"/>
      <c r="AG42" s="1948"/>
      <c r="AH42" s="1948"/>
      <c r="AI42" s="1948"/>
      <c r="AJ42" s="1948"/>
      <c r="AK42" s="1948"/>
      <c r="AL42" s="1948"/>
      <c r="AM42" s="1948"/>
      <c r="AN42" s="1948"/>
      <c r="AO42" s="1948"/>
      <c r="AP42" s="1948"/>
      <c r="AQ42" s="1948" t="s">
        <v>291</v>
      </c>
    </row>
    <row customHeight="1" ht="14.25">
      <c r="R43" s="368"/>
      <c r="S43" s="368"/>
      <c r="T43" s="368"/>
      <c r="U43" s="2188" t="s">
        <v>87</v>
      </c>
      <c r="V43" s="2029" t="s">
        <v>487</v>
      </c>
      <c r="W43" s="281"/>
      <c r="X43" s="2189" t="s">
        <v>488</v>
      </c>
      <c r="Y43" s="2204"/>
      <c r="Z43" s="2204"/>
      <c r="AA43" s="2204"/>
      <c r="AB43" s="2204"/>
      <c r="AC43" s="2190"/>
      <c r="AD43" s="2190"/>
      <c r="AE43" s="2191"/>
      <c r="AF43" s="2192" t="s">
        <v>489</v>
      </c>
      <c r="AG43" s="2189" t="s">
        <v>488</v>
      </c>
      <c r="AH43" s="2204"/>
      <c r="AI43" s="2204"/>
      <c r="AJ43" s="2204"/>
      <c r="AK43" s="2204"/>
      <c r="AL43" s="2190"/>
      <c r="AM43" s="2190"/>
      <c r="AN43" s="2191"/>
      <c r="AO43" s="2192" t="s">
        <v>490</v>
      </c>
      <c r="AP43" s="2195" t="s">
        <v>491</v>
      </c>
      <c r="AQ43" s="1948"/>
    </row>
    <row customHeight="1" ht="33.75">
      <c r="R44" s="368"/>
      <c r="S44" s="368"/>
      <c r="T44" s="368"/>
      <c r="U44" s="2188"/>
      <c r="V44" s="2029"/>
      <c r="W44" s="1032"/>
      <c r="X44" s="2207" t="s">
        <v>524</v>
      </c>
      <c r="Y44" s="2219" t="s">
        <v>525</v>
      </c>
      <c r="Z44" s="2219"/>
      <c r="AA44" s="2219"/>
      <c r="AB44" s="2219"/>
      <c r="AC44" s="2207" t="s">
        <v>495</v>
      </c>
      <c r="AD44" s="2422"/>
      <c r="AE44" s="2221"/>
      <c r="AF44" s="2193"/>
      <c r="AG44" s="2207" t="s">
        <v>524</v>
      </c>
      <c r="AH44" s="2219" t="s">
        <v>525</v>
      </c>
      <c r="AI44" s="2219"/>
      <c r="AJ44" s="2219"/>
      <c r="AK44" s="2219"/>
      <c r="AL44" s="2207" t="s">
        <v>495</v>
      </c>
      <c r="AM44" s="2422"/>
      <c r="AN44" s="2221"/>
      <c r="AO44" s="2193"/>
      <c r="AP44" s="2196"/>
      <c r="AQ44" s="1948"/>
    </row>
    <row customHeight="1" ht="14.25">
      <c r="R45" s="368"/>
      <c r="S45" s="368"/>
      <c r="T45" s="368"/>
      <c r="U45" s="2188"/>
      <c r="V45" s="2029"/>
      <c r="W45" s="1032"/>
      <c r="X45" s="2232"/>
      <c r="Y45" s="2224" t="s">
        <v>526</v>
      </c>
      <c r="Z45" s="2185" t="s">
        <v>527</v>
      </c>
      <c r="AA45" s="2227"/>
      <c r="AB45" s="2186"/>
      <c r="AC45" s="2208"/>
      <c r="AD45" s="2423"/>
      <c r="AE45" s="2223"/>
      <c r="AF45" s="2193"/>
      <c r="AG45" s="2232"/>
      <c r="AH45" s="2224" t="s">
        <v>526</v>
      </c>
      <c r="AI45" s="2185" t="s">
        <v>527</v>
      </c>
      <c r="AJ45" s="2227"/>
      <c r="AK45" s="2186"/>
      <c r="AL45" s="2208"/>
      <c r="AM45" s="2423"/>
      <c r="AN45" s="2223"/>
      <c r="AO45" s="2193"/>
      <c r="AP45" s="2196"/>
      <c r="AQ45" s="1948"/>
    </row>
    <row customHeight="1" ht="25.5">
      <c r="R46" s="368"/>
      <c r="S46" s="368"/>
      <c r="T46" s="368"/>
      <c r="U46" s="2188"/>
      <c r="V46" s="2029"/>
      <c r="W46" s="1032"/>
      <c r="X46" s="2232"/>
      <c r="Y46" s="2424"/>
      <c r="Z46" s="2224" t="s">
        <v>528</v>
      </c>
      <c r="AA46" s="2185" t="s">
        <v>529</v>
      </c>
      <c r="AB46" s="2186"/>
      <c r="AC46" s="2224" t="s">
        <v>505</v>
      </c>
      <c r="AD46" s="2228" t="s">
        <v>506</v>
      </c>
      <c r="AE46" s="2229"/>
      <c r="AF46" s="2193"/>
      <c r="AG46" s="2232"/>
      <c r="AH46" s="2424"/>
      <c r="AI46" s="2224" t="s">
        <v>528</v>
      </c>
      <c r="AJ46" s="2185" t="s">
        <v>529</v>
      </c>
      <c r="AK46" s="2186"/>
      <c r="AL46" s="2224" t="s">
        <v>505</v>
      </c>
      <c r="AM46" s="2228" t="s">
        <v>506</v>
      </c>
      <c r="AN46" s="2229"/>
      <c r="AO46" s="2193"/>
      <c r="AP46" s="2196"/>
      <c r="AQ46" s="1948"/>
    </row>
    <row customHeight="1" ht="62.25">
      <c r="A47" s="1281"/>
      <c r="B47" s="1281" t="s">
        <v>139</v>
      </c>
      <c r="C47" s="1281" t="s">
        <v>140</v>
      </c>
      <c r="D47" s="1281" t="s">
        <v>141</v>
      </c>
      <c r="E47" s="1333" t="s">
        <v>496</v>
      </c>
      <c r="F47" s="1333" t="s">
        <v>497</v>
      </c>
      <c r="G47" s="1333" t="s">
        <v>498</v>
      </c>
      <c r="H47" s="1333" t="s">
        <v>499</v>
      </c>
      <c r="I47" s="1333" t="s">
        <v>500</v>
      </c>
      <c r="J47" s="1333" t="s">
        <v>501</v>
      </c>
      <c r="K47" s="1333" t="s">
        <v>502</v>
      </c>
      <c r="L47" s="1333" t="s">
        <v>530</v>
      </c>
      <c r="M47" s="1333" t="s">
        <v>477</v>
      </c>
      <c r="R47" s="368"/>
      <c r="S47" s="368"/>
      <c r="T47" s="368"/>
      <c r="U47" s="2188"/>
      <c r="V47" s="2029"/>
      <c r="W47" s="282"/>
      <c r="X47" s="2208"/>
      <c r="Y47" s="2226"/>
      <c r="Z47" s="2226"/>
      <c r="AA47" s="1230" t="s">
        <v>531</v>
      </c>
      <c r="AB47" s="1230" t="s">
        <v>532</v>
      </c>
      <c r="AC47" s="2226"/>
      <c r="AD47" s="2230"/>
      <c r="AE47" s="2231"/>
      <c r="AF47" s="2194"/>
      <c r="AG47" s="2208"/>
      <c r="AH47" s="2226"/>
      <c r="AI47" s="2226"/>
      <c r="AJ47" s="1230" t="s">
        <v>531</v>
      </c>
      <c r="AK47" s="1230" t="s">
        <v>532</v>
      </c>
      <c r="AL47" s="2226"/>
      <c r="AM47" s="2230"/>
      <c r="AN47" s="2231"/>
      <c r="AO47" s="2194"/>
      <c r="AP47" s="2197"/>
      <c r="AQ47" s="1948"/>
    </row>
    <row s="1672" customFormat="1" customHeight="1" ht="11.25" hidden="1">
      <c r="A48" s="1281"/>
      <c r="B48" s="1281"/>
      <c r="C48" s="1281"/>
      <c r="D48" s="1281"/>
      <c r="E48" s="1281"/>
      <c r="F48" s="1281"/>
      <c r="G48" s="1281"/>
      <c r="H48" s="1281"/>
      <c r="I48" s="1281"/>
      <c r="J48" s="1281"/>
      <c r="K48" s="1281"/>
      <c r="L48" s="1281"/>
      <c r="M48" s="1333"/>
      <c r="N48" s="1351"/>
      <c r="O48" s="1351"/>
      <c r="P48" s="1351"/>
      <c r="Q48" s="1257"/>
      <c r="R48" s="1258"/>
      <c r="S48" s="1273">
        <v>1</v>
      </c>
      <c r="T48" s="1273"/>
      <c r="U48" s="1300" t="s">
        <v>108</v>
      </c>
      <c r="V48" s="1274" t="s">
        <v>109</v>
      </c>
      <c r="W48" s="1256" t="str">
        <f>OFFSET(W48,0,-1)</f>
        <v>2</v>
      </c>
      <c r="X48" s="1358">
        <f>OFFSET(X48,0,-1)+1</f>
        <v>3</v>
      </c>
      <c r="Y48" s="1364"/>
      <c r="Z48" s="1364"/>
      <c r="AA48" s="1364">
        <f>OFFSET(AA48,0,-1)+1</f>
        <v>1</v>
      </c>
      <c r="AB48" s="1364">
        <f>OFFSET(AB48,0,-1)+1</f>
        <v>2</v>
      </c>
      <c r="AC48" s="1358">
        <f>OFFSET(AC48,0,-1)+1</f>
        <v>3</v>
      </c>
      <c r="AD48" s="2187">
        <f>OFFSET(AD48,0,-1)+1</f>
        <v>4</v>
      </c>
      <c r="AE48" s="2187"/>
      <c r="AF48" s="1358">
        <f>OFFSET(AF48,0,-2)+1</f>
        <v>5</v>
      </c>
      <c r="AG48" s="1358">
        <f>OFFSET(AG48,0,-1)+1</f>
        <v>6</v>
      </c>
      <c r="AH48" s="1358"/>
      <c r="AI48" s="1358"/>
      <c r="AJ48" s="1358">
        <f>OFFSET(AJ48,0,-1)+1</f>
        <v>1</v>
      </c>
      <c r="AK48" s="1358">
        <f>OFFSET(AK48,0,-1)+1</f>
        <v>2</v>
      </c>
      <c r="AL48" s="1358">
        <f>OFFSET(AL48,0,-1)+1</f>
        <v>3</v>
      </c>
      <c r="AM48" s="2187">
        <f>OFFSET(AM48,0,-1)+1</f>
        <v>4</v>
      </c>
      <c r="AN48" s="2187"/>
      <c r="AO48" s="1358">
        <f>OFFSET(AO48,0,-2)+1</f>
        <v>5</v>
      </c>
      <c r="AP48" s="1256">
        <f>OFFSET(AP48,0,-1)</f>
        <v>5</v>
      </c>
      <c r="AQ48" s="1358">
        <f>OFFSET(AQ48,0,-1)+1</f>
        <v>6</v>
      </c>
      <c r="AR48" s="509"/>
      <c r="AS48" s="509"/>
      <c r="AT48" s="509"/>
      <c r="AU48" s="509"/>
      <c r="AV48" s="509"/>
    </row>
    <row customHeight="1" ht="21">
      <c r="A49" s="1289" t="s">
        <v>178</v>
      </c>
      <c r="B49" s="1289"/>
      <c r="C49" s="1289"/>
      <c r="D49" s="1289"/>
      <c r="E49" s="2213">
        <v>1</v>
      </c>
      <c r="F49" s="1289"/>
      <c r="G49" s="1289"/>
      <c r="H49" s="1289"/>
      <c r="I49" s="1289"/>
      <c r="J49" s="1289"/>
      <c r="K49" s="1289"/>
      <c r="L49" s="1289"/>
      <c r="M49" s="1333"/>
      <c r="N49" s="685"/>
      <c r="O49" s="685"/>
      <c r="P49" s="685"/>
      <c r="Q49" s="349"/>
      <c r="R49" s="348"/>
      <c r="S49" s="348"/>
      <c r="T49" s="343"/>
      <c r="U49" s="1359">
        <f>INDEX(PT_DIFFERENTIATION_NUM_NTAR,MATCH(A49,PT_DIFFERENTIATION_NTAR_ID,0))</f>
        <v>0</v>
      </c>
      <c r="V49" s="278" t="s">
        <v>127</v>
      </c>
      <c r="W49" s="280"/>
      <c r="X49" s="2157"/>
      <c r="Y49" s="2158"/>
      <c r="Z49" s="2158"/>
      <c r="AA49" s="2158"/>
      <c r="AB49" s="2158"/>
      <c r="AC49" s="2158"/>
      <c r="AD49" s="2158"/>
      <c r="AE49" s="2158"/>
      <c r="AF49" s="2159"/>
      <c r="AG49" s="2157" t="str">
        <f>INDEX(PT_DIFFERENTIATION_NTAR,MATCH(A49,PT_DIFFERENTIATION_NTAR_ID,0))</f>
        <v/>
      </c>
      <c r="AH49" s="2158"/>
      <c r="AI49" s="2158"/>
      <c r="AJ49" s="2158"/>
      <c r="AK49" s="2158"/>
      <c r="AL49" s="2158"/>
      <c r="AM49" s="2158"/>
      <c r="AN49" s="2158"/>
      <c r="AO49" s="2158"/>
      <c r="AP49" s="2159"/>
      <c r="AQ49" s="12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98"/>
      <c r="AT49" s="498" t="str">
        <f>IF(V49="","",V49)</f>
        <v>Наименование тарифа</v>
      </c>
      <c r="AU49" s="498"/>
      <c r="AV49" s="498"/>
    </row>
    <row customHeight="1" ht="21">
      <c r="A50" s="1289" t="s">
        <v>178</v>
      </c>
      <c r="B50" s="1289" t="s">
        <v>179</v>
      </c>
      <c r="C50" s="1289"/>
      <c r="D50" s="1289"/>
      <c r="E50" s="2214"/>
      <c r="F50" s="2213">
        <v>1</v>
      </c>
      <c r="G50" s="1289"/>
      <c r="H50" s="1289"/>
      <c r="I50" s="1289"/>
      <c r="J50" s="1289"/>
      <c r="K50" s="1289"/>
      <c r="L50" s="1289"/>
      <c r="M50" s="1333"/>
      <c r="N50" s="685"/>
      <c r="O50" s="685"/>
      <c r="P50" s="685"/>
      <c r="Q50" s="1355"/>
      <c r="R50" s="340"/>
      <c r="S50" s="507"/>
      <c r="T50" s="341"/>
      <c r="U50" s="1359" t="str">
        <f>INDEX(PT_DIFFERENTIATION_NUM_TER,MATCH(B50,PT_DIFFERENTIATION_TER_ID,0))</f>
        <v>.</v>
      </c>
      <c r="V50" s="290" t="s">
        <v>459</v>
      </c>
      <c r="W50" s="280"/>
      <c r="X50" s="2157"/>
      <c r="Y50" s="2158"/>
      <c r="Z50" s="2158"/>
      <c r="AA50" s="2158"/>
      <c r="AB50" s="2158"/>
      <c r="AC50" s="2158"/>
      <c r="AD50" s="2158"/>
      <c r="AE50" s="2158"/>
      <c r="AF50" s="2159"/>
      <c r="AG50" s="2157" t="str">
        <f>INDEX(PT_DIFFERENTIATION_TER,MATCH(B50,PT_DIFFERENTIATION_TER_ID,0))</f>
        <v/>
      </c>
      <c r="AH50" s="2158"/>
      <c r="AI50" s="2158"/>
      <c r="AJ50" s="2158"/>
      <c r="AK50" s="2158"/>
      <c r="AL50" s="2158"/>
      <c r="AM50" s="2158"/>
      <c r="AN50" s="2158"/>
      <c r="AO50" s="2158"/>
      <c r="AP50" s="2159"/>
      <c r="AQ50" s="1279" t="s">
        <v>460</v>
      </c>
      <c r="AS50" s="498"/>
      <c r="AT50" s="498" t="str">
        <f>IF(V50="","",V50)</f>
        <v>Территория действия тарифа</v>
      </c>
      <c r="AU50" s="498"/>
      <c r="AV50" s="498"/>
    </row>
    <row customHeight="1" ht="22.5">
      <c r="A51" s="1289" t="s">
        <v>178</v>
      </c>
      <c r="B51" s="1289" t="s">
        <v>179</v>
      </c>
      <c r="C51" s="1289" t="s">
        <v>180</v>
      </c>
      <c r="D51" s="1289"/>
      <c r="E51" s="2214"/>
      <c r="F51" s="2214"/>
      <c r="G51" s="2213">
        <v>1</v>
      </c>
      <c r="H51" s="1289"/>
      <c r="I51" s="1289"/>
      <c r="J51" s="1289"/>
      <c r="K51" s="1289"/>
      <c r="L51" s="1289"/>
      <c r="M51" s="1333"/>
      <c r="N51" s="685"/>
      <c r="O51" s="685"/>
      <c r="P51" s="685"/>
      <c r="Q51" s="342"/>
      <c r="R51" s="340"/>
      <c r="S51" s="507"/>
      <c r="T51" s="341"/>
      <c r="U51" s="1359" t="str">
        <f>INDEX(PT_DIFFERENTIATION_NUM_CS,MATCH(C51,PT_DIFFERENTIATION_CS_ID,0))</f>
        <v>..</v>
      </c>
      <c r="V51" s="291" t="s">
        <v>461</v>
      </c>
      <c r="W51" s="280"/>
      <c r="X51" s="2157"/>
      <c r="Y51" s="2158"/>
      <c r="Z51" s="2158"/>
      <c r="AA51" s="2158"/>
      <c r="AB51" s="2158"/>
      <c r="AC51" s="2158"/>
      <c r="AD51" s="2158"/>
      <c r="AE51" s="2158"/>
      <c r="AF51" s="2159"/>
      <c r="AG51" s="2157" t="str">
        <f>INDEX(PT_DIFFERENTIATION_CS,MATCH(C51,PT_DIFFERENTIATION_CS_ID,0))</f>
        <v/>
      </c>
      <c r="AH51" s="2158"/>
      <c r="AI51" s="2158"/>
      <c r="AJ51" s="2158"/>
      <c r="AK51" s="2158"/>
      <c r="AL51" s="2158"/>
      <c r="AM51" s="2158"/>
      <c r="AN51" s="2158"/>
      <c r="AO51" s="2158"/>
      <c r="AP51" s="2159"/>
      <c r="AQ51" s="1279" t="s">
        <v>462</v>
      </c>
      <c r="AS51" s="498"/>
      <c r="AT51" s="498" t="str">
        <f>IF(V51="","",V51)</f>
        <v>Наименование системы теплоснабжения </v>
      </c>
      <c r="AU51" s="498"/>
      <c r="AV51" s="498"/>
    </row>
    <row customHeight="1" ht="21">
      <c r="A52" s="1289" t="s">
        <v>178</v>
      </c>
      <c r="B52" s="1289" t="s">
        <v>179</v>
      </c>
      <c r="C52" s="1289" t="s">
        <v>180</v>
      </c>
      <c r="D52" s="1289" t="s">
        <v>181</v>
      </c>
      <c r="E52" s="2214"/>
      <c r="F52" s="2214"/>
      <c r="G52" s="2214"/>
      <c r="H52" s="2217">
        <v>1</v>
      </c>
      <c r="I52" s="1289"/>
      <c r="J52" s="1289"/>
      <c r="K52" s="1289"/>
      <c r="L52" s="1289"/>
      <c r="M52" s="1333"/>
      <c r="N52" s="685"/>
      <c r="O52" s="685"/>
      <c r="P52" s="685"/>
      <c r="Q52" s="342"/>
      <c r="R52" s="340"/>
      <c r="S52" s="507"/>
      <c r="T52" s="341"/>
      <c r="U52" s="1359" t="str">
        <f>INDEX(PT_DIFFERENTIATION_NUM_IST_TE,MATCH(D52,PT_DIFFERENTIATION_IST_TE_ID,0))</f>
        <v>...</v>
      </c>
      <c r="V52" s="292" t="s">
        <v>463</v>
      </c>
      <c r="W52" s="280"/>
      <c r="X52" s="2157"/>
      <c r="Y52" s="2158"/>
      <c r="Z52" s="2158"/>
      <c r="AA52" s="2158"/>
      <c r="AB52" s="2158"/>
      <c r="AC52" s="2158"/>
      <c r="AD52" s="2158"/>
      <c r="AE52" s="2158"/>
      <c r="AF52" s="2159"/>
      <c r="AG52" s="2157" t="str">
        <f>INDEX(PT_DIFFERENTIATION_IST_TE,MATCH(D52,PT_DIFFERENTIATION_IST_TE_ID,0))</f>
        <v/>
      </c>
      <c r="AH52" s="2158"/>
      <c r="AI52" s="2158"/>
      <c r="AJ52" s="2158"/>
      <c r="AK52" s="2158"/>
      <c r="AL52" s="2158"/>
      <c r="AM52" s="2158"/>
      <c r="AN52" s="2158"/>
      <c r="AO52" s="2158"/>
      <c r="AP52" s="2159"/>
      <c r="AQ52" s="1279" t="s">
        <v>464</v>
      </c>
      <c r="AS52" s="498"/>
      <c r="AT52" s="498" t="str">
        <f>IF(V52="","",V52)</f>
        <v>Источник тепловой энергии  </v>
      </c>
      <c r="AU52" s="498"/>
      <c r="AV52" s="498"/>
    </row>
    <row s="1673" customFormat="1" customHeight="1" ht="0">
      <c r="A53" s="1398" t="s">
        <v>178</v>
      </c>
      <c r="B53" s="1398" t="s">
        <v>179</v>
      </c>
      <c r="C53" s="1398" t="s">
        <v>180</v>
      </c>
      <c r="D53" s="1398" t="s">
        <v>181</v>
      </c>
      <c r="E53" s="2214"/>
      <c r="F53" s="2214"/>
      <c r="G53" s="2214"/>
      <c r="H53" s="2218"/>
      <c r="I53" s="1948" t="str">
        <f>U52&amp;".1"</f>
        <v>....1</v>
      </c>
      <c r="J53" s="1398"/>
      <c r="K53" s="1398"/>
      <c r="L53" s="1398"/>
      <c r="M53" s="1404" t="s">
        <v>465</v>
      </c>
      <c r="N53" s="1257"/>
      <c r="O53" s="1257"/>
      <c r="P53" s="1257"/>
      <c r="Q53" s="2172">
        <v>1</v>
      </c>
      <c r="R53" s="1354"/>
      <c r="S53" s="1354"/>
      <c r="T53" s="344"/>
      <c r="U53" s="1043"/>
      <c r="V53" s="1406"/>
      <c r="W53" s="1407"/>
      <c r="X53" s="2209"/>
      <c r="Y53" s="2210"/>
      <c r="Z53" s="2210"/>
      <c r="AA53" s="2210"/>
      <c r="AB53" s="2210"/>
      <c r="AC53" s="2210"/>
      <c r="AD53" s="2210"/>
      <c r="AE53" s="2210"/>
      <c r="AF53" s="2211"/>
      <c r="AG53" s="2209"/>
      <c r="AH53" s="2210"/>
      <c r="AI53" s="2210"/>
      <c r="AJ53" s="2210"/>
      <c r="AK53" s="2210"/>
      <c r="AL53" s="2210"/>
      <c r="AM53" s="2210"/>
      <c r="AN53" s="2210"/>
      <c r="AO53" s="2210"/>
      <c r="AP53" s="2211"/>
      <c r="AQ53" s="1408"/>
      <c r="AS53" s="498"/>
      <c r="AT53" s="498" t="str">
        <f>IF(V53="","",V53)</f>
        <v/>
      </c>
      <c r="AU53" s="498"/>
      <c r="AV53" s="498"/>
    </row>
    <row customHeight="1" ht="21">
      <c r="A54" s="1289" t="s">
        <v>178</v>
      </c>
      <c r="B54" s="1289" t="s">
        <v>179</v>
      </c>
      <c r="C54" s="1289" t="s">
        <v>180</v>
      </c>
      <c r="D54" s="1289" t="s">
        <v>181</v>
      </c>
      <c r="E54" s="2214"/>
      <c r="F54" s="2214"/>
      <c r="G54" s="2214"/>
      <c r="H54" s="2218"/>
      <c r="I54" s="1922"/>
      <c r="J54" s="1948" t="str">
        <f>I53&amp;".1"</f>
        <v>....1.1</v>
      </c>
      <c r="K54" s="1289"/>
      <c r="L54" s="1289"/>
      <c r="M54" s="1333" t="s">
        <v>468</v>
      </c>
      <c r="Q54" s="2172"/>
      <c r="R54" s="2172">
        <v>1</v>
      </c>
      <c r="S54" s="516"/>
      <c r="T54" s="345"/>
      <c r="U54" s="1359" t="str">
        <f>$J54</f>
        <v>....1.1</v>
      </c>
      <c r="V54" s="267" t="s">
        <v>469</v>
      </c>
      <c r="W54" s="280"/>
      <c r="X54" s="2160"/>
      <c r="Y54" s="2161"/>
      <c r="Z54" s="2161"/>
      <c r="AA54" s="2161"/>
      <c r="AB54" s="2161"/>
      <c r="AC54" s="2056"/>
      <c r="AD54" s="2056"/>
      <c r="AE54" s="2056"/>
      <c r="AF54" s="2215"/>
      <c r="AG54" s="2160"/>
      <c r="AH54" s="2161"/>
      <c r="AI54" s="2161"/>
      <c r="AJ54" s="2161"/>
      <c r="AK54" s="2161"/>
      <c r="AL54" s="2161"/>
      <c r="AM54" s="2161"/>
      <c r="AN54" s="2161"/>
      <c r="AO54" s="2161"/>
      <c r="AP54" s="2162"/>
      <c r="AQ54" s="1279" t="s">
        <v>470</v>
      </c>
      <c r="AS54" s="498"/>
      <c r="AT54" s="498" t="str">
        <f>IF(V54="","",V54)</f>
        <v>Группа потребителей</v>
      </c>
      <c r="AU54" s="498"/>
      <c r="AV54" s="498"/>
    </row>
    <row customHeight="1" ht="21">
      <c r="A55" s="1289" t="s">
        <v>178</v>
      </c>
      <c r="B55" s="1289" t="s">
        <v>179</v>
      </c>
      <c r="C55" s="1289" t="s">
        <v>180</v>
      </c>
      <c r="D55" s="1289" t="s">
        <v>181</v>
      </c>
      <c r="E55" s="2214"/>
      <c r="F55" s="2214"/>
      <c r="G55" s="2214"/>
      <c r="H55" s="2218"/>
      <c r="I55" s="1922"/>
      <c r="J55" s="1922"/>
      <c r="K55" s="1948" t="str">
        <f>J54&amp;".1"</f>
        <v>....1.1.1</v>
      </c>
      <c r="L55" s="119"/>
      <c r="M55" s="1333" t="s">
        <v>471</v>
      </c>
      <c r="Q55" s="2172"/>
      <c r="R55" s="2172"/>
      <c r="S55" s="516">
        <v>1</v>
      </c>
      <c r="T55" s="345"/>
      <c r="U55" s="1359" t="str">
        <f>$K55</f>
        <v>....1.1.1</v>
      </c>
      <c r="V55" s="1370"/>
      <c r="W55" s="280"/>
      <c r="X55" s="749"/>
      <c r="Y55" s="749"/>
      <c r="Z55" s="749"/>
      <c r="AA55" s="749"/>
      <c r="AB55" s="1428"/>
      <c r="AC55" s="2180"/>
      <c r="AD55" s="1928" t="s">
        <v>58</v>
      </c>
      <c r="AE55" s="2180"/>
      <c r="AF55" s="1928" t="s">
        <v>58</v>
      </c>
      <c r="AG55" s="1430"/>
      <c r="AH55" s="749"/>
      <c r="AI55" s="749"/>
      <c r="AJ55" s="749"/>
      <c r="AK55" s="1278"/>
      <c r="AL55" s="2180"/>
      <c r="AM55" s="1928" t="s">
        <v>58</v>
      </c>
      <c r="AN55" s="2180"/>
      <c r="AO55" s="1928" t="s">
        <v>58</v>
      </c>
      <c r="AP55" s="1371"/>
      <c r="AQ55" s="1330" t="s">
        <v>521</v>
      </c>
      <c r="AR55" s="509">
        <f>STRCHECKDATE(X57:AP57)</f>
      </c>
      <c r="AS55" s="498"/>
      <c r="AT55" s="498" t="str">
        <f>IF(V55="","",V55)</f>
        <v/>
      </c>
      <c r="AU55" s="498"/>
      <c r="AV55" s="498"/>
    </row>
    <row customHeight="1" ht="11.25">
      <c r="A56" s="1289" t="s">
        <v>178</v>
      </c>
      <c r="B56" s="1289" t="s">
        <v>179</v>
      </c>
      <c r="C56" s="1289" t="s">
        <v>180</v>
      </c>
      <c r="D56" s="1289" t="s">
        <v>181</v>
      </c>
      <c r="E56" s="2214"/>
      <c r="F56" s="2214"/>
      <c r="G56" s="2214"/>
      <c r="H56" s="2218"/>
      <c r="I56" s="1922"/>
      <c r="J56" s="1922"/>
      <c r="K56" s="1922"/>
      <c r="L56" s="1948" t="str">
        <f>K55&amp;".1"</f>
        <v>....1.1.1.1</v>
      </c>
      <c r="M56" s="1333"/>
      <c r="Q56" s="2172"/>
      <c r="R56" s="2172"/>
      <c r="S56" s="516">
        <v>1</v>
      </c>
      <c r="T56" s="345"/>
      <c r="U56" s="1359" t="str">
        <f>$L56</f>
        <v>....1.1.1.1</v>
      </c>
      <c r="V56" s="1414"/>
      <c r="W56" s="280"/>
      <c r="X56" s="312"/>
      <c r="Y56" s="749"/>
      <c r="Z56" s="749"/>
      <c r="AA56" s="749"/>
      <c r="AB56" s="1428"/>
      <c r="AC56" s="2216"/>
      <c r="AD56" s="1928"/>
      <c r="AE56" s="2216"/>
      <c r="AF56" s="1928"/>
      <c r="AG56" s="1430"/>
      <c r="AH56" s="749"/>
      <c r="AI56" s="749"/>
      <c r="AJ56" s="749"/>
      <c r="AK56" s="1278"/>
      <c r="AL56" s="2216"/>
      <c r="AM56" s="1928"/>
      <c r="AN56" s="2216"/>
      <c r="AO56" s="1928"/>
      <c r="AP56" s="1371"/>
      <c r="AQ56" s="2168" t="s">
        <v>522</v>
      </c>
      <c r="AR56" s="509">
        <f>STRCHECKDATE(X58:AP58)</f>
      </c>
      <c r="AS56" s="498"/>
      <c r="AT56" s="498" t="str">
        <f>IF(V56="","",V56)</f>
        <v/>
      </c>
      <c r="AU56" s="498"/>
      <c r="AV56" s="498"/>
    </row>
    <row customHeight="1" ht="0">
      <c r="A57" s="1289" t="s">
        <v>178</v>
      </c>
      <c r="B57" s="1289" t="s">
        <v>179</v>
      </c>
      <c r="C57" s="1289" t="s">
        <v>180</v>
      </c>
      <c r="D57" s="1289" t="s">
        <v>181</v>
      </c>
      <c r="E57" s="2214"/>
      <c r="F57" s="2214"/>
      <c r="G57" s="2214"/>
      <c r="H57" s="2218"/>
      <c r="I57" s="1922"/>
      <c r="J57" s="1922"/>
      <c r="K57" s="1922"/>
      <c r="L57" s="1948"/>
      <c r="M57" s="1333"/>
      <c r="Q57" s="2172"/>
      <c r="R57" s="2172"/>
      <c r="S57" s="516"/>
      <c r="T57" s="345"/>
      <c r="U57" s="1365"/>
      <c r="V57" s="280"/>
      <c r="W57" s="280"/>
      <c r="X57" s="312"/>
      <c r="Y57" s="312"/>
      <c r="Z57" s="312"/>
      <c r="AA57" s="312"/>
      <c r="AB57" s="1429" t="str">
        <f>AC55&amp;"-"&amp;AE55</f>
        <v>-</v>
      </c>
      <c r="AC57" s="2216"/>
      <c r="AD57" s="1928"/>
      <c r="AE57" s="2216"/>
      <c r="AF57" s="1928"/>
      <c r="AG57" s="1405"/>
      <c r="AH57" s="312"/>
      <c r="AI57" s="312"/>
      <c r="AJ57" s="312"/>
      <c r="AK57" s="316" t="str">
        <f>AL55&amp;"-"&amp;AN55</f>
        <v>-</v>
      </c>
      <c r="AL57" s="2216"/>
      <c r="AM57" s="1928"/>
      <c r="AN57" s="2216"/>
      <c r="AO57" s="1928"/>
      <c r="AP57" s="1372"/>
      <c r="AQ57" s="2169"/>
      <c r="AS57" s="498"/>
      <c r="AT57" s="498" t="str">
        <f>IF(V57="","",V57)</f>
        <v/>
      </c>
      <c r="AU57" s="498"/>
      <c r="AV57" s="498"/>
    </row>
    <row customHeight="1" ht="11.25">
      <c r="A58" s="1289" t="s">
        <v>178</v>
      </c>
      <c r="B58" s="1289" t="s">
        <v>179</v>
      </c>
      <c r="C58" s="1289" t="s">
        <v>180</v>
      </c>
      <c r="D58" s="1289" t="s">
        <v>181</v>
      </c>
      <c r="E58" s="2214"/>
      <c r="F58" s="2214"/>
      <c r="G58" s="2214"/>
      <c r="H58" s="2218"/>
      <c r="I58" s="1922"/>
      <c r="J58" s="1922"/>
      <c r="K58" s="1948"/>
      <c r="L58" s="1289"/>
      <c r="M58" s="1333"/>
      <c r="Q58" s="2172"/>
      <c r="R58" s="2172"/>
      <c r="S58" s="1354"/>
      <c r="T58" s="344"/>
      <c r="U58" s="1301"/>
      <c r="V58" s="269" t="s">
        <v>523</v>
      </c>
      <c r="W58" s="359"/>
      <c r="X58" s="359"/>
      <c r="Y58" s="359"/>
      <c r="Z58" s="359"/>
      <c r="AA58" s="359"/>
      <c r="AB58" s="359"/>
      <c r="AC58" s="2216"/>
      <c r="AD58" s="1928"/>
      <c r="AE58" s="2216"/>
      <c r="AF58" s="1928"/>
      <c r="AG58" s="359"/>
      <c r="AH58" s="359"/>
      <c r="AI58" s="359"/>
      <c r="AJ58" s="359"/>
      <c r="AK58" s="359"/>
      <c r="AL58" s="2216"/>
      <c r="AM58" s="1928"/>
      <c r="AN58" s="2216"/>
      <c r="AO58" s="1928"/>
      <c r="AP58" s="311"/>
      <c r="AQ58" s="2169"/>
      <c r="AS58" s="498"/>
      <c r="AT58" s="498" t="str">
        <f>IF(V58="","",V58)</f>
        <v>Добавить наименование поставщика</v>
      </c>
      <c r="AU58" s="498"/>
      <c r="AV58" s="498"/>
    </row>
    <row customHeight="1" ht="11.25">
      <c r="A59" s="1289" t="s">
        <v>178</v>
      </c>
      <c r="B59" s="1289" t="s">
        <v>179</v>
      </c>
      <c r="C59" s="1289" t="s">
        <v>180</v>
      </c>
      <c r="D59" s="1289" t="s">
        <v>181</v>
      </c>
      <c r="E59" s="2214"/>
      <c r="F59" s="2214"/>
      <c r="G59" s="2214"/>
      <c r="H59" s="2218"/>
      <c r="I59" s="1922"/>
      <c r="J59" s="1948"/>
      <c r="K59" s="1289"/>
      <c r="L59" s="1289"/>
      <c r="M59" s="1333"/>
      <c r="Q59" s="2172"/>
      <c r="R59" s="2172"/>
      <c r="S59" s="1354"/>
      <c r="T59" s="344"/>
      <c r="U59" s="1301"/>
      <c r="V59" s="268" t="s">
        <v>473</v>
      </c>
      <c r="W59" s="359"/>
      <c r="X59" s="359"/>
      <c r="Y59" s="359"/>
      <c r="Z59" s="359"/>
      <c r="AA59" s="359"/>
      <c r="AB59" s="359"/>
      <c r="AC59" s="1431"/>
      <c r="AD59" s="1431"/>
      <c r="AE59" s="1431"/>
      <c r="AF59" s="1431"/>
      <c r="AG59" s="359"/>
      <c r="AH59" s="359"/>
      <c r="AI59" s="359"/>
      <c r="AJ59" s="359"/>
      <c r="AK59" s="359"/>
      <c r="AL59" s="359"/>
      <c r="AM59" s="359"/>
      <c r="AN59" s="359"/>
      <c r="AO59" s="359"/>
      <c r="AP59" s="311"/>
      <c r="AQ59" s="2170"/>
      <c r="AS59" s="498"/>
      <c r="AT59" s="498" t="str">
        <f>IF(V59="","",V59)</f>
        <v>Добавить вид теплоносителя (параметры теплоносителя)</v>
      </c>
      <c r="AU59" s="498"/>
      <c r="AV59" s="498"/>
    </row>
    <row customHeight="1" ht="11.25">
      <c r="A60" s="1289" t="s">
        <v>178</v>
      </c>
      <c r="B60" s="1289" t="s">
        <v>179</v>
      </c>
      <c r="C60" s="1289" t="s">
        <v>180</v>
      </c>
      <c r="D60" s="1289" t="s">
        <v>181</v>
      </c>
      <c r="E60" s="2214"/>
      <c r="F60" s="2214"/>
      <c r="G60" s="2214"/>
      <c r="H60" s="2218"/>
      <c r="I60" s="1948"/>
      <c r="J60" s="1289"/>
      <c r="K60" s="1289"/>
      <c r="L60" s="1289"/>
      <c r="M60" s="1333"/>
      <c r="Q60" s="2172"/>
      <c r="R60" s="1354"/>
      <c r="S60" s="1354"/>
      <c r="T60" s="344"/>
      <c r="U60" s="1301"/>
      <c r="V60" s="356" t="s">
        <v>474</v>
      </c>
      <c r="W60" s="359"/>
      <c r="X60" s="359"/>
      <c r="Y60" s="359"/>
      <c r="Z60" s="359"/>
      <c r="AA60" s="359"/>
      <c r="AB60" s="359"/>
      <c r="AC60" s="359"/>
      <c r="AD60" s="359"/>
      <c r="AE60" s="359"/>
      <c r="AF60" s="358"/>
      <c r="AG60" s="359"/>
      <c r="AH60" s="359"/>
      <c r="AI60" s="359"/>
      <c r="AJ60" s="359"/>
      <c r="AK60" s="359"/>
      <c r="AL60" s="359"/>
      <c r="AM60" s="359"/>
      <c r="AN60" s="359"/>
      <c r="AO60" s="358"/>
      <c r="AP60" s="359"/>
      <c r="AQ60" s="283"/>
      <c r="AS60" s="498"/>
      <c r="AT60" s="498" t="str">
        <f>IF(V60="","",V60)</f>
        <v>Добавить группу потребителей</v>
      </c>
      <c r="AU60" s="498"/>
      <c r="AV60" s="498"/>
    </row>
    <row customHeight="1" ht="0">
      <c r="A61" s="1289" t="s">
        <v>178</v>
      </c>
      <c r="B61" s="1289" t="s">
        <v>179</v>
      </c>
      <c r="C61" s="1289" t="s">
        <v>180</v>
      </c>
      <c r="D61" s="1289" t="s">
        <v>181</v>
      </c>
      <c r="E61" s="2214"/>
      <c r="F61" s="2214"/>
      <c r="G61" s="2214"/>
      <c r="H61" s="2217"/>
      <c r="I61" s="1289"/>
      <c r="J61" s="1289"/>
      <c r="K61" s="1289"/>
      <c r="L61" s="1289"/>
      <c r="M61" s="1333"/>
      <c r="N61" s="685"/>
      <c r="O61" s="685"/>
      <c r="P61" s="507"/>
      <c r="Q61" s="348"/>
      <c r="R61" s="367"/>
      <c r="S61" s="343"/>
      <c r="T61" s="348"/>
      <c r="U61" s="1409"/>
      <c r="V61" s="1410"/>
      <c r="W61" s="1411"/>
      <c r="X61" s="1411"/>
      <c r="Y61" s="1411"/>
      <c r="Z61" s="1411"/>
      <c r="AA61" s="1411"/>
      <c r="AB61" s="1411"/>
      <c r="AC61" s="1411"/>
      <c r="AD61" s="1411"/>
      <c r="AE61" s="1411"/>
      <c r="AF61" s="1411"/>
      <c r="AG61" s="1411"/>
      <c r="AH61" s="1411"/>
      <c r="AI61" s="1411"/>
      <c r="AJ61" s="1411"/>
      <c r="AK61" s="1411"/>
      <c r="AL61" s="1411"/>
      <c r="AM61" s="1411"/>
      <c r="AN61" s="1411"/>
      <c r="AO61" s="1411"/>
      <c r="AP61" s="1411"/>
      <c r="AQ61" s="1412"/>
      <c r="AS61" s="498"/>
      <c r="AT61" s="498" t="str">
        <f>IF(V61="","",V61)</f>
        <v/>
      </c>
      <c r="AU61" s="498"/>
      <c r="AV61" s="498"/>
    </row>
    <row s="1673" customFormat="1" customHeight="1" ht="0">
      <c r="A62" s="1398" t="s">
        <v>178</v>
      </c>
      <c r="B62" s="1398" t="s">
        <v>179</v>
      </c>
      <c r="C62" s="1398" t="s">
        <v>180</v>
      </c>
      <c r="D62" s="1397"/>
      <c r="E62" s="2214"/>
      <c r="F62" s="2214"/>
      <c r="G62" s="2213"/>
      <c r="H62" s="1397"/>
      <c r="I62" s="1397"/>
      <c r="J62" s="1397"/>
      <c r="K62" s="1397"/>
      <c r="L62" s="1397"/>
      <c r="M62" s="1400"/>
      <c r="N62" s="1401"/>
      <c r="O62" s="1401"/>
      <c r="P62" s="339"/>
      <c r="Q62" s="1339"/>
      <c r="R62" s="1340"/>
      <c r="S62" s="1339"/>
      <c r="T62" s="1339"/>
      <c r="U62" s="1345"/>
      <c r="V62" s="1348" t="s">
        <v>432</v>
      </c>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S62" s="787"/>
      <c r="AT62" s="787" t="str">
        <f>IF(V62="","",V62)</f>
        <v>Добавить источник для дифференциации</v>
      </c>
      <c r="AU62" s="787"/>
      <c r="AV62" s="787"/>
    </row>
    <row s="1673" customFormat="1" customHeight="1" ht="0">
      <c r="A63" s="1398" t="s">
        <v>178</v>
      </c>
      <c r="B63" s="1398" t="s">
        <v>179</v>
      </c>
      <c r="C63" s="1397"/>
      <c r="D63" s="1397"/>
      <c r="E63" s="2214"/>
      <c r="F63" s="2213"/>
      <c r="G63" s="1397"/>
      <c r="H63" s="1397"/>
      <c r="I63" s="1397"/>
      <c r="J63" s="1397"/>
      <c r="K63" s="1397"/>
      <c r="L63" s="1397"/>
      <c r="M63" s="1400"/>
      <c r="N63" s="1402"/>
      <c r="O63" s="1402"/>
      <c r="P63" s="339"/>
      <c r="Q63" s="1339"/>
      <c r="R63" s="1340"/>
      <c r="S63" s="1339"/>
      <c r="T63" s="1339"/>
      <c r="U63" s="1345"/>
      <c r="V63" s="1348" t="s">
        <v>433</v>
      </c>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S63" s="787"/>
      <c r="AT63" s="787" t="str">
        <f>IF(V63="","",V63)</f>
        <v>Добавить централизованную систему для дифференциации</v>
      </c>
      <c r="AU63" s="787"/>
      <c r="AV63" s="787"/>
    </row>
    <row s="1673" customFormat="1" customHeight="1" ht="0">
      <c r="A64" s="1398" t="s">
        <v>178</v>
      </c>
      <c r="B64" s="1398"/>
      <c r="C64" s="1398"/>
      <c r="D64" s="1398"/>
      <c r="E64" s="2213"/>
      <c r="F64" s="1398"/>
      <c r="G64" s="1398"/>
      <c r="H64" s="1398"/>
      <c r="I64" s="1398"/>
      <c r="J64" s="1398"/>
      <c r="K64" s="1398"/>
      <c r="L64" s="1398"/>
      <c r="M64" s="1404"/>
      <c r="N64" s="1402"/>
      <c r="O64" s="1402"/>
      <c r="P64" s="339"/>
      <c r="Q64" s="376"/>
      <c r="R64" s="1367"/>
      <c r="S64" s="376"/>
      <c r="T64" s="376"/>
      <c r="U64" s="1345"/>
      <c r="V64" s="1348" t="s">
        <v>434</v>
      </c>
      <c r="W64" s="1347"/>
      <c r="X64" s="1347"/>
      <c r="Y64" s="1347"/>
      <c r="Z64" s="1347"/>
      <c r="AA64" s="1347"/>
      <c r="AB64" s="1347"/>
      <c r="AC64" s="1347"/>
      <c r="AD64" s="1347"/>
      <c r="AE64" s="1347"/>
      <c r="AF64" s="1347"/>
      <c r="AG64" s="1347"/>
      <c r="AH64" s="1347"/>
      <c r="AI64" s="1347"/>
      <c r="AJ64" s="1347"/>
      <c r="AK64" s="1347"/>
      <c r="AL64" s="1347"/>
      <c r="AM64" s="1347"/>
      <c r="AN64" s="1347"/>
      <c r="AO64" s="1347"/>
      <c r="AP64" s="1347"/>
      <c r="AQ64" s="1347"/>
      <c r="AS64" s="498"/>
      <c r="AT64" s="498" t="str">
        <f>IF(V64="","",V64)</f>
        <v>Добавить территорию для дифференциации</v>
      </c>
      <c r="AU64" s="498"/>
      <c r="AV64" s="498"/>
    </row>
    <row s="1673" customFormat="1" customHeight="1" ht="5.25">
      <c r="A65" s="1397"/>
      <c r="B65" s="1397"/>
      <c r="C65" s="1397"/>
      <c r="D65" s="1397"/>
      <c r="E65" s="1398"/>
      <c r="F65" s="1397"/>
      <c r="G65" s="1397"/>
      <c r="H65" s="1397"/>
      <c r="I65" s="1397"/>
      <c r="J65" s="1397"/>
      <c r="K65" s="1397"/>
      <c r="L65" s="1397"/>
      <c r="M65" s="1400"/>
      <c r="N65" s="1402"/>
      <c r="O65" s="1402"/>
      <c r="P65" s="339"/>
      <c r="Q65" s="1339"/>
      <c r="R65" s="1340"/>
      <c r="S65" s="1339"/>
      <c r="T65" s="1339"/>
      <c r="U65" s="1345"/>
      <c r="V65" s="1348" t="s">
        <v>435</v>
      </c>
      <c r="W65" s="1347"/>
      <c r="X65" s="1347"/>
      <c r="Y65" s="1347"/>
      <c r="Z65" s="1347"/>
      <c r="AA65" s="1347"/>
      <c r="AB65" s="1347"/>
      <c r="AC65" s="1347"/>
      <c r="AD65" s="1347"/>
      <c r="AE65" s="1347"/>
      <c r="AF65" s="1347"/>
      <c r="AG65" s="1347"/>
      <c r="AH65" s="1347"/>
      <c r="AI65" s="1347"/>
      <c r="AJ65" s="1347"/>
      <c r="AK65" s="1347"/>
      <c r="AL65" s="1347"/>
      <c r="AM65" s="1347"/>
      <c r="AN65" s="1347"/>
      <c r="AO65" s="1347"/>
      <c r="AP65" s="1347"/>
      <c r="AQ65" s="1347"/>
      <c r="AS65" s="787"/>
      <c r="AT65" s="787" t="str">
        <f>IF(V65="","",V65)</f>
        <v>Добавить наименование тарифа</v>
      </c>
      <c r="AU65" s="787"/>
      <c r="AV65" s="787"/>
    </row>
    <row customHeight="1" ht="11.25" hidden="1">
      <c r="N66" s="1156"/>
      <c r="O66" s="1156"/>
      <c r="P66" s="507"/>
      <c r="Q66" s="1156"/>
      <c r="R66" s="1156"/>
      <c r="S66" s="1156"/>
      <c r="T66" s="1156"/>
      <c r="U66" s="1156"/>
      <c r="AR66" s="1156"/>
      <c r="AS66" s="1156"/>
      <c r="AT66" s="1156"/>
      <c r="AU66" s="1156"/>
      <c r="AV66" s="1156"/>
    </row>
    <row customHeight="1" ht="33.75" hidden="1">
      <c r="P67" s="507"/>
      <c r="U67" s="1266" t="s">
        <v>507</v>
      </c>
      <c r="V67" s="2200" t="s">
        <v>517</v>
      </c>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row>
    <row customHeight="1" ht="19.5" hidden="1">
      <c r="P68" s="507"/>
      <c r="V68" s="2200" t="s">
        <v>533</v>
      </c>
      <c r="W68" s="2200"/>
      <c r="X68" s="2200"/>
      <c r="Y68" s="2200"/>
      <c r="Z68" s="2200"/>
      <c r="AA68" s="2200"/>
      <c r="AB68" s="2200"/>
      <c r="AC68" s="2200"/>
      <c r="AD68" s="2200"/>
      <c r="AE68" s="2200"/>
      <c r="AF68" s="2200"/>
      <c r="AG68" s="2200"/>
      <c r="AH68" s="2200"/>
      <c r="AI68" s="2200"/>
      <c r="AJ68" s="2200"/>
      <c r="AK68" s="2200"/>
      <c r="AL68" s="2200"/>
      <c r="AM68" s="2200"/>
      <c r="AN68" s="2200"/>
      <c r="AO68" s="2200"/>
      <c r="AP68" s="2200"/>
      <c r="AQ68" s="2200"/>
    </row>
    <row customHeight="1" ht="14.25" hidden="1">
      <c r="P69" s="507"/>
    </row>
    <row customHeight="1" ht="27" hidden="1">
      <c r="P70" s="507"/>
      <c r="V70" s="2200" t="s">
        <v>534</v>
      </c>
      <c r="W70" s="2200"/>
      <c r="X70" s="2200"/>
      <c r="Y70" s="2200"/>
      <c r="Z70" s="2200"/>
      <c r="AA70" s="2200"/>
      <c r="AB70" s="2200"/>
      <c r="AC70" s="2200"/>
      <c r="AD70" s="2200"/>
      <c r="AE70" s="2200"/>
      <c r="AF70" s="2200"/>
      <c r="AG70" s="2200"/>
      <c r="AH70" s="2200"/>
      <c r="AI70" s="2200"/>
      <c r="AJ70" s="2200"/>
      <c r="AK70" s="2200"/>
      <c r="AL70" s="2200"/>
      <c r="AM70" s="2200"/>
      <c r="AN70" s="2200"/>
      <c r="AO70" s="2200"/>
      <c r="AP70" s="2200"/>
      <c r="AQ70" s="2200"/>
    </row>
    <row customHeight="1" ht="18" hidden="1">
      <c r="P71" s="507"/>
      <c r="V71" s="2200" t="s">
        <v>533</v>
      </c>
      <c r="W71" s="2200"/>
      <c r="X71" s="2200"/>
      <c r="Y71" s="2200"/>
      <c r="Z71" s="2200"/>
      <c r="AA71" s="2200"/>
      <c r="AB71" s="2200"/>
      <c r="AC71" s="2200"/>
      <c r="AD71" s="2200"/>
      <c r="AE71" s="2200"/>
      <c r="AF71" s="2200"/>
      <c r="AG71" s="2200"/>
      <c r="AH71" s="2200"/>
      <c r="AI71" s="2200"/>
      <c r="AJ71" s="2200"/>
      <c r="AK71" s="2200"/>
      <c r="AL71" s="2200"/>
      <c r="AM71" s="2200"/>
      <c r="AN71" s="2200"/>
      <c r="AO71" s="2200"/>
      <c r="AP71" s="2200"/>
      <c r="AQ71" s="2200"/>
    </row>
    <row customHeight="1" ht="14.25" hidden="1"/>
    <row customHeight="1" ht="14.25" hidden="1"/>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E25EA2F-4C69-EC46-5E5E-5E3141431D2A}" mc:Ignorable="x14ac xr xr2 xr3">
  <sheetPr>
    <tabColor rgb="FFCCCCFF"/>
  </sheetPr>
  <dimension ref="A1:P87"/>
  <sheetViews>
    <sheetView topLeftCell="C1" showGridLines="0" zoomScale="90" workbookViewId="0">
      <selection activeCell="F65" sqref="F65"/>
    </sheetView>
  </sheetViews>
  <sheetFormatPr defaultColWidth="9.140625" customHeight="1" defaultRowHeight="11.25"/>
  <cols>
    <col min="1" max="1" style="785" width="10.7109375" hidden="1" customWidth="1"/>
    <col min="2" max="2" style="730" width="10.7109375" hidden="1" customWidth="1"/>
    <col min="3" max="3" style="528" width="3.7109375" customWidth="1"/>
    <col min="4" max="4" style="1666" width="1.7109375" customWidth="1"/>
    <col min="5" max="5" style="1666" width="55.28125" customWidth="1"/>
    <col min="6" max="6" style="1666" width="50.7109375" customWidth="1"/>
    <col min="7" max="7" style="1946" width="1.7109375" customWidth="1"/>
    <col min="8" max="8" style="1666" width="18.00390625" hidden="1" customWidth="1"/>
    <col min="9" max="9" style="529" width="9.57421875" customWidth="1"/>
    <col min="10" max="10" style="1389" width="52.140625" hidden="1" customWidth="1"/>
    <col min="11" max="11" style="1666" width="9.140625"/>
    <col min="12" max="12" style="1666" width="78.00390625" customWidth="1"/>
    <col min="13" max="16" style="1666" width="9.140625"/>
  </cols>
  <sheetData>
    <row s="620" customFormat="1" customHeight="1" ht="3">
      <c r="A1" s="781"/>
      <c r="B1" s="220"/>
      <c r="F1" s="221">
        <v>26354809</v>
      </c>
      <c r="G1" s="409"/>
      <c r="H1" s="52"/>
      <c r="I1" s="409"/>
      <c r="J1" s="869"/>
    </row>
    <row s="1663" customFormat="1" customHeight="1" ht="14.25">
      <c r="A2" s="781"/>
      <c r="B2" s="78"/>
      <c r="E2" s="1770" t="str">
        <f>code</f>
        <v>Код отчёта: PP108.OPEN.INFO.BALANCE.COLDVSNA.EIAS</v>
      </c>
      <c r="F2" s="248"/>
      <c r="G2" s="224"/>
      <c r="H2" s="224"/>
      <c r="I2" s="224"/>
      <c r="J2" s="870"/>
      <c r="K2" s="224"/>
    </row>
    <row customHeight="1" ht="14.25">
      <c r="E3" s="225" t="str">
        <f>version</f>
        <v>Версия отчёта: 1.0.2</v>
      </c>
      <c r="F3" s="248"/>
      <c r="G3" s="2412"/>
      <c r="H3" s="0"/>
      <c r="I3" s="0"/>
      <c r="J3" s="871"/>
      <c r="K3" s="0"/>
    </row>
    <row s="1643" customFormat="1" customHeight="1" ht="6">
      <c r="A4" s="782"/>
      <c r="B4" s="211"/>
      <c r="C4" s="212"/>
      <c r="D4" s="213"/>
      <c r="E4" s="222"/>
      <c r="F4" s="223"/>
      <c r="G4" s="769"/>
      <c r="H4" s="407"/>
      <c r="I4" s="409"/>
      <c r="J4" s="872"/>
    </row>
    <row customHeight="1" ht="37.5">
      <c r="D5" s="56"/>
      <c r="E5" s="1916"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1917"/>
      <c r="G5" s="770"/>
      <c r="J5" s="873"/>
    </row>
    <row s="1643" customFormat="1" customHeight="1" ht="6">
      <c r="A6" s="782"/>
      <c r="B6" s="211"/>
      <c r="C6" s="212"/>
      <c r="D6" s="213"/>
      <c r="E6" s="216"/>
      <c r="F6" s="217"/>
      <c r="G6" s="770"/>
      <c r="H6" s="407"/>
      <c r="I6" s="409"/>
      <c r="J6" s="872"/>
    </row>
    <row customHeight="1" ht="19.5">
      <c r="D7" s="56"/>
      <c r="E7" s="388" t="s">
        <v>13</v>
      </c>
      <c r="F7" s="194" t="s">
        <v>14</v>
      </c>
      <c r="G7" s="770"/>
    </row>
    <row s="1643" customFormat="1" customHeight="1" ht="6">
      <c r="A8" s="783"/>
      <c r="B8" s="211"/>
      <c r="C8" s="212"/>
      <c r="D8" s="218"/>
      <c r="E8" s="216"/>
      <c r="F8" s="219"/>
      <c r="G8" s="58"/>
      <c r="H8" s="407"/>
      <c r="I8" s="409"/>
      <c r="J8" s="875"/>
    </row>
    <row s="1666" customFormat="1" customHeight="1" ht="19.5" hidden="1">
      <c r="A9" s="782"/>
      <c r="B9" s="78"/>
      <c r="C9" s="406"/>
      <c r="D9" s="408"/>
      <c r="E9" s="1166" t="s">
        <v>15</v>
      </c>
      <c r="F9" s="1152"/>
      <c r="G9" s="770"/>
      <c r="I9" s="409"/>
      <c r="J9" s="874"/>
    </row>
    <row s="1643" customFormat="1" customHeight="1" ht="6">
      <c r="A10" s="783"/>
      <c r="B10" s="423"/>
      <c r="C10" s="424"/>
      <c r="D10" s="218"/>
      <c r="E10" s="216"/>
      <c r="F10" s="219"/>
      <c r="G10" s="58"/>
      <c r="H10" s="407"/>
      <c r="I10" s="409"/>
      <c r="J10" s="875"/>
    </row>
    <row customHeight="1" ht="22.5" hidden="1">
      <c r="A11" s="1919" t="s">
        <v>16</v>
      </c>
      <c r="D11" s="56"/>
      <c r="E11" s="1166" t="s">
        <v>17</v>
      </c>
      <c r="F11" s="1762" t="s">
        <v>18</v>
      </c>
      <c r="G11" s="58"/>
      <c r="H11" s="771" t="s">
        <v>19</v>
      </c>
      <c r="J11" s="874" t="s">
        <v>20</v>
      </c>
    </row>
    <row customHeight="1" ht="22.5" hidden="1">
      <c r="A12" s="1919"/>
      <c r="D12" s="56"/>
      <c r="E12" s="1166" t="s">
        <v>21</v>
      </c>
      <c r="F12" s="1762"/>
      <c r="G12" s="54"/>
      <c r="J12" s="874" t="s">
        <v>22</v>
      </c>
    </row>
    <row s="1666" customFormat="1" customHeight="1" ht="22.5" hidden="1">
      <c r="A13" s="786" t="s">
        <v>23</v>
      </c>
      <c r="B13" s="78"/>
      <c r="C13" s="406"/>
      <c r="D13" s="408"/>
      <c r="E13" s="1809" t="s">
        <v>24</v>
      </c>
      <c r="F13" s="1762" t="s">
        <v>18</v>
      </c>
      <c r="G13" s="58"/>
      <c r="H13" s="0"/>
      <c r="I13" s="409"/>
      <c r="J13" s="1810" t="s">
        <v>25</v>
      </c>
    </row>
    <row s="1666" customFormat="1" customHeight="1" ht="27">
      <c r="A14" s="786" t="s">
        <v>26</v>
      </c>
      <c r="B14" s="78"/>
      <c r="C14" s="406"/>
      <c r="D14" s="408"/>
      <c r="E14" s="1166" t="s">
        <v>27</v>
      </c>
      <c r="F14" s="1798">
        <v>2023</v>
      </c>
      <c r="G14" s="58"/>
      <c r="H14" s="0"/>
      <c r="I14" s="409"/>
      <c r="J14" s="874" t="s">
        <v>28</v>
      </c>
    </row>
    <row s="1666" customFormat="1" customHeight="1" ht="19.5" hidden="1">
      <c r="A15" s="786" t="s">
        <v>29</v>
      </c>
      <c r="B15" s="78"/>
      <c r="C15" s="406"/>
      <c r="D15" s="408"/>
      <c r="E15" s="1166" t="s">
        <v>30</v>
      </c>
      <c r="F15" s="1798"/>
      <c r="G15" s="58"/>
      <c r="H15" s="0"/>
      <c r="I15" s="409"/>
      <c r="J15" s="874" t="s">
        <v>31</v>
      </c>
    </row>
    <row s="1643" customFormat="1" customHeight="1" ht="6">
      <c r="A16" s="783"/>
      <c r="B16" s="211"/>
      <c r="C16" s="212"/>
      <c r="D16" s="218"/>
      <c r="E16" s="216"/>
      <c r="F16" s="219"/>
      <c r="G16" s="58"/>
      <c r="H16" s="407"/>
      <c r="I16" s="409"/>
      <c r="J16" s="872"/>
    </row>
    <row customHeight="1" ht="19.5">
      <c r="D17" s="56"/>
      <c r="E17" s="388" t="s">
        <v>32</v>
      </c>
      <c r="F17" s="2132" t="s">
        <v>33</v>
      </c>
      <c r="G17" s="54"/>
      <c r="H17" s="771" t="s">
        <v>19</v>
      </c>
    </row>
    <row customHeight="1" ht="22.5" hidden="1">
      <c r="D18" s="56"/>
      <c r="E18" s="1809" t="s">
        <v>34</v>
      </c>
      <c r="F18" s="1763" t="s">
        <v>35</v>
      </c>
      <c r="G18" s="54"/>
      <c r="I18" s="772"/>
      <c r="J18" s="1918" t="s">
        <v>36</v>
      </c>
    </row>
    <row customHeight="1" ht="22.5" hidden="1">
      <c r="D19" s="56"/>
      <c r="E19" s="1809" t="s">
        <v>37</v>
      </c>
      <c r="F19" s="1763"/>
      <c r="G19" s="54"/>
      <c r="I19" s="772"/>
      <c r="J19" s="1918"/>
    </row>
    <row customHeight="1" ht="22.5" hidden="1">
      <c r="D20" s="56"/>
      <c r="E20" s="57"/>
      <c r="F20" s="249" t="str">
        <f>"Первичное "&amp;IF(TEMPLATE_GROUP="P","установление тарифов","предложение по тарифам")</f>
        <v>Первичное предложение по тарифам</v>
      </c>
      <c r="G20" s="54"/>
      <c r="I20" s="391"/>
      <c r="J20" s="873" t="s">
        <v>38</v>
      </c>
    </row>
    <row customHeight="1" ht="19.5" hidden="1">
      <c r="D21" s="56"/>
      <c r="E21" s="388" t="str">
        <f>"Дата "&amp;IF(TEMPLATE_GROUP="P","документа","подачи заявления")&amp;" об "&amp;IF(TITLE_DATE_PR_CHANGE="","утверждении","изменении")&amp;" тарифов"</f>
        <v>Дата подачи заявления об утверждении тарифов</v>
      </c>
      <c r="F21" s="1762" t="s">
        <v>18</v>
      </c>
      <c r="G21" s="54"/>
      <c r="I21" s="773"/>
    </row>
    <row customHeight="1" ht="19.5" hidden="1">
      <c r="D22" s="56"/>
      <c r="E22" s="388" t="str">
        <f>"Номер "&amp;IF(TEMPLATE_GROUP="P","документа","подачи заявления")&amp;" об "&amp;IF(TITLE_NUMBER_PR_CHANGE="","утверждении","изменении")&amp;" тарифов"</f>
        <v>Номер подачи заявления об утверждении тарифов</v>
      </c>
      <c r="F22" s="195"/>
      <c r="G22" s="54"/>
      <c r="I22" s="773"/>
    </row>
    <row customHeight="1" ht="22.5" hidden="1">
      <c r="D23" s="56"/>
      <c r="E23" s="388" t="s">
        <v>39</v>
      </c>
      <c r="F23" s="195"/>
      <c r="G23" s="54"/>
    </row>
    <row customHeight="1" ht="19.5" hidden="1">
      <c r="D24" s="56"/>
      <c r="E24" s="388" t="s">
        <v>40</v>
      </c>
      <c r="F24" s="195"/>
      <c r="G24" s="54"/>
    </row>
    <row customHeight="1" ht="22.5" hidden="1">
      <c r="D25" s="56"/>
      <c r="E25" s="57"/>
      <c r="F25" s="249" t="str">
        <f>"Изменение "&amp;IF(TEMPLATE_GROUP="P","тарифов","предложения по тарифам")</f>
        <v>Изменение предложения по тарифам</v>
      </c>
      <c r="G25" s="54"/>
      <c r="J25" s="873" t="s">
        <v>41</v>
      </c>
    </row>
    <row customHeight="1" ht="22.5" hidden="1">
      <c r="D26" s="56"/>
      <c r="E26" s="388" t="s">
        <v>42</v>
      </c>
      <c r="F26" s="197"/>
      <c r="G26" s="54"/>
    </row>
    <row customHeight="1" ht="19.5" hidden="1">
      <c r="D27" s="56"/>
      <c r="E27" s="388" t="s">
        <v>43</v>
      </c>
      <c r="F27" s="1763"/>
      <c r="G27" s="54"/>
    </row>
    <row customHeight="1" ht="19.5" hidden="1">
      <c r="D28" s="56"/>
      <c r="E28" s="388" t="s">
        <v>44</v>
      </c>
      <c r="F28" s="197"/>
      <c r="G28" s="54"/>
    </row>
    <row customHeight="1" ht="19.5" hidden="1">
      <c r="D29" s="56"/>
      <c r="E29" s="388" t="s">
        <v>40</v>
      </c>
      <c r="F29" s="197"/>
      <c r="G29" s="54"/>
    </row>
    <row s="1643" customFormat="1" customHeight="1" ht="6">
      <c r="A30" s="783"/>
      <c r="B30" s="211"/>
      <c r="C30" s="212"/>
      <c r="D30" s="218"/>
      <c r="E30" s="216"/>
      <c r="F30" s="219"/>
      <c r="G30" s="58"/>
      <c r="H30" s="407"/>
      <c r="I30" s="409"/>
      <c r="J30" s="872"/>
    </row>
    <row customHeight="1" ht="19.5">
      <c r="C31" s="59"/>
      <c r="D31" s="60"/>
      <c r="E31" s="388" t="s">
        <v>45</v>
      </c>
      <c r="F31" s="196" t="s">
        <v>46</v>
      </c>
      <c r="G31" s="774"/>
    </row>
    <row customHeight="1" ht="19.5" hidden="1">
      <c r="C32" s="59"/>
      <c r="D32" s="60"/>
      <c r="E32" s="389" t="s">
        <v>47</v>
      </c>
      <c r="F32" s="1797"/>
      <c r="G32" s="774"/>
    </row>
    <row customHeight="1" ht="19.5">
      <c r="C33" s="59"/>
      <c r="D33" s="60"/>
      <c r="E33" s="388" t="s">
        <v>48</v>
      </c>
      <c r="F33" s="196" t="s">
        <v>49</v>
      </c>
      <c r="G33" s="774"/>
    </row>
    <row customHeight="1" ht="19.5">
      <c r="C34" s="59"/>
      <c r="D34" s="60"/>
      <c r="E34" s="388" t="s">
        <v>50</v>
      </c>
      <c r="F34" s="196" t="s">
        <v>51</v>
      </c>
      <c r="G34" s="774"/>
      <c r="H34" s="61"/>
    </row>
    <row s="1643" customFormat="1" customHeight="1" ht="11.25">
      <c r="A35" s="783"/>
      <c r="B35" s="211"/>
      <c r="C35" s="212"/>
      <c r="D35" s="218"/>
      <c r="E35" s="216"/>
      <c r="F35" s="219"/>
      <c r="G35" s="58"/>
      <c r="H35" s="407"/>
      <c r="I35" s="409"/>
      <c r="J35" s="872"/>
    </row>
    <row customHeight="1" ht="19.5" hidden="1">
      <c r="A36" s="877"/>
      <c r="D36" s="60"/>
      <c r="E36" s="388" t="s">
        <v>52</v>
      </c>
      <c r="F36" s="336"/>
      <c r="G36" s="58"/>
    </row>
    <row customHeight="1" ht="19.5">
      <c r="A37" s="877"/>
      <c r="D37" s="60"/>
      <c r="E37" s="388" t="s">
        <v>53</v>
      </c>
      <c r="F37" s="1213" t="s">
        <v>54</v>
      </c>
      <c r="G37" s="58"/>
    </row>
    <row s="1643" customFormat="1" customHeight="1" ht="6">
      <c r="A38" s="783"/>
      <c r="B38" s="211"/>
      <c r="C38" s="212"/>
      <c r="D38" s="213"/>
      <c r="E38" s="214"/>
      <c r="F38" s="1054"/>
      <c r="G38" s="54"/>
      <c r="H38" s="407"/>
      <c r="I38" s="409"/>
      <c r="J38" s="874"/>
    </row>
    <row customHeight="1" ht="22.5">
      <c r="A39" s="783"/>
      <c r="D39" s="56"/>
      <c r="E39" s="388" t="s">
        <v>55</v>
      </c>
      <c r="F39" s="707" t="s">
        <v>56</v>
      </c>
      <c r="G39" s="54"/>
      <c r="H39" s="771" t="s">
        <v>19</v>
      </c>
    </row>
    <row s="1643" customFormat="1" customHeight="1" ht="6" hidden="1">
      <c r="A40" s="782"/>
      <c r="B40" s="423"/>
      <c r="C40" s="424"/>
      <c r="D40" s="425"/>
      <c r="E40" s="426"/>
      <c r="F40" s="1054"/>
      <c r="G40" s="54"/>
      <c r="H40" s="407"/>
      <c r="I40" s="409"/>
      <c r="J40" s="874"/>
    </row>
    <row s="1666" customFormat="1" customHeight="1" ht="19.5" hidden="1">
      <c r="A41" s="786" t="s">
        <v>23</v>
      </c>
      <c r="B41" s="411"/>
      <c r="C41" s="406"/>
      <c r="D41" s="408"/>
      <c r="E41" s="38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07" t="s">
        <v>56</v>
      </c>
      <c r="G41" s="54"/>
      <c r="I41" s="409"/>
      <c r="J41" s="874"/>
    </row>
    <row s="1643" customFormat="1" customHeight="1" ht="6" hidden="1">
      <c r="A42" s="782"/>
      <c r="B42" s="423"/>
      <c r="C42" s="424"/>
      <c r="D42" s="425"/>
      <c r="E42" s="426"/>
      <c r="F42" s="1054"/>
      <c r="G42" s="54"/>
      <c r="H42" s="407"/>
      <c r="I42" s="409"/>
      <c r="J42" s="872"/>
    </row>
    <row s="1666" customFormat="1" customHeight="1" ht="22.5" hidden="1">
      <c r="A43" s="782"/>
      <c r="B43" s="411"/>
      <c r="C43" s="406"/>
      <c r="D43" s="408"/>
      <c r="E43" s="388" t="s">
        <v>57</v>
      </c>
      <c r="F43" s="707" t="s">
        <v>58</v>
      </c>
      <c r="G43" s="54"/>
      <c r="I43" s="409"/>
      <c r="J43" s="874"/>
    </row>
    <row s="1666" customFormat="1" customHeight="1" ht="22.5" hidden="1">
      <c r="A44" s="782"/>
      <c r="B44" s="411"/>
      <c r="C44" s="406"/>
      <c r="D44" s="408"/>
      <c r="E44" s="1166" t="s">
        <v>59</v>
      </c>
      <c r="F44" s="750"/>
      <c r="G44" s="54"/>
      <c r="I44" s="409"/>
      <c r="J44" s="874"/>
    </row>
    <row s="1643" customFormat="1" customHeight="1" ht="6" hidden="1">
      <c r="A45" s="782"/>
      <c r="B45" s="423"/>
      <c r="C45" s="424"/>
      <c r="D45" s="425"/>
      <c r="E45" s="426"/>
      <c r="F45" s="1054"/>
      <c r="G45" s="54"/>
      <c r="H45" s="407"/>
      <c r="I45" s="409"/>
      <c r="J45" s="874"/>
    </row>
    <row s="1643" customFormat="1" customHeight="1" ht="22.5" hidden="1">
      <c r="A46" s="782"/>
      <c r="B46" s="423"/>
      <c r="C46" s="424"/>
      <c r="D46" s="425"/>
      <c r="E46" s="1166" t="s">
        <v>60</v>
      </c>
      <c r="F46" s="707" t="s">
        <v>56</v>
      </c>
      <c r="G46" s="54"/>
      <c r="H46" s="407"/>
      <c r="I46" s="409"/>
      <c r="J46" s="874"/>
    </row>
    <row s="1666" customFormat="1" customHeight="1" ht="22.5" hidden="1">
      <c r="A47" s="782"/>
      <c r="B47" s="411"/>
      <c r="C47" s="406"/>
      <c r="D47" s="408"/>
      <c r="E47" s="1166" t="s">
        <v>61</v>
      </c>
      <c r="F47" s="707" t="s">
        <v>56</v>
      </c>
      <c r="G47" s="54"/>
      <c r="I47" s="409"/>
      <c r="J47" s="874"/>
    </row>
    <row s="1643" customFormat="1" customHeight="1" ht="6" hidden="1">
      <c r="A48" s="782"/>
      <c r="B48" s="211"/>
      <c r="C48" s="212"/>
      <c r="D48" s="213"/>
      <c r="E48" s="214"/>
      <c r="F48" s="1054"/>
      <c r="G48" s="54"/>
      <c r="H48" s="407"/>
      <c r="I48" s="409"/>
      <c r="J48" s="874"/>
    </row>
    <row customHeight="1" ht="19.5" hidden="1">
      <c r="B49" s="128"/>
      <c r="D49" s="56"/>
      <c r="E49" s="38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07"/>
      <c r="G49" s="54"/>
    </row>
    <row s="1643" customFormat="1" customHeight="1" ht="6">
      <c r="A50" s="783"/>
      <c r="B50" s="423"/>
      <c r="C50" s="424"/>
      <c r="D50" s="218"/>
      <c r="E50" s="216"/>
      <c r="F50" s="219"/>
      <c r="G50" s="58"/>
      <c r="H50" s="407"/>
      <c r="I50" s="409"/>
      <c r="J50" s="874"/>
    </row>
    <row s="1666" customFormat="1" customHeight="1" ht="22.5">
      <c r="A51" s="784"/>
      <c r="B51" s="411"/>
      <c r="C51" s="528"/>
      <c r="D51" s="529"/>
      <c r="E51" s="388" t="s">
        <v>62</v>
      </c>
      <c r="F51" s="707" t="s">
        <v>56</v>
      </c>
      <c r="G51" s="530"/>
      <c r="I51" s="532"/>
      <c r="J51" s="876"/>
      <c r="P51" s="533"/>
    </row>
    <row s="1643" customFormat="1" customHeight="1" ht="6">
      <c r="A52" s="783"/>
      <c r="B52" s="423"/>
      <c r="C52" s="424"/>
      <c r="D52" s="218"/>
      <c r="E52" s="216"/>
      <c r="F52" s="219"/>
      <c r="G52" s="58"/>
      <c r="H52" s="407"/>
      <c r="I52" s="409"/>
      <c r="J52" s="872"/>
    </row>
    <row s="1666" customFormat="1" customHeight="1" ht="22.5">
      <c r="A53" s="784"/>
      <c r="B53" s="411"/>
      <c r="C53" s="528"/>
      <c r="D53" s="529"/>
      <c r="E53" s="388" t="s">
        <v>63</v>
      </c>
      <c r="F53" s="1049" t="s">
        <v>58</v>
      </c>
      <c r="G53" s="530"/>
      <c r="I53" s="532"/>
      <c r="J53" s="876"/>
      <c r="P53" s="533"/>
    </row>
    <row s="1666" customFormat="1" customHeight="1" ht="22.5">
      <c r="A54" s="784"/>
      <c r="B54" s="411"/>
      <c r="C54" s="528"/>
      <c r="D54" s="529"/>
      <c r="E54" s="388" t="s">
        <v>64</v>
      </c>
      <c r="F54" s="2413">
        <v>45380</v>
      </c>
      <c r="G54" s="530"/>
      <c r="I54" s="532"/>
      <c r="J54" s="876"/>
      <c r="P54" s="533"/>
    </row>
    <row s="1643" customFormat="1" customHeight="1" ht="6">
      <c r="A55" s="783"/>
      <c r="B55" s="423"/>
      <c r="C55" s="424"/>
      <c r="D55" s="218"/>
      <c r="E55" s="216"/>
      <c r="F55" s="219"/>
      <c r="G55" s="58"/>
      <c r="H55" s="407"/>
      <c r="I55" s="409"/>
      <c r="J55" s="872"/>
    </row>
    <row s="1666" customFormat="1" customHeight="1" ht="22.5">
      <c r="A56" s="784"/>
      <c r="B56" s="411"/>
      <c r="C56" s="528"/>
      <c r="D56" s="529"/>
      <c r="E56" s="388" t="s">
        <v>65</v>
      </c>
      <c r="F56" s="1049" t="s">
        <v>56</v>
      </c>
      <c r="G56" s="530"/>
      <c r="I56" s="532"/>
      <c r="J56" s="876"/>
      <c r="P56" s="533"/>
    </row>
    <row s="1643" customFormat="1" customHeight="1" ht="6">
      <c r="A57" s="783"/>
      <c r="B57" s="423"/>
      <c r="C57" s="424"/>
      <c r="D57" s="218"/>
      <c r="E57" s="216"/>
      <c r="F57" s="219"/>
      <c r="G57" s="58"/>
      <c r="H57" s="407"/>
      <c r="I57" s="409"/>
      <c r="J57" s="872"/>
    </row>
    <row s="1666" customFormat="1" customHeight="1" ht="15">
      <c r="A58" s="784"/>
      <c r="B58" s="411"/>
      <c r="C58" s="528"/>
      <c r="D58" s="529"/>
      <c r="E58" s="388" t="s">
        <v>66</v>
      </c>
      <c r="F58" s="1049" t="s">
        <v>56</v>
      </c>
      <c r="G58" s="530"/>
      <c r="I58" s="532"/>
      <c r="J58" s="876"/>
      <c r="P58" s="533"/>
    </row>
    <row s="1666" customFormat="1" customHeight="1" ht="15" hidden="1">
      <c r="A59" s="784"/>
      <c r="B59" s="411"/>
      <c r="C59" s="528"/>
      <c r="D59" s="529"/>
      <c r="E59" s="38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2" t="str">
        <f>F58</f>
        <v>нет</v>
      </c>
      <c r="G59" s="530"/>
      <c r="I59" s="532"/>
      <c r="J59" s="876"/>
      <c r="P59" s="533"/>
    </row>
    <row s="1666" customFormat="1" customHeight="1" ht="15" hidden="1">
      <c r="A60" s="784"/>
      <c r="B60" s="411"/>
      <c r="C60" s="528"/>
      <c r="D60" s="529"/>
      <c r="E60" s="1166" t="s">
        <v>67</v>
      </c>
      <c r="F60" s="2415" t="str">
        <f>F59</f>
        <v>нет</v>
      </c>
      <c r="G60" s="530"/>
      <c r="I60" s="532"/>
      <c r="J60" s="876"/>
      <c r="P60" s="533"/>
    </row>
    <row s="1643" customFormat="1" customHeight="1" ht="6" hidden="1">
      <c r="A61" s="783"/>
      <c r="B61" s="423"/>
      <c r="C61" s="424"/>
      <c r="D61" s="425"/>
      <c r="E61" s="426"/>
      <c r="F61" s="1054"/>
      <c r="G61" s="54"/>
      <c r="H61" s="407"/>
      <c r="I61" s="409"/>
      <c r="J61" s="874"/>
    </row>
    <row s="1666" customFormat="1" customHeight="1" ht="33.75" hidden="1">
      <c r="A62" s="783"/>
      <c r="B62" s="78"/>
      <c r="C62" s="406"/>
      <c r="D62" s="408"/>
      <c r="E62" s="1166" t="s">
        <v>68</v>
      </c>
      <c r="F62" s="1702" t="s">
        <v>58</v>
      </c>
      <c r="G62" s="54"/>
      <c r="H62" s="771" t="s">
        <v>19</v>
      </c>
      <c r="I62" s="409"/>
      <c r="J62" s="874"/>
    </row>
    <row s="1643" customFormat="1" customHeight="1" ht="6">
      <c r="A63" s="783"/>
      <c r="B63" s="211"/>
      <c r="C63" s="212"/>
      <c r="D63" s="218"/>
      <c r="E63" s="216"/>
      <c r="F63" s="219"/>
      <c r="G63" s="58"/>
      <c r="H63" s="407"/>
      <c r="I63" s="409"/>
      <c r="J63" s="872"/>
    </row>
    <row customHeight="1" ht="19.5">
      <c r="A64" s="785"/>
      <c r="B64" s="79"/>
      <c r="D64" s="63"/>
      <c r="E64" s="388" t="s">
        <v>69</v>
      </c>
      <c r="F64" s="195" t="s">
        <v>70</v>
      </c>
      <c r="G64" s="58"/>
    </row>
    <row customHeight="1" ht="19.5">
      <c r="A65" s="785"/>
      <c r="B65" s="79"/>
      <c r="D65" s="63"/>
      <c r="E65" s="388" t="s">
        <v>71</v>
      </c>
      <c r="F65" s="195" t="s">
        <v>72</v>
      </c>
      <c r="G65" s="58"/>
    </row>
    <row customHeight="1" ht="35.25">
      <c r="D66" s="56"/>
      <c r="E66" s="390" t="s">
        <v>73</v>
      </c>
      <c r="F66" s="1055"/>
      <c r="G66" s="54"/>
    </row>
    <row customHeight="1" ht="19.5">
      <c r="A67" s="785"/>
      <c r="D67" s="408"/>
      <c r="E67" s="388" t="s">
        <v>74</v>
      </c>
      <c r="F67" s="250" t="s">
        <v>75</v>
      </c>
      <c r="G67" s="58"/>
    </row>
    <row customHeight="1" ht="19.5">
      <c r="A68" s="785"/>
      <c r="B68" s="79"/>
      <c r="D68" s="63"/>
      <c r="E68" s="388" t="s">
        <v>76</v>
      </c>
      <c r="F68" s="250" t="s">
        <v>77</v>
      </c>
      <c r="G68" s="58"/>
    </row>
    <row customHeight="1" ht="19.5">
      <c r="A69" s="785"/>
      <c r="B69" s="79"/>
      <c r="D69" s="63"/>
      <c r="E69" s="388" t="s">
        <v>78</v>
      </c>
      <c r="F69" s="2416" t="s">
        <v>79</v>
      </c>
      <c r="G69" s="58"/>
    </row>
    <row customHeight="1" ht="19.5">
      <c r="D70" s="408"/>
      <c r="E70" s="388" t="s">
        <v>80</v>
      </c>
      <c r="F70" s="2416" t="s">
        <v>81</v>
      </c>
      <c r="G70" s="54"/>
    </row>
    <row customHeight="1" ht="20.25">
      <c r="A71" s="785"/>
      <c r="D71" s="54"/>
      <c r="F71" s="113"/>
      <c r="G71" s="58"/>
    </row>
    <row customHeight="1" ht="19.5">
      <c r="A72" s="785"/>
      <c r="B72" s="79"/>
      <c r="D72" s="63"/>
      <c r="E72" s="62"/>
      <c r="F72" s="114"/>
      <c r="G72" s="58"/>
    </row>
    <row customHeight="1" ht="19.5">
      <c r="A73" s="785"/>
      <c r="B73" s="79"/>
      <c r="D73" s="63"/>
      <c r="E73" s="62"/>
      <c r="F73" s="114"/>
      <c r="G73" s="58"/>
    </row>
    <row customHeight="1" ht="19.5">
      <c r="A74" s="785"/>
      <c r="B74" s="79"/>
      <c r="D74" s="63"/>
      <c r="E74" s="67"/>
      <c r="F74" s="114"/>
      <c r="G74" s="58"/>
    </row>
    <row customHeight="1" ht="19.5">
      <c r="A75" s="785"/>
      <c r="B75" s="79"/>
      <c r="D75" s="63"/>
      <c r="E75" s="62"/>
      <c r="F75" s="114"/>
      <c r="G75" s="58"/>
    </row>
    <row r="78" customHeight="1" ht="11.25">
      <c r="E78" s="387"/>
      <c r="F78" s="387"/>
      <c r="G78" s="387"/>
      <c r="H78" s="387"/>
      <c r="I78" s="387"/>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7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28:F29 F64:F65 F67:F70 F22:F24 F26 F32">
      <formula1>900</formula1>
    </dataValidation>
  </dataValidations>
  <hyperlinks>
    <hyperlink ref="H11" location="Титульный!H9" display="Как заполнить?" tooltip="Помощь по работе с полями отчётной формы" xr:uid="{B0924588-EBA6-A98F-1F9C-D18517E3EA27}"/>
    <hyperlink ref="H17" location="Титульный!H9" display="Как заполнить?" tooltip="Помощь по работе с полями отчётной формы" xr:uid="{C3F8CA9E-F39E-0658-567F-6D04A5D95EE2}"/>
    <hyperlink ref="H39" location="Титульный!H9" display="Как заполнить?" tooltip="Помощь по работе с полями отчётной формы" xr:uid="{4A88BAB9-0043-AB7E-A246-35D689271393}"/>
    <hyperlink ref="H62" location="Титульный!H9" display="Как заполнить?" tooltip="Помощь по работе с полями отчётной формы" xr:uid="{2FEFED7B-EFF6-7B36-9D25-0FCCD35510A6}"/>
    <hyperlink ref="F69" r:id="rId4" tooltip="PurikIS@tgc-2.ru" xr:uid="{1B542204-74BA-D626-155F-838B80F8EEF7}"/>
    <hyperlink ref="F70" r:id="rId5" tooltip="PurikIS@tgc-2.ru" xr:uid="{6A61E587-2FA1-6A81-98A7-0581FCF194A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8FBEC3-99AB-A841-07C6-2C0BF866E149}"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3" style="1666" width="21.7109375" hidden="1" customWidth="1"/>
    <col min="24" max="24" style="1666" width="11.7109375" hidden="1" customWidth="1"/>
    <col min="25" max="25" style="1666" width="3.7109375" hidden="1" customWidth="1"/>
    <col min="26" max="26" style="1666" width="11.7109375" hidden="1" customWidth="1"/>
    <col min="27" max="27" style="1666" width="8.57421875" hidden="1" customWidth="1"/>
    <col min="28" max="28" style="1666" width="5.421875" customWidth="1"/>
    <col min="29" max="30" style="1666" width="3.7109375" customWidth="1"/>
    <col min="31" max="31" style="1666" width="24.7109375" customWidth="1"/>
    <col min="32" max="34" style="1666" width="3.7109375" customWidth="1"/>
    <col min="35" max="35" style="1666" width="24.7109375" customWidth="1"/>
    <col min="36" max="38" style="1666" width="3.7109375" customWidth="1"/>
    <col min="39" max="39" style="1666" width="18.8515625" customWidth="1"/>
    <col min="40" max="41" style="1666" width="21.7109375" customWidth="1"/>
    <col min="42" max="42" style="1666" width="11.7109375" customWidth="1"/>
    <col min="43" max="43" style="1666" width="3.7109375" customWidth="1"/>
    <col min="44" max="44" style="1666" width="11.7109375" customWidth="1"/>
    <col min="45" max="45" style="1666" width="8.57421875" customWidth="1"/>
    <col min="46" max="46" style="1666" width="4.7109375" customWidth="1"/>
    <col min="47" max="47" style="1666" width="115.7109375" customWidth="1"/>
    <col min="48" max="49" style="1673" width="10.57421875"/>
    <col min="50" max="50" style="1673" width="11.140625" customWidth="1"/>
    <col min="51" max="52" style="1673" width="10.57421875"/>
  </cols>
  <sheetData>
    <row customHeight="1" ht="14.25" hidden="1">
      <c r="W1" s="315"/>
      <c r="X1" s="315"/>
      <c r="AO1" s="315"/>
      <c r="AP1" s="315"/>
    </row>
    <row customHeight="1" ht="21" hidden="1">
      <c r="A2" s="1386"/>
      <c r="B2" s="1386"/>
      <c r="C2" s="1386"/>
      <c r="D2" s="1386"/>
      <c r="E2" s="2173">
        <v>1</v>
      </c>
      <c r="F2" s="1386"/>
      <c r="G2" s="1386"/>
      <c r="H2" s="1386"/>
      <c r="I2" s="1386"/>
      <c r="J2" s="1386"/>
      <c r="K2" s="1386"/>
      <c r="L2" s="1387"/>
      <c r="M2" s="1388"/>
      <c r="N2" s="1388"/>
      <c r="O2" s="1388"/>
      <c r="P2" s="1432"/>
      <c r="Q2" s="871"/>
      <c r="R2" s="343"/>
      <c r="S2" s="1359">
        <f>INDEX(PT_DIFFERENTIATION_NUM_NTAR,MATCH(A2,PT_DIFFERENTIATION_NTAR_ID,0))</f>
      </c>
      <c r="T2" s="278" t="s">
        <v>127</v>
      </c>
      <c r="U2" s="280"/>
      <c r="V2" s="2158"/>
      <c r="W2" s="2158"/>
      <c r="X2" s="2158"/>
      <c r="Y2" s="2158"/>
      <c r="Z2" s="2158"/>
      <c r="AA2" s="2159"/>
      <c r="AB2" s="2157">
        <f>INDEX(PT_DIFFERENTIATION_NTAR,MATCH(A2,PT_DIFFERENTIATION_NTAR_ID,0))</f>
      </c>
      <c r="AC2" s="2158"/>
      <c r="AD2" s="2158"/>
      <c r="AE2" s="2158"/>
      <c r="AF2" s="2158"/>
      <c r="AG2" s="2158"/>
      <c r="AH2" s="2158"/>
      <c r="AI2" s="2158"/>
      <c r="AJ2" s="2158"/>
      <c r="AK2" s="2158"/>
      <c r="AL2" s="2158"/>
      <c r="AM2" s="2158"/>
      <c r="AN2" s="2158"/>
      <c r="AO2" s="2158"/>
      <c r="AP2" s="2158"/>
      <c r="AQ2" s="2158"/>
      <c r="AR2" s="2158"/>
      <c r="AS2" s="2158"/>
      <c r="AT2" s="2159"/>
      <c r="AU2" s="1279" t="s">
        <v>458</v>
      </c>
      <c r="AW2" s="498"/>
      <c r="AX2" s="498" t="str">
        <f>IF(T2="","",T2)</f>
        <v>Наименование тарифа</v>
      </c>
      <c r="AY2" s="498"/>
      <c r="AZ2" s="498"/>
    </row>
    <row customHeight="1" ht="21" hidden="1">
      <c r="A3" s="1386"/>
      <c r="B3" s="1386"/>
      <c r="C3" s="1386"/>
      <c r="D3" s="1386"/>
      <c r="E3" s="2174"/>
      <c r="F3" s="2173">
        <v>1</v>
      </c>
      <c r="G3" s="1386"/>
      <c r="H3" s="1386"/>
      <c r="I3" s="1386"/>
      <c r="J3" s="1386"/>
      <c r="K3" s="1386"/>
      <c r="L3" s="1387"/>
      <c r="M3" s="1388"/>
      <c r="N3" s="1388"/>
      <c r="O3" s="1388"/>
      <c r="P3" s="1433"/>
      <c r="Q3" s="1434"/>
      <c r="R3" s="341"/>
      <c r="S3" s="1359">
        <f>INDEX(PT_DIFFERENTIATION_NUM_TER,MATCH(B3,PT_DIFFERENTIATION_TER_ID,0))</f>
      </c>
      <c r="T3" s="290" t="s">
        <v>459</v>
      </c>
      <c r="U3" s="280"/>
      <c r="V3" s="2158"/>
      <c r="W3" s="2158"/>
      <c r="X3" s="2158"/>
      <c r="Y3" s="2158"/>
      <c r="Z3" s="2158"/>
      <c r="AA3" s="2159"/>
      <c r="AB3" s="2157">
        <f>INDEX(PT_DIFFERENTIATION_TER,MATCH(B3,PT_DIFFERENTIATION_TER_ID,0))</f>
      </c>
      <c r="AC3" s="2158"/>
      <c r="AD3" s="2158"/>
      <c r="AE3" s="2158"/>
      <c r="AF3" s="2158"/>
      <c r="AG3" s="2158"/>
      <c r="AH3" s="2158"/>
      <c r="AI3" s="2158"/>
      <c r="AJ3" s="2158"/>
      <c r="AK3" s="2158"/>
      <c r="AL3" s="2158"/>
      <c r="AM3" s="2158"/>
      <c r="AN3" s="2158"/>
      <c r="AO3" s="2158"/>
      <c r="AP3" s="2158"/>
      <c r="AQ3" s="2158"/>
      <c r="AR3" s="2158"/>
      <c r="AS3" s="2158"/>
      <c r="AT3" s="2159"/>
      <c r="AU3" s="1279" t="s">
        <v>460</v>
      </c>
      <c r="AW3" s="498"/>
      <c r="AX3" s="498" t="str">
        <f>IF(T3="","",T3)</f>
        <v>Территория действия тарифа</v>
      </c>
      <c r="AY3" s="498"/>
      <c r="AZ3" s="498"/>
    </row>
    <row customHeight="1" ht="22.5" hidden="1">
      <c r="A4" s="1386"/>
      <c r="B4" s="1386"/>
      <c r="C4" s="1386"/>
      <c r="D4" s="1386"/>
      <c r="E4" s="2174"/>
      <c r="F4" s="2174"/>
      <c r="G4" s="2173">
        <v>1</v>
      </c>
      <c r="H4" s="1386"/>
      <c r="I4" s="1386"/>
      <c r="J4" s="1386"/>
      <c r="K4" s="1386"/>
      <c r="L4" s="1387"/>
      <c r="M4" s="1388"/>
      <c r="N4" s="1388"/>
      <c r="O4" s="1388"/>
      <c r="P4" s="1435"/>
      <c r="Q4" s="1434"/>
      <c r="R4" s="341"/>
      <c r="S4" s="1359">
        <f>INDEX(PT_DIFFERENTIATION_NUM_CS,MATCH(C4,PT_DIFFERENTIATION_CS_ID,0))</f>
      </c>
      <c r="T4" s="291" t="s">
        <v>461</v>
      </c>
      <c r="U4" s="280"/>
      <c r="V4" s="2158"/>
      <c r="W4" s="2158"/>
      <c r="X4" s="2158"/>
      <c r="Y4" s="2158"/>
      <c r="Z4" s="2158"/>
      <c r="AA4" s="2159"/>
      <c r="AB4" s="2157">
        <f>INDEX(PT_DIFFERENTIATION_CS,MATCH(C4,PT_DIFFERENTIATION_CS_ID,0))</f>
      </c>
      <c r="AC4" s="2158"/>
      <c r="AD4" s="2158"/>
      <c r="AE4" s="2158"/>
      <c r="AF4" s="2158"/>
      <c r="AG4" s="2158"/>
      <c r="AH4" s="2158"/>
      <c r="AI4" s="2158"/>
      <c r="AJ4" s="2158"/>
      <c r="AK4" s="2158"/>
      <c r="AL4" s="2158"/>
      <c r="AM4" s="2158"/>
      <c r="AN4" s="2158"/>
      <c r="AO4" s="2158"/>
      <c r="AP4" s="2158"/>
      <c r="AQ4" s="2158"/>
      <c r="AR4" s="2158"/>
      <c r="AS4" s="2158"/>
      <c r="AT4" s="2159"/>
      <c r="AU4" s="1279" t="s">
        <v>462</v>
      </c>
      <c r="AW4" s="498"/>
      <c r="AX4" s="498" t="str">
        <f>IF(T4="","",T4)</f>
        <v>Наименование системы теплоснабжения </v>
      </c>
      <c r="AY4" s="498"/>
      <c r="AZ4" s="498"/>
    </row>
    <row customHeight="1" ht="21" hidden="1">
      <c r="A5" s="1386"/>
      <c r="B5" s="1386"/>
      <c r="C5" s="1386"/>
      <c r="D5" s="1386"/>
      <c r="E5" s="2174"/>
      <c r="F5" s="2174"/>
      <c r="G5" s="2174"/>
      <c r="H5" s="2173">
        <v>1</v>
      </c>
      <c r="I5" s="1386"/>
      <c r="J5" s="1386"/>
      <c r="K5" s="1386"/>
      <c r="L5" s="1387"/>
      <c r="M5" s="1388"/>
      <c r="N5" s="1388"/>
      <c r="O5" s="1388"/>
      <c r="P5" s="1435"/>
      <c r="Q5" s="1434"/>
      <c r="R5" s="341"/>
      <c r="S5" s="1359">
        <f>INDEX(PT_DIFFERENTIATION_NUM_IST_TE,MATCH(D5,PT_DIFFERENTIATION_IST_TE_ID,0))</f>
      </c>
      <c r="T5" s="292" t="s">
        <v>463</v>
      </c>
      <c r="U5" s="280"/>
      <c r="V5" s="2158"/>
      <c r="W5" s="2158"/>
      <c r="X5" s="2158"/>
      <c r="Y5" s="2158"/>
      <c r="Z5" s="2158"/>
      <c r="AA5" s="2159"/>
      <c r="AB5" s="2157">
        <f>INDEX(PT_DIFFERENTIATION_IST_TE,MATCH(D5,PT_DIFFERENTIATION_IST_TE_ID,0))</f>
      </c>
      <c r="AC5" s="2158"/>
      <c r="AD5" s="2158"/>
      <c r="AE5" s="2158"/>
      <c r="AF5" s="2158"/>
      <c r="AG5" s="2158"/>
      <c r="AH5" s="2158"/>
      <c r="AI5" s="2158"/>
      <c r="AJ5" s="2158"/>
      <c r="AK5" s="2158"/>
      <c r="AL5" s="2158"/>
      <c r="AM5" s="2158"/>
      <c r="AN5" s="2158"/>
      <c r="AO5" s="2158"/>
      <c r="AP5" s="2158"/>
      <c r="AQ5" s="2158"/>
      <c r="AR5" s="2158"/>
      <c r="AS5" s="2158"/>
      <c r="AT5" s="2159"/>
      <c r="AU5" s="1279" t="s">
        <v>464</v>
      </c>
      <c r="AW5" s="498"/>
      <c r="AX5" s="498" t="str">
        <f>IF(T5="","",T5)</f>
        <v>Источник тепловой энергии  </v>
      </c>
      <c r="AY5" s="498"/>
      <c r="AZ5" s="498"/>
    </row>
    <row s="1673" customFormat="1" customHeight="1" ht="14.25" hidden="1">
      <c r="A6" s="1366"/>
      <c r="B6" s="1366"/>
      <c r="C6" s="1366"/>
      <c r="D6" s="1366"/>
      <c r="E6" s="2174"/>
      <c r="F6" s="2174"/>
      <c r="G6" s="2174"/>
      <c r="H6" s="2174"/>
      <c r="I6" s="2171">
        <f>S5&amp;".1"</f>
      </c>
      <c r="J6" s="1366"/>
      <c r="K6" s="1366"/>
      <c r="L6" s="1369" t="s">
        <v>465</v>
      </c>
      <c r="M6" s="508"/>
      <c r="N6" s="508"/>
      <c r="O6" s="508"/>
      <c r="P6" s="2172">
        <v>1</v>
      </c>
      <c r="Q6" s="1354"/>
      <c r="R6" s="344"/>
      <c r="S6" s="1043"/>
      <c r="T6" s="1406"/>
      <c r="U6" s="1407"/>
      <c r="V6" s="2210"/>
      <c r="W6" s="2210"/>
      <c r="X6" s="2210"/>
      <c r="Y6" s="2210"/>
      <c r="Z6" s="2210"/>
      <c r="AA6" s="2211"/>
      <c r="AB6" s="2209"/>
      <c r="AC6" s="2210"/>
      <c r="AD6" s="2210"/>
      <c r="AE6" s="2210"/>
      <c r="AF6" s="2210"/>
      <c r="AG6" s="2210"/>
      <c r="AH6" s="2210"/>
      <c r="AI6" s="2210"/>
      <c r="AJ6" s="2210"/>
      <c r="AK6" s="2210"/>
      <c r="AL6" s="2210"/>
      <c r="AM6" s="2210"/>
      <c r="AN6" s="2210"/>
      <c r="AO6" s="2210"/>
      <c r="AP6" s="2210"/>
      <c r="AQ6" s="2210"/>
      <c r="AR6" s="2210"/>
      <c r="AS6" s="2210"/>
      <c r="AT6" s="2211"/>
      <c r="AU6" s="1408"/>
      <c r="AW6" s="498"/>
      <c r="AX6" s="498" t="str">
        <f>IF(T6="","",T6)</f>
        <v/>
      </c>
      <c r="AY6" s="498"/>
      <c r="AZ6" s="498"/>
    </row>
    <row s="1673" customFormat="1" customHeight="1" ht="14.25" hidden="1">
      <c r="A7" s="1366"/>
      <c r="B7" s="1366"/>
      <c r="C7" s="1366"/>
      <c r="D7" s="1366"/>
      <c r="E7" s="2174"/>
      <c r="F7" s="2174"/>
      <c r="G7" s="2174"/>
      <c r="H7" s="2174"/>
      <c r="I7" s="2201"/>
      <c r="J7" s="2171">
        <f>S5&amp;".1"</f>
      </c>
      <c r="K7" s="1366"/>
      <c r="L7" s="1369"/>
      <c r="M7" s="508"/>
      <c r="N7" s="508"/>
      <c r="O7" s="508"/>
      <c r="P7" s="2172"/>
      <c r="Q7" s="2172">
        <v>1</v>
      </c>
      <c r="R7" s="345"/>
      <c r="S7" s="1043"/>
      <c r="T7" s="1422"/>
      <c r="U7" s="1407"/>
      <c r="V7" s="2210"/>
      <c r="W7" s="2210"/>
      <c r="X7" s="2210"/>
      <c r="Y7" s="2210"/>
      <c r="Z7" s="2210"/>
      <c r="AA7" s="2211"/>
      <c r="AB7" s="2209"/>
      <c r="AC7" s="2210"/>
      <c r="AD7" s="2210"/>
      <c r="AE7" s="2210"/>
      <c r="AF7" s="2210"/>
      <c r="AG7" s="2210"/>
      <c r="AH7" s="2210"/>
      <c r="AI7" s="2210"/>
      <c r="AJ7" s="2210"/>
      <c r="AK7" s="2210"/>
      <c r="AL7" s="2210"/>
      <c r="AM7" s="2210"/>
      <c r="AN7" s="2210"/>
      <c r="AO7" s="2210"/>
      <c r="AP7" s="2210"/>
      <c r="AQ7" s="2210"/>
      <c r="AR7" s="2210"/>
      <c r="AS7" s="2210"/>
      <c r="AT7" s="2211"/>
      <c r="AU7" s="1408"/>
      <c r="AW7" s="498"/>
      <c r="AX7" s="498" t="str">
        <f>IF(T7="","",T7)</f>
        <v/>
      </c>
      <c r="AY7" s="498"/>
      <c r="AZ7" s="498"/>
    </row>
    <row customHeight="1" ht="21" hidden="1">
      <c r="A8" s="1386"/>
      <c r="B8" s="1386"/>
      <c r="C8" s="1386"/>
      <c r="D8" s="1386"/>
      <c r="E8" s="2174"/>
      <c r="F8" s="2174"/>
      <c r="G8" s="2174"/>
      <c r="H8" s="2174"/>
      <c r="I8" s="2201"/>
      <c r="J8" s="2201"/>
      <c r="K8" s="2171">
        <f>S5&amp;".1"</f>
      </c>
      <c r="L8" s="1387"/>
      <c r="P8" s="2172"/>
      <c r="Q8" s="2172"/>
      <c r="R8" s="2253">
        <v>1</v>
      </c>
      <c r="S8" s="2247">
        <f>$K8</f>
      </c>
      <c r="T8" s="2250"/>
      <c r="U8" s="280"/>
      <c r="V8" s="749"/>
      <c r="W8" s="1278"/>
      <c r="X8" s="2180"/>
      <c r="Y8" s="1928" t="s">
        <v>58</v>
      </c>
      <c r="Z8" s="2180"/>
      <c r="AA8" s="1928" t="s">
        <v>58</v>
      </c>
      <c r="AB8" s="1928" t="s">
        <v>56</v>
      </c>
      <c r="AC8" s="2233"/>
      <c r="AD8" s="2024">
        <v>1</v>
      </c>
      <c r="AE8" s="2234"/>
      <c r="AF8" s="1928" t="s">
        <v>56</v>
      </c>
      <c r="AG8" s="2233"/>
      <c r="AH8" s="2024">
        <v>1</v>
      </c>
      <c r="AI8" s="2234"/>
      <c r="AJ8" s="1928" t="s">
        <v>56</v>
      </c>
      <c r="AK8" s="293"/>
      <c r="AL8" s="1360">
        <v>1</v>
      </c>
      <c r="AM8" s="1421"/>
      <c r="AN8" s="749"/>
      <c r="AO8" s="1278"/>
      <c r="AP8" s="1764"/>
      <c r="AQ8" s="1482" t="s">
        <v>58</v>
      </c>
      <c r="AR8" s="1764"/>
      <c r="AS8" s="1482" t="s">
        <v>58</v>
      </c>
      <c r="AT8" s="1371"/>
      <c r="AU8" s="2168" t="s">
        <v>535</v>
      </c>
      <c r="AV8" s="509">
        <f>STRCHECKDATE(V11:AT11)</f>
      </c>
      <c r="AW8" s="498"/>
      <c r="AX8" s="498" t="str">
        <f>IF(T8="","",T8)</f>
        <v/>
      </c>
      <c r="AY8" s="498"/>
      <c r="AZ8" s="498"/>
    </row>
    <row customHeight="1" ht="11.25" hidden="1">
      <c r="A9" s="1386"/>
      <c r="B9" s="1386"/>
      <c r="C9" s="1386"/>
      <c r="D9" s="1386"/>
      <c r="E9" s="2174"/>
      <c r="F9" s="2174"/>
      <c r="G9" s="2174"/>
      <c r="H9" s="2174"/>
      <c r="I9" s="2201"/>
      <c r="J9" s="2201"/>
      <c r="K9" s="2171"/>
      <c r="L9" s="1387"/>
      <c r="P9" s="2172"/>
      <c r="Q9" s="2172"/>
      <c r="R9" s="2253"/>
      <c r="S9" s="2248"/>
      <c r="T9" s="2251"/>
      <c r="U9" s="280"/>
      <c r="V9" s="1416"/>
      <c r="W9" s="1420"/>
      <c r="X9" s="2180"/>
      <c r="Y9" s="1928"/>
      <c r="Z9" s="2180"/>
      <c r="AA9" s="1928"/>
      <c r="AB9" s="1928"/>
      <c r="AC9" s="2233"/>
      <c r="AD9" s="2024"/>
      <c r="AE9" s="2234"/>
      <c r="AF9" s="1928"/>
      <c r="AG9" s="2233"/>
      <c r="AH9" s="2024"/>
      <c r="AI9" s="2234"/>
      <c r="AJ9" s="1928"/>
      <c r="AK9" s="300"/>
      <c r="AL9" s="414"/>
      <c r="AM9" s="413" t="s">
        <v>536</v>
      </c>
      <c r="AN9" s="1416"/>
      <c r="AO9" s="1519"/>
      <c r="AP9" s="1416"/>
      <c r="AQ9" s="1416"/>
      <c r="AR9" s="1416"/>
      <c r="AS9" s="1416"/>
      <c r="AT9" s="1413"/>
      <c r="AU9" s="2169"/>
      <c r="AW9" s="498"/>
      <c r="AX9" s="498"/>
      <c r="AY9" s="498"/>
      <c r="AZ9" s="498"/>
    </row>
    <row customHeight="1" ht="11.25" hidden="1">
      <c r="A10" s="1386"/>
      <c r="B10" s="1386"/>
      <c r="C10" s="1386"/>
      <c r="D10" s="1386"/>
      <c r="E10" s="2174"/>
      <c r="F10" s="2174"/>
      <c r="G10" s="2174"/>
      <c r="H10" s="2174"/>
      <c r="I10" s="2201"/>
      <c r="J10" s="2201"/>
      <c r="K10" s="2171"/>
      <c r="L10" s="1387"/>
      <c r="P10" s="2172"/>
      <c r="Q10" s="2172"/>
      <c r="R10" s="2253"/>
      <c r="S10" s="2248"/>
      <c r="T10" s="2251"/>
      <c r="U10" s="280"/>
      <c r="V10" s="1416"/>
      <c r="W10" s="1420"/>
      <c r="X10" s="2180"/>
      <c r="Y10" s="1928"/>
      <c r="Z10" s="2180"/>
      <c r="AA10" s="1928"/>
      <c r="AB10" s="1928"/>
      <c r="AC10" s="2233"/>
      <c r="AD10" s="2024"/>
      <c r="AE10" s="2234"/>
      <c r="AF10" s="1928"/>
      <c r="AG10" s="274"/>
      <c r="AH10" s="413"/>
      <c r="AI10" s="413" t="s">
        <v>537</v>
      </c>
      <c r="AJ10" s="1416"/>
      <c r="AK10" s="1416"/>
      <c r="AL10" s="1416"/>
      <c r="AM10" s="1416"/>
      <c r="AN10" s="1416"/>
      <c r="AO10" s="1519"/>
      <c r="AP10" s="1416"/>
      <c r="AQ10" s="1416"/>
      <c r="AR10" s="1416"/>
      <c r="AS10" s="1416"/>
      <c r="AT10" s="1413"/>
      <c r="AU10" s="2169"/>
      <c r="AW10" s="498"/>
      <c r="AX10" s="498"/>
      <c r="AY10" s="498"/>
      <c r="AZ10" s="498"/>
    </row>
    <row customHeight="1" ht="11.25" hidden="1">
      <c r="A11" s="1386"/>
      <c r="B11" s="1386"/>
      <c r="C11" s="1386"/>
      <c r="D11" s="1386"/>
      <c r="E11" s="2174"/>
      <c r="F11" s="2174"/>
      <c r="G11" s="2174"/>
      <c r="H11" s="2174"/>
      <c r="I11" s="2201"/>
      <c r="J11" s="2201"/>
      <c r="K11" s="2171"/>
      <c r="L11" s="1387"/>
      <c r="P11" s="2172"/>
      <c r="Q11" s="2172"/>
      <c r="R11" s="2253"/>
      <c r="S11" s="2249"/>
      <c r="T11" s="2252"/>
      <c r="U11" s="280"/>
      <c r="V11" s="1416"/>
      <c r="W11" s="1419" t="str">
        <f>X8&amp;"-"&amp;Z8</f>
        <v>-</v>
      </c>
      <c r="X11" s="2181"/>
      <c r="Y11" s="1928"/>
      <c r="Z11" s="2181"/>
      <c r="AA11" s="1928"/>
      <c r="AB11" s="1928"/>
      <c r="AC11" s="294"/>
      <c r="AD11" s="296"/>
      <c r="AE11" s="413" t="s">
        <v>538</v>
      </c>
      <c r="AF11" s="1416"/>
      <c r="AG11" s="1416"/>
      <c r="AH11" s="1416"/>
      <c r="AI11" s="1416"/>
      <c r="AJ11" s="1416"/>
      <c r="AK11" s="1416"/>
      <c r="AL11" s="1416"/>
      <c r="AM11" s="1416"/>
      <c r="AN11" s="1416"/>
      <c r="AO11" s="1417" t="str">
        <f>AP8&amp;"-"&amp;AR8</f>
        <v>-</v>
      </c>
      <c r="AP11" s="1416"/>
      <c r="AQ11" s="1416"/>
      <c r="AR11" s="1416"/>
      <c r="AS11" s="1416"/>
      <c r="AT11" s="1372"/>
      <c r="AU11" s="2169"/>
      <c r="AW11" s="498"/>
      <c r="AX11" s="498" t="str">
        <f>IF(T11="","",T11)</f>
        <v/>
      </c>
      <c r="AY11" s="498"/>
      <c r="AZ11" s="498"/>
    </row>
    <row customHeight="1" ht="11.25" hidden="1">
      <c r="A12" s="1386"/>
      <c r="B12" s="1386"/>
      <c r="C12" s="1386"/>
      <c r="D12" s="1386"/>
      <c r="E12" s="2174"/>
      <c r="F12" s="2174"/>
      <c r="G12" s="2174"/>
      <c r="H12" s="2174"/>
      <c r="I12" s="2201"/>
      <c r="J12" s="2171"/>
      <c r="K12" s="1386"/>
      <c r="L12" s="1387"/>
      <c r="P12" s="2172"/>
      <c r="Q12" s="2172"/>
      <c r="R12" s="344"/>
      <c r="S12" s="1301"/>
      <c r="T12" s="268" t="s">
        <v>539</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1"/>
      <c r="AU12" s="2170"/>
      <c r="AW12" s="498"/>
      <c r="AX12" s="498" t="str">
        <f>IF(T12="","",T12)</f>
        <v>Добавить строку</v>
      </c>
      <c r="AY12" s="498"/>
      <c r="AZ12" s="498"/>
    </row>
    <row s="1673" customFormat="1" customHeight="1" ht="14.25" hidden="1">
      <c r="A13" s="1366"/>
      <c r="B13" s="1366"/>
      <c r="C13" s="1366"/>
      <c r="D13" s="1366"/>
      <c r="E13" s="2174"/>
      <c r="F13" s="2174"/>
      <c r="G13" s="2174"/>
      <c r="H13" s="2174"/>
      <c r="I13" s="2171"/>
      <c r="J13" s="1366"/>
      <c r="K13" s="1366"/>
      <c r="L13" s="1369"/>
      <c r="M13" s="508"/>
      <c r="N13" s="508"/>
      <c r="O13" s="508"/>
      <c r="P13" s="2172"/>
      <c r="Q13" s="1354"/>
      <c r="R13" s="344"/>
      <c r="S13" s="1409"/>
      <c r="T13" s="1410"/>
      <c r="U13" s="1411"/>
      <c r="V13" s="1411"/>
      <c r="W13" s="1411"/>
      <c r="X13" s="1411"/>
      <c r="Y13" s="1411"/>
      <c r="Z13" s="1411"/>
      <c r="AA13" s="1411"/>
      <c r="AB13" s="1411"/>
      <c r="AC13" s="1411"/>
      <c r="AD13" s="1411"/>
      <c r="AE13" s="1411"/>
      <c r="AF13" s="1411"/>
      <c r="AG13" s="1411"/>
      <c r="AH13" s="1411"/>
      <c r="AI13" s="1411"/>
      <c r="AJ13" s="1411"/>
      <c r="AK13" s="1411"/>
      <c r="AL13" s="1411"/>
      <c r="AM13" s="1411"/>
      <c r="AN13" s="1411"/>
      <c r="AO13" s="1411"/>
      <c r="AP13" s="1411"/>
      <c r="AQ13" s="1411"/>
      <c r="AR13" s="1411"/>
      <c r="AS13" s="1411"/>
      <c r="AT13" s="1411"/>
      <c r="AU13" s="1412"/>
      <c r="AW13" s="498"/>
      <c r="AX13" s="498" t="str">
        <f>IF(T13="","",T13)</f>
        <v/>
      </c>
      <c r="AY13" s="498"/>
      <c r="AZ13" s="498"/>
    </row>
    <row s="1673" customFormat="1" customHeight="1" ht="14.25" hidden="1">
      <c r="A14" s="1366"/>
      <c r="B14" s="1366"/>
      <c r="C14" s="1366"/>
      <c r="D14" s="1366"/>
      <c r="E14" s="2174"/>
      <c r="F14" s="2174"/>
      <c r="G14" s="2174"/>
      <c r="H14" s="2173"/>
      <c r="I14" s="1366"/>
      <c r="J14" s="1366"/>
      <c r="K14" s="1366"/>
      <c r="L14" s="1369"/>
      <c r="M14" s="1338"/>
      <c r="N14" s="1338"/>
      <c r="O14" s="516"/>
      <c r="P14" s="376"/>
      <c r="Q14" s="1367"/>
      <c r="R14" s="142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2"/>
      <c r="AW14" s="498"/>
      <c r="AX14" s="498" t="str">
        <f>IF(T14="","",T14)</f>
        <v/>
      </c>
      <c r="AY14" s="498"/>
      <c r="AZ14" s="498"/>
    </row>
    <row s="1673" customFormat="1" customHeight="1" ht="14.25" hidden="1">
      <c r="A15" s="1366"/>
      <c r="B15" s="1366"/>
      <c r="C15" s="1366"/>
      <c r="D15" s="1337"/>
      <c r="E15" s="2174"/>
      <c r="F15" s="2174"/>
      <c r="G15" s="2173"/>
      <c r="H15" s="1337"/>
      <c r="I15" s="1337"/>
      <c r="J15" s="1337"/>
      <c r="K15" s="1337"/>
      <c r="L15" s="1362"/>
      <c r="M15" s="1338"/>
      <c r="N15" s="1338"/>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N15" s="1347"/>
      <c r="AO15" s="1347"/>
      <c r="AP15" s="1347"/>
      <c r="AQ15" s="1347"/>
      <c r="AR15" s="1347"/>
      <c r="AS15" s="1347"/>
      <c r="AT15" s="1347"/>
      <c r="AU15" s="1347"/>
      <c r="AW15" s="787"/>
      <c r="AX15" s="787" t="str">
        <f>IF(T15="","",T15)</f>
        <v>Добавить источник для дифференциации</v>
      </c>
      <c r="AY15" s="787"/>
      <c r="AZ15" s="787"/>
    </row>
    <row s="1673" customFormat="1" customHeight="1" ht="14.25" hidden="1">
      <c r="A16" s="1366"/>
      <c r="B16" s="1366"/>
      <c r="C16" s="1337"/>
      <c r="D16" s="1337"/>
      <c r="E16" s="2174"/>
      <c r="F16" s="2173"/>
      <c r="G16" s="1337"/>
      <c r="H16" s="1337"/>
      <c r="I16" s="1337"/>
      <c r="J16" s="1337"/>
      <c r="K16" s="1337"/>
      <c r="L16" s="1362"/>
      <c r="M16" s="1344"/>
      <c r="N16" s="1344"/>
      <c r="P16" s="1339"/>
      <c r="Q16" s="1340"/>
      <c r="R16" s="1339"/>
      <c r="S16" s="1345"/>
      <c r="T16" s="1348" t="s">
        <v>433</v>
      </c>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W16" s="787"/>
      <c r="AX16" s="787" t="str">
        <f>IF(T16="","",T16)</f>
        <v>Добавить централизованную систему для дифференциации</v>
      </c>
      <c r="AY16" s="787"/>
      <c r="AZ16" s="787"/>
    </row>
    <row s="1673" customFormat="1" customHeight="1" ht="14.25" hidden="1">
      <c r="A17" s="1366"/>
      <c r="B17" s="1366"/>
      <c r="C17" s="1366"/>
      <c r="D17" s="1366"/>
      <c r="E17" s="2173"/>
      <c r="F17" s="1366"/>
      <c r="G17" s="1366"/>
      <c r="H17" s="1366"/>
      <c r="I17" s="1366"/>
      <c r="J17" s="1366"/>
      <c r="K17" s="1366"/>
      <c r="L17" s="1369"/>
      <c r="M17" s="1344"/>
      <c r="N17" s="1344"/>
      <c r="O17" s="516"/>
      <c r="P17" s="376"/>
      <c r="Q17" s="1367"/>
      <c r="R17" s="376"/>
      <c r="S17" s="1345"/>
      <c r="T17" s="1348" t="s">
        <v>434</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W17" s="498"/>
      <c r="AX17" s="498" t="str">
        <f>IF(T17="","",T17)</f>
        <v>Добавить территорию для дифференциации</v>
      </c>
      <c r="AY17" s="498"/>
      <c r="AZ17" s="498"/>
    </row>
    <row customHeight="1" ht="14.25" hidden="1">
      <c r="AA18" s="315"/>
      <c r="AS18" s="315"/>
    </row>
    <row customHeight="1" ht="14.25" hidden="1">
      <c r="AB19" s="1347" t="s">
        <v>56</v>
      </c>
      <c r="AC19" s="1524"/>
      <c r="AD19" s="546">
        <v>1</v>
      </c>
      <c r="AE19" s="1525"/>
      <c r="AF19" s="1347" t="s">
        <v>56</v>
      </c>
      <c r="AG19" s="1524"/>
      <c r="AH19" s="546">
        <v>1</v>
      </c>
      <c r="AI19" s="1525"/>
      <c r="AJ19" s="1347" t="s">
        <v>56</v>
      </c>
      <c r="AK19" s="1526"/>
      <c r="AL19" s="546">
        <v>1</v>
      </c>
      <c r="AM19" s="1529"/>
      <c r="AN19" s="1426"/>
      <c r="AO19" s="1427"/>
      <c r="AP19" s="1766"/>
      <c r="AQ19" s="1483" t="s">
        <v>58</v>
      </c>
      <c r="AR19" s="1766"/>
      <c r="AS19" s="1483" t="s">
        <v>58</v>
      </c>
    </row>
    <row customHeight="1" ht="14.25" hidden="1">
      <c r="AV20" s="494"/>
      <c r="AW20" s="494"/>
      <c r="AX20" s="494"/>
      <c r="AY20" s="494"/>
      <c r="AZ20" s="494"/>
    </row>
    <row customHeight="1" ht="14.25" hidden="1">
      <c r="O21" s="1390" t="s">
        <v>476</v>
      </c>
      <c r="X21" s="1368"/>
      <c r="Z21" s="1368"/>
      <c r="AA21" s="315"/>
      <c r="AP21" s="1368"/>
      <c r="AR21" s="1368"/>
      <c r="AS21" s="315"/>
      <c r="AV21" s="494"/>
      <c r="AW21" s="494"/>
      <c r="AX21" s="494"/>
      <c r="AY21" s="494"/>
      <c r="AZ21" s="494"/>
    </row>
    <row customHeight="1" ht="14.25" hidden="1">
      <c r="AA22" s="315"/>
      <c r="AS22" s="315"/>
      <c r="AV22" s="494"/>
      <c r="AW22" s="494"/>
      <c r="AX22" s="494"/>
      <c r="AY22" s="494"/>
      <c r="AZ22" s="494"/>
    </row>
    <row s="1532" customFormat="1" customHeight="1" ht="14.25" hidden="1">
      <c r="M23" s="1531"/>
      <c r="N23" s="1531"/>
      <c r="O23" s="1532" t="s">
        <v>477</v>
      </c>
      <c r="P23" s="1531"/>
      <c r="Q23" s="1533"/>
      <c r="R23" s="1533"/>
      <c r="Y23" s="1530" t="s">
        <v>479</v>
      </c>
      <c r="AA23" s="1530" t="s">
        <v>480</v>
      </c>
      <c r="AB23" s="1530" t="s">
        <v>540</v>
      </c>
      <c r="AE23" s="1530" t="s">
        <v>541</v>
      </c>
      <c r="AF23" s="1530" t="s">
        <v>540</v>
      </c>
      <c r="AI23" s="1530" t="s">
        <v>542</v>
      </c>
      <c r="AJ23" s="1530" t="s">
        <v>540</v>
      </c>
      <c r="AM23" s="1530" t="s">
        <v>543</v>
      </c>
      <c r="AQ23" s="1530" t="s">
        <v>479</v>
      </c>
      <c r="AS23" s="1530" t="s">
        <v>480</v>
      </c>
      <c r="AV23" s="1534"/>
      <c r="AW23" s="1534"/>
      <c r="AX23" s="1534"/>
      <c r="AY23" s="1534"/>
      <c r="AZ23" s="1534"/>
    </row>
    <row customHeight="1" ht="14.25" hidden="1">
      <c r="O24" s="1387"/>
      <c r="AV24" s="494"/>
      <c r="AW24" s="494"/>
      <c r="AX24" s="494"/>
      <c r="AY24" s="494"/>
      <c r="AZ24" s="494"/>
    </row>
    <row customHeight="1" ht="14.25" hidden="1">
      <c r="O25" s="1387"/>
      <c r="AV25" s="494"/>
      <c r="AW25" s="494"/>
      <c r="AX25" s="494"/>
      <c r="AY25" s="494"/>
      <c r="AZ25" s="494"/>
    </row>
    <row customHeight="1" ht="14.25">
      <c r="Q26" s="272"/>
      <c r="R26" s="368"/>
      <c r="S26" s="1298"/>
      <c r="T26" s="353"/>
      <c r="U26" s="353"/>
      <c r="V26" s="507"/>
      <c r="W26" s="507"/>
      <c r="X26" s="507"/>
      <c r="Y26" s="507"/>
      <c r="Z26" s="507"/>
      <c r="AA26" s="507"/>
      <c r="AB26" s="507"/>
      <c r="AC26" s="507"/>
      <c r="AD26" s="507"/>
      <c r="AE26" s="507"/>
      <c r="AF26" s="507"/>
      <c r="AG26" s="507"/>
      <c r="AH26" s="507"/>
      <c r="AI26" s="507"/>
      <c r="AJ26" s="507"/>
      <c r="AK26" s="507"/>
      <c r="AL26" s="507"/>
      <c r="AM26" s="507"/>
      <c r="AN26" s="507"/>
      <c r="AO26" s="507"/>
      <c r="AP26" s="507"/>
      <c r="AQ26" s="507"/>
      <c r="AR26" s="507"/>
      <c r="AS26" s="507"/>
    </row>
    <row customHeight="1" ht="33.75">
      <c r="Q27" s="272"/>
      <c r="R27" s="368"/>
      <c r="S27" s="21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3"/>
      <c r="U27" s="2163"/>
      <c r="V27" s="2163"/>
      <c r="W27" s="2163"/>
      <c r="X27" s="2163"/>
      <c r="Y27" s="2163"/>
      <c r="Z27" s="2163"/>
      <c r="AA27" s="2163"/>
      <c r="AB27" s="2163"/>
      <c r="AC27" s="2163"/>
      <c r="AD27" s="2163"/>
      <c r="AE27" s="2163"/>
      <c r="AF27" s="2163"/>
      <c r="AG27" s="2163"/>
      <c r="AH27" s="2163"/>
      <c r="AI27" s="2163"/>
      <c r="AJ27" s="2163"/>
      <c r="AK27" s="2163"/>
      <c r="AL27" s="2163"/>
      <c r="AM27" s="2163"/>
      <c r="AN27" s="2163"/>
      <c r="AO27" s="2163"/>
      <c r="AP27" s="2163"/>
      <c r="AQ27" s="2163"/>
      <c r="AR27" s="2163"/>
      <c r="AS27" s="1254"/>
    </row>
    <row customHeight="1" ht="14.25">
      <c r="Q28" s="272"/>
      <c r="R28" s="368"/>
      <c r="S28" s="2164" t="str">
        <f>IF(org=0,"Не определено",org)</f>
        <v>ПАО "ТГК-2"</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1254"/>
    </row>
    <row customHeight="1" ht="14.25" hidden="1">
      <c r="Q29" s="272"/>
      <c r="R29" s="368"/>
      <c r="S29" s="1298"/>
      <c r="T29" s="353"/>
      <c r="U29" s="353"/>
      <c r="V29" s="308"/>
      <c r="W29" s="308"/>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507"/>
    </row>
    <row s="1888" customFormat="1" customHeight="1" ht="25.5" hidden="1">
      <c r="A30" s="1391"/>
      <c r="B30" s="1391"/>
      <c r="C30" s="1391"/>
      <c r="D30" s="1391"/>
      <c r="E30" s="1391"/>
      <c r="F30" s="1391"/>
      <c r="G30" s="1391"/>
      <c r="H30" s="1391"/>
      <c r="I30" s="1391"/>
      <c r="J30" s="1391"/>
      <c r="K30" s="1391"/>
      <c r="L30" s="1392"/>
      <c r="M30" s="1391"/>
      <c r="N30" s="1391"/>
      <c r="O30" s="1391"/>
      <c r="P30" s="1391"/>
      <c r="Q30" s="1391"/>
      <c r="S30" s="2165" t="s">
        <v>39</v>
      </c>
      <c r="T30" s="2165"/>
      <c r="U30" s="1395"/>
      <c r="V30" s="2166"/>
      <c r="W30" s="2166"/>
      <c r="X30" s="2166"/>
      <c r="Y30" s="2166"/>
      <c r="Z30" s="2166"/>
      <c r="AA30" s="314"/>
      <c r="AB30" s="2166" t="str">
        <f>IF(TITLE_NAME_OR_PR_CHANGE="",IF(TITLE_NAME_OR_PR="","",TITLE_NAME_OR_PR),TITLE_NAME_OR_PR_CHANGE)</f>
        <v/>
      </c>
      <c r="AC30" s="2166"/>
      <c r="AD30" s="2166"/>
      <c r="AE30" s="2166"/>
      <c r="AF30" s="2166"/>
      <c r="AG30" s="2166"/>
      <c r="AH30" s="2166"/>
      <c r="AI30" s="2166"/>
      <c r="AJ30" s="2166"/>
      <c r="AK30" s="2166"/>
      <c r="AL30" s="2166"/>
      <c r="AM30" s="2166"/>
      <c r="AN30" s="2166"/>
      <c r="AO30" s="2166"/>
      <c r="AP30" s="2166"/>
      <c r="AQ30" s="2166"/>
      <c r="AR30" s="2166"/>
      <c r="AS30" s="314"/>
      <c r="AT30" s="314"/>
      <c r="AU30" s="261"/>
      <c r="AV30" s="360"/>
      <c r="AW30" s="360"/>
      <c r="AX30" s="360"/>
      <c r="AY30" s="360"/>
      <c r="AZ30" s="360"/>
    </row>
    <row s="1888" customFormat="1" customHeight="1" ht="18.75" hidden="1">
      <c r="A31" s="1391"/>
      <c r="B31" s="1391"/>
      <c r="C31" s="1391"/>
      <c r="D31" s="1391"/>
      <c r="E31" s="1391"/>
      <c r="F31" s="1391"/>
      <c r="G31" s="1391"/>
      <c r="H31" s="1391"/>
      <c r="I31" s="1391"/>
      <c r="J31" s="1391"/>
      <c r="K31" s="1391"/>
      <c r="L31" s="1392"/>
      <c r="M31" s="1391"/>
      <c r="N31" s="1391"/>
      <c r="O31" s="1391"/>
      <c r="P31" s="1391"/>
      <c r="Q31" s="1391"/>
      <c r="S31" s="2165" t="s">
        <v>482</v>
      </c>
      <c r="T31" s="2165"/>
      <c r="U31" s="1395"/>
      <c r="V31" s="2179"/>
      <c r="W31" s="2179"/>
      <c r="X31" s="2179"/>
      <c r="Y31" s="2179"/>
      <c r="Z31" s="2179"/>
      <c r="AA31" s="314"/>
      <c r="AB31" s="2179" t="str">
        <f>IF(TITLE_DATE_CHANGE_PERIOD="",IF(TITLE_DATE_PR="","",TITLE_DATE_PR),TITLE_DATE_CHANGE_PERIOD)</f>
        <v/>
      </c>
      <c r="AC31" s="2179"/>
      <c r="AD31" s="2179"/>
      <c r="AE31" s="2179"/>
      <c r="AF31" s="2179"/>
      <c r="AG31" s="2179"/>
      <c r="AH31" s="2179"/>
      <c r="AI31" s="2179"/>
      <c r="AJ31" s="2179"/>
      <c r="AK31" s="2179"/>
      <c r="AL31" s="2179"/>
      <c r="AM31" s="2179"/>
      <c r="AN31" s="2179"/>
      <c r="AO31" s="2179"/>
      <c r="AP31" s="2179"/>
      <c r="AQ31" s="2179"/>
      <c r="AR31" s="2179"/>
      <c r="AS31" s="314"/>
      <c r="AT31" s="314"/>
      <c r="AU31" s="261"/>
      <c r="AV31" s="360"/>
      <c r="AW31" s="360"/>
      <c r="AX31" s="360"/>
      <c r="AY31" s="360"/>
      <c r="AZ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483</v>
      </c>
      <c r="T32" s="2165"/>
      <c r="U32" s="1395"/>
      <c r="V32" s="2166"/>
      <c r="W32" s="2166"/>
      <c r="X32" s="2166"/>
      <c r="Y32" s="2166"/>
      <c r="Z32" s="2166"/>
      <c r="AA32" s="314"/>
      <c r="AB32" s="2166" t="str">
        <f>IF(TITLE_NUMBER_PR_CHANGE="",IF(TITLE_NUMBER_PR="","",TITLE_NUMBER_PR),TITLE_NUMBER_PR_CHANGE)</f>
        <v/>
      </c>
      <c r="AC32" s="2166"/>
      <c r="AD32" s="2166"/>
      <c r="AE32" s="2166"/>
      <c r="AF32" s="2166"/>
      <c r="AG32" s="2166"/>
      <c r="AH32" s="2166"/>
      <c r="AI32" s="2166"/>
      <c r="AJ32" s="2166"/>
      <c r="AK32" s="2166"/>
      <c r="AL32" s="2166"/>
      <c r="AM32" s="2166"/>
      <c r="AN32" s="2166"/>
      <c r="AO32" s="2166"/>
      <c r="AP32" s="2166"/>
      <c r="AQ32" s="2166"/>
      <c r="AR32" s="2166"/>
      <c r="AS32" s="314"/>
      <c r="AT32" s="314"/>
      <c r="AU32" s="261"/>
      <c r="AV32" s="360"/>
      <c r="AW32" s="360"/>
      <c r="AX32" s="360"/>
      <c r="AY32" s="360"/>
      <c r="AZ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40</v>
      </c>
      <c r="T33" s="2165"/>
      <c r="U33" s="1395"/>
      <c r="V33" s="2166"/>
      <c r="W33" s="2166"/>
      <c r="X33" s="2166"/>
      <c r="Y33" s="2166"/>
      <c r="Z33" s="2166"/>
      <c r="AA33" s="314"/>
      <c r="AB33" s="2166" t="str">
        <f>IF(TITLE_IST_PUB_CHANGE="",IF(TITLE_IST_PUB="","",TITLE_IST_PUB),TITLE_IST_PUB_CHANGE)</f>
        <v/>
      </c>
      <c r="AC33" s="2166"/>
      <c r="AD33" s="2166"/>
      <c r="AE33" s="2166"/>
      <c r="AF33" s="2166"/>
      <c r="AG33" s="2166"/>
      <c r="AH33" s="2166"/>
      <c r="AI33" s="2166"/>
      <c r="AJ33" s="2166"/>
      <c r="AK33" s="2166"/>
      <c r="AL33" s="2166"/>
      <c r="AM33" s="2166"/>
      <c r="AN33" s="2166"/>
      <c r="AO33" s="2166"/>
      <c r="AP33" s="2166"/>
      <c r="AQ33" s="2166"/>
      <c r="AR33" s="2166"/>
      <c r="AS33" s="314"/>
      <c r="AT33" s="314"/>
      <c r="AU33" s="261"/>
      <c r="AV33" s="360"/>
      <c r="AW33" s="360"/>
      <c r="AX33" s="360"/>
      <c r="AY33" s="360"/>
      <c r="AZ33" s="360"/>
    </row>
    <row customHeight="1" ht="14.25" hidden="1">
      <c r="Q34" s="272"/>
      <c r="R34" s="368"/>
      <c r="S34" s="1298"/>
      <c r="T34" s="353"/>
      <c r="U34" s="353"/>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507"/>
    </row>
    <row s="1888" customFormat="1" customHeight="1" ht="18.75" hidden="1">
      <c r="A35" s="1391"/>
      <c r="B35" s="1391"/>
      <c r="C35" s="1391"/>
      <c r="D35" s="1391"/>
      <c r="E35" s="1391"/>
      <c r="F35" s="1391"/>
      <c r="G35" s="1391"/>
      <c r="H35" s="1391"/>
      <c r="I35" s="1391"/>
      <c r="J35" s="1391"/>
      <c r="K35" s="1391"/>
      <c r="L35" s="1392"/>
      <c r="M35" s="1391"/>
      <c r="N35" s="1391"/>
      <c r="O35" s="1391"/>
      <c r="P35" s="1391"/>
      <c r="Q35" s="1391"/>
      <c r="S35" s="2165" t="s">
        <v>482</v>
      </c>
      <c r="T35" s="2165"/>
      <c r="U35" s="1395"/>
      <c r="V35" s="2179"/>
      <c r="W35" s="2179"/>
      <c r="X35" s="2179"/>
      <c r="Y35" s="2179"/>
      <c r="Z35" s="2179"/>
      <c r="AA35" s="314"/>
      <c r="AB35" s="2179" t="str">
        <f>IF(TITLE_DATE_CHANGE_PERIOD="",IF(TITLE_DATE_PR="","",TITLE_DATE_PR),TITLE_DATE_CHANGE_PERIOD)</f>
        <v/>
      </c>
      <c r="AC35" s="2179"/>
      <c r="AD35" s="2179"/>
      <c r="AE35" s="2179"/>
      <c r="AF35" s="2179"/>
      <c r="AG35" s="2179"/>
      <c r="AH35" s="2179"/>
      <c r="AI35" s="2179"/>
      <c r="AJ35" s="2179"/>
      <c r="AK35" s="2179"/>
      <c r="AL35" s="2179"/>
      <c r="AM35" s="2179"/>
      <c r="AN35" s="2179"/>
      <c r="AO35" s="2179"/>
      <c r="AP35" s="2179"/>
      <c r="AQ35" s="2179"/>
      <c r="AR35" s="2179"/>
      <c r="AS35" s="314"/>
      <c r="AT35" s="314"/>
      <c r="AU35" s="261"/>
      <c r="AV35" s="360"/>
      <c r="AW35" s="360"/>
      <c r="AX35" s="360"/>
      <c r="AY35" s="360"/>
      <c r="AZ35" s="360"/>
    </row>
    <row s="1888" customFormat="1" customHeight="1" ht="18" hidden="1">
      <c r="A36" s="1391"/>
      <c r="B36" s="1391"/>
      <c r="C36" s="1391"/>
      <c r="D36" s="1391"/>
      <c r="E36" s="1391"/>
      <c r="F36" s="1391"/>
      <c r="G36" s="1391"/>
      <c r="H36" s="1391"/>
      <c r="I36" s="1391"/>
      <c r="J36" s="1391"/>
      <c r="K36" s="1391"/>
      <c r="L36" s="1392"/>
      <c r="M36" s="1391"/>
      <c r="N36" s="1391"/>
      <c r="O36" s="1391"/>
      <c r="P36" s="1391"/>
      <c r="Q36" s="1391"/>
      <c r="S36" s="2165" t="s">
        <v>483</v>
      </c>
      <c r="T36" s="2165"/>
      <c r="U36" s="1395"/>
      <c r="V36" s="2166"/>
      <c r="W36" s="2166"/>
      <c r="X36" s="2166"/>
      <c r="Y36" s="2166"/>
      <c r="Z36" s="2166"/>
      <c r="AA36" s="314"/>
      <c r="AB36" s="2166" t="str">
        <f>IF(TITLE_NUMBER_PR_CHANGE="",IF(TITLE_NUMBER_PR="","",TITLE_NUMBER_PR),TITLE_NUMBER_PR_CHANGE)</f>
        <v/>
      </c>
      <c r="AC36" s="2166"/>
      <c r="AD36" s="2166"/>
      <c r="AE36" s="2166"/>
      <c r="AF36" s="2166"/>
      <c r="AG36" s="2166"/>
      <c r="AH36" s="2166"/>
      <c r="AI36" s="2166"/>
      <c r="AJ36" s="2166"/>
      <c r="AK36" s="2166"/>
      <c r="AL36" s="2166"/>
      <c r="AM36" s="2166"/>
      <c r="AN36" s="2166"/>
      <c r="AO36" s="2166"/>
      <c r="AP36" s="2166"/>
      <c r="AQ36" s="2166"/>
      <c r="AR36" s="2166"/>
      <c r="AS36" s="314"/>
      <c r="AT36" s="314"/>
      <c r="AU36" s="261"/>
      <c r="AV36" s="360"/>
      <c r="AW36" s="360"/>
      <c r="AX36" s="360"/>
      <c r="AY36" s="360"/>
      <c r="AZ36" s="360"/>
    </row>
    <row s="1888" customFormat="1" customHeight="1" ht="0.75">
      <c r="A37" s="1391"/>
      <c r="B37" s="1391"/>
      <c r="C37" s="1391"/>
      <c r="D37" s="1391"/>
      <c r="E37" s="1391"/>
      <c r="F37" s="1391"/>
      <c r="G37" s="1391"/>
      <c r="H37" s="1391"/>
      <c r="I37" s="1391"/>
      <c r="J37" s="1391"/>
      <c r="K37" s="1391"/>
      <c r="L37" s="1392"/>
      <c r="M37" s="1391"/>
      <c r="N37" s="1391"/>
      <c r="O37" s="1391"/>
      <c r="P37" s="1391"/>
      <c r="Q37" s="1391"/>
      <c r="S37" s="310"/>
      <c r="T37" s="310"/>
      <c r="U37" s="1363"/>
      <c r="V37" s="314"/>
      <c r="W37" s="314"/>
      <c r="X37" s="314"/>
      <c r="Y37" s="314"/>
      <c r="Z37" s="314"/>
      <c r="AA37" s="259" t="s">
        <v>486</v>
      </c>
      <c r="AB37" s="314"/>
      <c r="AC37" s="314"/>
      <c r="AD37" s="314"/>
      <c r="AE37" s="314"/>
      <c r="AF37" s="314"/>
      <c r="AG37" s="314"/>
      <c r="AH37" s="314"/>
      <c r="AI37" s="314"/>
      <c r="AJ37" s="314"/>
      <c r="AK37" s="314"/>
      <c r="AL37" s="314"/>
      <c r="AM37" s="314"/>
      <c r="AN37" s="314"/>
      <c r="AO37" s="314"/>
      <c r="AP37" s="314"/>
      <c r="AQ37" s="314"/>
      <c r="AR37" s="314"/>
      <c r="AS37" s="259" t="s">
        <v>486</v>
      </c>
      <c r="AV37" s="360"/>
      <c r="AW37" s="360"/>
      <c r="AX37" s="360"/>
      <c r="AY37" s="360"/>
      <c r="AZ37" s="360"/>
    </row>
    <row customHeight="1" ht="14.25">
      <c r="Q38" s="272"/>
      <c r="R38" s="368"/>
      <c r="S38" s="1298"/>
      <c r="T38" s="353"/>
      <c r="U38" s="1255"/>
      <c r="V38" s="2167"/>
      <c r="W38" s="2167"/>
      <c r="X38" s="2167"/>
      <c r="Y38" s="2167"/>
      <c r="Z38" s="2167"/>
      <c r="AA38" s="2167"/>
      <c r="AB38" s="2167"/>
      <c r="AC38" s="2167"/>
      <c r="AD38" s="2167"/>
      <c r="AE38" s="2167"/>
      <c r="AF38" s="2167"/>
      <c r="AG38" s="2167"/>
      <c r="AH38" s="2167"/>
      <c r="AI38" s="2167"/>
      <c r="AJ38" s="2167"/>
      <c r="AK38" s="2167"/>
      <c r="AL38" s="2167"/>
      <c r="AM38" s="2167"/>
      <c r="AN38" s="2167"/>
      <c r="AO38" s="2167"/>
      <c r="AP38" s="2167"/>
      <c r="AQ38" s="2167"/>
      <c r="AR38" s="2167"/>
      <c r="AS38" s="2167"/>
    </row>
    <row customHeight="1" ht="14.25">
      <c r="Q39" s="272"/>
      <c r="R39" s="368"/>
      <c r="S39" s="1948" t="s">
        <v>290</v>
      </c>
      <c r="T39" s="1948"/>
      <c r="U39" s="1948"/>
      <c r="V39" s="1948"/>
      <c r="W39" s="1948"/>
      <c r="X39" s="1948"/>
      <c r="Y39" s="1948"/>
      <c r="Z39" s="1948"/>
      <c r="AA39" s="1948"/>
      <c r="AB39" s="1994"/>
      <c r="AC39" s="1994"/>
      <c r="AD39" s="1994"/>
      <c r="AE39" s="1994"/>
      <c r="AF39" s="1948"/>
      <c r="AG39" s="1948"/>
      <c r="AH39" s="1948"/>
      <c r="AI39" s="1948"/>
      <c r="AJ39" s="1948"/>
      <c r="AK39" s="1948"/>
      <c r="AL39" s="1948"/>
      <c r="AM39" s="1948"/>
      <c r="AN39" s="1948"/>
      <c r="AO39" s="1948"/>
      <c r="AP39" s="1948"/>
      <c r="AQ39" s="1948"/>
      <c r="AR39" s="1948"/>
      <c r="AS39" s="1948"/>
      <c r="AT39" s="1948"/>
      <c r="AU39" s="1948" t="s">
        <v>291</v>
      </c>
    </row>
    <row customHeight="1" ht="14.25">
      <c r="Q40" s="272"/>
      <c r="R40" s="368"/>
      <c r="S40" s="2188" t="s">
        <v>87</v>
      </c>
      <c r="T40" s="2029" t="s">
        <v>544</v>
      </c>
      <c r="U40" s="281"/>
      <c r="V40" s="2190"/>
      <c r="W40" s="2190"/>
      <c r="X40" s="2190"/>
      <c r="Y40" s="2190"/>
      <c r="Z40" s="2191"/>
      <c r="AA40" s="2243" t="s">
        <v>489</v>
      </c>
      <c r="AB40" s="2235" t="s">
        <v>545</v>
      </c>
      <c r="AC40" s="2204"/>
      <c r="AD40" s="2204"/>
      <c r="AE40" s="2236"/>
      <c r="AF40" s="2204" t="s">
        <v>546</v>
      </c>
      <c r="AG40" s="2204"/>
      <c r="AH40" s="2204"/>
      <c r="AI40" s="2236"/>
      <c r="AJ40" s="2235" t="s">
        <v>547</v>
      </c>
      <c r="AK40" s="2204"/>
      <c r="AL40" s="2204"/>
      <c r="AM40" s="2236"/>
      <c r="AN40" s="2235" t="s">
        <v>488</v>
      </c>
      <c r="AO40" s="2204"/>
      <c r="AP40" s="2190"/>
      <c r="AQ40" s="2190"/>
      <c r="AR40" s="2191"/>
      <c r="AS40" s="2192" t="s">
        <v>489</v>
      </c>
      <c r="AT40" s="2195" t="s">
        <v>491</v>
      </c>
      <c r="AU40" s="1948"/>
    </row>
    <row customHeight="1" ht="33.75">
      <c r="Q41" s="272"/>
      <c r="R41" s="368"/>
      <c r="S41" s="2188"/>
      <c r="T41" s="2029"/>
      <c r="U41" s="1032"/>
      <c r="V41" s="2011" t="s">
        <v>548</v>
      </c>
      <c r="W41" s="2012"/>
      <c r="X41" s="2207" t="s">
        <v>495</v>
      </c>
      <c r="Y41" s="2220"/>
      <c r="Z41" s="2221"/>
      <c r="AA41" s="2244"/>
      <c r="AB41" s="2237"/>
      <c r="AC41" s="2238"/>
      <c r="AD41" s="2238"/>
      <c r="AE41" s="2239"/>
      <c r="AF41" s="2238"/>
      <c r="AG41" s="2238"/>
      <c r="AH41" s="2238"/>
      <c r="AI41" s="2239"/>
      <c r="AJ41" s="2237"/>
      <c r="AK41" s="2238"/>
      <c r="AL41" s="2238"/>
      <c r="AM41" s="2238"/>
      <c r="AN41" s="1948" t="s">
        <v>549</v>
      </c>
      <c r="AO41" s="1948"/>
      <c r="AP41" s="2220" t="s">
        <v>495</v>
      </c>
      <c r="AQ41" s="2220"/>
      <c r="AR41" s="2221"/>
      <c r="AS41" s="2193"/>
      <c r="AT41" s="2196"/>
      <c r="AU41" s="1948"/>
    </row>
    <row customHeight="1" ht="14.25">
      <c r="Q42" s="272"/>
      <c r="R42" s="368"/>
      <c r="S42" s="2188"/>
      <c r="T42" s="2029"/>
      <c r="U42" s="1032"/>
      <c r="V42" s="2019"/>
      <c r="W42" s="2020"/>
      <c r="X42" s="2208"/>
      <c r="Y42" s="2222"/>
      <c r="Z42" s="2223"/>
      <c r="AA42" s="2244"/>
      <c r="AB42" s="2237"/>
      <c r="AC42" s="2238"/>
      <c r="AD42" s="2238"/>
      <c r="AE42" s="2239"/>
      <c r="AF42" s="2238"/>
      <c r="AG42" s="2238"/>
      <c r="AH42" s="2238"/>
      <c r="AI42" s="2239"/>
      <c r="AJ42" s="2237"/>
      <c r="AK42" s="2238"/>
      <c r="AL42" s="2238"/>
      <c r="AM42" s="2238"/>
      <c r="AN42" s="2246"/>
      <c r="AO42" s="2246"/>
      <c r="AP42" s="2222"/>
      <c r="AQ42" s="2222"/>
      <c r="AR42" s="2223"/>
      <c r="AS42" s="2193"/>
      <c r="AT42" s="2196"/>
      <c r="AU42" s="1948"/>
    </row>
    <row customHeight="1" ht="14.25">
      <c r="A43" s="1393"/>
      <c r="B43" s="1393" t="s">
        <v>139</v>
      </c>
      <c r="C43" s="1393" t="s">
        <v>140</v>
      </c>
      <c r="D43" s="1393" t="s">
        <v>141</v>
      </c>
      <c r="E43" s="1387" t="s">
        <v>496</v>
      </c>
      <c r="F43" s="1387" t="s">
        <v>497</v>
      </c>
      <c r="G43" s="1387" t="s">
        <v>498</v>
      </c>
      <c r="H43" s="1387" t="s">
        <v>499</v>
      </c>
      <c r="I43" s="1387" t="s">
        <v>500</v>
      </c>
      <c r="J43" s="1387" t="s">
        <v>501</v>
      </c>
      <c r="K43" s="1387" t="s">
        <v>502</v>
      </c>
      <c r="L43" s="1387" t="s">
        <v>477</v>
      </c>
      <c r="Q43" s="272"/>
      <c r="R43" s="368"/>
      <c r="S43" s="2188"/>
      <c r="T43" s="2029"/>
      <c r="U43" s="282"/>
      <c r="V43" s="1353" t="s">
        <v>550</v>
      </c>
      <c r="W43" s="1353" t="s">
        <v>551</v>
      </c>
      <c r="X43" s="1361" t="s">
        <v>505</v>
      </c>
      <c r="Y43" s="2185" t="s">
        <v>506</v>
      </c>
      <c r="Z43" s="2186"/>
      <c r="AA43" s="2245"/>
      <c r="AB43" s="2240"/>
      <c r="AC43" s="2241"/>
      <c r="AD43" s="2241"/>
      <c r="AE43" s="2242"/>
      <c r="AF43" s="2241"/>
      <c r="AG43" s="2241"/>
      <c r="AH43" s="2241"/>
      <c r="AI43" s="2242"/>
      <c r="AJ43" s="2240"/>
      <c r="AK43" s="2241"/>
      <c r="AL43" s="2241"/>
      <c r="AM43" s="2242"/>
      <c r="AN43" s="1897" t="s">
        <v>550</v>
      </c>
      <c r="AO43" s="1897" t="s">
        <v>551</v>
      </c>
      <c r="AP43" s="1361" t="s">
        <v>505</v>
      </c>
      <c r="AQ43" s="2185" t="s">
        <v>506</v>
      </c>
      <c r="AR43" s="2186"/>
      <c r="AS43" s="2194"/>
      <c r="AT43" s="2197"/>
      <c r="AU43" s="1948"/>
    </row>
    <row s="1672" customFormat="1" customHeight="1" ht="11.25" hidden="1">
      <c r="A44" s="1393"/>
      <c r="B44" s="1393"/>
      <c r="C44" s="1393"/>
      <c r="D44" s="1393"/>
      <c r="E44" s="1393"/>
      <c r="F44" s="1393"/>
      <c r="G44" s="1393"/>
      <c r="H44" s="1393"/>
      <c r="I44" s="1393"/>
      <c r="J44" s="1393"/>
      <c r="K44" s="1393"/>
      <c r="L44" s="1387"/>
      <c r="M44" s="1385"/>
      <c r="N44" s="1385"/>
      <c r="O44" s="1385"/>
      <c r="P44" s="508"/>
      <c r="Q44" s="1273"/>
      <c r="R44" s="1273">
        <v>1</v>
      </c>
      <c r="S44" s="1300" t="s">
        <v>108</v>
      </c>
      <c r="T44" s="1274" t="s">
        <v>109</v>
      </c>
      <c r="U44" s="1256" t="str">
        <f>OFFSET(U44,0,-1)</f>
        <v>2</v>
      </c>
      <c r="V44" s="1358">
        <f>OFFSET(V44,0,-1)+1</f>
        <v>3</v>
      </c>
      <c r="W44" s="1358">
        <f>OFFSET(W44,0,-1)+1</f>
        <v>4</v>
      </c>
      <c r="X44" s="1358">
        <f>OFFSET(X44,0,-1)+1</f>
        <v>5</v>
      </c>
      <c r="Y44" s="2187">
        <f>OFFSET(Y44,0,-1)+1</f>
        <v>6</v>
      </c>
      <c r="Z44" s="2187"/>
      <c r="AA44" s="1358">
        <f>OFFSET(AA44,0,-2)+1</f>
        <v>7</v>
      </c>
      <c r="AB44" s="1364">
        <f>OFFSET(AB44,0,-1)+1</f>
        <v>8</v>
      </c>
      <c r="AC44" s="1364"/>
      <c r="AD44" s="1364"/>
      <c r="AE44" s="1364"/>
      <c r="AF44" s="1358"/>
      <c r="AG44" s="1358"/>
      <c r="AH44" s="1358"/>
      <c r="AI44" s="1358"/>
      <c r="AJ44" s="1358"/>
      <c r="AK44" s="1358"/>
      <c r="AL44" s="1358"/>
      <c r="AM44" s="1358"/>
      <c r="AN44" s="1358">
        <f>OFFSET(AN44,0,-1)+1</f>
        <v>1</v>
      </c>
      <c r="AO44" s="1358">
        <f>OFFSET(AO44,0,-1)+1</f>
        <v>2</v>
      </c>
      <c r="AP44" s="1358">
        <f>OFFSET(AP44,0,-1)+1</f>
        <v>3</v>
      </c>
      <c r="AQ44" s="2187">
        <f>OFFSET(AQ44,0,-1)+1</f>
        <v>4</v>
      </c>
      <c r="AR44" s="2187"/>
      <c r="AS44" s="1358">
        <f>OFFSET(AS44,0,-2)+1</f>
        <v>5</v>
      </c>
      <c r="AT44" s="1256">
        <f>OFFSET(AT44,0,-1)</f>
        <v>5</v>
      </c>
      <c r="AU44" s="1358">
        <f>OFFSET(AU44,0,-1)+1</f>
        <v>6</v>
      </c>
      <c r="AV44" s="509"/>
      <c r="AW44" s="509"/>
      <c r="AX44" s="509"/>
      <c r="AY44" s="509"/>
      <c r="AZ44" s="509"/>
    </row>
    <row customHeight="1" ht="102">
      <c r="A45" s="1386" t="s">
        <v>202</v>
      </c>
      <c r="B45" s="1386"/>
      <c r="C45" s="1386"/>
      <c r="D45" s="1386"/>
      <c r="E45" s="2173">
        <v>1</v>
      </c>
      <c r="F45" s="1386"/>
      <c r="G45" s="1386"/>
      <c r="H45" s="1386"/>
      <c r="I45" s="1386"/>
      <c r="J45" s="1386"/>
      <c r="K45" s="1386"/>
      <c r="L45" s="1387"/>
      <c r="M45" s="1388"/>
      <c r="N45" s="1388"/>
      <c r="O45" s="1388"/>
      <c r="P45" s="1432"/>
      <c r="Q45" s="871"/>
      <c r="R45" s="343"/>
      <c r="S45" s="1359">
        <f>INDEX(PT_DIFFERENTIATION_NUM_NTAR,MATCH(A45,PT_DIFFERENTIATION_NTAR_ID,0))</f>
        <v>0</v>
      </c>
      <c r="T45" s="278" t="s">
        <v>127</v>
      </c>
      <c r="U45" s="280"/>
      <c r="V45" s="2158"/>
      <c r="W45" s="2158"/>
      <c r="X45" s="2158"/>
      <c r="Y45" s="2158"/>
      <c r="Z45" s="2158"/>
      <c r="AA45" s="2159"/>
      <c r="AB45" s="2157" t="str">
        <f>INDEX(PT_DIFFERENTIATION_NTAR,MATCH(A45,PT_DIFFERENTIATION_NTAR_ID,0))</f>
        <v/>
      </c>
      <c r="AC45" s="2158"/>
      <c r="AD45" s="2158"/>
      <c r="AE45" s="2158"/>
      <c r="AF45" s="2158"/>
      <c r="AG45" s="2158"/>
      <c r="AH45" s="2158"/>
      <c r="AI45" s="2158"/>
      <c r="AJ45" s="2158"/>
      <c r="AK45" s="2158"/>
      <c r="AL45" s="2158"/>
      <c r="AM45" s="2158"/>
      <c r="AN45" s="2158"/>
      <c r="AO45" s="2158"/>
      <c r="AP45" s="2158"/>
      <c r="AQ45" s="2158"/>
      <c r="AR45" s="2158"/>
      <c r="AS45" s="2158"/>
      <c r="AT45" s="2159"/>
      <c r="AU45" s="12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98"/>
      <c r="AX45" s="498" t="str">
        <f>IF(T45="","",T45)</f>
        <v>Наименование тарифа</v>
      </c>
      <c r="AY45" s="498"/>
      <c r="AZ45" s="498"/>
    </row>
    <row customHeight="1" ht="21">
      <c r="A46" s="1386" t="s">
        <v>202</v>
      </c>
      <c r="B46" s="1386" t="s">
        <v>203</v>
      </c>
      <c r="C46" s="1386"/>
      <c r="D46" s="1386"/>
      <c r="E46" s="2174"/>
      <c r="F46" s="2173">
        <v>1</v>
      </c>
      <c r="G46" s="1386"/>
      <c r="H46" s="1386"/>
      <c r="I46" s="1386"/>
      <c r="J46" s="1386"/>
      <c r="K46" s="1386"/>
      <c r="L46" s="1387"/>
      <c r="M46" s="1388"/>
      <c r="N46" s="1388"/>
      <c r="O46" s="1388"/>
      <c r="P46" s="1433"/>
      <c r="Q46" s="1434"/>
      <c r="R46" s="341"/>
      <c r="S46" s="1359" t="str">
        <f>INDEX(PT_DIFFERENTIATION_NUM_TER,MATCH(B46,PT_DIFFERENTIATION_TER_ID,0))</f>
        <v>.</v>
      </c>
      <c r="T46" s="290" t="s">
        <v>459</v>
      </c>
      <c r="U46" s="280"/>
      <c r="V46" s="2158"/>
      <c r="W46" s="2158"/>
      <c r="X46" s="2158"/>
      <c r="Y46" s="2158"/>
      <c r="Z46" s="2158"/>
      <c r="AA46" s="2159"/>
      <c r="AB46" s="2157" t="str">
        <f>INDEX(PT_DIFFERENTIATION_TER,MATCH(B46,PT_DIFFERENTIATION_TER_ID,0))</f>
        <v/>
      </c>
      <c r="AC46" s="2158"/>
      <c r="AD46" s="2158"/>
      <c r="AE46" s="2158"/>
      <c r="AF46" s="2158"/>
      <c r="AG46" s="2158"/>
      <c r="AH46" s="2158"/>
      <c r="AI46" s="2158"/>
      <c r="AJ46" s="2158"/>
      <c r="AK46" s="2158"/>
      <c r="AL46" s="2158"/>
      <c r="AM46" s="2158"/>
      <c r="AN46" s="2158"/>
      <c r="AO46" s="2158"/>
      <c r="AP46" s="2158"/>
      <c r="AQ46" s="2158"/>
      <c r="AR46" s="2158"/>
      <c r="AS46" s="2158"/>
      <c r="AT46" s="2159"/>
      <c r="AU46" s="1279" t="s">
        <v>460</v>
      </c>
      <c r="AW46" s="498"/>
      <c r="AX46" s="498" t="str">
        <f>IF(T46="","",T46)</f>
        <v>Территория действия тарифа</v>
      </c>
      <c r="AY46" s="498"/>
      <c r="AZ46" s="498"/>
    </row>
    <row customHeight="1" ht="23.25">
      <c r="A47" s="1386" t="s">
        <v>202</v>
      </c>
      <c r="B47" s="1386" t="s">
        <v>203</v>
      </c>
      <c r="C47" s="1386" t="s">
        <v>204</v>
      </c>
      <c r="D47" s="1386"/>
      <c r="E47" s="2174"/>
      <c r="F47" s="2174"/>
      <c r="G47" s="2173">
        <v>1</v>
      </c>
      <c r="H47" s="1386"/>
      <c r="I47" s="1386"/>
      <c r="J47" s="1386"/>
      <c r="K47" s="1386"/>
      <c r="L47" s="1387"/>
      <c r="M47" s="1388"/>
      <c r="N47" s="1388"/>
      <c r="O47" s="1388"/>
      <c r="P47" s="1435"/>
      <c r="Q47" s="1434"/>
      <c r="R47" s="341"/>
      <c r="S47" s="1359" t="str">
        <f>INDEX(PT_DIFFERENTIATION_NUM_CS,MATCH(C47,PT_DIFFERENTIATION_CS_ID,0))</f>
        <v>..</v>
      </c>
      <c r="T47" s="291" t="s">
        <v>461</v>
      </c>
      <c r="U47" s="280"/>
      <c r="V47" s="2158"/>
      <c r="W47" s="2158"/>
      <c r="X47" s="2158"/>
      <c r="Y47" s="2158"/>
      <c r="Z47" s="2158"/>
      <c r="AA47" s="2159"/>
      <c r="AB47" s="2157" t="str">
        <f>INDEX(PT_DIFFERENTIATION_CS,MATCH(C47,PT_DIFFERENTIATION_CS_ID,0))</f>
        <v/>
      </c>
      <c r="AC47" s="2158"/>
      <c r="AD47" s="2158"/>
      <c r="AE47" s="2158"/>
      <c r="AF47" s="2158"/>
      <c r="AG47" s="2158"/>
      <c r="AH47" s="2158"/>
      <c r="AI47" s="2158"/>
      <c r="AJ47" s="2158"/>
      <c r="AK47" s="2158"/>
      <c r="AL47" s="2158"/>
      <c r="AM47" s="2158"/>
      <c r="AN47" s="2158"/>
      <c r="AO47" s="2158"/>
      <c r="AP47" s="2158"/>
      <c r="AQ47" s="2158"/>
      <c r="AR47" s="2158"/>
      <c r="AS47" s="2158"/>
      <c r="AT47" s="2159"/>
      <c r="AU47" s="1279" t="s">
        <v>462</v>
      </c>
      <c r="AW47" s="498"/>
      <c r="AX47" s="498" t="str">
        <f>IF(T47="","",T47)</f>
        <v>Наименование системы теплоснабжения </v>
      </c>
      <c r="AY47" s="498"/>
      <c r="AZ47" s="498"/>
    </row>
    <row customHeight="1" ht="21">
      <c r="A48" s="1386" t="s">
        <v>202</v>
      </c>
      <c r="B48" s="1386" t="s">
        <v>203</v>
      </c>
      <c r="C48" s="1386" t="s">
        <v>204</v>
      </c>
      <c r="D48" s="1386" t="s">
        <v>205</v>
      </c>
      <c r="E48" s="2174"/>
      <c r="F48" s="2174"/>
      <c r="G48" s="2174"/>
      <c r="H48" s="2173">
        <v>1</v>
      </c>
      <c r="I48" s="1386"/>
      <c r="J48" s="1386"/>
      <c r="K48" s="1386"/>
      <c r="L48" s="1387"/>
      <c r="M48" s="1388"/>
      <c r="N48" s="1388"/>
      <c r="O48" s="1388"/>
      <c r="P48" s="1435"/>
      <c r="Q48" s="1434"/>
      <c r="R48" s="341"/>
      <c r="S48" s="1359" t="str">
        <f>INDEX(PT_DIFFERENTIATION_NUM_IST_TE,MATCH(D48,PT_DIFFERENTIATION_IST_TE_ID,0))</f>
        <v>...</v>
      </c>
      <c r="T48" s="292" t="s">
        <v>463</v>
      </c>
      <c r="U48" s="280"/>
      <c r="V48" s="2158"/>
      <c r="W48" s="2158"/>
      <c r="X48" s="2158"/>
      <c r="Y48" s="2158"/>
      <c r="Z48" s="2158"/>
      <c r="AA48" s="2159"/>
      <c r="AB48" s="2157" t="str">
        <f>INDEX(PT_DIFFERENTIATION_IST_TE,MATCH(D48,PT_DIFFERENTIATION_IST_TE_ID,0))</f>
        <v/>
      </c>
      <c r="AC48" s="2158"/>
      <c r="AD48" s="2158"/>
      <c r="AE48" s="2158"/>
      <c r="AF48" s="2158"/>
      <c r="AG48" s="2158"/>
      <c r="AH48" s="2158"/>
      <c r="AI48" s="2158"/>
      <c r="AJ48" s="2158"/>
      <c r="AK48" s="2158"/>
      <c r="AL48" s="2158"/>
      <c r="AM48" s="2158"/>
      <c r="AN48" s="2158"/>
      <c r="AO48" s="2158"/>
      <c r="AP48" s="2158"/>
      <c r="AQ48" s="2158"/>
      <c r="AR48" s="2158"/>
      <c r="AS48" s="2158"/>
      <c r="AT48" s="2159"/>
      <c r="AU48" s="1279" t="s">
        <v>464</v>
      </c>
      <c r="AW48" s="498"/>
      <c r="AX48" s="498" t="str">
        <f>IF(T48="","",T48)</f>
        <v>Источник тепловой энергии  </v>
      </c>
      <c r="AY48" s="498"/>
      <c r="AZ48" s="498"/>
    </row>
    <row s="1673" customFormat="1" customHeight="1" ht="0">
      <c r="A49" s="1366" t="s">
        <v>202</v>
      </c>
      <c r="B49" s="1366" t="s">
        <v>203</v>
      </c>
      <c r="C49" s="1366" t="s">
        <v>204</v>
      </c>
      <c r="D49" s="1366" t="s">
        <v>205</v>
      </c>
      <c r="E49" s="2174"/>
      <c r="F49" s="2174"/>
      <c r="G49" s="2174"/>
      <c r="H49" s="2174"/>
      <c r="I49" s="2171" t="str">
        <f>S48&amp;".1"</f>
        <v>....1</v>
      </c>
      <c r="J49" s="1366"/>
      <c r="K49" s="1366"/>
      <c r="L49" s="1369" t="s">
        <v>465</v>
      </c>
      <c r="M49" s="508"/>
      <c r="N49" s="508"/>
      <c r="O49" s="508"/>
      <c r="P49" s="2172">
        <v>1</v>
      </c>
      <c r="Q49" s="1354"/>
      <c r="R49" s="344"/>
      <c r="S49" s="1043"/>
      <c r="T49" s="1406"/>
      <c r="U49" s="1407"/>
      <c r="V49" s="2210"/>
      <c r="W49" s="2210"/>
      <c r="X49" s="2210"/>
      <c r="Y49" s="2210"/>
      <c r="Z49" s="2210"/>
      <c r="AA49" s="2211"/>
      <c r="AB49" s="2209"/>
      <c r="AC49" s="2210"/>
      <c r="AD49" s="2210"/>
      <c r="AE49" s="2210"/>
      <c r="AF49" s="2210"/>
      <c r="AG49" s="2210"/>
      <c r="AH49" s="2210"/>
      <c r="AI49" s="2210"/>
      <c r="AJ49" s="2210"/>
      <c r="AK49" s="2210"/>
      <c r="AL49" s="2210"/>
      <c r="AM49" s="2210"/>
      <c r="AN49" s="2210"/>
      <c r="AO49" s="2210"/>
      <c r="AP49" s="2210"/>
      <c r="AQ49" s="2210"/>
      <c r="AR49" s="2210"/>
      <c r="AS49" s="2210"/>
      <c r="AT49" s="2211"/>
      <c r="AU49" s="1408"/>
      <c r="AW49" s="498"/>
      <c r="AX49" s="498" t="str">
        <f>IF(T49="","",T49)</f>
        <v/>
      </c>
      <c r="AY49" s="498"/>
      <c r="AZ49" s="498"/>
    </row>
    <row s="1673" customFormat="1" customHeight="1" ht="0">
      <c r="A50" s="1366" t="s">
        <v>202</v>
      </c>
      <c r="B50" s="1366" t="s">
        <v>203</v>
      </c>
      <c r="C50" s="1366" t="s">
        <v>204</v>
      </c>
      <c r="D50" s="1366" t="s">
        <v>205</v>
      </c>
      <c r="E50" s="2174"/>
      <c r="F50" s="2174"/>
      <c r="G50" s="2174"/>
      <c r="H50" s="2174"/>
      <c r="I50" s="2201"/>
      <c r="J50" s="2171" t="str">
        <f>S48&amp;".1"</f>
        <v>....1</v>
      </c>
      <c r="K50" s="1366"/>
      <c r="L50" s="1369"/>
      <c r="M50" s="508"/>
      <c r="N50" s="508"/>
      <c r="O50" s="508"/>
      <c r="P50" s="2172"/>
      <c r="Q50" s="2172">
        <v>1</v>
      </c>
      <c r="R50" s="345"/>
      <c r="S50" s="1043"/>
      <c r="T50" s="1422"/>
      <c r="U50" s="1407"/>
      <c r="V50" s="2210"/>
      <c r="W50" s="2210"/>
      <c r="X50" s="2210"/>
      <c r="Y50" s="2210"/>
      <c r="Z50" s="2210"/>
      <c r="AA50" s="2211"/>
      <c r="AB50" s="2209"/>
      <c r="AC50" s="2210"/>
      <c r="AD50" s="2210"/>
      <c r="AE50" s="2210"/>
      <c r="AF50" s="2210"/>
      <c r="AG50" s="2210"/>
      <c r="AH50" s="2210"/>
      <c r="AI50" s="2210"/>
      <c r="AJ50" s="2210"/>
      <c r="AK50" s="2210"/>
      <c r="AL50" s="2210"/>
      <c r="AM50" s="2210"/>
      <c r="AN50" s="2210"/>
      <c r="AO50" s="2210"/>
      <c r="AP50" s="2210"/>
      <c r="AQ50" s="2210"/>
      <c r="AR50" s="2210"/>
      <c r="AS50" s="2210"/>
      <c r="AT50" s="2211"/>
      <c r="AU50" s="1408"/>
      <c r="AW50" s="498"/>
      <c r="AX50" s="498" t="str">
        <f>IF(T50="","",T50)</f>
        <v/>
      </c>
      <c r="AY50" s="498"/>
      <c r="AZ50" s="498"/>
    </row>
    <row customHeight="1" ht="21">
      <c r="A51" s="1386" t="s">
        <v>202</v>
      </c>
      <c r="B51" s="1386" t="s">
        <v>203</v>
      </c>
      <c r="C51" s="1386" t="s">
        <v>204</v>
      </c>
      <c r="D51" s="1386" t="s">
        <v>205</v>
      </c>
      <c r="E51" s="2174"/>
      <c r="F51" s="2174"/>
      <c r="G51" s="2174"/>
      <c r="H51" s="2174"/>
      <c r="I51" s="2201"/>
      <c r="J51" s="2201"/>
      <c r="K51" s="2171" t="str">
        <f>S48&amp;".1"</f>
        <v>....1</v>
      </c>
      <c r="L51" s="1387"/>
      <c r="P51" s="2172"/>
      <c r="Q51" s="2172"/>
      <c r="R51" s="345">
        <v>1</v>
      </c>
      <c r="S51" s="2247" t="str">
        <f>$K51</f>
        <v>....1</v>
      </c>
      <c r="T51" s="2250"/>
      <c r="U51" s="280"/>
      <c r="V51" s="749"/>
      <c r="W51" s="1278"/>
      <c r="X51" s="1764"/>
      <c r="Y51" s="1482" t="s">
        <v>58</v>
      </c>
      <c r="Z51" s="1764"/>
      <c r="AA51" s="1482" t="s">
        <v>58</v>
      </c>
      <c r="AB51" s="1928" t="s">
        <v>56</v>
      </c>
      <c r="AC51" s="2233"/>
      <c r="AD51" s="2024">
        <v>1</v>
      </c>
      <c r="AE51" s="2254" t="s">
        <v>18</v>
      </c>
      <c r="AF51" s="1928" t="s">
        <v>56</v>
      </c>
      <c r="AG51" s="2233"/>
      <c r="AH51" s="2024">
        <v>1</v>
      </c>
      <c r="AI51" s="2254" t="s">
        <v>18</v>
      </c>
      <c r="AJ51" s="1928" t="s">
        <v>56</v>
      </c>
      <c r="AK51" s="293"/>
      <c r="AL51" s="1360">
        <v>1</v>
      </c>
      <c r="AM51" s="1425"/>
      <c r="AN51" s="749"/>
      <c r="AO51" s="1278"/>
      <c r="AP51" s="1764"/>
      <c r="AQ51" s="1482" t="s">
        <v>58</v>
      </c>
      <c r="AR51" s="1764"/>
      <c r="AS51" s="1482" t="s">
        <v>58</v>
      </c>
      <c r="AT51" s="1371"/>
      <c r="AU51" s="2168" t="s">
        <v>552</v>
      </c>
      <c r="AV51" s="509">
        <f>STRCHECKDATE(V54:AT54)</f>
      </c>
      <c r="AW51" s="498"/>
      <c r="AX51" s="498" t="str">
        <f>IF(T51="","",T51)</f>
        <v/>
      </c>
      <c r="AY51" s="498"/>
      <c r="AZ51" s="498"/>
    </row>
    <row customHeight="1" ht="11.25">
      <c r="A52" s="1386" t="s">
        <v>202</v>
      </c>
      <c r="B52" s="1386"/>
      <c r="C52" s="1386"/>
      <c r="D52" s="1386"/>
      <c r="E52" s="2174"/>
      <c r="F52" s="2174"/>
      <c r="G52" s="2174"/>
      <c r="H52" s="2174"/>
      <c r="I52" s="2201"/>
      <c r="J52" s="2201"/>
      <c r="K52" s="2171"/>
      <c r="L52" s="1387"/>
      <c r="P52" s="2172"/>
      <c r="Q52" s="2172"/>
      <c r="R52" s="345"/>
      <c r="S52" s="2248"/>
      <c r="T52" s="2251"/>
      <c r="U52" s="280"/>
      <c r="V52" s="1416"/>
      <c r="W52" s="1519"/>
      <c r="X52" s="1416"/>
      <c r="Y52" s="1416"/>
      <c r="Z52" s="1416"/>
      <c r="AA52" s="1416"/>
      <c r="AB52" s="1928"/>
      <c r="AC52" s="2233"/>
      <c r="AD52" s="2024"/>
      <c r="AE52" s="2254"/>
      <c r="AF52" s="1928"/>
      <c r="AG52" s="2233"/>
      <c r="AH52" s="2024"/>
      <c r="AI52" s="2254"/>
      <c r="AJ52" s="1928"/>
      <c r="AK52" s="300"/>
      <c r="AL52" s="414"/>
      <c r="AM52" s="413" t="s">
        <v>536</v>
      </c>
      <c r="AN52" s="1416"/>
      <c r="AO52" s="1519"/>
      <c r="AP52" s="1416"/>
      <c r="AQ52" s="1416"/>
      <c r="AR52" s="1416"/>
      <c r="AS52" s="1416"/>
      <c r="AT52" s="1413"/>
      <c r="AU52" s="2169"/>
      <c r="AW52" s="498"/>
      <c r="AX52" s="498"/>
      <c r="AY52" s="498"/>
      <c r="AZ52" s="498"/>
    </row>
    <row customHeight="1" ht="11.25">
      <c r="A53" s="1386" t="s">
        <v>202</v>
      </c>
      <c r="B53" s="1386"/>
      <c r="C53" s="1386"/>
      <c r="D53" s="1386"/>
      <c r="E53" s="2174"/>
      <c r="F53" s="2174"/>
      <c r="G53" s="2174"/>
      <c r="H53" s="2174"/>
      <c r="I53" s="2201"/>
      <c r="J53" s="2201"/>
      <c r="K53" s="2171"/>
      <c r="L53" s="1387"/>
      <c r="P53" s="2172"/>
      <c r="Q53" s="2172"/>
      <c r="R53" s="345"/>
      <c r="S53" s="2248"/>
      <c r="T53" s="2251"/>
      <c r="U53" s="280"/>
      <c r="V53" s="1416"/>
      <c r="W53" s="1519"/>
      <c r="X53" s="1416"/>
      <c r="Y53" s="1416"/>
      <c r="Z53" s="1416"/>
      <c r="AA53" s="1416"/>
      <c r="AB53" s="1928"/>
      <c r="AC53" s="2233"/>
      <c r="AD53" s="2024"/>
      <c r="AE53" s="2254"/>
      <c r="AF53" s="1928"/>
      <c r="AG53" s="274"/>
      <c r="AH53" s="413"/>
      <c r="AI53" s="413" t="s">
        <v>537</v>
      </c>
      <c r="AJ53" s="1416"/>
      <c r="AK53" s="1416"/>
      <c r="AL53" s="1416"/>
      <c r="AM53" s="1416"/>
      <c r="AN53" s="1416"/>
      <c r="AO53" s="1519"/>
      <c r="AP53" s="1416"/>
      <c r="AQ53" s="1416"/>
      <c r="AR53" s="1416"/>
      <c r="AS53" s="1416"/>
      <c r="AT53" s="1413"/>
      <c r="AU53" s="2169"/>
      <c r="AW53" s="498"/>
      <c r="AX53" s="498"/>
      <c r="AY53" s="498"/>
      <c r="AZ53" s="498"/>
    </row>
    <row customHeight="1" ht="11.25">
      <c r="A54" s="1386" t="s">
        <v>202</v>
      </c>
      <c r="B54" s="1386" t="s">
        <v>203</v>
      </c>
      <c r="C54" s="1386" t="s">
        <v>204</v>
      </c>
      <c r="D54" s="1386" t="s">
        <v>205</v>
      </c>
      <c r="E54" s="2174"/>
      <c r="F54" s="2174"/>
      <c r="G54" s="2174"/>
      <c r="H54" s="2174"/>
      <c r="I54" s="2201"/>
      <c r="J54" s="2201"/>
      <c r="K54" s="2171"/>
      <c r="L54" s="1387"/>
      <c r="P54" s="2172"/>
      <c r="Q54" s="2172"/>
      <c r="R54" s="345"/>
      <c r="S54" s="2249"/>
      <c r="T54" s="2252"/>
      <c r="U54" s="280"/>
      <c r="V54" s="1416"/>
      <c r="W54" s="1417" t="str">
        <f>X51&amp;"-"&amp;Z51</f>
        <v>-</v>
      </c>
      <c r="X54" s="1416"/>
      <c r="Y54" s="1416"/>
      <c r="Z54" s="1416"/>
      <c r="AA54" s="1416"/>
      <c r="AB54" s="1928"/>
      <c r="AC54" s="294"/>
      <c r="AD54" s="296"/>
      <c r="AE54" s="413" t="s">
        <v>538</v>
      </c>
      <c r="AF54" s="1416"/>
      <c r="AG54" s="1416"/>
      <c r="AH54" s="1416"/>
      <c r="AI54" s="1416"/>
      <c r="AJ54" s="1416"/>
      <c r="AK54" s="1416"/>
      <c r="AL54" s="1416"/>
      <c r="AM54" s="1416"/>
      <c r="AN54" s="1416"/>
      <c r="AO54" s="1417" t="str">
        <f>AP51&amp;"-"&amp;AR51</f>
        <v>-</v>
      </c>
      <c r="AP54" s="1416"/>
      <c r="AQ54" s="1416"/>
      <c r="AR54" s="1416"/>
      <c r="AS54" s="1416"/>
      <c r="AT54" s="1372"/>
      <c r="AU54" s="2169"/>
      <c r="AW54" s="498"/>
      <c r="AX54" s="498" t="str">
        <f>IF(T54="","",T54)</f>
        <v/>
      </c>
      <c r="AY54" s="498"/>
      <c r="AZ54" s="498"/>
    </row>
    <row customHeight="1" ht="11.25">
      <c r="A55" s="1386" t="s">
        <v>202</v>
      </c>
      <c r="B55" s="1386" t="s">
        <v>203</v>
      </c>
      <c r="C55" s="1386" t="s">
        <v>204</v>
      </c>
      <c r="D55" s="1386" t="s">
        <v>205</v>
      </c>
      <c r="E55" s="2174"/>
      <c r="F55" s="2174"/>
      <c r="G55" s="2174"/>
      <c r="H55" s="2174"/>
      <c r="I55" s="2201"/>
      <c r="J55" s="2171"/>
      <c r="K55" s="1386"/>
      <c r="L55" s="1387"/>
      <c r="P55" s="2172"/>
      <c r="Q55" s="2172"/>
      <c r="R55" s="344"/>
      <c r="S55" s="1301"/>
      <c r="T55" s="268" t="s">
        <v>539</v>
      </c>
      <c r="U55" s="359"/>
      <c r="V55" s="359"/>
      <c r="W55" s="359"/>
      <c r="X55" s="359"/>
      <c r="Y55" s="359"/>
      <c r="Z55" s="359"/>
      <c r="AA55" s="311"/>
      <c r="AB55" s="1528"/>
      <c r="AC55" s="359"/>
      <c r="AD55" s="359"/>
      <c r="AE55" s="359"/>
      <c r="AF55" s="359"/>
      <c r="AG55" s="359"/>
      <c r="AH55" s="359"/>
      <c r="AI55" s="359"/>
      <c r="AJ55" s="359"/>
      <c r="AK55" s="359"/>
      <c r="AL55" s="359"/>
      <c r="AM55" s="359"/>
      <c r="AN55" s="359"/>
      <c r="AO55" s="359"/>
      <c r="AP55" s="359"/>
      <c r="AQ55" s="359"/>
      <c r="AR55" s="359"/>
      <c r="AS55" s="359"/>
      <c r="AT55" s="311"/>
      <c r="AU55" s="2170"/>
      <c r="AW55" s="498"/>
      <c r="AX55" s="498" t="str">
        <f>IF(T55="","",T55)</f>
        <v>Добавить строку</v>
      </c>
      <c r="AY55" s="498"/>
      <c r="AZ55" s="498"/>
    </row>
    <row s="1673" customFormat="1" customHeight="1" ht="0">
      <c r="A56" s="1366" t="s">
        <v>202</v>
      </c>
      <c r="B56" s="1366" t="s">
        <v>203</v>
      </c>
      <c r="C56" s="1366" t="s">
        <v>204</v>
      </c>
      <c r="D56" s="1366" t="s">
        <v>205</v>
      </c>
      <c r="E56" s="2174"/>
      <c r="F56" s="2174"/>
      <c r="G56" s="2174"/>
      <c r="H56" s="2174"/>
      <c r="I56" s="2171"/>
      <c r="J56" s="1366"/>
      <c r="K56" s="1366"/>
      <c r="L56" s="1369"/>
      <c r="M56" s="508"/>
      <c r="N56" s="508"/>
      <c r="O56" s="508"/>
      <c r="P56" s="2172"/>
      <c r="Q56" s="1354"/>
      <c r="R56" s="344"/>
      <c r="S56" s="1409"/>
      <c r="T56" s="1410" t="s">
        <v>474</v>
      </c>
      <c r="U56" s="1411"/>
      <c r="V56" s="1411"/>
      <c r="W56" s="1411"/>
      <c r="X56" s="1411"/>
      <c r="Y56" s="1411"/>
      <c r="Z56" s="1411"/>
      <c r="AA56" s="1411"/>
      <c r="AB56" s="1411"/>
      <c r="AC56" s="1411"/>
      <c r="AD56" s="1411"/>
      <c r="AE56" s="1411"/>
      <c r="AF56" s="1411"/>
      <c r="AG56" s="1411"/>
      <c r="AH56" s="1411"/>
      <c r="AI56" s="1411"/>
      <c r="AJ56" s="1411"/>
      <c r="AK56" s="1411"/>
      <c r="AL56" s="1411"/>
      <c r="AM56" s="1411"/>
      <c r="AN56" s="1411"/>
      <c r="AO56" s="1411"/>
      <c r="AP56" s="1411"/>
      <c r="AQ56" s="1411"/>
      <c r="AR56" s="1411"/>
      <c r="AS56" s="1411"/>
      <c r="AT56" s="1411"/>
      <c r="AU56" s="1412"/>
      <c r="AW56" s="498"/>
      <c r="AX56" s="498" t="str">
        <f>IF(T56="","",T56)</f>
        <v>Добавить группу потребителей</v>
      </c>
      <c r="AY56" s="498"/>
      <c r="AZ56" s="498"/>
    </row>
    <row s="1672" customFormat="1" customHeight="1" ht="0">
      <c r="A57" s="1366" t="s">
        <v>202</v>
      </c>
      <c r="B57" s="1366" t="s">
        <v>203</v>
      </c>
      <c r="C57" s="1366" t="s">
        <v>204</v>
      </c>
      <c r="D57" s="1366" t="s">
        <v>205</v>
      </c>
      <c r="E57" s="2174"/>
      <c r="F57" s="2174"/>
      <c r="G57" s="2174"/>
      <c r="H57" s="2173"/>
      <c r="I57" s="1366"/>
      <c r="J57" s="1366"/>
      <c r="K57" s="1366"/>
      <c r="L57" s="1369"/>
      <c r="M57" s="1338"/>
      <c r="N57" s="1338"/>
      <c r="O57" s="516"/>
      <c r="P57" s="376"/>
      <c r="Q57" s="1367"/>
      <c r="R57" s="1423"/>
      <c r="S57" s="1409"/>
      <c r="T57" s="1410"/>
      <c r="U57" s="1411"/>
      <c r="V57" s="1411"/>
      <c r="W57" s="1411"/>
      <c r="X57" s="1411"/>
      <c r="Y57" s="1411"/>
      <c r="Z57" s="1411"/>
      <c r="AA57" s="1411"/>
      <c r="AB57" s="1411"/>
      <c r="AC57" s="1411"/>
      <c r="AD57" s="1411"/>
      <c r="AE57" s="1411"/>
      <c r="AF57" s="1411"/>
      <c r="AG57" s="1411"/>
      <c r="AH57" s="1411"/>
      <c r="AI57" s="1411"/>
      <c r="AJ57" s="1411"/>
      <c r="AK57" s="1411"/>
      <c r="AL57" s="1411"/>
      <c r="AM57" s="1411"/>
      <c r="AN57" s="1411"/>
      <c r="AO57" s="1411"/>
      <c r="AP57" s="1411"/>
      <c r="AQ57" s="1411"/>
      <c r="AR57" s="1411"/>
      <c r="AS57" s="1411"/>
      <c r="AT57" s="1411"/>
      <c r="AU57" s="1412"/>
      <c r="AV57" s="509"/>
      <c r="AW57" s="498"/>
      <c r="AX57" s="498" t="str">
        <f>IF(T57="","",T57)</f>
        <v/>
      </c>
      <c r="AY57" s="498"/>
      <c r="AZ57" s="498"/>
    </row>
    <row s="1673" customFormat="1" customHeight="1" ht="0">
      <c r="A58" s="1366" t="s">
        <v>202</v>
      </c>
      <c r="B58" s="1366" t="s">
        <v>203</v>
      </c>
      <c r="C58" s="1366" t="s">
        <v>204</v>
      </c>
      <c r="D58" s="1337"/>
      <c r="E58" s="2174"/>
      <c r="F58" s="2174"/>
      <c r="G58" s="2173"/>
      <c r="H58" s="1337"/>
      <c r="I58" s="1337"/>
      <c r="J58" s="1337"/>
      <c r="K58" s="1337"/>
      <c r="L58" s="1362"/>
      <c r="M58" s="1338"/>
      <c r="N58" s="1338"/>
      <c r="P58" s="1339"/>
      <c r="Q58" s="1340"/>
      <c r="R58" s="1339"/>
      <c r="S58" s="1345"/>
      <c r="T58" s="1348" t="s">
        <v>432</v>
      </c>
      <c r="U58" s="1347"/>
      <c r="V58" s="1347"/>
      <c r="W58" s="1347"/>
      <c r="X58" s="1347"/>
      <c r="Y58" s="1347"/>
      <c r="Z58" s="1347"/>
      <c r="AA58" s="1347"/>
      <c r="AB58" s="1347"/>
      <c r="AC58" s="1347"/>
      <c r="AD58" s="1347"/>
      <c r="AE58" s="1347"/>
      <c r="AF58" s="1347"/>
      <c r="AG58" s="1347"/>
      <c r="AH58" s="1347"/>
      <c r="AI58" s="1347"/>
      <c r="AJ58" s="1347"/>
      <c r="AK58" s="1347"/>
      <c r="AL58" s="1347"/>
      <c r="AM58" s="1347"/>
      <c r="AN58" s="1347"/>
      <c r="AO58" s="1347"/>
      <c r="AP58" s="1347"/>
      <c r="AQ58" s="1347"/>
      <c r="AR58" s="1347"/>
      <c r="AS58" s="1347"/>
      <c r="AT58" s="1347"/>
      <c r="AU58" s="1347"/>
      <c r="AW58" s="787"/>
      <c r="AX58" s="787" t="str">
        <f>IF(T58="","",T58)</f>
        <v>Добавить источник для дифференциации</v>
      </c>
      <c r="AY58" s="787"/>
      <c r="AZ58" s="787"/>
    </row>
    <row s="1673" customFormat="1" customHeight="1" ht="0">
      <c r="A59" s="1366" t="s">
        <v>202</v>
      </c>
      <c r="B59" s="1366" t="s">
        <v>203</v>
      </c>
      <c r="C59" s="1337"/>
      <c r="D59" s="1337"/>
      <c r="E59" s="2174"/>
      <c r="F59" s="2173"/>
      <c r="G59" s="1337"/>
      <c r="H59" s="1337"/>
      <c r="I59" s="1337"/>
      <c r="J59" s="1337"/>
      <c r="K59" s="1337"/>
      <c r="L59" s="1362"/>
      <c r="M59" s="1344"/>
      <c r="N59" s="1344"/>
      <c r="P59" s="1339"/>
      <c r="Q59" s="1340"/>
      <c r="R59" s="1339"/>
      <c r="S59" s="1345"/>
      <c r="T59" s="1348" t="s">
        <v>433</v>
      </c>
      <c r="U59" s="1347"/>
      <c r="V59" s="1347"/>
      <c r="W59" s="1347"/>
      <c r="X59" s="1347"/>
      <c r="Y59" s="1347"/>
      <c r="Z59" s="1347"/>
      <c r="AA59" s="1347"/>
      <c r="AB59" s="1347"/>
      <c r="AC59" s="1347"/>
      <c r="AD59" s="1347"/>
      <c r="AE59" s="1347"/>
      <c r="AF59" s="1347"/>
      <c r="AG59" s="1347"/>
      <c r="AH59" s="1347"/>
      <c r="AI59" s="1347"/>
      <c r="AJ59" s="1347"/>
      <c r="AK59" s="1347"/>
      <c r="AL59" s="1347"/>
      <c r="AM59" s="1347"/>
      <c r="AN59" s="1347"/>
      <c r="AO59" s="1347"/>
      <c r="AP59" s="1347"/>
      <c r="AQ59" s="1347"/>
      <c r="AR59" s="1347"/>
      <c r="AS59" s="1347"/>
      <c r="AT59" s="1347"/>
      <c r="AU59" s="1347"/>
      <c r="AW59" s="787"/>
      <c r="AX59" s="787" t="str">
        <f>IF(T59="","",T59)</f>
        <v>Добавить централизованную систему для дифференциации</v>
      </c>
      <c r="AY59" s="787"/>
      <c r="AZ59" s="787"/>
    </row>
    <row s="1673" customFormat="1" customHeight="1" ht="0">
      <c r="A60" s="1366" t="s">
        <v>202</v>
      </c>
      <c r="B60" s="1366"/>
      <c r="C60" s="1366"/>
      <c r="D60" s="1366"/>
      <c r="E60" s="2174"/>
      <c r="F60" s="1366"/>
      <c r="G60" s="1366"/>
      <c r="H60" s="1366"/>
      <c r="I60" s="1366"/>
      <c r="J60" s="1366"/>
      <c r="K60" s="1366"/>
      <c r="L60" s="1369"/>
      <c r="M60" s="1344"/>
      <c r="N60" s="1344"/>
      <c r="O60" s="516"/>
      <c r="P60" s="376"/>
      <c r="Q60" s="1367"/>
      <c r="R60" s="376"/>
      <c r="S60" s="1345"/>
      <c r="T60" s="1348" t="s">
        <v>434</v>
      </c>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W60" s="498"/>
      <c r="AX60" s="498" t="str">
        <f>IF(T60="","",T60)</f>
        <v>Добавить территорию для дифференциации</v>
      </c>
      <c r="AY60" s="498"/>
      <c r="AZ60" s="498"/>
    </row>
    <row s="1673" customFormat="1" customHeight="1" ht="0">
      <c r="A61" s="1366" t="s">
        <v>202</v>
      </c>
      <c r="B61" s="1366"/>
      <c r="C61" s="1366"/>
      <c r="D61" s="1366"/>
      <c r="E61" s="2173"/>
      <c r="F61" s="1366"/>
      <c r="G61" s="1366"/>
      <c r="H61" s="1366"/>
      <c r="I61" s="1366"/>
      <c r="J61" s="1366"/>
      <c r="K61" s="1366"/>
      <c r="L61" s="1369"/>
      <c r="M61" s="1344"/>
      <c r="N61" s="1344"/>
      <c r="O61" s="516"/>
      <c r="P61" s="376"/>
      <c r="Q61" s="1367"/>
      <c r="R61" s="376"/>
      <c r="S61" s="1345"/>
      <c r="T61" s="1348" t="s">
        <v>434</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W61" s="498"/>
      <c r="AX61" s="498" t="str">
        <f>IF(T61="","",T61)</f>
        <v>Добавить территорию для дифференциации</v>
      </c>
      <c r="AY61" s="498"/>
      <c r="AZ61" s="498"/>
    </row>
    <row s="1673" customFormat="1" customHeight="1" ht="0">
      <c r="A62" s="1337"/>
      <c r="B62" s="1337"/>
      <c r="C62" s="1337"/>
      <c r="D62" s="1337"/>
      <c r="E62" s="1366"/>
      <c r="F62" s="1337"/>
      <c r="G62" s="1337"/>
      <c r="H62" s="1337"/>
      <c r="I62" s="1337"/>
      <c r="J62" s="1337"/>
      <c r="K62" s="1337"/>
      <c r="L62" s="1362"/>
      <c r="M62" s="1344"/>
      <c r="N62" s="1344"/>
      <c r="P62" s="1339"/>
      <c r="Q62" s="1340"/>
      <c r="R62" s="1339"/>
      <c r="S62" s="1345"/>
      <c r="T62" s="1348" t="s">
        <v>435</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W62" s="787"/>
      <c r="AX62" s="787" t="str">
        <f>IF(T62="","",T62)</f>
        <v>Добавить наименование тарифа</v>
      </c>
      <c r="AY62" s="787"/>
      <c r="AZ62" s="787"/>
    </row>
    <row customHeight="1" ht="11.25" hidden="1">
      <c r="M63" s="1161"/>
      <c r="N63" s="1161"/>
      <c r="O63" s="535"/>
      <c r="P63" s="1161"/>
      <c r="Q63" s="1161"/>
      <c r="R63" s="1156"/>
      <c r="S63" s="1156"/>
      <c r="AV63" s="1156"/>
      <c r="AW63" s="1156"/>
      <c r="AX63" s="1156"/>
      <c r="AY63" s="1156"/>
      <c r="AZ63" s="1156"/>
    </row>
    <row customHeight="1" ht="18.75" hidden="1">
      <c r="O64" s="535"/>
      <c r="S64" s="1266" t="s">
        <v>507</v>
      </c>
      <c r="T64" s="2200" t="s">
        <v>553</v>
      </c>
      <c r="U64" s="2200"/>
      <c r="V64" s="2200"/>
      <c r="W64" s="2200"/>
      <c r="X64" s="2200"/>
      <c r="Y64" s="2200"/>
      <c r="Z64" s="2200"/>
      <c r="AA64" s="2200"/>
      <c r="AB64" s="2200"/>
      <c r="AC64" s="2200"/>
      <c r="AD64" s="2200"/>
      <c r="AE64" s="2200"/>
      <c r="AF64" s="2200"/>
      <c r="AG64" s="2200"/>
      <c r="AH64" s="2200"/>
      <c r="AI64" s="2200"/>
      <c r="AJ64" s="2200"/>
      <c r="AK64" s="2200"/>
      <c r="AL64" s="2200"/>
      <c r="AM64" s="2200"/>
      <c r="AN64" s="2200"/>
      <c r="AO64" s="2200"/>
      <c r="AP64" s="2200"/>
      <c r="AQ64" s="2200"/>
      <c r="AR64" s="2200"/>
      <c r="AS64" s="2200"/>
      <c r="AT64" s="2200"/>
      <c r="AU64" s="2200"/>
    </row>
    <row customHeight="1" ht="19.5" hidden="1">
      <c r="O65" s="535"/>
      <c r="T65" s="2200" t="s">
        <v>533</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row>
    <row customHeight="1" ht="14.25" hidden="1">
      <c r="O66" s="535"/>
      <c r="T66" s="1356"/>
      <c r="U66" s="1356"/>
      <c r="V66" s="1356"/>
      <c r="W66" s="1356"/>
      <c r="X66" s="1356"/>
      <c r="Y66" s="1356"/>
      <c r="Z66" s="1356"/>
      <c r="AA66" s="1356"/>
      <c r="AB66" s="1356"/>
      <c r="AC66" s="1356"/>
      <c r="AD66" s="1356"/>
      <c r="AE66" s="1356"/>
      <c r="AF66" s="1356"/>
      <c r="AG66" s="1356"/>
      <c r="AH66" s="1356"/>
      <c r="AI66" s="1356"/>
      <c r="AJ66" s="1356"/>
      <c r="AK66" s="1356"/>
      <c r="AL66" s="1356"/>
      <c r="AM66" s="1356"/>
      <c r="AN66" s="1356"/>
      <c r="AO66" s="1356"/>
      <c r="AP66" s="1356"/>
      <c r="AQ66" s="1356"/>
      <c r="AR66" s="1356"/>
      <c r="AS66" s="1356"/>
      <c r="AT66" s="1356"/>
      <c r="AU66" s="1356"/>
    </row>
    <row customHeight="1" ht="18.75" hidden="1">
      <c r="O67" s="535"/>
      <c r="T67" s="2200" t="s">
        <v>554</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row>
    <row customHeight="1" ht="15.75" hidden="1">
      <c r="O68" s="535"/>
      <c r="T68" s="2200" t="s">
        <v>533</v>
      </c>
      <c r="U68" s="2200"/>
      <c r="V68" s="2200"/>
      <c r="W68" s="2200"/>
      <c r="X68" s="2200"/>
      <c r="Y68" s="2200"/>
      <c r="Z68" s="2200"/>
      <c r="AA68" s="2200"/>
      <c r="AB68" s="2200"/>
      <c r="AC68" s="2200"/>
      <c r="AD68" s="2200"/>
      <c r="AE68" s="2200"/>
      <c r="AF68" s="2200"/>
      <c r="AG68" s="2200"/>
      <c r="AH68" s="2200"/>
      <c r="AI68" s="2200"/>
      <c r="AJ68" s="2200"/>
      <c r="AK68" s="2200"/>
      <c r="AL68" s="2200"/>
      <c r="AM68" s="2200"/>
      <c r="AN68" s="2200"/>
      <c r="AO68" s="2200"/>
      <c r="AP68" s="2200"/>
      <c r="AQ68" s="2200"/>
      <c r="AR68" s="2200"/>
      <c r="AS68" s="2200"/>
      <c r="AT68" s="2200"/>
      <c r="AU68" s="2200"/>
    </row>
    <row customHeight="1" ht="14.25">
      <c r="O69" s="535"/>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E774EBD-6432-BB96-1EAB-BEFC031668FA}"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1205" width="32.57421875" customWidth="1"/>
    <col min="2" max="2" style="2412" width="11.00390625" customWidth="1"/>
    <col min="3" max="3" style="2412" width="9.140625"/>
    <col min="4" max="4" style="2412" width="26.57421875" customWidth="1"/>
    <col min="5" max="5" style="1858" width="27.7109375" customWidth="1"/>
    <col min="6" max="6" style="1858" width="23.57421875" customWidth="1"/>
    <col min="7" max="7" style="1858" width="31.421875" customWidth="1"/>
    <col min="8" max="8" style="1858" width="40.8515625" customWidth="1"/>
    <col min="9" max="9" style="1858" width="14.57421875" customWidth="1"/>
    <col min="10" max="10" style="1858" width="26.8515625" customWidth="1"/>
    <col min="11" max="11" style="1858" width="50.00390625" customWidth="1"/>
    <col min="12" max="13" style="1858" width="10.7109375" customWidth="1"/>
    <col min="14" max="14" style="1858" width="55.140625" customWidth="1"/>
    <col min="15" max="15" style="1858" width="31.8515625" customWidth="1"/>
    <col min="16" max="16" style="1858" width="23.8515625" customWidth="1"/>
    <col min="17" max="17" style="1858" width="46.57421875" customWidth="1"/>
    <col min="18" max="18" style="1858" width="24.00390625" customWidth="1"/>
    <col min="19" max="19" style="1858" width="20.57421875" customWidth="1"/>
    <col min="20" max="20" style="1858" width="22.00390625" customWidth="1"/>
    <col min="21" max="22" style="1858" width="26.421875" customWidth="1"/>
    <col min="23" max="23" style="1858" width="8.28125" hidden="1" customWidth="1"/>
    <col min="24" max="24" style="1858" width="59.7109375" customWidth="1"/>
    <col min="25" max="25" style="1858" width="49.140625" customWidth="1"/>
    <col min="26" max="26" style="1858" width="11.140625" customWidth="1"/>
    <col min="27" max="30" style="1858" width="29.00390625" customWidth="1"/>
    <col min="31" max="31" style="1858" width="9.140625"/>
    <col min="32" max="32" style="1858" width="34.7109375" customWidth="1"/>
    <col min="33" max="33" style="1858" width="9.140625"/>
    <col min="34" max="35" style="1858" width="34.421875" customWidth="1"/>
    <col min="36" max="36" style="1858" width="9.140625"/>
    <col min="37" max="37" style="1858" width="24.57421875" customWidth="1"/>
    <col min="38" max="38" style="1858" width="9.140625"/>
    <col min="39" max="39" style="1858" width="26.140625" customWidth="1"/>
    <col min="40" max="40" style="1858" width="1.7109375" customWidth="1"/>
    <col min="41" max="41" style="1858" width="9.140625"/>
    <col min="42" max="43" style="1858" width="47.8515625" customWidth="1"/>
    <col min="44" max="44" style="1858" width="1.7109375" customWidth="1"/>
    <col min="45" max="45" style="1858" width="21.421875" customWidth="1"/>
    <col min="46" max="46" style="1858" width="1.7109375" customWidth="1"/>
    <col min="47" max="47" style="1858" width="31.28125" customWidth="1"/>
    <col min="48" max="48" style="1858" width="1.7109375" customWidth="1"/>
    <col min="49" max="50" style="1858" width="9.140625"/>
    <col min="51" max="51" style="1858" width="3.7109375" customWidth="1"/>
    <col min="52" max="52" style="1858" width="55.00390625" customWidth="1"/>
    <col min="53" max="53" style="1858" width="9.140625"/>
    <col min="54" max="54" style="1858" width="35.140625" customWidth="1"/>
    <col min="55" max="55" style="1858" width="9.140625"/>
    <col min="56" max="56" style="1858" width="1.7109375" customWidth="1"/>
    <col min="57" max="57" style="1272" width="12.57421875" customWidth="1"/>
    <col min="58" max="58" style="1272" width="14.28125" customWidth="1"/>
    <col min="59" max="59" style="1858" width="30.7109375" customWidth="1"/>
    <col min="60" max="60" style="1875" width="40.7109375" customWidth="1"/>
    <col min="61" max="61" style="1875" width="15.00390625" customWidth="1"/>
    <col min="62" max="62" style="1875" width="40.7109375" customWidth="1"/>
    <col min="63" max="63" style="1875" width="2.7109375" customWidth="1"/>
    <col min="64" max="64" style="1875" width="44.7109375" customWidth="1"/>
    <col min="65" max="65" style="1875" width="2.7109375" customWidth="1"/>
    <col min="66" max="66" style="1875" width="40.7109375" customWidth="1"/>
    <col min="67" max="68" style="1858" width="9.140625"/>
    <col min="69" max="69" style="1858" width="18.140625" customWidth="1"/>
    <col min="70" max="70" style="1858" width="57.8515625" customWidth="1"/>
    <col min="71" max="71" style="1858" width="1.7109375" customWidth="1"/>
    <col min="72" max="72" style="1858" width="22.57421875" customWidth="1"/>
    <col min="73" max="73" style="1858" width="57.8515625" customWidth="1"/>
    <col min="74" max="74" style="1858" width="1.7109375" customWidth="1"/>
    <col min="75" max="75" style="1858" width="22.57421875" customWidth="1"/>
    <col min="76" max="76" style="1858" width="57.8515625" customWidth="1"/>
    <col min="77" max="77" style="1858" width="1.7109375" customWidth="1"/>
    <col min="78" max="78" style="1858" width="22.57421875" customWidth="1"/>
    <col min="79" max="79" style="1858" width="57.8515625" customWidth="1"/>
    <col min="80" max="81" style="1858" width="9.140625"/>
    <col min="82" max="82" style="1858" width="49.57421875" customWidth="1"/>
  </cols>
  <sheetData>
    <row s="1450" customFormat="1" customHeight="1" ht="11.25">
      <c r="A1" s="1068" t="s">
        <v>555</v>
      </c>
      <c r="B1" s="1068" t="s">
        <v>556</v>
      </c>
      <c r="C1" s="1068" t="s">
        <v>557</v>
      </c>
      <c r="D1" s="1068" t="s">
        <v>558</v>
      </c>
      <c r="E1" s="1068" t="s">
        <v>559</v>
      </c>
      <c r="F1" s="1068" t="s">
        <v>560</v>
      </c>
      <c r="G1" s="1068" t="s">
        <v>561</v>
      </c>
      <c r="H1" s="1068" t="s">
        <v>562</v>
      </c>
      <c r="I1" s="1068" t="s">
        <v>563</v>
      </c>
      <c r="J1" s="1068" t="s">
        <v>564</v>
      </c>
      <c r="K1" s="1068" t="s">
        <v>565</v>
      </c>
      <c r="L1" s="1068"/>
      <c r="M1" s="1068"/>
      <c r="N1" s="1068" t="s">
        <v>566</v>
      </c>
      <c r="O1" s="1068" t="s">
        <v>567</v>
      </c>
      <c r="P1" s="1068" t="s">
        <v>568</v>
      </c>
      <c r="Q1" s="1068" t="s">
        <v>569</v>
      </c>
      <c r="R1" s="1068" t="s">
        <v>570</v>
      </c>
      <c r="S1" s="1068" t="s">
        <v>571</v>
      </c>
      <c r="T1" s="1068" t="s">
        <v>572</v>
      </c>
      <c r="U1" s="1068" t="s">
        <v>573</v>
      </c>
      <c r="V1" s="1068"/>
      <c r="W1" s="795" t="s">
        <v>574</v>
      </c>
      <c r="X1" s="1068" t="s">
        <v>575</v>
      </c>
      <c r="Y1" s="1068" t="s">
        <v>576</v>
      </c>
      <c r="Z1" s="1068"/>
      <c r="AA1" s="1068" t="s">
        <v>577</v>
      </c>
      <c r="AB1" s="1068"/>
      <c r="AC1" s="1068" t="s">
        <v>578</v>
      </c>
      <c r="AD1" s="1068"/>
      <c r="AF1" s="1068" t="s">
        <v>579</v>
      </c>
      <c r="AH1" s="1068" t="s">
        <v>580</v>
      </c>
      <c r="AI1" s="1068" t="s">
        <v>581</v>
      </c>
      <c r="AK1" s="1068" t="s">
        <v>582</v>
      </c>
      <c r="AM1" s="1068" t="s">
        <v>583</v>
      </c>
      <c r="AP1" s="1068" t="s">
        <v>584</v>
      </c>
      <c r="AQ1" s="1068" t="s">
        <v>585</v>
      </c>
      <c r="AS1" s="1068" t="s">
        <v>586</v>
      </c>
      <c r="AU1" s="1068" t="s">
        <v>587</v>
      </c>
      <c r="AW1" s="1068" t="s">
        <v>588</v>
      </c>
      <c r="AX1" s="1068" t="s">
        <v>589</v>
      </c>
      <c r="AZ1" s="1153" t="s">
        <v>590</v>
      </c>
      <c r="BB1" s="1068" t="s">
        <v>591</v>
      </c>
      <c r="BC1" s="1068"/>
      <c r="BE1" s="1068" t="s">
        <v>592</v>
      </c>
      <c r="BF1" s="1068" t="s">
        <v>593</v>
      </c>
      <c r="BH1" s="1070" t="s">
        <v>594</v>
      </c>
      <c r="BI1" s="1071"/>
      <c r="BJ1" s="1072" t="s">
        <v>595</v>
      </c>
      <c r="BK1" s="1071"/>
      <c r="BL1" s="1073" t="s">
        <v>596</v>
      </c>
      <c r="BM1" s="1071"/>
      <c r="BN1" s="1074" t="s">
        <v>597</v>
      </c>
      <c r="BS1" s="1450"/>
    </row>
    <row customHeight="1" ht="11.25">
      <c r="A2" s="1075" t="s">
        <v>598</v>
      </c>
      <c r="B2" s="1076">
        <v>2000</v>
      </c>
      <c r="C2" s="1076">
        <v>2022</v>
      </c>
      <c r="D2" s="1076" t="s">
        <v>58</v>
      </c>
      <c r="E2" s="1077" t="s">
        <v>599</v>
      </c>
      <c r="F2" s="1077" t="s">
        <v>600</v>
      </c>
      <c r="G2" s="1077" t="s">
        <v>601</v>
      </c>
      <c r="H2" s="1078" t="s">
        <v>54</v>
      </c>
      <c r="I2" s="1077" t="s">
        <v>108</v>
      </c>
      <c r="J2" s="1077" t="s">
        <v>602</v>
      </c>
      <c r="K2" s="1079" t="s">
        <v>603</v>
      </c>
      <c r="L2" s="1080" t="s">
        <v>603</v>
      </c>
      <c r="M2" s="1079">
        <v>1</v>
      </c>
      <c r="N2" s="1163" t="s">
        <v>604</v>
      </c>
      <c r="O2" s="1078" t="s">
        <v>605</v>
      </c>
      <c r="P2" s="1081" t="s">
        <v>33</v>
      </c>
      <c r="Q2" s="1082" t="s">
        <v>606</v>
      </c>
      <c r="R2" s="123" t="s">
        <v>607</v>
      </c>
      <c r="S2" s="123" t="s">
        <v>608</v>
      </c>
      <c r="T2" s="1083" t="s">
        <v>609</v>
      </c>
      <c r="U2" s="1080" t="s">
        <v>610</v>
      </c>
      <c r="V2" s="1084">
        <v>1</v>
      </c>
      <c r="W2" s="1085"/>
      <c r="X2" s="1085" t="s">
        <v>611</v>
      </c>
      <c r="Y2" s="1076" t="s">
        <v>612</v>
      </c>
      <c r="Z2" s="1086"/>
      <c r="AA2" s="1076" t="s">
        <v>613</v>
      </c>
      <c r="AB2" s="1087" t="s">
        <v>613</v>
      </c>
      <c r="AC2" s="1076" t="s">
        <v>614</v>
      </c>
      <c r="AD2" s="1087" t="s">
        <v>614</v>
      </c>
      <c r="AF2" s="1078" t="s">
        <v>610</v>
      </c>
      <c r="AH2" s="1077" t="s">
        <v>615</v>
      </c>
      <c r="AI2" s="1077" t="s">
        <v>615</v>
      </c>
      <c r="AK2" s="1077" t="s">
        <v>616</v>
      </c>
      <c r="AM2" s="1077" t="s">
        <v>617</v>
      </c>
      <c r="AP2" s="1088" t="s">
        <v>611</v>
      </c>
      <c r="AQ2" s="1089" t="s">
        <v>611</v>
      </c>
      <c r="AS2" s="1076" t="s">
        <v>618</v>
      </c>
      <c r="AU2" s="1121" t="s">
        <v>619</v>
      </c>
      <c r="AW2" s="1121" t="s">
        <v>620</v>
      </c>
      <c r="AX2" s="1121" t="s">
        <v>620</v>
      </c>
      <c r="AZ2" s="1121" t="s">
        <v>621</v>
      </c>
      <c r="BB2" s="1121" t="s">
        <v>622</v>
      </c>
      <c r="BC2" s="1121" t="s">
        <v>623</v>
      </c>
      <c r="BE2" s="1121">
        <v>2000</v>
      </c>
      <c r="BF2" s="1121" t="s">
        <v>624</v>
      </c>
    </row>
    <row customHeight="1" ht="11.25">
      <c r="A3" s="1075" t="s">
        <v>625</v>
      </c>
      <c r="B3" s="1076">
        <v>2001</v>
      </c>
      <c r="C3" s="1076">
        <v>2023</v>
      </c>
      <c r="D3" s="1076" t="s">
        <v>56</v>
      </c>
      <c r="E3" s="1077" t="s">
        <v>626</v>
      </c>
      <c r="F3" s="1077" t="s">
        <v>627</v>
      </c>
      <c r="G3" s="1077" t="s">
        <v>628</v>
      </c>
      <c r="H3" s="1078" t="s">
        <v>629</v>
      </c>
      <c r="I3" s="1077" t="s">
        <v>109</v>
      </c>
      <c r="J3" s="1077" t="s">
        <v>630</v>
      </c>
      <c r="K3" s="1079" t="s">
        <v>631</v>
      </c>
      <c r="L3" s="1079" t="s">
        <v>631</v>
      </c>
      <c r="M3" s="1079">
        <v>2</v>
      </c>
      <c r="N3" s="1163" t="s">
        <v>632</v>
      </c>
      <c r="O3" s="1078" t="s">
        <v>633</v>
      </c>
      <c r="P3" s="1081" t="s">
        <v>634</v>
      </c>
      <c r="Q3" s="1082" t="s">
        <v>635</v>
      </c>
      <c r="R3" s="123" t="s">
        <v>636</v>
      </c>
      <c r="S3" s="123" t="s">
        <v>637</v>
      </c>
      <c r="T3" s="1083" t="s">
        <v>638</v>
      </c>
      <c r="U3" s="1080" t="s">
        <v>639</v>
      </c>
      <c r="V3" s="1084">
        <v>2</v>
      </c>
      <c r="W3" s="1085"/>
      <c r="X3" s="1085" t="s">
        <v>640</v>
      </c>
      <c r="Y3" s="1076" t="s">
        <v>612</v>
      </c>
      <c r="Z3" s="1086"/>
      <c r="AA3" s="1076" t="s">
        <v>641</v>
      </c>
      <c r="AB3" s="1087" t="s">
        <v>641</v>
      </c>
      <c r="AC3" s="1076" t="s">
        <v>642</v>
      </c>
      <c r="AD3" s="1087" t="s">
        <v>642</v>
      </c>
      <c r="AF3" s="1078" t="s">
        <v>639</v>
      </c>
      <c r="AH3" s="1077" t="s">
        <v>643</v>
      </c>
      <c r="AI3" s="1077" t="s">
        <v>644</v>
      </c>
      <c r="AK3" s="1077" t="s">
        <v>645</v>
      </c>
      <c r="AM3" s="1077" t="s">
        <v>646</v>
      </c>
      <c r="AP3" s="1088" t="s">
        <v>647</v>
      </c>
      <c r="AQ3" s="1089" t="s">
        <v>647</v>
      </c>
      <c r="AS3" s="1076" t="s">
        <v>648</v>
      </c>
      <c r="AU3" s="1121" t="s">
        <v>649</v>
      </c>
      <c r="AW3" s="1121" t="s">
        <v>650</v>
      </c>
      <c r="AX3" s="1121" t="s">
        <v>650</v>
      </c>
      <c r="AZ3" s="1121" t="s">
        <v>651</v>
      </c>
      <c r="BB3" s="1121" t="s">
        <v>652</v>
      </c>
      <c r="BC3" s="1121" t="s">
        <v>623</v>
      </c>
      <c r="BE3" s="1121">
        <v>2001</v>
      </c>
      <c r="BF3" s="1121" t="s">
        <v>653</v>
      </c>
      <c r="BH3" s="1068" t="s">
        <v>654</v>
      </c>
      <c r="BJ3" s="1068" t="s">
        <v>655</v>
      </c>
      <c r="BL3" s="1068" t="s">
        <v>656</v>
      </c>
      <c r="BN3" s="1068" t="s">
        <v>657</v>
      </c>
      <c r="BR3" s="1068" t="s">
        <v>658</v>
      </c>
      <c r="BS3" s="1451"/>
      <c r="BT3" s="1071"/>
      <c r="BU3" s="1068" t="s">
        <v>659</v>
      </c>
      <c r="BV3" s="1071"/>
      <c r="BW3" s="0"/>
      <c r="BX3" s="1722" t="s">
        <v>660</v>
      </c>
      <c r="CA3" s="1068" t="s">
        <v>661</v>
      </c>
    </row>
    <row customHeight="1" ht="11.25">
      <c r="A4" s="1075" t="s">
        <v>662</v>
      </c>
      <c r="B4" s="1076">
        <v>2002</v>
      </c>
      <c r="C4" s="1076">
        <v>2024</v>
      </c>
      <c r="E4" s="1077" t="s">
        <v>663</v>
      </c>
      <c r="F4" s="1077" t="s">
        <v>664</v>
      </c>
      <c r="H4" s="1078" t="s">
        <v>665</v>
      </c>
      <c r="I4" s="1077" t="s">
        <v>89</v>
      </c>
      <c r="J4" s="1077" t="s">
        <v>666</v>
      </c>
      <c r="K4" s="1079" t="s">
        <v>667</v>
      </c>
      <c r="L4" s="1079" t="s">
        <v>667</v>
      </c>
      <c r="M4" s="1079">
        <v>3</v>
      </c>
      <c r="N4" s="1163" t="s">
        <v>668</v>
      </c>
      <c r="O4" s="1077" t="s">
        <v>669</v>
      </c>
      <c r="Q4" s="1082" t="s">
        <v>670</v>
      </c>
      <c r="R4" s="123" t="s">
        <v>671</v>
      </c>
      <c r="S4" s="123" t="s">
        <v>672</v>
      </c>
      <c r="T4" s="1083" t="s">
        <v>673</v>
      </c>
      <c r="U4" s="1080" t="s">
        <v>674</v>
      </c>
      <c r="V4" s="1084">
        <v>3</v>
      </c>
      <c r="W4" s="1085"/>
      <c r="X4" s="1085" t="s">
        <v>675</v>
      </c>
      <c r="Y4" s="1076" t="s">
        <v>612</v>
      </c>
      <c r="Z4" s="1091"/>
      <c r="AC4" s="1076" t="s">
        <v>676</v>
      </c>
      <c r="AD4" s="1087" t="s">
        <v>676</v>
      </c>
      <c r="AF4" s="1078" t="s">
        <v>674</v>
      </c>
      <c r="AH4" s="1078" t="s">
        <v>677</v>
      </c>
      <c r="AK4" s="1077" t="s">
        <v>678</v>
      </c>
      <c r="AM4" s="1077" t="s">
        <v>679</v>
      </c>
      <c r="AP4" s="1088" t="s">
        <v>640</v>
      </c>
      <c r="AQ4" s="1089" t="s">
        <v>640</v>
      </c>
      <c r="AS4" s="1076" t="s">
        <v>680</v>
      </c>
      <c r="AU4" s="1121" t="s">
        <v>681</v>
      </c>
      <c r="AW4" s="1121" t="s">
        <v>682</v>
      </c>
      <c r="AX4" s="1121" t="s">
        <v>682</v>
      </c>
      <c r="AZ4" s="1121" t="s">
        <v>683</v>
      </c>
      <c r="BB4" s="1121" t="s">
        <v>684</v>
      </c>
      <c r="BC4" s="1121" t="s">
        <v>685</v>
      </c>
      <c r="BE4" s="1121">
        <v>2002</v>
      </c>
      <c r="BF4" s="1121" t="s">
        <v>686</v>
      </c>
      <c r="BH4" s="1069" t="s">
        <v>687</v>
      </c>
      <c r="BJ4" s="1069" t="s">
        <v>687</v>
      </c>
      <c r="BL4" s="1069" t="s">
        <v>687</v>
      </c>
      <c r="BN4" s="1069" t="s">
        <v>687</v>
      </c>
      <c r="BQ4" s="1455" t="s">
        <v>688</v>
      </c>
      <c r="BR4" s="1160" t="s">
        <v>689</v>
      </c>
      <c r="BS4" s="253"/>
      <c r="BT4" s="1455" t="s">
        <v>690</v>
      </c>
      <c r="BU4" s="1160" t="s">
        <v>691</v>
      </c>
      <c r="BV4" s="1071"/>
      <c r="BW4" s="1727" t="s">
        <v>692</v>
      </c>
      <c r="BX4" s="1721" t="s">
        <v>693</v>
      </c>
      <c r="BZ4" s="1455" t="s">
        <v>694</v>
      </c>
      <c r="CA4" s="1160" t="s">
        <v>695</v>
      </c>
    </row>
    <row customHeight="1" ht="11.25">
      <c r="A5" s="1075" t="s">
        <v>696</v>
      </c>
      <c r="B5" s="1076">
        <v>2003</v>
      </c>
      <c r="C5" s="1076">
        <v>2025</v>
      </c>
      <c r="E5" s="1077" t="s">
        <v>697</v>
      </c>
      <c r="F5" s="1077" t="s">
        <v>698</v>
      </c>
      <c r="H5" s="1078" t="s">
        <v>699</v>
      </c>
      <c r="I5" s="1077" t="s">
        <v>90</v>
      </c>
      <c r="K5" s="1079" t="s">
        <v>700</v>
      </c>
      <c r="L5" s="1079" t="s">
        <v>700</v>
      </c>
      <c r="M5" s="1079">
        <v>4</v>
      </c>
      <c r="N5" s="1092" t="s">
        <v>701</v>
      </c>
      <c r="O5" s="1077" t="s">
        <v>702</v>
      </c>
      <c r="Q5" s="1082" t="s">
        <v>703</v>
      </c>
      <c r="R5" s="123" t="s">
        <v>704</v>
      </c>
      <c r="T5" s="1078" t="s">
        <v>705</v>
      </c>
      <c r="U5" s="1080" t="s">
        <v>706</v>
      </c>
      <c r="V5" s="1084">
        <v>4</v>
      </c>
      <c r="W5" s="1085"/>
      <c r="X5" s="1085" t="s">
        <v>170</v>
      </c>
      <c r="Y5" s="1076" t="s">
        <v>707</v>
      </c>
      <c r="Z5" s="1091">
        <v>1</v>
      </c>
      <c r="AF5" s="1078" t="s">
        <v>708</v>
      </c>
      <c r="AH5" s="1077" t="s">
        <v>709</v>
      </c>
      <c r="AK5" s="1077" t="s">
        <v>710</v>
      </c>
      <c r="AM5" s="1077" t="s">
        <v>711</v>
      </c>
      <c r="AP5" s="1088" t="s">
        <v>170</v>
      </c>
      <c r="AQ5" s="1089" t="s">
        <v>170</v>
      </c>
      <c r="AU5" s="1121" t="s">
        <v>712</v>
      </c>
      <c r="AW5" s="1121" t="s">
        <v>713</v>
      </c>
      <c r="AX5" s="1121" t="s">
        <v>713</v>
      </c>
      <c r="AZ5" s="1121" t="s">
        <v>714</v>
      </c>
      <c r="BB5" s="1121" t="s">
        <v>715</v>
      </c>
      <c r="BC5" s="1121" t="s">
        <v>716</v>
      </c>
      <c r="BE5" s="1121">
        <v>2003</v>
      </c>
      <c r="BF5" s="1121" t="s">
        <v>717</v>
      </c>
      <c r="BH5" s="1069" t="s">
        <v>718</v>
      </c>
      <c r="BJ5" s="1069" t="s">
        <v>718</v>
      </c>
      <c r="BL5" s="1069" t="s">
        <v>718</v>
      </c>
      <c r="BN5" s="1069" t="s">
        <v>719</v>
      </c>
      <c r="BQ5" s="1304">
        <v>4213775</v>
      </c>
      <c r="BR5" s="1069" t="s">
        <v>611</v>
      </c>
      <c r="BS5" s="1452"/>
      <c r="BT5" s="1304">
        <v>64236871</v>
      </c>
      <c r="BU5" s="1069" t="s">
        <v>219</v>
      </c>
      <c r="BV5" s="1071"/>
      <c r="BW5" s="1725">
        <v>4213767</v>
      </c>
      <c r="BX5" s="1723" t="s">
        <v>720</v>
      </c>
      <c r="BZ5" s="1304">
        <v>64237509</v>
      </c>
      <c r="CA5" s="1318" t="s">
        <v>721</v>
      </c>
    </row>
    <row customHeight="1" ht="11.25">
      <c r="A6" s="1075" t="s">
        <v>722</v>
      </c>
      <c r="B6" s="1076">
        <v>2004</v>
      </c>
      <c r="C6" s="1076">
        <v>2026</v>
      </c>
      <c r="E6" s="1077" t="s">
        <v>723</v>
      </c>
      <c r="F6" s="1093"/>
      <c r="H6" s="1078" t="s">
        <v>724</v>
      </c>
      <c r="I6" s="1077" t="s">
        <v>110</v>
      </c>
      <c r="J6" s="1068" t="s">
        <v>725</v>
      </c>
      <c r="N6" s="1092" t="s">
        <v>726</v>
      </c>
      <c r="O6" s="1077" t="s">
        <v>727</v>
      </c>
      <c r="R6" s="123" t="s">
        <v>606</v>
      </c>
      <c r="T6" s="1078" t="s">
        <v>728</v>
      </c>
      <c r="U6" s="1080" t="s">
        <v>708</v>
      </c>
      <c r="V6" s="1084">
        <v>5</v>
      </c>
      <c r="W6" s="1085"/>
      <c r="X6" s="1076" t="s">
        <v>176</v>
      </c>
      <c r="Y6" s="1076" t="s">
        <v>729</v>
      </c>
      <c r="Z6" s="1091"/>
      <c r="AA6" s="1094"/>
      <c r="AH6" s="1077" t="s">
        <v>730</v>
      </c>
      <c r="AK6" s="1077" t="s">
        <v>731</v>
      </c>
      <c r="AM6" s="1077" t="s">
        <v>732</v>
      </c>
      <c r="AP6" s="1088" t="s">
        <v>176</v>
      </c>
      <c r="AQ6" s="1089" t="s">
        <v>176</v>
      </c>
      <c r="AU6" s="1121" t="s">
        <v>733</v>
      </c>
      <c r="AW6" s="1121" t="s">
        <v>734</v>
      </c>
      <c r="AX6" s="1121" t="s">
        <v>734</v>
      </c>
      <c r="BB6" s="1121" t="s">
        <v>735</v>
      </c>
      <c r="BC6" s="1121" t="s">
        <v>716</v>
      </c>
      <c r="BE6" s="1121">
        <v>2004</v>
      </c>
      <c r="BF6" s="1121" t="s">
        <v>736</v>
      </c>
      <c r="BH6" s="1069" t="s">
        <v>737</v>
      </c>
      <c r="BJ6" s="1069" t="s">
        <v>738</v>
      </c>
      <c r="BL6" s="1069" t="s">
        <v>738</v>
      </c>
      <c r="BN6" s="1069" t="s">
        <v>739</v>
      </c>
      <c r="BQ6" s="1304">
        <v>4213784</v>
      </c>
      <c r="BR6" s="1318" t="s">
        <v>647</v>
      </c>
      <c r="BS6" s="1453"/>
      <c r="BT6" s="1304">
        <v>64236872</v>
      </c>
      <c r="BU6" s="1069" t="s">
        <v>224</v>
      </c>
      <c r="BV6" s="1071"/>
      <c r="BW6" s="1725">
        <v>4213768</v>
      </c>
      <c r="BX6" s="1723" t="s">
        <v>244</v>
      </c>
      <c r="BZ6" s="1304">
        <v>64237510</v>
      </c>
      <c r="CA6" s="1069" t="s">
        <v>740</v>
      </c>
    </row>
    <row customHeight="1" ht="11.25">
      <c r="A7" s="1075" t="s">
        <v>741</v>
      </c>
      <c r="B7" s="1076">
        <v>2005</v>
      </c>
      <c r="E7" s="1077" t="s">
        <v>742</v>
      </c>
      <c r="F7" s="1093"/>
      <c r="H7" s="1078" t="s">
        <v>743</v>
      </c>
      <c r="I7" s="1077" t="s">
        <v>91</v>
      </c>
      <c r="J7" s="1077" t="s">
        <v>744</v>
      </c>
      <c r="N7" s="1096" t="s">
        <v>745</v>
      </c>
      <c r="O7" s="1077" t="s">
        <v>746</v>
      </c>
      <c r="U7" s="1080" t="s">
        <v>56</v>
      </c>
      <c r="V7" s="362" t="s">
        <v>91</v>
      </c>
      <c r="W7" s="1085"/>
      <c r="X7" s="1076" t="s">
        <v>182</v>
      </c>
      <c r="Y7" s="1076" t="s">
        <v>707</v>
      </c>
      <c r="Z7" s="1091"/>
      <c r="AA7" s="1094"/>
      <c r="AH7" s="1077" t="s">
        <v>747</v>
      </c>
      <c r="AK7" s="1077" t="s">
        <v>748</v>
      </c>
      <c r="AM7" s="1077" t="s">
        <v>749</v>
      </c>
      <c r="AP7" s="1088" t="s">
        <v>182</v>
      </c>
      <c r="AQ7" s="1089" t="s">
        <v>182</v>
      </c>
      <c r="AU7" s="1121" t="s">
        <v>750</v>
      </c>
      <c r="AW7" s="1121" t="s">
        <v>751</v>
      </c>
      <c r="AX7" s="1121" t="s">
        <v>751</v>
      </c>
      <c r="AZ7" s="1068" t="s">
        <v>752</v>
      </c>
      <c r="BB7" s="1121" t="s">
        <v>753</v>
      </c>
      <c r="BC7" s="1121" t="s">
        <v>716</v>
      </c>
      <c r="BE7" s="1121">
        <v>2005</v>
      </c>
      <c r="BF7" s="1121" t="s">
        <v>754</v>
      </c>
      <c r="BH7" s="1069" t="s">
        <v>755</v>
      </c>
      <c r="BJ7" s="1069" t="s">
        <v>737</v>
      </c>
      <c r="BL7" s="1069" t="s">
        <v>737</v>
      </c>
      <c r="BN7" s="1069" t="s">
        <v>756</v>
      </c>
      <c r="BQ7" s="1304">
        <v>4213781</v>
      </c>
      <c r="BR7" s="1069" t="s">
        <v>640</v>
      </c>
      <c r="BS7" s="1452"/>
      <c r="BT7" s="1304">
        <v>64236873</v>
      </c>
      <c r="BU7" s="1069" t="s">
        <v>229</v>
      </c>
      <c r="BV7" s="1071"/>
      <c r="BW7" s="1725">
        <v>4213769</v>
      </c>
      <c r="BX7" s="1723" t="s">
        <v>757</v>
      </c>
      <c r="BZ7" s="1304">
        <v>64237511</v>
      </c>
      <c r="CA7" s="1069" t="s">
        <v>259</v>
      </c>
    </row>
    <row customHeight="1" ht="11.25">
      <c r="A8" s="1075" t="s">
        <v>758</v>
      </c>
      <c r="B8" s="1076">
        <v>2006</v>
      </c>
      <c r="E8" s="1077" t="s">
        <v>759</v>
      </c>
      <c r="F8" s="1093"/>
      <c r="I8" s="1077" t="s">
        <v>92</v>
      </c>
      <c r="J8" s="1077" t="s">
        <v>760</v>
      </c>
      <c r="N8" s="1164" t="s">
        <v>761</v>
      </c>
      <c r="O8" s="1077" t="s">
        <v>762</v>
      </c>
      <c r="V8" s="362" t="s">
        <v>92</v>
      </c>
      <c r="W8" s="1085"/>
      <c r="X8" s="1076" t="s">
        <v>188</v>
      </c>
      <c r="Y8" s="1076" t="s">
        <v>707</v>
      </c>
      <c r="Z8" s="1091"/>
      <c r="AA8" s="1094"/>
      <c r="AK8" s="1077" t="s">
        <v>763</v>
      </c>
      <c r="AP8" s="1088" t="s">
        <v>188</v>
      </c>
      <c r="AQ8" s="1089" t="s">
        <v>188</v>
      </c>
      <c r="AU8" s="1121" t="s">
        <v>764</v>
      </c>
      <c r="AW8" s="1121" t="s">
        <v>765</v>
      </c>
      <c r="AX8" s="1121" t="s">
        <v>765</v>
      </c>
      <c r="AZ8" s="1121" t="s">
        <v>766</v>
      </c>
      <c r="BB8" s="1121" t="s">
        <v>767</v>
      </c>
      <c r="BC8" s="1121" t="s">
        <v>716</v>
      </c>
      <c r="BE8" s="1121">
        <v>2006</v>
      </c>
      <c r="BF8" s="1121" t="s">
        <v>768</v>
      </c>
      <c r="BH8" s="1069" t="s">
        <v>769</v>
      </c>
      <c r="BJ8" s="1069" t="s">
        <v>770</v>
      </c>
      <c r="BL8" s="1069" t="s">
        <v>770</v>
      </c>
      <c r="BN8" s="1069" t="s">
        <v>771</v>
      </c>
      <c r="BQ8" s="1304">
        <v>4213776</v>
      </c>
      <c r="BR8" s="1069" t="s">
        <v>170</v>
      </c>
      <c r="BS8" s="1452"/>
      <c r="BT8" s="1304">
        <v>64236874</v>
      </c>
      <c r="BU8" s="1318" t="s">
        <v>772</v>
      </c>
      <c r="BV8" s="1071"/>
      <c r="BW8" s="1725">
        <v>4213770</v>
      </c>
      <c r="BX8" s="1726" t="s">
        <v>773</v>
      </c>
      <c r="BZ8" s="1304">
        <v>64237512</v>
      </c>
      <c r="CA8" s="1069" t="s">
        <v>254</v>
      </c>
    </row>
    <row customHeight="1" ht="11.25">
      <c r="A9" s="1075" t="s">
        <v>774</v>
      </c>
      <c r="B9" s="1076">
        <v>2007</v>
      </c>
      <c r="E9" s="1077" t="s">
        <v>775</v>
      </c>
      <c r="F9" s="1093"/>
      <c r="G9" s="1068" t="s">
        <v>776</v>
      </c>
      <c r="H9" s="1068" t="s">
        <v>777</v>
      </c>
      <c r="I9" s="1077" t="s">
        <v>111</v>
      </c>
      <c r="O9" s="1077" t="s">
        <v>778</v>
      </c>
      <c r="V9" s="362" t="s">
        <v>111</v>
      </c>
      <c r="W9" s="1085"/>
      <c r="X9" s="1076" t="s">
        <v>194</v>
      </c>
      <c r="Y9" s="1076" t="s">
        <v>612</v>
      </c>
      <c r="Z9" s="1091">
        <v>1</v>
      </c>
      <c r="AA9" s="1094"/>
      <c r="AK9" s="1077" t="s">
        <v>779</v>
      </c>
      <c r="AP9" s="1088" t="s">
        <v>780</v>
      </c>
      <c r="AQ9" s="1089" t="s">
        <v>780</v>
      </c>
      <c r="AW9" s="1121" t="s">
        <v>781</v>
      </c>
      <c r="AX9" s="1121" t="s">
        <v>781</v>
      </c>
      <c r="AZ9" s="1121" t="s">
        <v>782</v>
      </c>
      <c r="BB9" s="1121" t="s">
        <v>783</v>
      </c>
      <c r="BC9" s="1121" t="s">
        <v>716</v>
      </c>
      <c r="BE9" s="1121">
        <v>2007</v>
      </c>
      <c r="BF9" s="1121" t="s">
        <v>784</v>
      </c>
      <c r="BH9" s="1069" t="s">
        <v>785</v>
      </c>
      <c r="BJ9" s="1069" t="s">
        <v>786</v>
      </c>
      <c r="BL9" s="1069" t="s">
        <v>786</v>
      </c>
      <c r="BN9" s="1069" t="s">
        <v>787</v>
      </c>
      <c r="BQ9" s="1304">
        <v>4213777</v>
      </c>
      <c r="BR9" s="1069" t="s">
        <v>176</v>
      </c>
      <c r="BS9" s="1452"/>
      <c r="BT9" s="1304">
        <v>64236875</v>
      </c>
      <c r="BU9" s="1069" t="s">
        <v>234</v>
      </c>
      <c r="BV9" s="1071"/>
      <c r="BW9" s="0"/>
      <c r="BX9" s="0"/>
    </row>
    <row customHeight="1" ht="11.25">
      <c r="A10" s="1075" t="s">
        <v>788</v>
      </c>
      <c r="B10" s="1076">
        <v>2008</v>
      </c>
      <c r="E10" s="1077" t="s">
        <v>789</v>
      </c>
      <c r="F10" s="1093"/>
      <c r="G10" s="1077" t="s">
        <v>790</v>
      </c>
      <c r="H10" s="1077" t="s">
        <v>791</v>
      </c>
      <c r="I10" s="1077" t="s">
        <v>152</v>
      </c>
      <c r="J10" s="1068" t="s">
        <v>792</v>
      </c>
      <c r="K10" s="1068" t="s">
        <v>793</v>
      </c>
      <c r="O10" s="1077" t="s">
        <v>794</v>
      </c>
      <c r="V10" s="363" t="s">
        <v>152</v>
      </c>
      <c r="W10" s="1097"/>
      <c r="X10" s="1097" t="s">
        <v>795</v>
      </c>
      <c r="Y10" s="1098" t="s">
        <v>796</v>
      </c>
      <c r="Z10" s="1091"/>
      <c r="AP10" s="1088" t="s">
        <v>795</v>
      </c>
      <c r="AQ10" s="1089" t="s">
        <v>795</v>
      </c>
      <c r="AW10" s="1121" t="s">
        <v>797</v>
      </c>
      <c r="AX10" s="1121" t="s">
        <v>797</v>
      </c>
      <c r="AZ10" s="1121" t="s">
        <v>798</v>
      </c>
      <c r="BB10" s="1121" t="s">
        <v>799</v>
      </c>
      <c r="BC10" s="1121" t="s">
        <v>716</v>
      </c>
      <c r="BE10" s="1121">
        <v>2008</v>
      </c>
      <c r="BF10" s="1121" t="s">
        <v>800</v>
      </c>
      <c r="BH10" s="1069" t="s">
        <v>801</v>
      </c>
      <c r="BJ10" s="1069" t="s">
        <v>802</v>
      </c>
      <c r="BL10" s="1069" t="s">
        <v>802</v>
      </c>
      <c r="BN10" s="1069" t="s">
        <v>803</v>
      </c>
      <c r="BQ10" s="1304">
        <v>4213778</v>
      </c>
      <c r="BR10" s="1069" t="s">
        <v>182</v>
      </c>
      <c r="BS10" s="1452"/>
      <c r="BT10" s="1304">
        <v>64236876</v>
      </c>
      <c r="BU10" s="1069" t="s">
        <v>214</v>
      </c>
      <c r="BV10" s="1071"/>
      <c r="BW10" s="0"/>
      <c r="BX10" s="0"/>
    </row>
    <row customHeight="1" ht="11.25">
      <c r="A11" s="1075" t="s">
        <v>804</v>
      </c>
      <c r="B11" s="1076">
        <v>2009</v>
      </c>
      <c r="E11" s="1077" t="s">
        <v>805</v>
      </c>
      <c r="F11" s="1093"/>
      <c r="G11" s="1077" t="s">
        <v>806</v>
      </c>
      <c r="H11" s="1077" t="s">
        <v>807</v>
      </c>
      <c r="I11" s="1077" t="s">
        <v>153</v>
      </c>
      <c r="J11" s="1078" t="s">
        <v>808</v>
      </c>
      <c r="K11" s="1099" t="s">
        <v>809</v>
      </c>
      <c r="O11" s="1078" t="s">
        <v>810</v>
      </c>
      <c r="V11" s="362" t="s">
        <v>153</v>
      </c>
      <c r="W11" s="254"/>
      <c r="X11" s="1085" t="s">
        <v>780</v>
      </c>
      <c r="Y11" s="1076" t="s">
        <v>811</v>
      </c>
      <c r="Z11" s="1091"/>
      <c r="AP11" s="1088" t="s">
        <v>194</v>
      </c>
      <c r="AQ11" s="1090" t="s">
        <v>194</v>
      </c>
      <c r="AW11" s="1121" t="s">
        <v>812</v>
      </c>
      <c r="AX11" s="1121" t="s">
        <v>812</v>
      </c>
      <c r="AZ11" s="1121" t="s">
        <v>813</v>
      </c>
      <c r="BB11" s="1121" t="s">
        <v>814</v>
      </c>
      <c r="BC11" s="1121" t="s">
        <v>716</v>
      </c>
      <c r="BE11" s="1121">
        <v>2009</v>
      </c>
      <c r="BF11" s="1121" t="s">
        <v>815</v>
      </c>
      <c r="BH11" s="1069" t="s">
        <v>816</v>
      </c>
      <c r="BJ11" s="1069" t="s">
        <v>785</v>
      </c>
      <c r="BL11" s="1069" t="s">
        <v>785</v>
      </c>
      <c r="BN11" s="1069" t="s">
        <v>817</v>
      </c>
      <c r="BQ11" s="1304">
        <v>4213780</v>
      </c>
      <c r="BR11" s="1069" t="s">
        <v>188</v>
      </c>
      <c r="BS11" s="1452"/>
      <c r="BW11" s="0"/>
      <c r="BX11" s="0"/>
    </row>
    <row customHeight="1" ht="11.25">
      <c r="A12" s="1075" t="s">
        <v>818</v>
      </c>
      <c r="B12" s="1076">
        <v>2010</v>
      </c>
      <c r="E12" s="1077" t="s">
        <v>819</v>
      </c>
      <c r="F12" s="1093"/>
      <c r="G12" s="1077" t="s">
        <v>807</v>
      </c>
      <c r="I12" s="1077" t="s">
        <v>154</v>
      </c>
      <c r="J12" s="1078" t="s">
        <v>820</v>
      </c>
      <c r="K12" s="1099" t="s">
        <v>821</v>
      </c>
      <c r="O12" s="1078" t="s">
        <v>606</v>
      </c>
      <c r="V12" s="362" t="s">
        <v>154</v>
      </c>
      <c r="W12" s="1090"/>
      <c r="X12" s="1085" t="s">
        <v>822</v>
      </c>
      <c r="Y12" s="1076" t="s">
        <v>612</v>
      </c>
      <c r="AP12" s="1088"/>
      <c r="AW12" s="1121" t="s">
        <v>153</v>
      </c>
      <c r="AX12" s="1121" t="s">
        <v>153</v>
      </c>
      <c r="AZ12" s="1121" t="s">
        <v>823</v>
      </c>
      <c r="BB12" s="1121" t="s">
        <v>824</v>
      </c>
      <c r="BC12" s="1121" t="s">
        <v>716</v>
      </c>
      <c r="BE12" s="1121">
        <v>2010</v>
      </c>
      <c r="BF12" s="1121" t="s">
        <v>825</v>
      </c>
      <c r="BH12" s="1069" t="s">
        <v>826</v>
      </c>
      <c r="BJ12" s="1069" t="s">
        <v>827</v>
      </c>
      <c r="BL12" s="1069" t="s">
        <v>827</v>
      </c>
      <c r="BN12" s="1069" t="s">
        <v>828</v>
      </c>
      <c r="BQ12" s="1304">
        <v>4213779</v>
      </c>
      <c r="BR12" s="1069" t="s">
        <v>780</v>
      </c>
      <c r="BS12" s="1452"/>
      <c r="BT12" s="1071"/>
      <c r="BU12" s="1071"/>
      <c r="BV12" s="1071"/>
      <c r="BW12" s="0"/>
      <c r="BX12" s="0"/>
    </row>
    <row customHeight="1" ht="11.25">
      <c r="A13" s="1075" t="s">
        <v>829</v>
      </c>
      <c r="B13" s="1076">
        <v>2011</v>
      </c>
      <c r="E13" s="1077" t="s">
        <v>830</v>
      </c>
      <c r="F13" s="1093"/>
      <c r="I13" s="1077" t="s">
        <v>155</v>
      </c>
      <c r="K13" s="1099" t="s">
        <v>779</v>
      </c>
      <c r="V13" s="362" t="s">
        <v>155</v>
      </c>
      <c r="W13" s="1090"/>
      <c r="X13" s="1090"/>
      <c r="Y13" s="1090"/>
      <c r="AW13" s="1121" t="s">
        <v>154</v>
      </c>
      <c r="AX13" s="1121" t="s">
        <v>154</v>
      </c>
      <c r="BB13" s="1121" t="s">
        <v>831</v>
      </c>
      <c r="BC13" s="1121" t="s">
        <v>832</v>
      </c>
      <c r="BE13" s="1121">
        <v>2011</v>
      </c>
      <c r="BF13" s="1121" t="s">
        <v>833</v>
      </c>
      <c r="BH13" s="1069" t="s">
        <v>834</v>
      </c>
      <c r="BJ13" s="1069" t="s">
        <v>816</v>
      </c>
      <c r="BL13" s="1069" t="s">
        <v>816</v>
      </c>
      <c r="BN13" s="1069" t="s">
        <v>835</v>
      </c>
      <c r="BQ13" s="1304">
        <v>4213783</v>
      </c>
      <c r="BR13" s="1069" t="s">
        <v>795</v>
      </c>
      <c r="BS13" s="1452"/>
      <c r="BT13" s="1071"/>
      <c r="BU13" s="1071"/>
      <c r="BV13" s="1071"/>
      <c r="BW13" s="1724"/>
      <c r="BX13" s="0"/>
    </row>
    <row customHeight="1" ht="11.25">
      <c r="A14" s="1075" t="s">
        <v>836</v>
      </c>
      <c r="B14" s="1076">
        <v>2012</v>
      </c>
      <c r="I14" s="1077" t="s">
        <v>156</v>
      </c>
      <c r="J14" s="1068" t="s">
        <v>837</v>
      </c>
      <c r="N14" s="1068" t="s">
        <v>838</v>
      </c>
      <c r="V14" s="1084">
        <v>13</v>
      </c>
      <c r="W14" s="1085"/>
      <c r="X14" s="1085" t="s">
        <v>647</v>
      </c>
      <c r="Y14" s="1076" t="s">
        <v>612</v>
      </c>
      <c r="AW14" s="1121" t="s">
        <v>155</v>
      </c>
      <c r="AX14" s="1121" t="s">
        <v>155</v>
      </c>
      <c r="AZ14" s="1068" t="s">
        <v>839</v>
      </c>
      <c r="BB14" s="1121" t="s">
        <v>840</v>
      </c>
      <c r="BC14" s="1121" t="s">
        <v>832</v>
      </c>
      <c r="BE14" s="1121">
        <v>2012</v>
      </c>
      <c r="BH14" s="1069" t="s">
        <v>756</v>
      </c>
      <c r="BJ14" s="1222" t="s">
        <v>841</v>
      </c>
      <c r="BL14" s="1222" t="s">
        <v>841</v>
      </c>
      <c r="BN14" s="1069" t="s">
        <v>842</v>
      </c>
      <c r="BQ14" s="1304">
        <v>4213782</v>
      </c>
      <c r="BR14" s="1069" t="s">
        <v>194</v>
      </c>
      <c r="BS14" s="1452"/>
      <c r="BT14" s="1071"/>
      <c r="BU14" s="1071"/>
      <c r="BV14" s="1071"/>
      <c r="BW14" s="1724"/>
      <c r="BX14" s="0"/>
    </row>
    <row customHeight="1" ht="19.5">
      <c r="A15" s="1075" t="s">
        <v>843</v>
      </c>
      <c r="B15" s="1076">
        <v>2013</v>
      </c>
      <c r="E15" s="1728" t="s">
        <v>844</v>
      </c>
      <c r="G15" s="1068" t="s">
        <v>845</v>
      </c>
      <c r="H15" s="1068" t="s">
        <v>846</v>
      </c>
      <c r="I15" s="1079" t="s">
        <v>157</v>
      </c>
      <c r="J15" s="1090" t="s">
        <v>847</v>
      </c>
      <c r="N15" s="1159" t="s">
        <v>848</v>
      </c>
      <c r="X15" s="1088"/>
      <c r="AW15" s="1121" t="s">
        <v>156</v>
      </c>
      <c r="AX15" s="1121" t="s">
        <v>156</v>
      </c>
      <c r="AZ15" s="1121" t="s">
        <v>766</v>
      </c>
      <c r="BB15" s="1121" t="s">
        <v>849</v>
      </c>
      <c r="BC15" s="1121" t="s">
        <v>832</v>
      </c>
      <c r="BE15" s="1121">
        <v>2013</v>
      </c>
      <c r="BH15" s="1069" t="s">
        <v>771</v>
      </c>
      <c r="BJ15" s="1222" t="s">
        <v>850</v>
      </c>
      <c r="BL15" s="1222" t="s">
        <v>850</v>
      </c>
      <c r="BN15" s="1069" t="s">
        <v>851</v>
      </c>
      <c r="BR15" s="1071"/>
      <c r="BS15" s="1454"/>
      <c r="BT15" s="1071"/>
      <c r="BU15" s="1071"/>
      <c r="BV15" s="1071"/>
      <c r="BW15" s="1724"/>
      <c r="BX15" s="0"/>
    </row>
    <row customHeight="1" ht="21">
      <c r="A16" s="1075" t="s">
        <v>852</v>
      </c>
      <c r="B16" s="1076">
        <v>2014</v>
      </c>
      <c r="E16" s="1729" t="s">
        <v>853</v>
      </c>
      <c r="G16" s="1077" t="s">
        <v>854</v>
      </c>
      <c r="H16" s="1077" t="s">
        <v>855</v>
      </c>
      <c r="I16" s="1079" t="s">
        <v>856</v>
      </c>
      <c r="J16" s="1090" t="s">
        <v>630</v>
      </c>
      <c r="N16" s="1159" t="s">
        <v>857</v>
      </c>
      <c r="AW16" s="1121" t="s">
        <v>157</v>
      </c>
      <c r="AX16" s="1121" t="s">
        <v>157</v>
      </c>
      <c r="AZ16" s="1121" t="s">
        <v>782</v>
      </c>
      <c r="BB16" s="1121" t="s">
        <v>858</v>
      </c>
      <c r="BC16" s="1121" t="s">
        <v>832</v>
      </c>
      <c r="BE16" s="1121">
        <v>2014</v>
      </c>
      <c r="BH16" s="1069" t="s">
        <v>787</v>
      </c>
      <c r="BJ16" s="1222" t="s">
        <v>859</v>
      </c>
      <c r="BL16" s="1222" t="s">
        <v>859</v>
      </c>
      <c r="BN16" s="1069" t="s">
        <v>860</v>
      </c>
      <c r="BR16" s="1071"/>
      <c r="BS16" s="1454"/>
      <c r="BT16" s="1071"/>
      <c r="BU16" s="1071"/>
      <c r="BV16" s="1071"/>
      <c r="BW16" s="1724"/>
      <c r="BX16" s="0"/>
    </row>
    <row customHeight="1" ht="21">
      <c r="A17" s="1075" t="s">
        <v>861</v>
      </c>
      <c r="B17" s="1076">
        <v>2015</v>
      </c>
      <c r="G17" s="1077" t="s">
        <v>807</v>
      </c>
      <c r="H17" s="1077" t="s">
        <v>807</v>
      </c>
      <c r="I17" s="1077" t="s">
        <v>862</v>
      </c>
      <c r="N17" s="1159" t="s">
        <v>863</v>
      </c>
      <c r="X17" s="1088"/>
      <c r="AW17" s="1121" t="s">
        <v>856</v>
      </c>
      <c r="AX17" s="1121" t="s">
        <v>856</v>
      </c>
      <c r="AZ17" s="1121" t="s">
        <v>864</v>
      </c>
      <c r="BB17" s="1121" t="s">
        <v>865</v>
      </c>
      <c r="BC17" s="1121" t="s">
        <v>716</v>
      </c>
      <c r="BE17" s="1121">
        <v>2015</v>
      </c>
      <c r="BH17" s="1069" t="s">
        <v>803</v>
      </c>
      <c r="BJ17" s="1222" t="s">
        <v>866</v>
      </c>
      <c r="BL17" s="1222" t="s">
        <v>866</v>
      </c>
      <c r="BN17" s="1069" t="s">
        <v>867</v>
      </c>
      <c r="BR17" s="1068" t="s">
        <v>658</v>
      </c>
      <c r="BS17" s="1451"/>
      <c r="BU17" s="1068" t="s">
        <v>868</v>
      </c>
      <c r="BV17" s="1071"/>
      <c r="BW17" s="0"/>
      <c r="BX17" s="1722" t="s">
        <v>869</v>
      </c>
      <c r="CA17" s="1068" t="s">
        <v>870</v>
      </c>
      <c r="CD17" s="1068" t="s">
        <v>871</v>
      </c>
    </row>
    <row customHeight="1" ht="21">
      <c r="A18" s="1075" t="s">
        <v>872</v>
      </c>
      <c r="B18" s="1076">
        <v>2016</v>
      </c>
      <c r="I18" s="1077" t="s">
        <v>873</v>
      </c>
      <c r="N18" s="1159" t="s">
        <v>874</v>
      </c>
      <c r="X18" s="1088"/>
      <c r="AW18" s="1121" t="s">
        <v>862</v>
      </c>
      <c r="AX18" s="1121" t="s">
        <v>862</v>
      </c>
      <c r="BB18" s="1121" t="s">
        <v>875</v>
      </c>
      <c r="BC18" s="1121" t="s">
        <v>716</v>
      </c>
      <c r="BE18" s="1121">
        <v>2016</v>
      </c>
      <c r="BH18" s="1069" t="s">
        <v>817</v>
      </c>
      <c r="BJ18" s="1222" t="s">
        <v>876</v>
      </c>
      <c r="BL18" s="1222" t="s">
        <v>876</v>
      </c>
      <c r="BN18" s="1069" t="s">
        <v>877</v>
      </c>
      <c r="BQ18" s="1455" t="s">
        <v>688</v>
      </c>
      <c r="BR18" s="1160" t="s">
        <v>689</v>
      </c>
      <c r="BS18" s="253"/>
      <c r="BT18" s="1455" t="s">
        <v>878</v>
      </c>
      <c r="BU18" s="1160" t="s">
        <v>879</v>
      </c>
      <c r="BV18" s="1071"/>
      <c r="BW18" s="1727" t="s">
        <v>880</v>
      </c>
      <c r="BX18" s="1721" t="s">
        <v>881</v>
      </c>
      <c r="BZ18" s="1455" t="s">
        <v>882</v>
      </c>
      <c r="CA18" s="1160" t="s">
        <v>883</v>
      </c>
      <c r="CC18" s="1455" t="s">
        <v>884</v>
      </c>
      <c r="CD18" s="1160" t="s">
        <v>885</v>
      </c>
    </row>
    <row customHeight="1" ht="21">
      <c r="A19" s="1075" t="s">
        <v>886</v>
      </c>
      <c r="B19" s="1076">
        <v>2017</v>
      </c>
      <c r="I19" s="1077" t="s">
        <v>887</v>
      </c>
      <c r="N19" s="1159" t="s">
        <v>888</v>
      </c>
      <c r="X19" s="1088"/>
      <c r="AW19" s="1121" t="s">
        <v>873</v>
      </c>
      <c r="AX19" s="1121" t="s">
        <v>873</v>
      </c>
      <c r="AZ19" s="1068" t="s">
        <v>889</v>
      </c>
      <c r="BB19" s="1121" t="s">
        <v>890</v>
      </c>
      <c r="BC19" s="1121" t="s">
        <v>716</v>
      </c>
      <c r="BE19" s="1121">
        <v>2017</v>
      </c>
      <c r="BH19" s="1069" t="s">
        <v>891</v>
      </c>
      <c r="BJ19" s="1222" t="s">
        <v>892</v>
      </c>
      <c r="BL19" s="1222" t="s">
        <v>892</v>
      </c>
      <c r="BQ19" s="1304">
        <v>4190064</v>
      </c>
      <c r="BR19" s="1069" t="s">
        <v>893</v>
      </c>
      <c r="BS19" s="1452"/>
      <c r="BT19" s="1304">
        <v>4189671</v>
      </c>
      <c r="BU19" s="1069" t="s">
        <v>894</v>
      </c>
      <c r="BV19" s="1071"/>
      <c r="BW19" s="1725">
        <v>4189706</v>
      </c>
      <c r="BX19" s="1723" t="s">
        <v>895</v>
      </c>
      <c r="BZ19" s="1304">
        <v>4189714</v>
      </c>
      <c r="CA19" s="1069" t="s">
        <v>896</v>
      </c>
      <c r="CC19" s="1304">
        <v>4189708</v>
      </c>
      <c r="CD19" s="1069" t="s">
        <v>897</v>
      </c>
    </row>
    <row customHeight="1" ht="21">
      <c r="A20" s="1075" t="s">
        <v>898</v>
      </c>
      <c r="B20" s="1076">
        <v>2018</v>
      </c>
      <c r="I20" s="1077" t="s">
        <v>899</v>
      </c>
      <c r="N20" s="1159" t="s">
        <v>900</v>
      </c>
      <c r="AW20" s="1121" t="s">
        <v>887</v>
      </c>
      <c r="AX20" s="1121" t="s">
        <v>887</v>
      </c>
      <c r="AZ20" s="1121" t="s">
        <v>901</v>
      </c>
      <c r="BB20" s="1121" t="s">
        <v>902</v>
      </c>
      <c r="BC20" s="1121" t="s">
        <v>832</v>
      </c>
      <c r="BE20" s="1121">
        <v>2018</v>
      </c>
      <c r="BH20" s="1069" t="s">
        <v>828</v>
      </c>
      <c r="BJ20" s="1069" t="s">
        <v>756</v>
      </c>
      <c r="BL20" s="1069" t="s">
        <v>756</v>
      </c>
      <c r="BQ20" s="1304">
        <v>4190065</v>
      </c>
      <c r="BR20" s="1069" t="s">
        <v>903</v>
      </c>
      <c r="BS20" s="1452"/>
      <c r="BT20" s="1304">
        <v>4189672</v>
      </c>
      <c r="BU20" s="1069" t="s">
        <v>904</v>
      </c>
      <c r="BV20" s="1071"/>
      <c r="BW20" s="1725">
        <v>4189705</v>
      </c>
      <c r="BX20" s="1723" t="s">
        <v>905</v>
      </c>
      <c r="BZ20" s="1304">
        <v>4189713</v>
      </c>
      <c r="CA20" s="1069" t="s">
        <v>905</v>
      </c>
      <c r="CC20" s="1304">
        <v>4189709</v>
      </c>
      <c r="CD20" s="1069" t="s">
        <v>906</v>
      </c>
    </row>
    <row customHeight="1" ht="21">
      <c r="A21" s="1075" t="s">
        <v>907</v>
      </c>
      <c r="B21" s="1076">
        <v>2019</v>
      </c>
      <c r="I21" s="1077" t="s">
        <v>908</v>
      </c>
      <c r="N21" s="1159" t="s">
        <v>909</v>
      </c>
      <c r="AW21" s="1121" t="s">
        <v>899</v>
      </c>
      <c r="AX21" s="1121" t="s">
        <v>899</v>
      </c>
      <c r="AZ21" s="1121" t="s">
        <v>910</v>
      </c>
      <c r="BB21" s="1121" t="s">
        <v>911</v>
      </c>
      <c r="BC21" s="1121" t="s">
        <v>716</v>
      </c>
      <c r="BE21" s="1121">
        <v>2019</v>
      </c>
      <c r="BH21" s="1069" t="s">
        <v>835</v>
      </c>
      <c r="BJ21" s="1069" t="s">
        <v>771</v>
      </c>
      <c r="BL21" s="1069" t="s">
        <v>771</v>
      </c>
      <c r="BQ21" s="1304">
        <v>4190066</v>
      </c>
      <c r="BR21" s="1069" t="s">
        <v>912</v>
      </c>
      <c r="BS21" s="1452"/>
      <c r="BT21" s="1304">
        <v>4189673</v>
      </c>
      <c r="BU21" s="1069" t="s">
        <v>913</v>
      </c>
      <c r="BV21" s="1071"/>
      <c r="BW21" s="1725">
        <v>4189707</v>
      </c>
      <c r="BX21" s="1723" t="s">
        <v>914</v>
      </c>
      <c r="BZ21" s="1304">
        <v>4189712</v>
      </c>
      <c r="CA21" s="1069" t="s">
        <v>915</v>
      </c>
      <c r="CC21" s="1304">
        <v>4189710</v>
      </c>
      <c r="CD21" s="1069" t="s">
        <v>916</v>
      </c>
    </row>
    <row customHeight="1" ht="21">
      <c r="A22" s="1075" t="s">
        <v>917</v>
      </c>
      <c r="B22" s="1076">
        <v>2020</v>
      </c>
      <c r="N22" s="1159" t="s">
        <v>918</v>
      </c>
      <c r="AW22" s="1121" t="s">
        <v>908</v>
      </c>
      <c r="AX22" s="1121" t="s">
        <v>908</v>
      </c>
      <c r="AZ22" s="1121" t="s">
        <v>919</v>
      </c>
      <c r="BB22" s="1121" t="s">
        <v>920</v>
      </c>
      <c r="BC22" s="1121" t="s">
        <v>716</v>
      </c>
      <c r="BE22" s="1121">
        <v>2020</v>
      </c>
      <c r="BH22" s="1069" t="s">
        <v>842</v>
      </c>
      <c r="BJ22" s="1069" t="s">
        <v>787</v>
      </c>
      <c r="BL22" s="1069" t="s">
        <v>787</v>
      </c>
      <c r="BQ22" s="1304">
        <v>4190067</v>
      </c>
      <c r="BR22" s="1069" t="s">
        <v>921</v>
      </c>
      <c r="BS22" s="1452"/>
      <c r="BT22" s="1304">
        <v>4189674</v>
      </c>
      <c r="BU22" s="1069" t="s">
        <v>922</v>
      </c>
      <c r="BV22" s="1071"/>
      <c r="BW22" s="1071"/>
      <c r="CC22" s="1304">
        <v>4189711</v>
      </c>
      <c r="CD22" s="1069" t="s">
        <v>283</v>
      </c>
    </row>
    <row customHeight="1" ht="21">
      <c r="A23" s="1075" t="s">
        <v>923</v>
      </c>
      <c r="B23" s="1076">
        <v>2021</v>
      </c>
      <c r="AW23" s="1121" t="s">
        <v>924</v>
      </c>
      <c r="AX23" s="1121" t="s">
        <v>924</v>
      </c>
      <c r="AZ23" s="1121" t="s">
        <v>925</v>
      </c>
      <c r="BB23" s="1121" t="s">
        <v>926</v>
      </c>
      <c r="BC23" s="1121" t="s">
        <v>623</v>
      </c>
      <c r="BE23" s="1121">
        <v>2021</v>
      </c>
      <c r="BH23" s="1069" t="s">
        <v>851</v>
      </c>
      <c r="BJ23" s="1069" t="s">
        <v>803</v>
      </c>
      <c r="BL23" s="1069" t="s">
        <v>803</v>
      </c>
      <c r="BQ23" s="1304">
        <v>4190068</v>
      </c>
      <c r="BR23" s="1069" t="s">
        <v>927</v>
      </c>
      <c r="BS23" s="1452"/>
      <c r="BT23" s="1304">
        <v>4189675</v>
      </c>
      <c r="BU23" s="1069" t="s">
        <v>928</v>
      </c>
      <c r="BV23" s="1071"/>
      <c r="BW23" s="1071"/>
      <c r="CC23" s="1304">
        <v>5110778</v>
      </c>
      <c r="CD23" s="1069" t="s">
        <v>929</v>
      </c>
    </row>
    <row customHeight="1" ht="21">
      <c r="A24" s="1075" t="s">
        <v>930</v>
      </c>
      <c r="B24" s="1076">
        <v>2022</v>
      </c>
      <c r="AW24" s="1121" t="s">
        <v>931</v>
      </c>
      <c r="AX24" s="1121" t="s">
        <v>931</v>
      </c>
      <c r="AZ24" s="1121" t="s">
        <v>932</v>
      </c>
      <c r="BB24" s="1121" t="s">
        <v>933</v>
      </c>
      <c r="BC24" s="1121" t="s">
        <v>934</v>
      </c>
      <c r="BE24" s="1121">
        <v>2022</v>
      </c>
      <c r="BH24" s="1069" t="s">
        <v>860</v>
      </c>
      <c r="BJ24" s="1069" t="s">
        <v>817</v>
      </c>
      <c r="BL24" s="1069" t="s">
        <v>817</v>
      </c>
      <c r="BQ24" s="1304">
        <v>4190069</v>
      </c>
      <c r="BR24" s="1069" t="s">
        <v>935</v>
      </c>
      <c r="BS24" s="1452"/>
      <c r="BT24" s="1304">
        <v>4189676</v>
      </c>
      <c r="BU24" s="1069" t="s">
        <v>936</v>
      </c>
      <c r="BV24" s="1071"/>
      <c r="BW24" s="1071"/>
      <c r="CC24" s="1304">
        <v>25575374</v>
      </c>
      <c r="CD24" s="1069" t="s">
        <v>937</v>
      </c>
    </row>
    <row customHeight="1" ht="11.25">
      <c r="A25" s="1075" t="s">
        <v>938</v>
      </c>
      <c r="B25" s="1076">
        <v>2023</v>
      </c>
      <c r="AW25" s="1121" t="s">
        <v>939</v>
      </c>
      <c r="AX25" s="1121" t="s">
        <v>939</v>
      </c>
      <c r="AZ25" s="1121" t="s">
        <v>940</v>
      </c>
      <c r="BB25" s="1121" t="s">
        <v>941</v>
      </c>
      <c r="BC25" s="1121" t="s">
        <v>934</v>
      </c>
      <c r="BE25" s="1121">
        <v>2023</v>
      </c>
      <c r="BH25" s="1069" t="s">
        <v>867</v>
      </c>
      <c r="BJ25" s="1069" t="s">
        <v>891</v>
      </c>
      <c r="BL25" s="1069" t="s">
        <v>891</v>
      </c>
      <c r="BQ25" s="1304">
        <v>4190070</v>
      </c>
      <c r="BR25" s="1069" t="s">
        <v>942</v>
      </c>
      <c r="BS25" s="1452"/>
      <c r="BT25" s="1304">
        <v>4189677</v>
      </c>
      <c r="BU25" s="1069" t="s">
        <v>943</v>
      </c>
      <c r="BV25" s="1071"/>
      <c r="BW25" s="1071"/>
    </row>
    <row customHeight="1" ht="11.25">
      <c r="A26" s="1075" t="s">
        <v>944</v>
      </c>
      <c r="B26" s="1076">
        <v>2024</v>
      </c>
      <c r="J26" s="1761" t="s">
        <v>945</v>
      </c>
      <c r="AX26" s="1121" t="s">
        <v>946</v>
      </c>
      <c r="AZ26" s="1121" t="s">
        <v>810</v>
      </c>
      <c r="BB26" s="1121" t="s">
        <v>947</v>
      </c>
      <c r="BC26" s="1121" t="s">
        <v>934</v>
      </c>
      <c r="BE26" s="1121">
        <v>2024</v>
      </c>
      <c r="BH26" s="1069" t="s">
        <v>877</v>
      </c>
      <c r="BJ26" s="1069" t="s">
        <v>828</v>
      </c>
      <c r="BL26" s="1069" t="s">
        <v>828</v>
      </c>
      <c r="BQ26" s="1304">
        <v>4190071</v>
      </c>
      <c r="BR26" s="1069" t="s">
        <v>948</v>
      </c>
      <c r="BS26" s="1452"/>
      <c r="BV26" s="1071"/>
      <c r="BW26" s="1071"/>
    </row>
    <row customHeight="1" ht="11.25">
      <c r="A27" s="1075" t="s">
        <v>14</v>
      </c>
      <c r="B27" s="1076">
        <v>2025</v>
      </c>
      <c r="J27" s="156" t="s">
        <v>120</v>
      </c>
      <c r="AX27" s="1121" t="s">
        <v>949</v>
      </c>
      <c r="BB27" s="1121" t="s">
        <v>950</v>
      </c>
      <c r="BC27" s="1121" t="s">
        <v>934</v>
      </c>
      <c r="BE27" s="1121">
        <v>2025</v>
      </c>
      <c r="BH27" s="1071" t="s">
        <v>18</v>
      </c>
      <c r="BJ27" s="1069" t="s">
        <v>835</v>
      </c>
      <c r="BL27" s="1069" t="s">
        <v>835</v>
      </c>
      <c r="BN27" s="1071" t="s">
        <v>18</v>
      </c>
      <c r="BQ27" s="1304">
        <v>4190072</v>
      </c>
      <c r="BR27" s="1069" t="s">
        <v>951</v>
      </c>
      <c r="BS27" s="1452"/>
      <c r="BV27" s="1071"/>
      <c r="BW27" s="1071"/>
    </row>
    <row customHeight="1" ht="11.25">
      <c r="A28" s="1075" t="s">
        <v>952</v>
      </c>
      <c r="D28" s="1101"/>
      <c r="E28" s="1102"/>
      <c r="F28" s="1102"/>
      <c r="H28" s="1103" t="s">
        <v>953</v>
      </c>
      <c r="AX28" s="1121" t="s">
        <v>954</v>
      </c>
      <c r="AZ28" s="1068" t="s">
        <v>955</v>
      </c>
      <c r="BB28" s="1121" t="s">
        <v>956</v>
      </c>
      <c r="BC28" s="1121" t="s">
        <v>957</v>
      </c>
      <c r="BE28" s="1121">
        <v>2026</v>
      </c>
      <c r="BH28" s="1071" t="s">
        <v>18</v>
      </c>
      <c r="BJ28" s="1069" t="s">
        <v>842</v>
      </c>
      <c r="BL28" s="1069" t="s">
        <v>842</v>
      </c>
      <c r="BN28" s="1071" t="s">
        <v>18</v>
      </c>
      <c r="BQ28" s="1304">
        <v>4190073</v>
      </c>
      <c r="BR28" s="1069" t="s">
        <v>958</v>
      </c>
      <c r="BS28" s="1452"/>
      <c r="BV28" s="1071"/>
      <c r="BW28" s="1071"/>
    </row>
    <row customHeight="1" ht="11.25">
      <c r="A29" s="1075" t="s">
        <v>959</v>
      </c>
      <c r="D29" s="1104" t="s">
        <v>960</v>
      </c>
      <c r="E29" s="1105" t="str">
        <f>IF(TEMPLATE_GROUP="","",INDEX(StartDateList,MATCH(TEMPLATE_GROUP,CodeTemplateList,0),1))</f>
        <v>01.01.2023</v>
      </c>
      <c r="F29" s="1105" t="str">
        <f>IF(TEMPLATE_GROUP="","",INDEX(EndDateList,MATCH(TEMPLATE_GROUP,CodeTemplateList,0),1))</f>
        <v>31.12.2023</v>
      </c>
      <c r="H29" s="1106" t="s">
        <v>961</v>
      </c>
      <c r="AX29" s="1121" t="s">
        <v>962</v>
      </c>
      <c r="AZ29" s="1121" t="s">
        <v>607</v>
      </c>
      <c r="BB29" s="1121" t="s">
        <v>810</v>
      </c>
      <c r="BC29" s="1091"/>
      <c r="BE29" s="1121">
        <v>2027</v>
      </c>
      <c r="BJ29" s="1069" t="s">
        <v>851</v>
      </c>
      <c r="BL29" s="1069" t="s">
        <v>851</v>
      </c>
    </row>
    <row customHeight="1" ht="11.25">
      <c r="A30" s="1075" t="s">
        <v>963</v>
      </c>
      <c r="D30" s="1107"/>
      <c r="E30" s="1108"/>
      <c r="F30" s="1108"/>
      <c r="AX30" s="1121" t="s">
        <v>964</v>
      </c>
      <c r="AZ30" s="1121" t="s">
        <v>636</v>
      </c>
      <c r="BE30" s="1121">
        <v>2028</v>
      </c>
      <c r="BJ30" s="1069" t="s">
        <v>965</v>
      </c>
      <c r="BL30" s="1069" t="s">
        <v>965</v>
      </c>
    </row>
    <row customHeight="1" ht="12.75">
      <c r="A31" s="1075" t="s">
        <v>966</v>
      </c>
      <c r="D31" s="1101"/>
      <c r="E31" s="1102"/>
      <c r="F31" s="1102"/>
      <c r="H31" s="1109"/>
      <c r="AX31" s="1121" t="s">
        <v>967</v>
      </c>
      <c r="AZ31" s="1121" t="s">
        <v>968</v>
      </c>
      <c r="BE31" s="1121">
        <v>2029</v>
      </c>
      <c r="BJ31" s="1069" t="s">
        <v>969</v>
      </c>
      <c r="BL31" s="1069" t="s">
        <v>969</v>
      </c>
    </row>
    <row customHeight="1" ht="11.25">
      <c r="A32" s="1075" t="s">
        <v>970</v>
      </c>
      <c r="D32" s="1104" t="s">
        <v>971</v>
      </c>
      <c r="E32" s="1105" t="str">
        <f>IF(TEMPLATE_GROUP="","",INDEX(StartDateList,MATCH(TEMPLATE_GROUP,CodeTemplateList,0),1))</f>
        <v>01.01.2023</v>
      </c>
      <c r="F32" s="1105" t="str">
        <f>IF(TEMPLATE_GROUP="","",INDEX(EndDateList,MATCH(TEMPLATE_GROUP,CodeTemplateList,0),1))</f>
        <v>31.12.2023</v>
      </c>
      <c r="H32" s="1110" t="s">
        <v>972</v>
      </c>
      <c r="O32" s="1075" t="s">
        <v>605</v>
      </c>
      <c r="AX32" s="1121" t="s">
        <v>973</v>
      </c>
      <c r="AZ32" s="1121" t="s">
        <v>704</v>
      </c>
      <c r="BE32" s="1121">
        <v>2030</v>
      </c>
      <c r="BJ32" s="1069" t="s">
        <v>860</v>
      </c>
      <c r="BL32" s="1069" t="s">
        <v>860</v>
      </c>
    </row>
    <row customHeight="1" ht="11.25">
      <c r="A33" s="1075" t="s">
        <v>974</v>
      </c>
      <c r="O33" s="1075" t="s">
        <v>633</v>
      </c>
      <c r="AX33" s="1121" t="s">
        <v>975</v>
      </c>
      <c r="AZ33" s="1121" t="s">
        <v>606</v>
      </c>
      <c r="BE33" s="1121">
        <v>2031</v>
      </c>
      <c r="BJ33" s="1069" t="s">
        <v>867</v>
      </c>
      <c r="BL33" s="1069" t="s">
        <v>867</v>
      </c>
    </row>
    <row customHeight="1" ht="11.25">
      <c r="A34" s="1075" t="s">
        <v>976</v>
      </c>
      <c r="O34" s="1075" t="s">
        <v>669</v>
      </c>
      <c r="AX34" s="1121" t="s">
        <v>977</v>
      </c>
      <c r="BE34" s="1121">
        <v>2032</v>
      </c>
      <c r="BJ34" s="1069" t="s">
        <v>877</v>
      </c>
      <c r="BL34" s="1069" t="s">
        <v>877</v>
      </c>
    </row>
    <row customHeight="1" ht="11.25">
      <c r="A35" s="1075" t="s">
        <v>978</v>
      </c>
      <c r="O35" s="1075" t="s">
        <v>702</v>
      </c>
      <c r="AX35" s="1121" t="s">
        <v>979</v>
      </c>
      <c r="AZ35" s="1068" t="s">
        <v>980</v>
      </c>
      <c r="BE35" s="1121">
        <v>2033</v>
      </c>
      <c r="BL35" s="1069" t="s">
        <v>981</v>
      </c>
    </row>
    <row customHeight="1" ht="11.25">
      <c r="A36" s="1075" t="s">
        <v>982</v>
      </c>
      <c r="D36" s="1111" t="s">
        <v>983</v>
      </c>
      <c r="E36" s="1112" t="s">
        <v>984</v>
      </c>
      <c r="F36" s="1113" t="str">
        <f>INDEX(E37:E41,MATCH(TEMPLATE_SPHERE,F37:F41,0))</f>
        <v>холодного водоснабжения</v>
      </c>
      <c r="G36" s="1113" t="str">
        <f>INDEX(G37:G41,MATCH(TEMPLATE_SPHERE,F37:F41,0))</f>
        <v>холодное водоснабжение</v>
      </c>
      <c r="O36" s="1075" t="s">
        <v>727</v>
      </c>
      <c r="AX36" s="1121" t="s">
        <v>985</v>
      </c>
      <c r="AZ36" s="1121" t="s">
        <v>606</v>
      </c>
      <c r="BE36" s="1121">
        <v>2034</v>
      </c>
      <c r="BL36" s="1069" t="s">
        <v>986</v>
      </c>
    </row>
    <row customHeight="1" ht="11.25">
      <c r="A37" s="1075" t="s">
        <v>987</v>
      </c>
      <c r="E37" s="405" t="s">
        <v>988</v>
      </c>
      <c r="F37" s="1114" t="s">
        <v>594</v>
      </c>
      <c r="G37" s="405" t="s">
        <v>989</v>
      </c>
      <c r="O37" s="1075" t="s">
        <v>746</v>
      </c>
      <c r="AX37" s="1121" t="s">
        <v>990</v>
      </c>
      <c r="AZ37" s="1121" t="s">
        <v>635</v>
      </c>
      <c r="BE37" s="1121">
        <v>2035</v>
      </c>
    </row>
    <row customHeight="1" ht="11.25">
      <c r="A38" s="1075" t="s">
        <v>991</v>
      </c>
      <c r="E38" s="405" t="s">
        <v>992</v>
      </c>
      <c r="F38" s="1115" t="s">
        <v>984</v>
      </c>
      <c r="G38" s="405" t="s">
        <v>993</v>
      </c>
      <c r="O38" s="1075" t="s">
        <v>762</v>
      </c>
      <c r="AX38" s="1121" t="s">
        <v>994</v>
      </c>
      <c r="AZ38" s="1121" t="s">
        <v>670</v>
      </c>
      <c r="BE38" s="1121">
        <v>2036</v>
      </c>
      <c r="BH38" s="1068" t="s">
        <v>995</v>
      </c>
      <c r="BJ38" s="1068" t="s">
        <v>996</v>
      </c>
      <c r="BL38" s="1068" t="s">
        <v>997</v>
      </c>
      <c r="BN38" s="1068" t="s">
        <v>998</v>
      </c>
    </row>
    <row customHeight="1" ht="11.25">
      <c r="A39" s="1075" t="s">
        <v>999</v>
      </c>
      <c r="E39" s="405" t="s">
        <v>1000</v>
      </c>
      <c r="F39" s="1115" t="s">
        <v>596</v>
      </c>
      <c r="G39" s="405" t="s">
        <v>1001</v>
      </c>
      <c r="O39" s="1075" t="s">
        <v>778</v>
      </c>
      <c r="AX39" s="1121" t="s">
        <v>1002</v>
      </c>
      <c r="AZ39" s="1121" t="s">
        <v>703</v>
      </c>
      <c r="BE39" s="1121">
        <v>2037</v>
      </c>
      <c r="BH39" s="1069" t="s">
        <v>1003</v>
      </c>
      <c r="BJ39" s="1222" t="s">
        <v>1003</v>
      </c>
      <c r="BL39" s="1222" t="s">
        <v>1003</v>
      </c>
      <c r="BN39" s="1069" t="s">
        <v>1004</v>
      </c>
    </row>
    <row customHeight="1" ht="11.25">
      <c r="A40" s="1075" t="s">
        <v>1005</v>
      </c>
      <c r="E40" s="405" t="s">
        <v>1006</v>
      </c>
      <c r="F40" s="1115" t="s">
        <v>1007</v>
      </c>
      <c r="G40" s="405" t="s">
        <v>1008</v>
      </c>
      <c r="O40" s="1075" t="s">
        <v>794</v>
      </c>
      <c r="AX40" s="1121" t="s">
        <v>1009</v>
      </c>
      <c r="BE40" s="1121">
        <v>2038</v>
      </c>
      <c r="BH40" s="1069" t="s">
        <v>1010</v>
      </c>
      <c r="BJ40" s="1222" t="s">
        <v>1011</v>
      </c>
      <c r="BL40" s="1222" t="s">
        <v>1011</v>
      </c>
      <c r="BN40" s="1069" t="s">
        <v>1012</v>
      </c>
    </row>
    <row customHeight="1" ht="11.25">
      <c r="A41" s="1075" t="s">
        <v>1013</v>
      </c>
      <c r="E41" s="405" t="s">
        <v>1014</v>
      </c>
      <c r="F41" s="1115" t="s">
        <v>1015</v>
      </c>
      <c r="G41" s="405" t="s">
        <v>1014</v>
      </c>
      <c r="O41" s="1075" t="s">
        <v>810</v>
      </c>
      <c r="AX41" s="1121" t="s">
        <v>1016</v>
      </c>
      <c r="AZ41" s="1068" t="s">
        <v>1017</v>
      </c>
      <c r="BE41" s="1121">
        <v>2039</v>
      </c>
      <c r="BH41" s="1069" t="s">
        <v>1018</v>
      </c>
      <c r="BJ41" s="1222" t="s">
        <v>1019</v>
      </c>
      <c r="BL41" s="1222" t="s">
        <v>1019</v>
      </c>
      <c r="BN41" s="1069" t="s">
        <v>1020</v>
      </c>
    </row>
    <row customHeight="1" ht="11.25">
      <c r="A42" s="1075" t="s">
        <v>1021</v>
      </c>
      <c r="AX42" s="1121" t="s">
        <v>1022</v>
      </c>
      <c r="AZ42" s="1121" t="s">
        <v>605</v>
      </c>
      <c r="BE42" s="1121">
        <v>2040</v>
      </c>
      <c r="BH42" s="1069" t="s">
        <v>1023</v>
      </c>
      <c r="BJ42" s="1222" t="s">
        <v>1024</v>
      </c>
      <c r="BL42" s="1222" t="s">
        <v>1024</v>
      </c>
      <c r="BN42" s="1069" t="s">
        <v>1025</v>
      </c>
    </row>
    <row customHeight="1" ht="11.25">
      <c r="A43" s="1075" t="s">
        <v>1026</v>
      </c>
      <c r="AX43" s="1121" t="s">
        <v>1027</v>
      </c>
      <c r="AZ43" s="1121" t="s">
        <v>633</v>
      </c>
      <c r="BE43" s="1121">
        <v>2041</v>
      </c>
      <c r="BH43" s="1069" t="s">
        <v>1028</v>
      </c>
      <c r="BJ43" s="1222" t="s">
        <v>1018</v>
      </c>
      <c r="BL43" s="1222" t="s">
        <v>1018</v>
      </c>
      <c r="BN43" s="1069" t="s">
        <v>1029</v>
      </c>
    </row>
    <row customHeight="1" ht="11.25">
      <c r="A44" s="1075" t="s">
        <v>1030</v>
      </c>
      <c r="I44" s="797" t="s">
        <v>1031</v>
      </c>
      <c r="J44" s="1090" t="s">
        <v>1032</v>
      </c>
      <c r="K44" s="1090" t="s">
        <v>1033</v>
      </c>
      <c r="AX44" s="1121" t="s">
        <v>1034</v>
      </c>
      <c r="AZ44" s="1121" t="s">
        <v>669</v>
      </c>
      <c r="BE44" s="1121">
        <v>2042</v>
      </c>
      <c r="BH44" s="1069" t="s">
        <v>1035</v>
      </c>
      <c r="BJ44" s="1222" t="s">
        <v>1023</v>
      </c>
      <c r="BL44" s="1222" t="s">
        <v>1023</v>
      </c>
      <c r="BN44" s="1069" t="s">
        <v>1036</v>
      </c>
    </row>
    <row customHeight="1" ht="11.25">
      <c r="A45" s="1075" t="s">
        <v>1037</v>
      </c>
      <c r="D45" s="1111" t="s">
        <v>1038</v>
      </c>
      <c r="E45" s="1112" t="s">
        <v>1039</v>
      </c>
      <c r="F45" s="795" t="s">
        <v>1040</v>
      </c>
      <c r="G45" s="794" t="s">
        <v>1041</v>
      </c>
      <c r="H45" s="797" t="s">
        <v>1042</v>
      </c>
      <c r="I45" s="1771">
        <f>INDEX(PeriodIsEmptyList,MATCH(TEMPLATE_GROUP,CodeTemplateList,0),1)</f>
        <v>0</v>
      </c>
      <c r="J45" s="1774"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7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1043</v>
      </c>
      <c r="AZ45" s="1121" t="s">
        <v>702</v>
      </c>
      <c r="BE45" s="1121">
        <v>2043</v>
      </c>
      <c r="BH45" s="1069" t="s">
        <v>1044</v>
      </c>
      <c r="BJ45" s="1222" t="s">
        <v>1045</v>
      </c>
      <c r="BL45" s="1222" t="s">
        <v>1045</v>
      </c>
      <c r="BN45" s="1069" t="s">
        <v>1046</v>
      </c>
    </row>
    <row customHeight="1" ht="11.25">
      <c r="A46" s="1075" t="s">
        <v>1047</v>
      </c>
      <c r="E46" s="405" t="s">
        <v>23</v>
      </c>
      <c r="F46" s="1114" t="s">
        <v>1048</v>
      </c>
      <c r="G46" s="1116"/>
      <c r="H46" s="1116"/>
      <c r="I46" s="1772">
        <f>IF(TITLE_DATE_FIL="",TRUE,FALSE)</f>
        <v>1</v>
      </c>
      <c r="J46" s="1775" t="str">
        <f>"Общая информация о регулируемой организации ("&amp;TEMPLATE_SPHERE_RUS&amp;")"</f>
        <v>Общая информация о регулируемой организации (холодного водоснабжения)</v>
      </c>
      <c r="K46" s="1776"/>
      <c r="AX46" s="1121" t="s">
        <v>1049</v>
      </c>
      <c r="AZ46" s="1121" t="s">
        <v>727</v>
      </c>
      <c r="BE46" s="1121">
        <v>2044</v>
      </c>
      <c r="BH46" s="1069" t="s">
        <v>1020</v>
      </c>
      <c r="BJ46" s="1222" t="s">
        <v>1050</v>
      </c>
      <c r="BL46" s="1222" t="s">
        <v>1050</v>
      </c>
      <c r="BN46" s="1069" t="s">
        <v>1051</v>
      </c>
    </row>
    <row customHeight="1" ht="11.25">
      <c r="A47" s="1075" t="s">
        <v>1052</v>
      </c>
      <c r="E47" s="405" t="s">
        <v>29</v>
      </c>
      <c r="F47" s="1115" t="s">
        <v>1053</v>
      </c>
      <c r="G47" s="1117" t="str">
        <f>IF(f_year="","",IF(LEN(f_quart)=0,"",IF(f_quart="I квартал","01.01."&amp;f_year,IF(f_quart="II квартал","01.04."&amp;f_year,(IF(f_quart="III квартал","01.07."&amp;f_year,"01.10."&amp;f_year))))))</f>
        <v/>
      </c>
      <c r="H47" s="1117" t="str">
        <f>IF(f_year="","",IF(LEN(f_quart)=0,"",IF(f_quart="I квартал","31.03."&amp;f_year,IF(f_quart="II квартал","30.06."&amp;f_year,(IF(f_quart="III квартал","30.09."&amp;f_year,"31.12."&amp;f_year))))))</f>
        <v/>
      </c>
      <c r="I47" s="1773">
        <f>IF(OR(f_year="",f_quart=""),TRUE,FALSE)</f>
        <v>1</v>
      </c>
      <c r="J47" s="177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76"/>
      <c r="AX47" s="1121" t="s">
        <v>1054</v>
      </c>
      <c r="AZ47" s="1121" t="s">
        <v>746</v>
      </c>
      <c r="BE47" s="1121">
        <v>2045</v>
      </c>
      <c r="BH47" s="1069" t="s">
        <v>1025</v>
      </c>
      <c r="BJ47" s="1222" t="s">
        <v>1055</v>
      </c>
      <c r="BL47" s="1222" t="s">
        <v>1055</v>
      </c>
      <c r="BN47" s="1069" t="s">
        <v>1056</v>
      </c>
    </row>
    <row customHeight="1" ht="11.25">
      <c r="A48" s="1075" t="s">
        <v>1057</v>
      </c>
      <c r="E48" s="405" t="s">
        <v>1058</v>
      </c>
      <c r="F48" s="1115" t="s">
        <v>1039</v>
      </c>
      <c r="G48" s="1117" t="str">
        <f>IF(f_year="","","01.01."&amp;f_year)</f>
        <v>01.01.2023</v>
      </c>
      <c r="H48" s="1117" t="str">
        <f>IF(f_year="","","31.12."&amp;f_year)</f>
        <v>31.12.2023</v>
      </c>
      <c r="I48" s="1772">
        <f>IF(f_year="",TRUE,FALSE)</f>
        <v>0</v>
      </c>
      <c r="J48" s="1775" t="s">
        <v>1059</v>
      </c>
      <c r="K48" s="1776"/>
      <c r="AX48" s="1121" t="s">
        <v>1060</v>
      </c>
      <c r="AZ48" s="1121" t="s">
        <v>762</v>
      </c>
      <c r="BE48" s="1121">
        <v>2046</v>
      </c>
      <c r="BH48" s="1069" t="s">
        <v>1029</v>
      </c>
      <c r="BJ48" s="1222" t="s">
        <v>1061</v>
      </c>
      <c r="BL48" s="1222" t="s">
        <v>1061</v>
      </c>
      <c r="BN48" s="1069" t="s">
        <v>1062</v>
      </c>
    </row>
    <row customHeight="1" ht="11.25">
      <c r="A49" s="1075" t="s">
        <v>1063</v>
      </c>
      <c r="E49" s="405" t="s">
        <v>1064</v>
      </c>
      <c r="F49" s="1115" t="s">
        <v>1065</v>
      </c>
      <c r="G49" s="1117" t="str">
        <f>IF(f_year="","","01.01."&amp;f_year)</f>
        <v>01.01.2023</v>
      </c>
      <c r="H49" s="1117" t="str">
        <f>IF(f_year="","","31.12."&amp;f_year)</f>
        <v>31.12.2023</v>
      </c>
      <c r="I49" s="1772">
        <f>IF(f_year="",TRUE,FALSE)</f>
        <v>0</v>
      </c>
      <c r="J49" s="177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76"/>
      <c r="AX49" s="1121" t="s">
        <v>1066</v>
      </c>
      <c r="AZ49" s="1121" t="s">
        <v>778</v>
      </c>
      <c r="BE49" s="1121">
        <v>2047</v>
      </c>
      <c r="BH49" s="1069" t="s">
        <v>1067</v>
      </c>
      <c r="BJ49" s="1222" t="s">
        <v>1068</v>
      </c>
      <c r="BL49" s="1222" t="s">
        <v>1068</v>
      </c>
    </row>
    <row customHeight="1" ht="11.25">
      <c r="A50" s="1075" t="s">
        <v>1069</v>
      </c>
      <c r="E50" s="405" t="s">
        <v>1070</v>
      </c>
      <c r="F50" s="1115" t="s">
        <v>1071</v>
      </c>
      <c r="G50" s="1117" t="str">
        <f>IF(f_year="","","01.01."&amp;f_year)</f>
        <v>01.01.2023</v>
      </c>
      <c r="H50" s="1117" t="str">
        <f>IF(f_year="","","31.12."&amp;f_year)</f>
        <v>31.12.2023</v>
      </c>
      <c r="I50" s="1772">
        <f>IF(f_year="",TRUE,FALSE)</f>
        <v>0</v>
      </c>
      <c r="J50" s="177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76"/>
      <c r="AX50" s="1121" t="s">
        <v>1072</v>
      </c>
      <c r="AZ50" s="1121" t="s">
        <v>794</v>
      </c>
      <c r="BE50" s="1121">
        <v>2048</v>
      </c>
      <c r="BH50" s="1069" t="s">
        <v>1036</v>
      </c>
      <c r="BJ50" s="1222" t="s">
        <v>1073</v>
      </c>
      <c r="BL50" s="1222" t="s">
        <v>1073</v>
      </c>
    </row>
    <row customHeight="1" ht="11.25">
      <c r="A51" s="1075" t="s">
        <v>1074</v>
      </c>
      <c r="E51" s="405" t="s">
        <v>1075</v>
      </c>
      <c r="F51" s="1115" t="s">
        <v>1076</v>
      </c>
      <c r="G51" s="1117" t="str">
        <f>IF(TITLE_PERIOD_START="","",TITLE_PERIOD_START)</f>
        <v/>
      </c>
      <c r="H51" s="1117" t="str">
        <f>IF(TITLE_PERIOD_END="","",TITLE_PERIOD_END)</f>
        <v/>
      </c>
      <c r="I51" s="1773">
        <f>IF(OR(TITLE_PERIOD_START="",TITLE_PERIOD_END=""),TRUE,FALSE)</f>
        <v>1</v>
      </c>
      <c r="J51" s="177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6"/>
      <c r="AX51" s="1121" t="s">
        <v>1077</v>
      </c>
      <c r="AZ51" s="1121" t="s">
        <v>810</v>
      </c>
      <c r="BE51" s="1121">
        <v>2049</v>
      </c>
      <c r="BH51" s="1069" t="s">
        <v>1046</v>
      </c>
      <c r="BJ51" s="1222" t="s">
        <v>1078</v>
      </c>
      <c r="BL51" s="1222" t="s">
        <v>1078</v>
      </c>
    </row>
    <row customHeight="1" ht="11.25">
      <c r="A52" s="1075" t="s">
        <v>1079</v>
      </c>
      <c r="E52" s="405" t="s">
        <v>1080</v>
      </c>
      <c r="F52" s="1115" t="s">
        <v>1081</v>
      </c>
      <c r="G52" s="1117" t="str">
        <f>IF(TITLE_PERIOD_START="","",TITLE_PERIOD_START)</f>
        <v/>
      </c>
      <c r="H52" s="1117" t="str">
        <f>IF(TITLE_PERIOD_END="","",TITLE_PERIOD_END)</f>
        <v/>
      </c>
      <c r="I52" s="1773">
        <f>IF(OR(TITLE_PERIOD_START="",TITLE_PERIOD_END=""),TRUE,FALSE)</f>
        <v>1</v>
      </c>
      <c r="J52" s="177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76"/>
      <c r="AX52" s="1121" t="s">
        <v>1082</v>
      </c>
      <c r="AZ52" s="1121" t="s">
        <v>606</v>
      </c>
      <c r="BE52" s="1121">
        <v>2050</v>
      </c>
      <c r="BH52" s="1069" t="s">
        <v>1051</v>
      </c>
      <c r="BJ52" s="1222" t="s">
        <v>1020</v>
      </c>
      <c r="BL52" s="1222" t="s">
        <v>1020</v>
      </c>
    </row>
    <row customHeight="1" ht="11.25">
      <c r="A53" s="1075" t="s">
        <v>1083</v>
      </c>
      <c r="E53" s="405" t="s">
        <v>1084</v>
      </c>
      <c r="F53" s="1115" t="s">
        <v>1084</v>
      </c>
      <c r="G53" s="1117" t="str">
        <f>IF(f_year="","","01.01."&amp;f_year)</f>
        <v>01.01.2023</v>
      </c>
      <c r="H53" s="1117" t="str">
        <f>IF(f_year="","","31.12."&amp;f_year)</f>
        <v>31.12.2023</v>
      </c>
      <c r="I53" s="1772">
        <f>IF(AND(f_year="",TITLE_DATE_FIL=""),TRUE,FALSE)</f>
        <v>0</v>
      </c>
      <c r="J53" s="1775" t="s">
        <v>1085</v>
      </c>
      <c r="K53" s="1776"/>
      <c r="AX53" s="1121" t="s">
        <v>1086</v>
      </c>
      <c r="BE53" s="1121">
        <v>2051</v>
      </c>
      <c r="BH53" s="1069" t="s">
        <v>1056</v>
      </c>
      <c r="BJ53" s="1222" t="s">
        <v>1025</v>
      </c>
      <c r="BL53" s="1222" t="s">
        <v>1025</v>
      </c>
    </row>
    <row customHeight="1" ht="11.25">
      <c r="A54" s="1075" t="s">
        <v>1087</v>
      </c>
      <c r="AX54" s="1121" t="s">
        <v>1088</v>
      </c>
      <c r="AZ54" s="1068" t="s">
        <v>1089</v>
      </c>
      <c r="BE54" s="1121">
        <v>2052</v>
      </c>
      <c r="BH54" s="1069" t="s">
        <v>1062</v>
      </c>
      <c r="BJ54" s="1222" t="s">
        <v>1029</v>
      </c>
      <c r="BL54" s="1222" t="s">
        <v>1029</v>
      </c>
    </row>
    <row customHeight="1" ht="11.25">
      <c r="A55" s="1075" t="s">
        <v>1090</v>
      </c>
      <c r="AX55" s="1121" t="s">
        <v>1091</v>
      </c>
      <c r="AZ55" s="1121" t="s">
        <v>608</v>
      </c>
      <c r="BE55" s="1121">
        <v>2053</v>
      </c>
      <c r="BH55" s="1071" t="s">
        <v>18</v>
      </c>
      <c r="BJ55" s="1222" t="s">
        <v>1067</v>
      </c>
      <c r="BL55" s="1222" t="s">
        <v>1067</v>
      </c>
    </row>
    <row customHeight="1" ht="11.25">
      <c r="A56" s="1075" t="s">
        <v>1092</v>
      </c>
      <c r="D56" s="1119" t="s">
        <v>1093</v>
      </c>
      <c r="E56" s="1095">
        <v>55</v>
      </c>
      <c r="F56" s="1075" t="s">
        <v>1094</v>
      </c>
      <c r="AX56" s="1121" t="s">
        <v>1095</v>
      </c>
      <c r="AZ56" s="1121" t="s">
        <v>637</v>
      </c>
      <c r="BE56" s="1121">
        <v>2054</v>
      </c>
      <c r="BH56" s="1071" t="s">
        <v>18</v>
      </c>
      <c r="BJ56" s="1222" t="s">
        <v>1036</v>
      </c>
      <c r="BL56" s="1222" t="s">
        <v>1036</v>
      </c>
    </row>
    <row customHeight="1" ht="11.25">
      <c r="A57" s="1075" t="s">
        <v>1096</v>
      </c>
      <c r="D57" s="1119" t="s">
        <v>1097</v>
      </c>
      <c r="E57" s="1095">
        <v>67</v>
      </c>
      <c r="F57" s="1075" t="s">
        <v>1094</v>
      </c>
      <c r="AX57" s="1121" t="s">
        <v>1098</v>
      </c>
      <c r="AZ57" s="1121" t="s">
        <v>672</v>
      </c>
      <c r="BE57" s="1121">
        <v>2055</v>
      </c>
      <c r="BJ57" s="1222" t="s">
        <v>1046</v>
      </c>
      <c r="BL57" s="1222" t="s">
        <v>1046</v>
      </c>
    </row>
    <row customHeight="1" ht="11.25">
      <c r="A58" s="1075" t="s">
        <v>1099</v>
      </c>
      <c r="D58" s="1119" t="s">
        <v>1100</v>
      </c>
      <c r="E58" s="1095">
        <v>44</v>
      </c>
      <c r="F58" s="1075" t="s">
        <v>1094</v>
      </c>
      <c r="AX58" s="1121" t="s">
        <v>1101</v>
      </c>
      <c r="BE58" s="1121">
        <v>2056</v>
      </c>
      <c r="BJ58" s="1222" t="s">
        <v>1051</v>
      </c>
      <c r="BL58" s="1222" t="s">
        <v>1051</v>
      </c>
    </row>
    <row customHeight="1" ht="11.25">
      <c r="A59" s="1075" t="s">
        <v>1102</v>
      </c>
      <c r="D59" s="1119" t="s">
        <v>135</v>
      </c>
      <c r="E59" s="1095" t="s">
        <v>908</v>
      </c>
      <c r="F59" s="1075" t="s">
        <v>1103</v>
      </c>
      <c r="AX59" s="1121" t="s">
        <v>1104</v>
      </c>
      <c r="AZ59" s="1068" t="s">
        <v>1105</v>
      </c>
      <c r="BE59" s="1121">
        <v>2057</v>
      </c>
      <c r="BJ59" s="1222" t="s">
        <v>1056</v>
      </c>
      <c r="BL59" s="1222" t="s">
        <v>1056</v>
      </c>
    </row>
    <row customHeight="1" ht="11.25">
      <c r="A60" s="1075" t="s">
        <v>1106</v>
      </c>
      <c r="D60" s="1119" t="s">
        <v>1107</v>
      </c>
      <c r="E60" s="1095" t="s">
        <v>908</v>
      </c>
      <c r="F60" s="1075" t="s">
        <v>1103</v>
      </c>
      <c r="AX60" s="1121" t="s">
        <v>1108</v>
      </c>
      <c r="AZ60" s="1121" t="s">
        <v>609</v>
      </c>
      <c r="BE60" s="1121">
        <v>2058</v>
      </c>
      <c r="BJ60" s="1222" t="s">
        <v>1062</v>
      </c>
      <c r="BL60" s="1222" t="s">
        <v>1062</v>
      </c>
    </row>
    <row customHeight="1" ht="11.25">
      <c r="A61" s="1075" t="s">
        <v>1109</v>
      </c>
      <c r="D61" s="1119" t="s">
        <v>1110</v>
      </c>
      <c r="E61" s="1095">
        <v>26</v>
      </c>
      <c r="F61" s="1075" t="s">
        <v>1103</v>
      </c>
      <c r="AX61" s="1121" t="s">
        <v>1111</v>
      </c>
      <c r="AZ61" s="1121" t="s">
        <v>638</v>
      </c>
      <c r="BE61" s="1121">
        <v>2059</v>
      </c>
      <c r="BL61" s="1222" t="s">
        <v>1112</v>
      </c>
    </row>
    <row customHeight="1" ht="11.25">
      <c r="A62" s="1075" t="s">
        <v>1113</v>
      </c>
      <c r="D62" s="1119" t="s">
        <v>134</v>
      </c>
      <c r="E62" s="1095">
        <v>30</v>
      </c>
      <c r="F62" s="1075" t="s">
        <v>1103</v>
      </c>
      <c r="AZ62" s="1121" t="s">
        <v>673</v>
      </c>
      <c r="BE62" s="1121">
        <v>2060</v>
      </c>
      <c r="BL62" s="1222" t="s">
        <v>1114</v>
      </c>
    </row>
    <row customHeight="1" ht="11.25">
      <c r="A63" s="1075" t="s">
        <v>1115</v>
      </c>
      <c r="D63" s="1119" t="s">
        <v>1116</v>
      </c>
      <c r="E63" s="1095">
        <v>30</v>
      </c>
      <c r="F63" s="1075" t="s">
        <v>1103</v>
      </c>
      <c r="AZ63" s="1121" t="s">
        <v>705</v>
      </c>
      <c r="BE63" s="1121">
        <v>2061</v>
      </c>
    </row>
    <row customHeight="1" ht="11.25">
      <c r="A64" s="1075" t="s">
        <v>1117</v>
      </c>
      <c r="D64" s="1119" t="s">
        <v>1118</v>
      </c>
      <c r="E64" s="1095">
        <v>30</v>
      </c>
      <c r="F64" s="1075" t="s">
        <v>1103</v>
      </c>
      <c r="AZ64" s="1121" t="s">
        <v>728</v>
      </c>
      <c r="BE64" s="1121">
        <v>2062</v>
      </c>
    </row>
    <row customHeight="1" ht="11.25">
      <c r="A65" s="1075" t="s">
        <v>1119</v>
      </c>
      <c r="D65" s="1075"/>
      <c r="BE65" s="1121">
        <v>2063</v>
      </c>
    </row>
    <row customHeight="1" ht="11.25">
      <c r="A66" s="1075" t="s">
        <v>1120</v>
      </c>
      <c r="AZ66" s="1068" t="s">
        <v>1121</v>
      </c>
      <c r="BE66" s="1121">
        <v>2064</v>
      </c>
    </row>
    <row customHeight="1" ht="11.25">
      <c r="A67" s="1075" t="s">
        <v>1122</v>
      </c>
      <c r="AZ67" s="1121" t="s">
        <v>610</v>
      </c>
      <c r="BE67" s="1121">
        <v>2065</v>
      </c>
    </row>
    <row customHeight="1" ht="11.25">
      <c r="A68" s="1075" t="s">
        <v>1123</v>
      </c>
      <c r="AZ68" s="1121" t="s">
        <v>639</v>
      </c>
      <c r="BE68" s="1121">
        <v>2066</v>
      </c>
      <c r="BH68" s="1068" t="s">
        <v>1124</v>
      </c>
      <c r="BJ68" s="1068" t="s">
        <v>1125</v>
      </c>
      <c r="BL68" s="1068" t="s">
        <v>1126</v>
      </c>
      <c r="BN68" s="1068" t="s">
        <v>1127</v>
      </c>
    </row>
    <row customHeight="1" ht="11.25">
      <c r="A69" s="1075" t="s">
        <v>1128</v>
      </c>
      <c r="AZ69" s="1121" t="s">
        <v>674</v>
      </c>
      <c r="BE69" s="1121">
        <v>2067</v>
      </c>
      <c r="BH69" s="1069" t="s">
        <v>1129</v>
      </c>
      <c r="BI69" s="1118" t="s">
        <v>108</v>
      </c>
      <c r="BJ69" s="1069" t="s">
        <v>1130</v>
      </c>
      <c r="BK69" s="1118" t="s">
        <v>108</v>
      </c>
      <c r="BL69" s="1069" t="s">
        <v>1131</v>
      </c>
      <c r="BN69" s="1069" t="s">
        <v>1132</v>
      </c>
    </row>
    <row customHeight="1" ht="11.25">
      <c r="A70" s="1075" t="s">
        <v>1133</v>
      </c>
      <c r="AZ70" s="1121" t="s">
        <v>706</v>
      </c>
      <c r="BE70" s="1121">
        <v>2068</v>
      </c>
      <c r="BH70" s="1069" t="s">
        <v>1134</v>
      </c>
      <c r="BJ70" s="1069" t="s">
        <v>1135</v>
      </c>
      <c r="BL70" s="1069" t="s">
        <v>1136</v>
      </c>
      <c r="BN70" s="1069" t="s">
        <v>1137</v>
      </c>
    </row>
    <row customHeight="1" ht="11.25">
      <c r="A71" s="1075" t="s">
        <v>1138</v>
      </c>
      <c r="AZ71" s="1121" t="s">
        <v>708</v>
      </c>
      <c r="BE71" s="1121">
        <v>2069</v>
      </c>
      <c r="BH71" s="1069" t="s">
        <v>1139</v>
      </c>
      <c r="BI71" s="1118" t="s">
        <v>89</v>
      </c>
      <c r="BJ71" s="1069" t="s">
        <v>1140</v>
      </c>
      <c r="BK71" s="1118" t="s">
        <v>89</v>
      </c>
      <c r="BL71" s="1069" t="s">
        <v>1141</v>
      </c>
      <c r="BN71" s="1069" t="s">
        <v>1142</v>
      </c>
    </row>
    <row customHeight="1" ht="11.25">
      <c r="A72" s="1075" t="s">
        <v>1143</v>
      </c>
      <c r="AZ72" s="1121" t="s">
        <v>56</v>
      </c>
      <c r="BE72" s="1121">
        <v>2070</v>
      </c>
      <c r="BH72" s="1069" t="s">
        <v>1144</v>
      </c>
      <c r="BJ72" s="1069" t="s">
        <v>1144</v>
      </c>
      <c r="BL72" s="1069" t="s">
        <v>1144</v>
      </c>
      <c r="BN72" s="1069" t="s">
        <v>1145</v>
      </c>
    </row>
    <row customHeight="1" ht="11.25">
      <c r="A73" s="1075" t="s">
        <v>1146</v>
      </c>
      <c r="BH73" s="1069" t="s">
        <v>1147</v>
      </c>
      <c r="BI73" s="1118" t="s">
        <v>110</v>
      </c>
      <c r="BJ73" s="1069" t="s">
        <v>1148</v>
      </c>
      <c r="BK73" s="1118" t="s">
        <v>110</v>
      </c>
      <c r="BL73" s="1069" t="s">
        <v>1149</v>
      </c>
      <c r="BN73" s="1069" t="s">
        <v>1150</v>
      </c>
    </row>
    <row customHeight="1" ht="11.25">
      <c r="A74" s="1075" t="s">
        <v>1151</v>
      </c>
      <c r="BH74" s="1069" t="s">
        <v>1152</v>
      </c>
      <c r="BJ74" s="1069" t="s">
        <v>1153</v>
      </c>
      <c r="BL74" s="1069" t="s">
        <v>1154</v>
      </c>
      <c r="BN74" s="1069" t="s">
        <v>1155</v>
      </c>
    </row>
    <row customHeight="1" ht="11.25">
      <c r="A75" s="1075" t="s">
        <v>1156</v>
      </c>
      <c r="AZ75" s="1068" t="s">
        <v>1157</v>
      </c>
      <c r="BH75" s="1069" t="s">
        <v>1158</v>
      </c>
      <c r="BJ75" s="1069" t="s">
        <v>1158</v>
      </c>
      <c r="BL75" s="1069" t="s">
        <v>1158</v>
      </c>
    </row>
    <row customHeight="1" ht="11.25">
      <c r="A76" s="1075" t="s">
        <v>1159</v>
      </c>
      <c r="AZ76" s="1121" t="s">
        <v>619</v>
      </c>
      <c r="BH76" s="1069" t="s">
        <v>1160</v>
      </c>
      <c r="BJ76" s="1069" t="s">
        <v>1161</v>
      </c>
      <c r="BL76" s="1069" t="s">
        <v>1162</v>
      </c>
    </row>
    <row customHeight="1" ht="11.25">
      <c r="A77" s="1075" t="s">
        <v>1163</v>
      </c>
      <c r="AZ77" s="1121" t="s">
        <v>649</v>
      </c>
    </row>
    <row customHeight="1" ht="11.25">
      <c r="A78" s="1075" t="s">
        <v>1164</v>
      </c>
      <c r="AZ78" s="1121" t="s">
        <v>681</v>
      </c>
    </row>
    <row customHeight="1" ht="11.25">
      <c r="A79" s="1075" t="s">
        <v>1165</v>
      </c>
      <c r="AZ79" s="1121" t="s">
        <v>712</v>
      </c>
      <c r="BH79" s="1068" t="s">
        <v>1166</v>
      </c>
      <c r="BJ79" s="1068" t="s">
        <v>1167</v>
      </c>
      <c r="BL79" s="1068" t="s">
        <v>1168</v>
      </c>
    </row>
    <row customHeight="1" ht="11.25">
      <c r="A80" s="1075" t="s">
        <v>1169</v>
      </c>
      <c r="AZ80" s="1121" t="s">
        <v>733</v>
      </c>
      <c r="BH80" s="1069" t="s">
        <v>1170</v>
      </c>
      <c r="BJ80" s="1069" t="s">
        <v>1171</v>
      </c>
      <c r="BL80" s="1069" t="s">
        <v>1172</v>
      </c>
    </row>
    <row customHeight="1" ht="11.25">
      <c r="A81" s="1075" t="s">
        <v>1173</v>
      </c>
      <c r="AZ81" s="1121" t="s">
        <v>750</v>
      </c>
      <c r="BH81" s="1069" t="s">
        <v>1174</v>
      </c>
      <c r="BJ81" s="1069" t="s">
        <v>1175</v>
      </c>
      <c r="BL81" s="1069" t="s">
        <v>1176</v>
      </c>
    </row>
    <row customHeight="1" ht="11.25">
      <c r="A82" s="1075" t="s">
        <v>1177</v>
      </c>
      <c r="AZ82" s="1121" t="s">
        <v>764</v>
      </c>
      <c r="BH82" s="1069" t="s">
        <v>1178</v>
      </c>
      <c r="BJ82" s="1069" t="s">
        <v>1179</v>
      </c>
      <c r="BL82" s="1069" t="s">
        <v>1180</v>
      </c>
    </row>
    <row customHeight="1" ht="11.25">
      <c r="A83" s="1075" t="s">
        <v>1181</v>
      </c>
      <c r="BH83" s="1069" t="s">
        <v>1182</v>
      </c>
      <c r="BJ83" s="1069" t="s">
        <v>1183</v>
      </c>
      <c r="BL83" s="1069" t="s">
        <v>1184</v>
      </c>
    </row>
    <row customHeight="1" ht="11.25">
      <c r="A84" s="1075" t="s">
        <v>1185</v>
      </c>
      <c r="AZ84" s="1068" t="s">
        <v>1186</v>
      </c>
    </row>
    <row customHeight="1" ht="11.25">
      <c r="A85" s="1075" t="s">
        <v>1187</v>
      </c>
      <c r="AZ85" s="1121" t="s">
        <v>1188</v>
      </c>
    </row>
    <row customHeight="1" ht="11.25">
      <c r="A86" s="1075" t="s">
        <v>1189</v>
      </c>
      <c r="AZ86" s="1121" t="s">
        <v>1190</v>
      </c>
      <c r="BH86" s="1068" t="s">
        <v>1191</v>
      </c>
      <c r="BJ86" s="1068" t="s">
        <v>1192</v>
      </c>
      <c r="BL86" s="1068" t="s">
        <v>1193</v>
      </c>
    </row>
    <row customHeight="1" ht="11.25">
      <c r="A87" s="1075" t="s">
        <v>1194</v>
      </c>
      <c r="AZ87" s="1121" t="s">
        <v>1195</v>
      </c>
      <c r="BH87" s="1069" t="s">
        <v>1196</v>
      </c>
      <c r="BJ87" s="1069" t="s">
        <v>1197</v>
      </c>
      <c r="BL87" s="1069" t="s">
        <v>1198</v>
      </c>
    </row>
    <row customHeight="1" ht="11.25">
      <c r="AZ88" s="0"/>
      <c r="BH88" s="1069" t="s">
        <v>1199</v>
      </c>
      <c r="BJ88" s="1069" t="s">
        <v>1200</v>
      </c>
      <c r="BL88" s="1069" t="s">
        <v>1201</v>
      </c>
    </row>
    <row customHeight="1" ht="11.25">
      <c r="AZ89" s="1068" t="s">
        <v>1202</v>
      </c>
    </row>
    <row customHeight="1" ht="11.25">
      <c r="AZ90" s="1121" t="s">
        <v>1071</v>
      </c>
    </row>
    <row customHeight="1" ht="11.25">
      <c r="AZ91" s="1121" t="s">
        <v>1203</v>
      </c>
      <c r="BH91" s="1068" t="s">
        <v>1204</v>
      </c>
      <c r="BJ91" s="1068" t="s">
        <v>1205</v>
      </c>
      <c r="BL91" s="1068" t="s">
        <v>1206</v>
      </c>
    </row>
    <row customHeight="1" ht="11.25">
      <c r="AZ92" s="1121" t="s">
        <v>1207</v>
      </c>
      <c r="BH92" s="1069" t="s">
        <v>1208</v>
      </c>
      <c r="BJ92" s="1069" t="s">
        <v>1209</v>
      </c>
      <c r="BL92" s="1069" t="s">
        <v>1210</v>
      </c>
    </row>
    <row customHeight="1" ht="11.25">
      <c r="AZ93" s="1121" t="s">
        <v>1211</v>
      </c>
      <c r="BH93" s="1069" t="s">
        <v>1212</v>
      </c>
      <c r="BJ93" s="1069" t="s">
        <v>1213</v>
      </c>
      <c r="BL93" s="1069" t="s">
        <v>1214</v>
      </c>
    </row>
    <row customHeight="1" ht="11.25">
      <c r="AZ94" s="1121" t="s">
        <v>1215</v>
      </c>
    </row>
    <row r="96" customHeight="1" ht="11.25">
      <c r="AZ96" s="1068" t="s">
        <v>1216</v>
      </c>
      <c r="BH96" s="1068" t="s">
        <v>1217</v>
      </c>
      <c r="BJ96" s="1068" t="s">
        <v>1218</v>
      </c>
      <c r="BL96" s="1068" t="s">
        <v>1219</v>
      </c>
      <c r="BN96" s="1068" t="s">
        <v>1220</v>
      </c>
    </row>
    <row customHeight="1" ht="11.25">
      <c r="AZ97" s="1121" t="s">
        <v>1221</v>
      </c>
      <c r="BH97" s="1069" t="s">
        <v>1222</v>
      </c>
      <c r="BJ97" s="1069" t="s">
        <v>1223</v>
      </c>
      <c r="BL97" s="1069" t="s">
        <v>1224</v>
      </c>
      <c r="BN97" s="1069" t="s">
        <v>1225</v>
      </c>
    </row>
    <row customHeight="1" ht="11.25">
      <c r="AZ98" s="1121" t="s">
        <v>1226</v>
      </c>
      <c r="BH98" s="1069" t="s">
        <v>1227</v>
      </c>
      <c r="BJ98" s="1069" t="s">
        <v>1228</v>
      </c>
      <c r="BL98" s="1069" t="s">
        <v>1229</v>
      </c>
      <c r="BN98" s="1069" t="s">
        <v>1230</v>
      </c>
    </row>
    <row customHeight="1" ht="11.25">
      <c r="AZ99" s="1121" t="s">
        <v>1231</v>
      </c>
      <c r="BH99" s="1069" t="s">
        <v>1232</v>
      </c>
      <c r="BJ99" s="1069" t="s">
        <v>1233</v>
      </c>
      <c r="BL99" s="1069" t="s">
        <v>1234</v>
      </c>
      <c r="BN99" s="1069" t="s">
        <v>1235</v>
      </c>
    </row>
    <row customHeight="1" ht="11.25">
      <c r="BJ100" s="1069" t="s">
        <v>810</v>
      </c>
      <c r="BL100" s="1069" t="s">
        <v>810</v>
      </c>
      <c r="BN100" s="1069" t="s">
        <v>1236</v>
      </c>
    </row>
    <row customHeight="1" ht="11.25">
      <c r="AZ101" s="1722" t="s">
        <v>1237</v>
      </c>
      <c r="BN101" s="1069" t="s">
        <v>1238</v>
      </c>
    </row>
    <row customHeight="1" ht="11.25">
      <c r="AZ102" s="1121" t="s">
        <v>1239</v>
      </c>
      <c r="BN102" s="1069" t="s">
        <v>1240</v>
      </c>
    </row>
    <row customHeight="1" ht="11.25">
      <c r="AZ103" s="1121" t="s">
        <v>1241</v>
      </c>
      <c r="BN103" s="1069" t="s">
        <v>1242</v>
      </c>
    </row>
    <row customHeight="1" ht="11.25">
      <c r="AZ104" s="1121" t="s">
        <v>1243</v>
      </c>
      <c r="BN104" s="1069" t="s">
        <v>1244</v>
      </c>
    </row>
    <row r="107" customHeight="1" ht="11.25">
      <c r="BH107" s="1068" t="s">
        <v>1245</v>
      </c>
      <c r="BJ107" s="1068" t="s">
        <v>1246</v>
      </c>
      <c r="BL107" s="1068" t="s">
        <v>1247</v>
      </c>
      <c r="BN107" s="1068" t="s">
        <v>1248</v>
      </c>
    </row>
    <row customHeight="1" ht="11.25">
      <c r="BH108" s="1069" t="s">
        <v>1249</v>
      </c>
      <c r="BJ108" s="1069" t="s">
        <v>1250</v>
      </c>
      <c r="BL108" s="1069" t="s">
        <v>896</v>
      </c>
      <c r="BN108" s="1069" t="s">
        <v>1251</v>
      </c>
    </row>
    <row customHeight="1" ht="11.25">
      <c r="BH109" s="1069" t="s">
        <v>1252</v>
      </c>
    </row>
    <row customHeight="1" ht="11.25">
      <c r="BH110" s="1069" t="s">
        <v>1252</v>
      </c>
    </row>
    <row r="114" customHeight="1" ht="11.25">
      <c r="BH114" s="1068" t="s">
        <v>1253</v>
      </c>
    </row>
    <row customHeight="1" ht="11.25">
      <c r="BH115" s="1069" t="s">
        <v>606</v>
      </c>
    </row>
    <row customHeight="1" ht="11.25">
      <c r="BH116" s="1069" t="s">
        <v>635</v>
      </c>
    </row>
    <row customHeight="1" ht="11.25">
      <c r="BH117" s="1069" t="s">
        <v>670</v>
      </c>
    </row>
    <row customHeight="1" ht="11.25">
      <c r="BH118" s="1069" t="s">
        <v>703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123D5-C99B-F7F8-A6D8-8D48C2D7D9E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3" style="838" width="43.140625"/>
    <col min="4" max="5" style="838" width="36.421875" customWidth="1"/>
    <col min="6" max="8" style="982" width="36.421875" customWidth="1"/>
  </cols>
  <sheetData>
    <row customHeight="1" ht="9">
      <c r="A1" s="844" t="s">
        <v>1254</v>
      </c>
      <c r="B1" s="844"/>
      <c r="C1" s="983" t="s">
        <v>1255</v>
      </c>
      <c r="D1" s="981" t="s">
        <v>594</v>
      </c>
      <c r="E1" s="981" t="s">
        <v>984</v>
      </c>
      <c r="F1" s="981" t="s">
        <v>596</v>
      </c>
      <c r="G1" s="981" t="s">
        <v>1007</v>
      </c>
      <c r="H1" s="981" t="s">
        <v>1015</v>
      </c>
    </row>
    <row customHeight="1" ht="9">
      <c r="A2" s="984" t="s">
        <v>1256</v>
      </c>
      <c r="B2" s="984"/>
      <c r="C2" s="985" t="str">
        <f>INDEX(TEMPLATE_NUMBER_FORM_LIST,MATCH(TEMPLATE_SPHERE,TEMPLATE_SPHERE_LIST,0))</f>
        <v>10</v>
      </c>
      <c r="D2" s="984" t="s">
        <v>862</v>
      </c>
      <c r="E2" s="984" t="s">
        <v>153</v>
      </c>
      <c r="F2" s="986" t="s">
        <v>153</v>
      </c>
      <c r="G2" s="984" t="s">
        <v>153</v>
      </c>
      <c r="H2" s="987"/>
    </row>
    <row customHeight="1" ht="63">
      <c r="A3" s="844"/>
      <c r="B3" s="844" t="s">
        <v>108</v>
      </c>
      <c r="C3" s="985" t="str">
        <f>IF(TEMPLATE_SPHERE="HEAT",D3,IF(TEMPLATE_SPHERE="TKO",H3,E3))</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1257</v>
      </c>
      <c r="E3" s="985" t="str">
        <f>"Форма 10.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4"/>
    </row>
    <row customHeight="1" ht="54">
      <c r="A4" s="844" t="s">
        <v>1258</v>
      </c>
      <c r="B4" s="844" t="s">
        <v>109</v>
      </c>
      <c r="C4" s="985" t="str">
        <f>IF(TEMPLATE_SPHERE="HEAT",D4,IF(TEMPLATE_SPHERE="TKO",H4,E4))</f>
        <v>Форма 1. Информация о регулируемой организации, осуществляющей холодное водоснабжение
(далее – регулируемая организация) (общая информация)</v>
      </c>
      <c r="D4" s="984" t="s">
        <v>1259</v>
      </c>
      <c r="E4" s="985" t="str">
        <f>"Форма 1. Информация о регулируемой организации, осуществляющей "&amp;TEMPLATE_SPHERE_RUS_2&amp;"
(далее – регулируемая организация) (общая информация)"</f>
        <v>Форма 1. Информация о регулируемой организации, осуществляющей холодное водоснабжение
(далее – регулируемая организация) (общая информация)</v>
      </c>
      <c r="F4" s="984"/>
      <c r="G4" s="984"/>
      <c r="H4" s="844" t="s">
        <v>1260</v>
      </c>
    </row>
    <row customHeight="1" ht="171">
      <c r="A5" s="844" t="s">
        <v>1261</v>
      </c>
      <c r="B5" s="844" t="s">
        <v>89</v>
      </c>
      <c r="C5" s="985" t="str">
        <f>IF(TEMPLATE_SPHERE="HEAT",D5,IF(TEMPLATE_SPHERE="TKO",H5,E5))</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4" t="s">
        <v>1262</v>
      </c>
      <c r="E5" s="847" t="str">
        <f>"Форма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4" t="s">
        <v>1263</v>
      </c>
    </row>
    <row customHeight="1" ht="90">
      <c r="A6" s="844" t="s">
        <v>1264</v>
      </c>
      <c r="B6" s="844" t="s">
        <v>90</v>
      </c>
      <c r="C6" s="985" t="str">
        <f>IF(TEMPLATE_SPHERE="HEAT",D6,E6)</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D6" s="844" t="s">
        <v>1265</v>
      </c>
      <c r="E6" s="847" t="str">
        <f>"Форма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"&amp;TEMPLATE_SPHERE_RUS&amp;")"</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F6" s="844"/>
      <c r="G6" s="844"/>
      <c r="H6" s="987"/>
    </row>
    <row customHeight="1" ht="45">
      <c r="A7" s="844" t="s">
        <v>1266</v>
      </c>
      <c r="B7" s="844" t="s">
        <v>110</v>
      </c>
      <c r="C7" s="985" t="str">
        <f>IF(TEMPLATE_SPHERE="HEAT",D7,E7)</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4" t="s">
        <v>1267</v>
      </c>
      <c r="E7" s="844" t="s">
        <v>1268</v>
      </c>
      <c r="F7" s="987"/>
      <c r="G7" s="987"/>
      <c r="H7" s="987"/>
    </row>
    <row customHeight="1" ht="108">
      <c r="A8" s="844" t="s">
        <v>1269</v>
      </c>
      <c r="B8" s="844" t="s">
        <v>91</v>
      </c>
      <c r="C8" s="985" t="str">
        <f>IF(TEMPLATE_SPHERE="HEAT",D8,E8)</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D8" s="844" t="s">
        <v>1270</v>
      </c>
      <c r="E8" s="844" t="s">
        <v>1271</v>
      </c>
      <c r="F8" s="987"/>
      <c r="G8" s="987"/>
      <c r="H8" s="987"/>
    </row>
    <row customHeight="1" ht="99">
      <c r="A9" s="844" t="s">
        <v>1272</v>
      </c>
      <c r="B9" s="844"/>
      <c r="C9" s="844" t="s">
        <v>1273</v>
      </c>
      <c r="D9" s="844"/>
      <c r="E9" s="844"/>
      <c r="F9" s="987"/>
      <c r="G9" s="987"/>
      <c r="H9" s="987"/>
    </row>
    <row customHeight="1" ht="126">
      <c r="A10" s="844" t="s">
        <v>1274</v>
      </c>
      <c r="B10" s="844"/>
      <c r="C10" s="844" t="s">
        <v>1275</v>
      </c>
      <c r="D10" s="844"/>
      <c r="E10" s="844"/>
      <c r="F10" s="987"/>
      <c r="G10" s="987"/>
      <c r="H10" s="987"/>
    </row>
    <row customHeight="1" ht="108">
      <c r="A11" s="844" t="s">
        <v>1276</v>
      </c>
      <c r="B11" s="844"/>
      <c r="C11" s="844" t="s">
        <v>1277</v>
      </c>
      <c r="D11" s="844"/>
      <c r="E11" s="844"/>
      <c r="F11" s="987"/>
      <c r="G11" s="987"/>
      <c r="H11" s="987"/>
    </row>
    <row customHeight="1" ht="54">
      <c r="A12" s="844" t="s">
        <v>1278</v>
      </c>
      <c r="B12" s="844"/>
      <c r="C12" s="844" t="s">
        <v>1279</v>
      </c>
      <c r="D12" s="844"/>
      <c r="E12" s="844"/>
      <c r="F12" s="987"/>
      <c r="G12" s="987"/>
      <c r="H12" s="987"/>
    </row>
    <row customHeight="1" ht="45">
      <c r="A13" s="844" t="s">
        <v>1280</v>
      </c>
      <c r="B13" s="844"/>
      <c r="C13" s="844" t="s">
        <v>1281</v>
      </c>
      <c r="D13" s="844"/>
      <c r="E13" s="844"/>
      <c r="F13" s="987"/>
      <c r="G13" s="987"/>
      <c r="H13" s="987"/>
    </row>
    <row customHeight="1" ht="117">
      <c r="A14" s="844" t="s">
        <v>1282</v>
      </c>
      <c r="B14" s="844"/>
      <c r="C14" s="844" t="s">
        <v>1283</v>
      </c>
      <c r="D14" s="844"/>
      <c r="E14" s="844"/>
      <c r="F14" s="987"/>
      <c r="G14" s="987"/>
      <c r="H14" s="987"/>
    </row>
    <row customHeight="1" ht="117">
      <c r="A15" s="844" t="s">
        <v>1284</v>
      </c>
      <c r="B15" s="844"/>
      <c r="C15" s="844" t="s">
        <v>1285</v>
      </c>
      <c r="D15" s="844"/>
      <c r="E15" s="844"/>
      <c r="F15" s="987"/>
      <c r="G15" s="987"/>
      <c r="H15" s="987"/>
    </row>
    <row customHeight="1" ht="63">
      <c r="A16" s="844" t="s">
        <v>1286</v>
      </c>
      <c r="B16" s="844"/>
      <c r="C16" s="844" t="s">
        <v>1287</v>
      </c>
      <c r="D16" s="844"/>
      <c r="E16" s="844"/>
      <c r="F16" s="987"/>
      <c r="G16" s="987"/>
      <c r="H16" s="987"/>
    </row>
    <row customHeight="1" ht="63">
      <c r="A17" s="844" t="s">
        <v>1288</v>
      </c>
      <c r="B17" s="844"/>
      <c r="C17" s="985" t="s">
        <v>1289</v>
      </c>
      <c r="D17" s="844"/>
      <c r="E17" s="844"/>
      <c r="F17" s="987"/>
      <c r="G17" s="987"/>
      <c r="H17" s="987"/>
    </row>
    <row customHeight="1" ht="27">
      <c r="A18" s="844" t="s">
        <v>1290</v>
      </c>
      <c r="B18" s="844"/>
      <c r="C18" s="985" t="s">
        <v>1291</v>
      </c>
      <c r="D18" s="844"/>
      <c r="E18" s="844"/>
      <c r="F18" s="987"/>
      <c r="G18" s="987"/>
      <c r="H18" s="987"/>
    </row>
    <row customHeight="1" ht="54">
      <c r="A19" s="844" t="s">
        <v>1292</v>
      </c>
      <c r="B19" s="844"/>
      <c r="C19" s="985" t="s">
        <v>1293</v>
      </c>
      <c r="D19" s="844"/>
      <c r="E19" s="844"/>
      <c r="F19" s="987"/>
      <c r="G19" s="987"/>
      <c r="H19" s="987"/>
    </row>
    <row customHeight="1" ht="36">
      <c r="A20" s="844" t="s">
        <v>1294</v>
      </c>
      <c r="B20" s="844"/>
      <c r="C20" s="985" t="s">
        <v>1295</v>
      </c>
      <c r="D20" s="844"/>
      <c r="E20" s="844"/>
      <c r="F20" s="987"/>
      <c r="G20" s="987"/>
      <c r="H20" s="987"/>
    </row>
    <row customHeight="1" ht="28.5">
      <c r="A21" s="844" t="s">
        <v>1296</v>
      </c>
      <c r="B21" s="844"/>
      <c r="C21" s="985" t="s">
        <v>1297</v>
      </c>
      <c r="D21" s="844"/>
      <c r="E21" s="844"/>
      <c r="F21" s="987"/>
      <c r="G21" s="987"/>
      <c r="H21" s="987"/>
    </row>
    <row customHeight="1" ht="28.5">
      <c r="A22" s="844" t="s">
        <v>1298</v>
      </c>
      <c r="B22" s="844"/>
      <c r="C22" s="985" t="s">
        <v>1299</v>
      </c>
      <c r="D22" s="844"/>
      <c r="E22" s="844"/>
      <c r="F22" s="987"/>
      <c r="G22" s="987"/>
      <c r="H22" s="987"/>
    </row>
    <row customHeight="1" ht="28.5">
      <c r="A23" s="844" t="s">
        <v>1300</v>
      </c>
      <c r="B23" s="844"/>
      <c r="C23" s="985" t="s">
        <v>1301</v>
      </c>
      <c r="D23" s="844"/>
      <c r="E23" s="844"/>
      <c r="F23" s="987"/>
      <c r="G23" s="987"/>
      <c r="H23" s="987"/>
    </row>
    <row customHeight="1" ht="28.5">
      <c r="A24" s="844" t="s">
        <v>1302</v>
      </c>
      <c r="B24" s="844"/>
      <c r="C24" s="985" t="s">
        <v>1303</v>
      </c>
      <c r="D24" s="844"/>
      <c r="E24" s="844"/>
      <c r="F24" s="987"/>
      <c r="G24" s="987"/>
      <c r="H24" s="987"/>
    </row>
    <row customHeight="1" ht="28.5">
      <c r="A25" s="844" t="s">
        <v>1304</v>
      </c>
      <c r="B25" s="844"/>
      <c r="C25" s="985" t="s">
        <v>1305</v>
      </c>
      <c r="D25" s="844"/>
      <c r="E25" s="844"/>
      <c r="F25" s="987"/>
      <c r="G25" s="987"/>
      <c r="H25" s="987"/>
    </row>
    <row customHeight="1" ht="28.5">
      <c r="A26" s="844" t="s">
        <v>1306</v>
      </c>
      <c r="B26" s="844"/>
      <c r="C26" s="985" t="s">
        <v>1307</v>
      </c>
      <c r="D26" s="844"/>
      <c r="E26" s="844"/>
      <c r="F26" s="987"/>
      <c r="G26" s="987"/>
      <c r="H26" s="987"/>
    </row>
    <row customHeight="1" ht="28.5">
      <c r="A27" s="844" t="s">
        <v>1308</v>
      </c>
      <c r="B27" s="844"/>
      <c r="C27" s="985" t="s">
        <v>1309</v>
      </c>
      <c r="D27" s="844"/>
      <c r="E27" s="844"/>
      <c r="F27" s="987"/>
      <c r="G27" s="987"/>
      <c r="H27" s="987"/>
    </row>
    <row customHeight="1" ht="28.5">
      <c r="A28" s="844" t="s">
        <v>1310</v>
      </c>
      <c r="B28" s="844"/>
      <c r="C28" s="985" t="s">
        <v>1311</v>
      </c>
      <c r="D28" s="844"/>
      <c r="E28" s="844"/>
      <c r="F28" s="987"/>
      <c r="G28" s="987"/>
      <c r="H28" s="987"/>
    </row>
    <row customHeight="1" ht="126">
      <c r="A29" s="844" t="s">
        <v>1312</v>
      </c>
      <c r="B29" s="844" t="s">
        <v>962</v>
      </c>
      <c r="C29" s="985" t="str">
        <f>IF(TEMPLATE_SPHERE="HEAT",D29,IF(TEMPLATE_SPHERE="TKO",H29,E29))</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D29" s="844" t="s">
        <v>1313</v>
      </c>
      <c r="E29" s="847" t="str">
        <f>"Форма 13. Информация о способах приобретения, стоимости и об объемах товаров (работ, услуг), необходимых организации "&amp;TEMPLATE_SPHERE_RUS&amp;"для производства товаров (оказания услуг) в сфере "&amp;TEMPLATE_SPHERE_RUS&amp;", тарифы на которые подлежат регулированию, содержит сведения о правовых актах, регламентирующих правила закупки (положение о закупке) в организации "&amp;TEMPLATE_SPHERE_RUS&amp;" и о месте их размещения, а также сведения о планировании закупок и результатах их проведения"</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F29" s="987"/>
      <c r="G29" s="987"/>
      <c r="H29" s="844" t="s">
        <v>1314</v>
      </c>
    </row>
    <row customHeight="1" ht="36">
      <c r="A30" s="844" t="s">
        <v>1315</v>
      </c>
      <c r="B30" s="844"/>
      <c r="C30" s="985" t="str">
        <f>IF(TEMPLATE_SPHERE="HEAT",D30,IF(TEMPLATE_SPHERE="TKO",H30,E30))</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D30" s="844" t="s">
        <v>1316</v>
      </c>
      <c r="E30" s="847" t="str">
        <f>"Форма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"&amp;TEMPLATE_SPHERE_RUS&amp;" &lt;1&gt;"</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F30" s="987"/>
      <c r="G30" s="987"/>
      <c r="H30" s="987"/>
    </row>
    <row customHeight="1" ht="9">
      <c r="A31" s="844"/>
      <c r="B31" s="844"/>
      <c r="C31" s="985"/>
      <c r="D31" s="844"/>
      <c r="E31" s="844"/>
      <c r="F31" s="987"/>
      <c r="G31" s="987"/>
      <c r="H31" s="987"/>
    </row>
    <row customHeight="1" ht="9">
      <c r="A32" s="844"/>
      <c r="B32" s="844"/>
      <c r="C32" s="985"/>
      <c r="D32" s="844"/>
      <c r="E32" s="844"/>
      <c r="F32" s="987"/>
      <c r="G32" s="987"/>
      <c r="H32" s="987"/>
    </row>
    <row customHeight="1" ht="9">
      <c r="A33" s="844"/>
      <c r="B33" s="844"/>
      <c r="C33" s="985"/>
      <c r="D33" s="844"/>
      <c r="E33" s="844"/>
      <c r="F33" s="987"/>
      <c r="G33" s="987"/>
      <c r="H33" s="987"/>
    </row>
    <row customHeight="1" ht="9">
      <c r="A34" s="844"/>
      <c r="B34" s="844" t="s">
        <v>899</v>
      </c>
      <c r="C34" s="985">
        <f>INDEX(TEMPLATE_NAME_FORM_LIST,B34,MATCH(TEMPLATE_SPHERE,TEMPLATE_SPHERE_LIST,0))</f>
        <v>0</v>
      </c>
      <c r="D34" s="844"/>
      <c r="E34" s="844"/>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2C14BFE-1315-0E93-10D5-BF36CE08F90F}"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838" width="9.140625"/>
    <col min="3" max="7" style="840" width="8.00390625" customWidth="1"/>
    <col min="8" max="12" style="840" width="8.57421875" customWidth="1"/>
    <col min="13" max="14" style="840" width="27.7109375" customWidth="1"/>
    <col min="15" max="19" style="840" width="5.140625" customWidth="1"/>
    <col min="20" max="24" style="840" width="27.7109375" customWidth="1"/>
    <col min="25" max="25" style="1002" width="1.8515625" customWidth="1"/>
    <col min="26" max="26" style="838" width="27.7109375" customWidth="1"/>
    <col min="27" max="27" style="849" width="27.7109375" customWidth="1"/>
    <col min="28" max="29" style="838" width="27.7109375" customWidth="1"/>
    <col min="30" max="30" style="838" width="3.8515625" customWidth="1"/>
    <col min="31" max="34" style="838" width="9.140625"/>
  </cols>
  <sheetData>
    <row s="837" customFormat="1" customHeight="1" ht="18">
      <c r="A1" s="898"/>
      <c r="B1" s="898"/>
      <c r="C1" s="898" t="s">
        <v>1317</v>
      </c>
      <c r="D1" s="898"/>
      <c r="E1" s="898"/>
      <c r="F1" s="898"/>
      <c r="G1" s="898"/>
      <c r="H1" s="898" t="s">
        <v>1318</v>
      </c>
      <c r="I1" s="898"/>
      <c r="J1" s="898"/>
      <c r="K1" s="898"/>
      <c r="L1" s="898"/>
      <c r="M1" s="898" t="s">
        <v>1319</v>
      </c>
      <c r="N1" s="898" t="s">
        <v>1320</v>
      </c>
      <c r="O1" s="2255" t="s">
        <v>1321</v>
      </c>
      <c r="P1" s="2255"/>
      <c r="Q1" s="2255"/>
      <c r="R1" s="2255"/>
      <c r="S1" s="2255"/>
      <c r="T1" s="2255" t="s">
        <v>1319</v>
      </c>
      <c r="U1" s="2255"/>
      <c r="V1" s="2255"/>
      <c r="W1" s="2255"/>
      <c r="X1" s="2255"/>
      <c r="Y1" s="1000"/>
      <c r="Z1" s="2255" t="s">
        <v>1322</v>
      </c>
      <c r="AA1" s="2255"/>
      <c r="AB1" s="2255"/>
      <c r="AC1" s="2255"/>
      <c r="AD1" s="2255"/>
    </row>
    <row customHeight="1" ht="18">
      <c r="A2" s="844"/>
      <c r="B2" s="844"/>
      <c r="C2" s="839" t="s">
        <v>594</v>
      </c>
      <c r="D2" s="839" t="s">
        <v>984</v>
      </c>
      <c r="E2" s="839" t="s">
        <v>596</v>
      </c>
      <c r="F2" s="839" t="s">
        <v>1007</v>
      </c>
      <c r="G2" s="839" t="s">
        <v>1015</v>
      </c>
      <c r="H2" s="841"/>
      <c r="I2" s="841"/>
      <c r="J2" s="841"/>
      <c r="K2" s="841"/>
      <c r="L2" s="841"/>
      <c r="M2" s="841"/>
      <c r="N2" s="841"/>
      <c r="O2" s="839" t="s">
        <v>594</v>
      </c>
      <c r="P2" s="839" t="s">
        <v>984</v>
      </c>
      <c r="Q2" s="839" t="s">
        <v>1007</v>
      </c>
      <c r="R2" s="839" t="s">
        <v>596</v>
      </c>
      <c r="S2" s="839" t="s">
        <v>1015</v>
      </c>
      <c r="T2" s="839" t="s">
        <v>594</v>
      </c>
      <c r="U2" s="839" t="s">
        <v>984</v>
      </c>
      <c r="V2" s="839" t="s">
        <v>1007</v>
      </c>
      <c r="W2" s="839" t="s">
        <v>596</v>
      </c>
      <c r="X2" s="839" t="s">
        <v>1015</v>
      </c>
      <c r="Y2" s="839"/>
      <c r="Z2" s="839" t="s">
        <v>594</v>
      </c>
      <c r="AA2" s="848" t="s">
        <v>984</v>
      </c>
      <c r="AB2" s="839" t="s">
        <v>1007</v>
      </c>
      <c r="AC2" s="839" t="s">
        <v>596</v>
      </c>
      <c r="AD2" s="839" t="s">
        <v>1015</v>
      </c>
    </row>
    <row customHeight="1" ht="162">
      <c r="A3" s="843" t="s">
        <v>23</v>
      </c>
      <c r="B3" s="843"/>
      <c r="C3" s="2259" t="s">
        <v>1323</v>
      </c>
      <c r="D3" s="2260"/>
      <c r="E3" s="2260"/>
      <c r="F3" s="2261"/>
      <c r="G3" s="841"/>
      <c r="H3" s="841"/>
      <c r="I3" s="841"/>
      <c r="J3" s="841"/>
      <c r="K3" s="841"/>
      <c r="L3" s="841"/>
      <c r="M3" s="841"/>
      <c r="N3" s="84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1"/>
      <c r="P3" s="841"/>
      <c r="Q3" s="841"/>
      <c r="R3" s="841"/>
      <c r="S3" s="841"/>
      <c r="T3" s="841"/>
      <c r="U3" s="841"/>
      <c r="V3" s="841"/>
      <c r="W3" s="841"/>
      <c r="X3" s="841"/>
      <c r="Y3" s="1001"/>
      <c r="Z3" s="844" t="s">
        <v>1324</v>
      </c>
      <c r="AA3" s="841" t="s">
        <v>1325</v>
      </c>
      <c r="AB3" s="844" t="s">
        <v>1326</v>
      </c>
      <c r="AC3" s="844" t="s">
        <v>1327</v>
      </c>
      <c r="AD3" s="844"/>
      <c r="AG3" s="844"/>
      <c r="AH3" s="844"/>
    </row>
    <row customHeight="1" ht="9">
      <c r="A4" s="843"/>
      <c r="B4" s="843"/>
      <c r="C4" s="841"/>
      <c r="D4" s="841"/>
      <c r="E4" s="841"/>
      <c r="F4" s="841"/>
      <c r="G4" s="841"/>
      <c r="H4" s="841"/>
      <c r="I4" s="841"/>
      <c r="J4" s="841"/>
      <c r="K4" s="841"/>
      <c r="L4" s="841"/>
      <c r="M4" s="841"/>
      <c r="N4" s="841"/>
      <c r="O4" s="841"/>
      <c r="P4" s="841"/>
      <c r="Q4" s="841"/>
      <c r="R4" s="841"/>
      <c r="S4" s="841"/>
      <c r="T4" s="841"/>
      <c r="U4" s="841"/>
      <c r="V4" s="841"/>
      <c r="W4" s="841"/>
      <c r="X4" s="841"/>
      <c r="Y4" s="1001"/>
      <c r="Z4" s="844"/>
      <c r="AA4" s="847"/>
      <c r="AB4" s="844"/>
      <c r="AC4" s="844"/>
      <c r="AD4" s="844"/>
    </row>
    <row customHeight="1" ht="9">
      <c r="A5" s="843"/>
      <c r="B5" s="843"/>
      <c r="C5" s="841"/>
      <c r="D5" s="841"/>
      <c r="E5" s="841"/>
      <c r="F5" s="841"/>
      <c r="G5" s="841"/>
      <c r="H5" s="841"/>
      <c r="I5" s="841"/>
      <c r="J5" s="841"/>
      <c r="K5" s="841"/>
      <c r="L5" s="841"/>
      <c r="M5" s="841"/>
      <c r="N5" s="841"/>
      <c r="O5" s="841"/>
      <c r="P5" s="841"/>
      <c r="Q5" s="841"/>
      <c r="R5" s="841"/>
      <c r="S5" s="841"/>
      <c r="T5" s="841"/>
      <c r="U5" s="841"/>
      <c r="V5" s="841"/>
      <c r="W5" s="841"/>
      <c r="X5" s="841"/>
      <c r="Y5" s="1001"/>
      <c r="Z5" s="844"/>
      <c r="AA5" s="847"/>
      <c r="AB5" s="844"/>
      <c r="AC5" s="844"/>
      <c r="AD5" s="844"/>
    </row>
    <row customHeight="1" ht="9">
      <c r="A6" s="843"/>
      <c r="B6" s="843"/>
      <c r="C6" s="841"/>
      <c r="D6" s="841"/>
      <c r="E6" s="841"/>
      <c r="F6" s="841"/>
      <c r="G6" s="841"/>
      <c r="H6" s="841"/>
      <c r="I6" s="841"/>
      <c r="J6" s="841"/>
      <c r="K6" s="841"/>
      <c r="L6" s="841"/>
      <c r="M6" s="841"/>
      <c r="N6" s="841"/>
      <c r="O6" s="841"/>
      <c r="P6" s="841"/>
      <c r="Q6" s="841"/>
      <c r="R6" s="841"/>
      <c r="S6" s="841"/>
      <c r="T6" s="841"/>
      <c r="U6" s="841"/>
      <c r="V6" s="841"/>
      <c r="W6" s="841"/>
      <c r="X6" s="841"/>
      <c r="Y6" s="1001"/>
      <c r="Z6" s="844"/>
      <c r="AA6" s="847"/>
      <c r="AB6" s="844"/>
      <c r="AC6" s="844"/>
      <c r="AD6" s="844"/>
    </row>
    <row customHeight="1" ht="9">
      <c r="A7" s="843"/>
      <c r="B7" s="843"/>
      <c r="C7" s="841"/>
      <c r="D7" s="841"/>
      <c r="E7" s="841"/>
      <c r="F7" s="841"/>
      <c r="G7" s="841"/>
      <c r="H7" s="841"/>
      <c r="I7" s="841"/>
      <c r="J7" s="841"/>
      <c r="K7" s="841"/>
      <c r="L7" s="841"/>
      <c r="M7" s="841"/>
      <c r="N7" s="841"/>
      <c r="O7" s="841"/>
      <c r="P7" s="841"/>
      <c r="Q7" s="841"/>
      <c r="R7" s="841"/>
      <c r="S7" s="841"/>
      <c r="T7" s="841"/>
      <c r="U7" s="841"/>
      <c r="V7" s="841"/>
      <c r="W7" s="841"/>
      <c r="X7" s="841"/>
      <c r="Y7" s="1001"/>
      <c r="Z7" s="844"/>
      <c r="AA7" s="847"/>
      <c r="AB7" s="844"/>
      <c r="AC7" s="844"/>
      <c r="AD7" s="844"/>
    </row>
    <row customHeight="1" ht="9">
      <c r="A8" s="843"/>
      <c r="B8" s="843"/>
      <c r="C8" s="841"/>
      <c r="D8" s="841"/>
      <c r="E8" s="841"/>
      <c r="F8" s="841"/>
      <c r="G8" s="841"/>
      <c r="H8" s="841"/>
      <c r="I8" s="841"/>
      <c r="J8" s="841"/>
      <c r="K8" s="841"/>
      <c r="L8" s="841"/>
      <c r="M8" s="841"/>
      <c r="N8" s="841"/>
      <c r="O8" s="841"/>
      <c r="P8" s="841"/>
      <c r="Q8" s="841"/>
      <c r="R8" s="841"/>
      <c r="S8" s="841"/>
      <c r="T8" s="841"/>
      <c r="U8" s="841"/>
      <c r="V8" s="841"/>
      <c r="W8" s="841"/>
      <c r="X8" s="841"/>
      <c r="Y8" s="1001"/>
      <c r="Z8" s="844"/>
      <c r="AA8" s="847"/>
      <c r="AB8" s="844"/>
      <c r="AC8" s="844"/>
      <c r="AD8" s="844"/>
    </row>
    <row customHeight="1" ht="9">
      <c r="A9" s="843"/>
      <c r="B9" s="843"/>
      <c r="C9" s="841"/>
      <c r="D9" s="841"/>
      <c r="E9" s="841"/>
      <c r="F9" s="841"/>
      <c r="G9" s="841"/>
      <c r="H9" s="841"/>
      <c r="I9" s="841"/>
      <c r="J9" s="841"/>
      <c r="K9" s="841"/>
      <c r="L9" s="841"/>
      <c r="M9" s="841"/>
      <c r="N9" s="841"/>
      <c r="O9" s="841"/>
      <c r="P9" s="841"/>
      <c r="Q9" s="841"/>
      <c r="R9" s="841"/>
      <c r="S9" s="841"/>
      <c r="T9" s="841"/>
      <c r="U9" s="841"/>
      <c r="V9" s="841"/>
      <c r="W9" s="841"/>
      <c r="X9" s="841"/>
      <c r="Y9" s="1001"/>
      <c r="Z9" s="844"/>
      <c r="AA9" s="847"/>
      <c r="AB9" s="844"/>
      <c r="AC9" s="844"/>
      <c r="AD9" s="844"/>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256" t="s">
        <v>29</v>
      </c>
      <c r="B11" s="899">
        <v>1</v>
      </c>
      <c r="C11" s="2262" t="s">
        <v>949</v>
      </c>
      <c r="D11" s="2262" t="s">
        <v>946</v>
      </c>
      <c r="E11" s="2262" t="s">
        <v>1054</v>
      </c>
      <c r="F11" s="2262" t="s">
        <v>1328</v>
      </c>
      <c r="G11" s="2262"/>
      <c r="H11" s="898" t="s">
        <v>1329</v>
      </c>
      <c r="I11" s="898"/>
      <c r="J11" s="898"/>
      <c r="K11" s="898"/>
      <c r="L11" s="898"/>
      <c r="M11" s="842" t="str">
        <f>IF(TEMPLATE_SPHERE="HEAT",T11,U11)</f>
        <v>Количество поданных заявлений </v>
      </c>
      <c r="N11" s="84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1"/>
      <c r="P11" s="841"/>
      <c r="Q11" s="841"/>
      <c r="R11" s="841"/>
      <c r="S11" s="841"/>
      <c r="T11" s="841" t="s">
        <v>1330</v>
      </c>
      <c r="U11" s="841" t="s">
        <v>1331</v>
      </c>
      <c r="V11" s="841"/>
      <c r="W11" s="841"/>
      <c r="X11" s="841"/>
      <c r="Y11" s="1001"/>
      <c r="Z11" s="844" t="s">
        <v>1332</v>
      </c>
      <c r="AA11" s="84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4"/>
      <c r="AC11" s="844"/>
      <c r="AD11" s="844"/>
    </row>
    <row customHeight="1" ht="45">
      <c r="A12" s="2256"/>
      <c r="B12" s="899">
        <v>2</v>
      </c>
      <c r="C12" s="2263"/>
      <c r="D12" s="2263"/>
      <c r="E12" s="2263"/>
      <c r="F12" s="2263"/>
      <c r="G12" s="2263"/>
      <c r="H12" s="898" t="s">
        <v>1333</v>
      </c>
      <c r="I12" s="898"/>
      <c r="J12" s="898"/>
      <c r="K12" s="898"/>
      <c r="L12" s="898"/>
      <c r="M12" s="842" t="str">
        <f>IF(TEMPLATE_SPHERE="HEAT",T12,U12)</f>
        <v>Количество исполненных заявлений </v>
      </c>
      <c r="N12" s="84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1"/>
      <c r="P12" s="841"/>
      <c r="Q12" s="841"/>
      <c r="R12" s="841"/>
      <c r="S12" s="841"/>
      <c r="T12" s="841" t="s">
        <v>1334</v>
      </c>
      <c r="U12" s="841" t="s">
        <v>1335</v>
      </c>
      <c r="V12" s="841"/>
      <c r="W12" s="841"/>
      <c r="X12" s="841"/>
      <c r="Y12" s="1001"/>
      <c r="Z12" s="844" t="s">
        <v>1336</v>
      </c>
      <c r="AA12" s="84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4"/>
      <c r="AC12" s="844"/>
      <c r="AD12" s="844"/>
    </row>
    <row customHeight="1" ht="72">
      <c r="A13" s="2256"/>
      <c r="B13" s="899">
        <v>3</v>
      </c>
      <c r="C13" s="2263"/>
      <c r="D13" s="2263"/>
      <c r="E13" s="2263"/>
      <c r="F13" s="2263"/>
      <c r="G13" s="2263"/>
      <c r="H13" s="2255" t="s">
        <v>1337</v>
      </c>
      <c r="I13" s="898"/>
      <c r="J13" s="898"/>
      <c r="K13" s="898"/>
      <c r="L13" s="898"/>
      <c r="M13" s="842" t="str">
        <f>IF(TEMPLATE_SPHERE="HEAT",T13,U13)</f>
        <v>Количество заявлений о заключении договоров о подключении (технологическом присоединении)</v>
      </c>
      <c r="N13" s="84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1"/>
      <c r="P13" s="842"/>
      <c r="Q13" s="842"/>
      <c r="R13" s="842"/>
      <c r="S13" s="841"/>
      <c r="T13" s="841" t="s">
        <v>1338</v>
      </c>
      <c r="U13" s="842" t="s">
        <v>1339</v>
      </c>
      <c r="V13" s="842"/>
      <c r="W13" s="842"/>
      <c r="X13" s="841"/>
      <c r="Y13" s="1001"/>
      <c r="Z13" s="844" t="s">
        <v>1340</v>
      </c>
      <c r="AA13" s="84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4"/>
      <c r="AC13" s="844"/>
      <c r="AD13" s="844"/>
    </row>
    <row customHeight="1" ht="45">
      <c r="A14" s="2256"/>
      <c r="B14" s="899">
        <v>4</v>
      </c>
      <c r="C14" s="2263"/>
      <c r="D14" s="2263"/>
      <c r="E14" s="2263"/>
      <c r="F14" s="2263"/>
      <c r="G14" s="2263"/>
      <c r="H14" s="2255"/>
      <c r="I14" s="901"/>
      <c r="J14" s="901"/>
      <c r="K14" s="901"/>
      <c r="L14" s="901"/>
      <c r="M14" s="84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1"/>
      <c r="P14" s="842"/>
      <c r="Q14" s="842"/>
      <c r="R14" s="842"/>
      <c r="S14" s="841"/>
      <c r="T14" s="841" t="s">
        <v>1341</v>
      </c>
      <c r="U14" s="84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2"/>
      <c r="W14" s="842"/>
      <c r="X14" s="841"/>
      <c r="Y14" s="1001"/>
      <c r="Z14" s="844" t="s">
        <v>1342</v>
      </c>
      <c r="AA14" s="847" t="s">
        <v>1342</v>
      </c>
      <c r="AB14" s="844"/>
      <c r="AC14" s="844"/>
      <c r="AD14" s="844"/>
    </row>
    <row customHeight="1" ht="108">
      <c r="A15" s="2256"/>
      <c r="B15" s="899">
        <v>5</v>
      </c>
      <c r="C15" s="2263"/>
      <c r="D15" s="2263"/>
      <c r="E15" s="2263"/>
      <c r="F15" s="2263"/>
      <c r="G15" s="2263"/>
      <c r="H15" s="2257" t="s">
        <v>1343</v>
      </c>
      <c r="I15" s="900"/>
      <c r="J15" s="900"/>
      <c r="K15" s="900"/>
      <c r="L15" s="900"/>
      <c r="M15" s="84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6"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1"/>
      <c r="P15" s="842"/>
      <c r="Q15" s="842"/>
      <c r="R15" s="842"/>
      <c r="S15" s="841"/>
      <c r="T15" s="841" t="s">
        <v>1344</v>
      </c>
      <c r="U15" s="84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2"/>
      <c r="W15" s="842"/>
      <c r="X15" s="841"/>
      <c r="Y15" s="1001"/>
      <c r="Z15" s="844" t="s">
        <v>1345</v>
      </c>
      <c r="AA15" s="84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4"/>
      <c r="AC15" s="844"/>
      <c r="AD15" s="844"/>
    </row>
    <row customHeight="1" ht="108">
      <c r="A16" s="899"/>
      <c r="B16" s="899">
        <v>6</v>
      </c>
      <c r="C16" s="2264"/>
      <c r="D16" s="2264"/>
      <c r="E16" s="2264"/>
      <c r="F16" s="2264"/>
      <c r="G16" s="2264"/>
      <c r="H16" s="2258"/>
      <c r="I16" s="963"/>
      <c r="J16" s="963"/>
      <c r="K16" s="963"/>
      <c r="L16" s="963"/>
      <c r="M16" s="892"/>
      <c r="N16" s="846"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1"/>
      <c r="P16" s="842"/>
      <c r="Q16" s="842"/>
      <c r="R16" s="842"/>
      <c r="S16" s="841"/>
      <c r="T16" s="841"/>
      <c r="U16" s="842"/>
      <c r="V16" s="842"/>
      <c r="W16" s="842"/>
      <c r="X16" s="841"/>
      <c r="Y16" s="1001"/>
      <c r="Z16" s="844" t="s">
        <v>1345</v>
      </c>
      <c r="AA16" s="84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4"/>
      <c r="AC16" s="844"/>
      <c r="AD16" s="844"/>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3" t="s">
        <v>1058</v>
      </c>
      <c r="B18" s="899">
        <v>1</v>
      </c>
      <c r="C18" s="841" t="s">
        <v>1329</v>
      </c>
      <c r="D18" s="968" t="s">
        <v>1329</v>
      </c>
      <c r="E18" s="841" t="s">
        <v>1329</v>
      </c>
      <c r="F18" s="841" t="s">
        <v>1329</v>
      </c>
      <c r="G18" s="841"/>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2">
        <f>IF(I18=0,"",I18)</f>
        <v>1</v>
      </c>
      <c r="M18" s="842" t="str">
        <f>IF(J18=0,"",J18)</f>
        <v>Выручка от регулируемых видов деятельности в сфере холодного водоснабжения</v>
      </c>
      <c r="N18" s="842" t="str">
        <f>IF(K18=0,"",K18)</f>
        <v>Указывается выручка с распределением по видам деятельности.</v>
      </c>
      <c r="O18" s="958">
        <v>1</v>
      </c>
      <c r="P18" s="958">
        <v>1</v>
      </c>
      <c r="Q18" s="958">
        <v>1</v>
      </c>
      <c r="R18" s="958">
        <v>1</v>
      </c>
      <c r="S18" s="958"/>
      <c r="T18" s="965" t="s">
        <v>1346</v>
      </c>
      <c r="U18" s="844" t="s">
        <v>1347</v>
      </c>
      <c r="V18" s="844" t="s">
        <v>1348</v>
      </c>
      <c r="W18" s="844" t="s">
        <v>1349</v>
      </c>
      <c r="X18" s="841"/>
      <c r="Y18" s="1001"/>
      <c r="Z18" s="844" t="s">
        <v>1350</v>
      </c>
      <c r="AA18" s="847" t="s">
        <v>1351</v>
      </c>
      <c r="AB18" s="847" t="s">
        <v>1351</v>
      </c>
      <c r="AC18" s="847" t="s">
        <v>1351</v>
      </c>
      <c r="AD18" s="844"/>
    </row>
    <row customHeight="1" ht="36">
      <c r="A19" s="843"/>
      <c r="B19" s="899">
        <v>2</v>
      </c>
      <c r="C19" s="841" t="s">
        <v>1333</v>
      </c>
      <c r="D19" s="968" t="s">
        <v>1333</v>
      </c>
      <c r="E19" s="841" t="s">
        <v>1333</v>
      </c>
      <c r="F19" s="841" t="s">
        <v>1333</v>
      </c>
      <c r="G19" s="841"/>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2">
        <f>IF(I19=0,"",I19)</f>
        <v>2</v>
      </c>
      <c r="M19" s="842" t="str">
        <f>IF(J19=0,"",J19)</f>
        <v>Себестоимость производимых товаров (оказываемых услуг) по регулируемым видам деятельности в сфере холодного водоснабжения, включая:</v>
      </c>
      <c r="N19" s="842" t="str">
        <f>IF(K19=0,"",K19)</f>
        <v>Указывается суммарная себестоимость производимых товаров.</v>
      </c>
      <c r="O19" s="958">
        <v>2</v>
      </c>
      <c r="P19" s="958">
        <v>2</v>
      </c>
      <c r="Q19" s="958">
        <v>2</v>
      </c>
      <c r="R19" s="958">
        <v>2</v>
      </c>
      <c r="S19" s="958"/>
      <c r="T19" s="965" t="s">
        <v>1352</v>
      </c>
      <c r="U19" s="844" t="s">
        <v>1353</v>
      </c>
      <c r="V19" s="844" t="s">
        <v>1354</v>
      </c>
      <c r="W19" s="844" t="s">
        <v>1355</v>
      </c>
      <c r="X19" s="841"/>
      <c r="Y19" s="1001"/>
      <c r="Z19" s="844" t="s">
        <v>1356</v>
      </c>
      <c r="AA19" s="847" t="s">
        <v>1356</v>
      </c>
      <c r="AB19" s="847" t="s">
        <v>1356</v>
      </c>
      <c r="AC19" s="847" t="s">
        <v>1356</v>
      </c>
      <c r="AD19" s="844"/>
    </row>
    <row customHeight="1" ht="27">
      <c r="A20" s="843"/>
      <c r="B20" s="899">
        <v>3</v>
      </c>
      <c r="C20" s="841">
        <v>1</v>
      </c>
      <c r="D20" s="968"/>
      <c r="E20" s="841"/>
      <c r="F20" s="841"/>
      <c r="G20" s="841"/>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2" t="str">
        <f>IF(I20=0,"",I20)</f>
        <v>2.1</v>
      </c>
      <c r="M20" s="842" t="str">
        <f>IF(J20=0,"",J20)</f>
        <v>Расходы на оплату холодной воды, приобретаемой у других организаций для последующей подачи потребителям</v>
      </c>
      <c r="N20" s="842" t="str">
        <f>IF(K20=0,"",K20)</f>
        <v/>
      </c>
      <c r="O20" s="958" t="s">
        <v>453</v>
      </c>
      <c r="P20" s="958" t="s">
        <v>453</v>
      </c>
      <c r="Q20" s="958" t="s">
        <v>453</v>
      </c>
      <c r="R20" s="958" t="s">
        <v>453</v>
      </c>
      <c r="S20" s="958"/>
      <c r="T20" s="965" t="s">
        <v>1357</v>
      </c>
      <c r="U20" s="844" t="s">
        <v>1358</v>
      </c>
      <c r="V20" s="844" t="s">
        <v>1359</v>
      </c>
      <c r="W20" s="844" t="s">
        <v>1360</v>
      </c>
      <c r="X20" s="841"/>
      <c r="Y20" s="1001"/>
      <c r="Z20" s="844"/>
      <c r="AA20" s="847"/>
      <c r="AB20" s="844"/>
      <c r="AC20" s="844"/>
      <c r="AD20" s="844"/>
    </row>
    <row customHeight="1" ht="36">
      <c r="A21" s="843"/>
      <c r="B21" s="899">
        <v>4</v>
      </c>
      <c r="C21" s="841">
        <v>2</v>
      </c>
      <c r="D21" s="968"/>
      <c r="E21" s="841"/>
      <c r="F21" s="841"/>
      <c r="G21" s="841"/>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2" t="str">
        <f>IF(I21=0,"",I21)</f>
        <v/>
      </c>
      <c r="M21" s="842" t="str">
        <f>IF(J21=0,"",J21)</f>
        <v/>
      </c>
      <c r="N21" s="842" t="str">
        <f>IF(K21=0,"",K21)</f>
        <v/>
      </c>
      <c r="O21" s="958" t="s">
        <v>297</v>
      </c>
      <c r="P21" s="958"/>
      <c r="Q21" s="958"/>
      <c r="R21" s="958"/>
      <c r="S21" s="958"/>
      <c r="T21" s="965" t="s">
        <v>1361</v>
      </c>
      <c r="U21" s="844"/>
      <c r="V21" s="844"/>
      <c r="W21" s="844"/>
      <c r="X21" s="841"/>
      <c r="Y21" s="1001"/>
      <c r="Z21" s="844" t="s">
        <v>1362</v>
      </c>
      <c r="AA21" s="847"/>
      <c r="AB21" s="844"/>
      <c r="AC21" s="844"/>
      <c r="AD21" s="844"/>
    </row>
    <row customHeight="1" ht="36">
      <c r="A22" s="843"/>
      <c r="B22" s="899">
        <v>5</v>
      </c>
      <c r="C22" s="841">
        <v>3</v>
      </c>
      <c r="D22" s="968"/>
      <c r="E22" s="841"/>
      <c r="F22" s="841"/>
      <c r="G22" s="891"/>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2" t="str">
        <f>IF(I22=0,"",I22)</f>
        <v/>
      </c>
      <c r="M22" s="842" t="str">
        <f>IF(J22=0,"",J22)</f>
        <v/>
      </c>
      <c r="N22" s="842" t="str">
        <f>IF(K22=0,"",K22)</f>
        <v/>
      </c>
      <c r="O22" s="958"/>
      <c r="P22" s="958"/>
      <c r="Q22" s="958" t="s">
        <v>297</v>
      </c>
      <c r="R22" s="958"/>
      <c r="S22" s="958"/>
      <c r="T22" s="965"/>
      <c r="U22" s="844"/>
      <c r="V22" s="844" t="s">
        <v>1363</v>
      </c>
      <c r="W22" s="844"/>
      <c r="X22" s="841"/>
      <c r="Y22" s="1001"/>
      <c r="Z22" s="844"/>
      <c r="AA22" s="847"/>
      <c r="AB22" s="844"/>
      <c r="AC22" s="844"/>
      <c r="AD22" s="844"/>
    </row>
    <row customHeight="1" ht="27">
      <c r="A23" s="843"/>
      <c r="B23" s="899">
        <v>6</v>
      </c>
      <c r="C23" s="841">
        <v>4</v>
      </c>
      <c r="D23" s="968"/>
      <c r="E23" s="841"/>
      <c r="F23" s="841"/>
      <c r="G23" s="891"/>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2" t="str">
        <f>IF(I23=0,"",I23)</f>
        <v/>
      </c>
      <c r="M23" s="842" t="str">
        <f>IF(J23=0,"",J23)</f>
        <v/>
      </c>
      <c r="N23" s="842" t="str">
        <f>IF(K23=0,"",K23)</f>
        <v/>
      </c>
      <c r="O23" s="958"/>
      <c r="P23" s="958"/>
      <c r="Q23" s="958" t="s">
        <v>300</v>
      </c>
      <c r="R23" s="958"/>
      <c r="S23" s="958"/>
      <c r="T23" s="965"/>
      <c r="U23" s="844"/>
      <c r="V23" s="844" t="s">
        <v>1364</v>
      </c>
      <c r="W23" s="844"/>
      <c r="X23" s="841"/>
      <c r="Y23" s="1001"/>
      <c r="Z23" s="844"/>
      <c r="AA23" s="847"/>
      <c r="AB23" s="844"/>
      <c r="AC23" s="844"/>
      <c r="AD23" s="844"/>
    </row>
    <row customHeight="1" ht="36">
      <c r="A24" s="843"/>
      <c r="B24" s="899">
        <v>7</v>
      </c>
      <c r="C24" s="841">
        <v>5</v>
      </c>
      <c r="D24" s="968"/>
      <c r="E24" s="841"/>
      <c r="F24" s="841"/>
      <c r="G24" s="891"/>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2" t="str">
        <f>IF(I24=0,"",I24)</f>
        <v/>
      </c>
      <c r="M24" s="842" t="str">
        <f>IF(J24=0,"",J24)</f>
        <v/>
      </c>
      <c r="N24" s="842" t="str">
        <f>IF(K24=0,"",K24)</f>
        <v/>
      </c>
      <c r="O24" s="958"/>
      <c r="P24" s="958"/>
      <c r="Q24" s="958" t="s">
        <v>1365</v>
      </c>
      <c r="R24" s="958"/>
      <c r="S24" s="958"/>
      <c r="T24" s="965"/>
      <c r="U24" s="844"/>
      <c r="V24" s="844" t="s">
        <v>1366</v>
      </c>
      <c r="W24" s="844"/>
      <c r="X24" s="841"/>
      <c r="Y24" s="1001"/>
      <c r="Z24" s="844"/>
      <c r="AA24" s="847"/>
      <c r="AB24" s="844"/>
      <c r="AC24" s="844"/>
      <c r="AD24" s="844"/>
    </row>
    <row customHeight="1" ht="36">
      <c r="A25" s="843"/>
      <c r="B25" s="899">
        <v>8</v>
      </c>
      <c r="C25" s="841">
        <v>6</v>
      </c>
      <c r="D25" s="968"/>
      <c r="E25" s="841"/>
      <c r="F25" s="841"/>
      <c r="G25" s="891"/>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2" t="str">
        <f>IF(I25=0,"",I25)</f>
        <v>2.2</v>
      </c>
      <c r="M25" s="842" t="str">
        <f>IF(J25=0,"",J25)</f>
        <v>Расходы на приобретаемую электрическую энергию (мощность), используемую в технологическом процессе</v>
      </c>
      <c r="N25" s="842" t="str">
        <f>IF(K25=0,"",K25)</f>
        <v/>
      </c>
      <c r="O25" s="958" t="s">
        <v>300</v>
      </c>
      <c r="P25" s="958" t="s">
        <v>297</v>
      </c>
      <c r="Q25" s="958" t="s">
        <v>1367</v>
      </c>
      <c r="R25" s="958" t="s">
        <v>297</v>
      </c>
      <c r="S25" s="958"/>
      <c r="T25" s="965" t="s">
        <v>1368</v>
      </c>
      <c r="U25" s="844" t="s">
        <v>1368</v>
      </c>
      <c r="V25" s="844" t="s">
        <v>1368</v>
      </c>
      <c r="W25" s="844" t="s">
        <v>1368</v>
      </c>
      <c r="X25" s="841"/>
      <c r="Y25" s="1001"/>
      <c r="Z25" s="844"/>
      <c r="AA25" s="847"/>
      <c r="AB25" s="844"/>
      <c r="AC25" s="844"/>
      <c r="AD25" s="844"/>
    </row>
    <row customHeight="1" ht="18">
      <c r="A26" s="843"/>
      <c r="B26" s="899">
        <v>9</v>
      </c>
      <c r="C26" s="841" t="s">
        <v>1369</v>
      </c>
      <c r="D26" s="968"/>
      <c r="E26" s="841"/>
      <c r="F26" s="841"/>
      <c r="G26" s="891"/>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2" t="str">
        <f>IF(I26=0,"",I26)</f>
        <v>2.2.1</v>
      </c>
      <c r="M26" s="842" t="str">
        <f>IF(J26=0,"",J26)</f>
        <v>Средневзвешенная стоимость 1 кВт.ч (с учетом мощности)</v>
      </c>
      <c r="N26" s="842" t="str">
        <f>IF(K26=0,"",K26)</f>
        <v/>
      </c>
      <c r="O26" s="958" t="s">
        <v>1370</v>
      </c>
      <c r="P26" s="958" t="s">
        <v>1371</v>
      </c>
      <c r="Q26" s="958" t="s">
        <v>1372</v>
      </c>
      <c r="R26" s="958" t="s">
        <v>1371</v>
      </c>
      <c r="S26" s="958"/>
      <c r="T26" s="965" t="s">
        <v>1373</v>
      </c>
      <c r="U26" s="965" t="s">
        <v>1373</v>
      </c>
      <c r="V26" s="965" t="s">
        <v>1373</v>
      </c>
      <c r="W26" s="965" t="s">
        <v>1373</v>
      </c>
      <c r="X26" s="841"/>
      <c r="Y26" s="1001"/>
      <c r="Z26" s="844"/>
      <c r="AA26" s="847"/>
      <c r="AB26" s="844"/>
      <c r="AC26" s="844"/>
      <c r="AD26" s="844"/>
    </row>
    <row customHeight="1" ht="18">
      <c r="A27" s="843"/>
      <c r="B27" s="899">
        <v>10</v>
      </c>
      <c r="C27" s="841" t="s">
        <v>1374</v>
      </c>
      <c r="D27" s="968"/>
      <c r="E27" s="841"/>
      <c r="F27" s="841"/>
      <c r="G27" s="891"/>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2" t="str">
        <f>IF(I27=0,"",I27)</f>
        <v>2.2.2</v>
      </c>
      <c r="M27" s="842" t="str">
        <f>IF(J27=0,"",J27)</f>
        <v>Объём приобретения электрической энергии</v>
      </c>
      <c r="N27" s="842" t="str">
        <f>IF(K27=0,"",K27)</f>
        <v/>
      </c>
      <c r="O27" s="958" t="s">
        <v>1375</v>
      </c>
      <c r="P27" s="958" t="s">
        <v>1376</v>
      </c>
      <c r="Q27" s="958" t="s">
        <v>1377</v>
      </c>
      <c r="R27" s="958" t="s">
        <v>1376</v>
      </c>
      <c r="S27" s="958"/>
      <c r="T27" s="965" t="s">
        <v>1378</v>
      </c>
      <c r="U27" s="965" t="s">
        <v>1378</v>
      </c>
      <c r="V27" s="965" t="s">
        <v>1378</v>
      </c>
      <c r="W27" s="965" t="s">
        <v>1378</v>
      </c>
      <c r="X27" s="841"/>
      <c r="Y27" s="1001"/>
      <c r="Z27" s="844"/>
      <c r="AA27" s="847"/>
      <c r="AB27" s="844"/>
      <c r="AC27" s="844"/>
      <c r="AD27" s="844"/>
    </row>
    <row customHeight="1" ht="27">
      <c r="A28" s="843"/>
      <c r="B28" s="899">
        <v>11</v>
      </c>
      <c r="C28" s="841">
        <v>7</v>
      </c>
      <c r="D28" s="968"/>
      <c r="E28" s="841"/>
      <c r="F28" s="841"/>
      <c r="G28" s="891"/>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2" t="str">
        <f>IF(I28=0,"",I28)</f>
        <v/>
      </c>
      <c r="M28" s="842" t="str">
        <f>IF(J28=0,"",J28)</f>
        <v/>
      </c>
      <c r="N28" s="842" t="str">
        <f>IF(K28=0,"",K28)</f>
        <v/>
      </c>
      <c r="O28" s="958" t="s">
        <v>1365</v>
      </c>
      <c r="P28" s="958"/>
      <c r="Q28" s="958"/>
      <c r="R28" s="958"/>
      <c r="S28" s="958"/>
      <c r="T28" s="965" t="s">
        <v>1379</v>
      </c>
      <c r="U28" s="844"/>
      <c r="V28" s="844"/>
      <c r="W28" s="844"/>
      <c r="X28" s="841"/>
      <c r="Y28" s="1001"/>
      <c r="Z28" s="844"/>
      <c r="AA28" s="847"/>
      <c r="AB28" s="844"/>
      <c r="AC28" s="844"/>
      <c r="AD28" s="844"/>
    </row>
    <row customHeight="1" ht="27">
      <c r="A29" s="843"/>
      <c r="B29" s="899">
        <v>12</v>
      </c>
      <c r="C29" s="841">
        <v>8</v>
      </c>
      <c r="D29" s="968"/>
      <c r="E29" s="841"/>
      <c r="F29" s="841"/>
      <c r="G29" s="891"/>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2" t="str">
        <f>IF(I29=0,"",I29)</f>
        <v>2.3</v>
      </c>
      <c r="M29" s="842" t="str">
        <f>IF(J29=0,"",J29)</f>
        <v>Расходы на химические реагенты, используемые в технологическом процессе</v>
      </c>
      <c r="N29" s="842" t="str">
        <f>IF(K29=0,"",K29)</f>
        <v/>
      </c>
      <c r="O29" s="958" t="s">
        <v>1367</v>
      </c>
      <c r="P29" s="958" t="s">
        <v>300</v>
      </c>
      <c r="Q29" s="958"/>
      <c r="R29" s="958" t="s">
        <v>300</v>
      </c>
      <c r="S29" s="958"/>
      <c r="T29" s="965" t="s">
        <v>1380</v>
      </c>
      <c r="U29" s="844" t="s">
        <v>1380</v>
      </c>
      <c r="V29" s="844"/>
      <c r="W29" s="844" t="s">
        <v>1380</v>
      </c>
      <c r="X29" s="841"/>
      <c r="Y29" s="1001"/>
      <c r="Z29" s="844"/>
      <c r="AA29" s="847"/>
      <c r="AB29" s="844"/>
      <c r="AC29" s="844"/>
      <c r="AD29" s="844"/>
    </row>
    <row customHeight="1" ht="54">
      <c r="A30" s="843"/>
      <c r="B30" s="899">
        <v>13</v>
      </c>
      <c r="C30" s="841">
        <v>9</v>
      </c>
      <c r="D30" s="968"/>
      <c r="E30" s="841"/>
      <c r="F30" s="841"/>
      <c r="G30" s="891"/>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2" t="str">
        <f>IF(I30=0,"",I30)</f>
        <v>2.4</v>
      </c>
      <c r="M30" s="84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2" t="str">
        <f>IF(K30=0,"",K30)</f>
        <v>Указывается общая сумма расходов на оплату труда и отчислений на социальные нужды основного производственного персонала.</v>
      </c>
      <c r="O30" s="958" t="s">
        <v>1381</v>
      </c>
      <c r="P30" s="958" t="s">
        <v>1365</v>
      </c>
      <c r="Q30" s="958" t="s">
        <v>1381</v>
      </c>
      <c r="R30" s="958" t="s">
        <v>1365</v>
      </c>
      <c r="S30" s="958"/>
      <c r="T30" s="965" t="s">
        <v>1382</v>
      </c>
      <c r="U30" s="844" t="s">
        <v>1382</v>
      </c>
      <c r="V30" s="844" t="s">
        <v>1382</v>
      </c>
      <c r="W30" s="844" t="s">
        <v>1382</v>
      </c>
      <c r="X30" s="841"/>
      <c r="Y30" s="1001"/>
      <c r="Z30" s="844"/>
      <c r="AA30" s="847" t="s">
        <v>1383</v>
      </c>
      <c r="AB30" s="847" t="s">
        <v>1383</v>
      </c>
      <c r="AC30" s="847" t="s">
        <v>1383</v>
      </c>
      <c r="AD30" s="844"/>
    </row>
    <row customHeight="1" ht="18">
      <c r="A31" s="843"/>
      <c r="B31" s="899">
        <v>14</v>
      </c>
      <c r="C31" s="841" t="s">
        <v>1384</v>
      </c>
      <c r="D31" s="968"/>
      <c r="E31" s="841"/>
      <c r="F31" s="841"/>
      <c r="G31" s="891"/>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2" t="str">
        <f>IF(I31=0,"",I31)</f>
        <v>2.4.1</v>
      </c>
      <c r="M31" s="842" t="str">
        <f>IF(J31=0,"",J31)</f>
        <v>Расходы на оплату труда основного производственного персонала</v>
      </c>
      <c r="N31" s="842" t="str">
        <f>IF(K31=0,"",K31)</f>
        <v/>
      </c>
      <c r="O31" s="958" t="s">
        <v>1385</v>
      </c>
      <c r="P31" s="958" t="s">
        <v>1386</v>
      </c>
      <c r="Q31" s="958" t="s">
        <v>1385</v>
      </c>
      <c r="R31" s="958" t="s">
        <v>1386</v>
      </c>
      <c r="S31" s="958"/>
      <c r="T31" s="966" t="s">
        <v>1387</v>
      </c>
      <c r="U31" s="844" t="s">
        <v>1387</v>
      </c>
      <c r="V31" s="844" t="s">
        <v>1387</v>
      </c>
      <c r="W31" s="844" t="s">
        <v>1387</v>
      </c>
      <c r="X31" s="841"/>
      <c r="Y31" s="1001"/>
      <c r="Z31" s="844"/>
      <c r="AA31" s="847"/>
      <c r="AB31" s="847"/>
      <c r="AC31" s="847"/>
      <c r="AD31" s="844"/>
    </row>
    <row customHeight="1" ht="36">
      <c r="A32" s="843"/>
      <c r="B32" s="899">
        <v>15</v>
      </c>
      <c r="C32" s="841" t="s">
        <v>1388</v>
      </c>
      <c r="D32" s="968"/>
      <c r="E32" s="841"/>
      <c r="F32" s="841"/>
      <c r="G32" s="891"/>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2" t="str">
        <f>IF(I32=0,"",I32)</f>
        <v>2.4.2</v>
      </c>
      <c r="M32" s="842" t="str">
        <f>IF(J32=0,"",J32)</f>
        <v>Страховые взносы на обязательное социальное страхование, выплачиваемые из фонда оплаты труда основного производственного персонала</v>
      </c>
      <c r="N32" s="842" t="str">
        <f>IF(K32=0,"",K32)</f>
        <v/>
      </c>
      <c r="O32" s="958" t="s">
        <v>1389</v>
      </c>
      <c r="P32" s="958" t="s">
        <v>1390</v>
      </c>
      <c r="Q32" s="958" t="s">
        <v>1389</v>
      </c>
      <c r="R32" s="958" t="s">
        <v>1390</v>
      </c>
      <c r="S32" s="958"/>
      <c r="T32" s="967" t="s">
        <v>1391</v>
      </c>
      <c r="U32" s="844" t="s">
        <v>1391</v>
      </c>
      <c r="V32" s="844" t="s">
        <v>1391</v>
      </c>
      <c r="W32" s="844" t="s">
        <v>1391</v>
      </c>
      <c r="X32" s="841"/>
      <c r="Y32" s="1001"/>
      <c r="Z32" s="844"/>
      <c r="AA32" s="847"/>
      <c r="AB32" s="847"/>
      <c r="AC32" s="847"/>
      <c r="AD32" s="844"/>
    </row>
    <row customHeight="1" ht="45">
      <c r="A33" s="843"/>
      <c r="B33" s="899">
        <v>16</v>
      </c>
      <c r="C33" s="841">
        <v>10</v>
      </c>
      <c r="D33" s="968"/>
      <c r="E33" s="841"/>
      <c r="F33" s="841"/>
      <c r="G33" s="891"/>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2" t="str">
        <f>IF(I33=0,"",I33)</f>
        <v>2.5</v>
      </c>
      <c r="M33" s="84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2" t="str">
        <f>IF(K33=0,"",K33)</f>
        <v>Указывается общая сумма расходов на оплату труда и отчислений на социальные нужды административно-управленческого персонала.</v>
      </c>
      <c r="O33" s="958" t="s">
        <v>1392</v>
      </c>
      <c r="P33" s="958" t="s">
        <v>1367</v>
      </c>
      <c r="Q33" s="958" t="s">
        <v>1392</v>
      </c>
      <c r="R33" s="958" t="s">
        <v>1367</v>
      </c>
      <c r="S33" s="958"/>
      <c r="T33" s="966" t="s">
        <v>1393</v>
      </c>
      <c r="U33" s="844" t="s">
        <v>1393</v>
      </c>
      <c r="V33" s="844" t="s">
        <v>1393</v>
      </c>
      <c r="W33" s="844" t="s">
        <v>1394</v>
      </c>
      <c r="X33" s="841"/>
      <c r="Y33" s="1001"/>
      <c r="Z33" s="844"/>
      <c r="AA33" s="847" t="s">
        <v>1395</v>
      </c>
      <c r="AB33" s="847" t="s">
        <v>1395</v>
      </c>
      <c r="AC33" s="847" t="s">
        <v>1395</v>
      </c>
      <c r="AD33" s="844"/>
    </row>
    <row customHeight="1" ht="27">
      <c r="A34" s="843"/>
      <c r="B34" s="899">
        <v>17</v>
      </c>
      <c r="C34" s="841" t="s">
        <v>1396</v>
      </c>
      <c r="D34" s="968"/>
      <c r="E34" s="841"/>
      <c r="F34" s="841"/>
      <c r="G34" s="891"/>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2" t="str">
        <f>IF(I34=0,"",I34)</f>
        <v>2.5.1</v>
      </c>
      <c r="M34" s="842" t="str">
        <f>IF(J34=0,"",J34)</f>
        <v>Расходы на оплату труда административно-управленческого персонала</v>
      </c>
      <c r="N34" s="842" t="str">
        <f>IF(K34=0,"",K34)</f>
        <v/>
      </c>
      <c r="O34" s="958" t="s">
        <v>1397</v>
      </c>
      <c r="P34" s="958" t="s">
        <v>1372</v>
      </c>
      <c r="Q34" s="958" t="s">
        <v>1397</v>
      </c>
      <c r="R34" s="958" t="s">
        <v>1372</v>
      </c>
      <c r="S34" s="958"/>
      <c r="T34" s="967" t="s">
        <v>1398</v>
      </c>
      <c r="U34" s="844" t="s">
        <v>1398</v>
      </c>
      <c r="V34" s="844" t="s">
        <v>1398</v>
      </c>
      <c r="W34" s="844" t="s">
        <v>1399</v>
      </c>
      <c r="X34" s="841"/>
      <c r="Y34" s="1001"/>
      <c r="Z34" s="844"/>
      <c r="AA34" s="847"/>
      <c r="AB34" s="844"/>
      <c r="AC34" s="844"/>
      <c r="AD34" s="844"/>
    </row>
    <row customHeight="1" ht="45">
      <c r="A35" s="843"/>
      <c r="B35" s="899">
        <v>18</v>
      </c>
      <c r="C35" s="841" t="s">
        <v>1400</v>
      </c>
      <c r="D35" s="968"/>
      <c r="E35" s="841"/>
      <c r="F35" s="841"/>
      <c r="G35" s="891"/>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2" t="str">
        <f>IF(I35=0,"",I35)</f>
        <v>2.5.2</v>
      </c>
      <c r="M35" s="84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2" t="str">
        <f>IF(K35=0,"",K35)</f>
        <v/>
      </c>
      <c r="O35" s="958" t="s">
        <v>1401</v>
      </c>
      <c r="P35" s="958" t="s">
        <v>1377</v>
      </c>
      <c r="Q35" s="958" t="s">
        <v>1401</v>
      </c>
      <c r="R35" s="958" t="s">
        <v>1377</v>
      </c>
      <c r="S35" s="958"/>
      <c r="T35" s="965" t="s">
        <v>1402</v>
      </c>
      <c r="U35" s="844" t="s">
        <v>1402</v>
      </c>
      <c r="V35" s="844" t="s">
        <v>1402</v>
      </c>
      <c r="W35" s="844" t="s">
        <v>1402</v>
      </c>
      <c r="X35" s="841"/>
      <c r="Y35" s="1001"/>
      <c r="Z35" s="844"/>
      <c r="AA35" s="847"/>
      <c r="AB35" s="844"/>
      <c r="AC35" s="844"/>
      <c r="AD35" s="844"/>
    </row>
    <row customHeight="1" ht="18">
      <c r="A36" s="843"/>
      <c r="B36" s="899">
        <v>19</v>
      </c>
      <c r="C36" s="841">
        <v>11</v>
      </c>
      <c r="D36" s="968"/>
      <c r="E36" s="841"/>
      <c r="F36" s="841"/>
      <c r="G36" s="891"/>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2" t="str">
        <f>IF(I36=0,"",I36)</f>
        <v>2.6</v>
      </c>
      <c r="M36" s="842" t="str">
        <f>IF(J36=0,"",J36)</f>
        <v>Расходы на амортизацию основных средств и нематериальных активов</v>
      </c>
      <c r="N36" s="842" t="str">
        <f>IF(K36=0,"",K36)</f>
        <v/>
      </c>
      <c r="O36" s="958" t="s">
        <v>1403</v>
      </c>
      <c r="P36" s="958" t="s">
        <v>1381</v>
      </c>
      <c r="Q36" s="958" t="s">
        <v>1403</v>
      </c>
      <c r="R36" s="958" t="s">
        <v>1381</v>
      </c>
      <c r="S36" s="958"/>
      <c r="T36" s="965" t="s">
        <v>1404</v>
      </c>
      <c r="U36" s="844" t="s">
        <v>1404</v>
      </c>
      <c r="V36" s="844" t="s">
        <v>1404</v>
      </c>
      <c r="W36" s="844" t="s">
        <v>1404</v>
      </c>
      <c r="X36" s="841"/>
      <c r="Y36" s="1001"/>
      <c r="Z36" s="844"/>
      <c r="AA36" s="847"/>
      <c r="AB36" s="844"/>
      <c r="AC36" s="844"/>
      <c r="AD36" s="844"/>
    </row>
    <row customHeight="1" ht="18">
      <c r="A37" s="843"/>
      <c r="B37" s="899">
        <v>20</v>
      </c>
      <c r="C37" s="841" t="s">
        <v>1405</v>
      </c>
      <c r="D37" s="968"/>
      <c r="E37" s="841"/>
      <c r="F37" s="841"/>
      <c r="G37" s="891"/>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2" t="str">
        <f>IF(I37=0,"",I37)</f>
        <v>2.6.1</v>
      </c>
      <c r="M37" s="842" t="str">
        <f>IF(J37=0,"",J37)</f>
        <v>Расходы на амортизацию основных средств</v>
      </c>
      <c r="N37" s="842" t="str">
        <f>IF(K37=0,"",K37)</f>
        <v/>
      </c>
      <c r="O37" s="958" t="s">
        <v>1406</v>
      </c>
      <c r="P37" s="958" t="s">
        <v>1385</v>
      </c>
      <c r="Q37" s="958" t="s">
        <v>1406</v>
      </c>
      <c r="R37" s="958" t="s">
        <v>1385</v>
      </c>
      <c r="S37" s="958"/>
      <c r="T37" s="965" t="s">
        <v>1407</v>
      </c>
      <c r="U37" s="844" t="s">
        <v>1407</v>
      </c>
      <c r="V37" s="844" t="s">
        <v>1407</v>
      </c>
      <c r="W37" s="844" t="s">
        <v>1407</v>
      </c>
      <c r="X37" s="841"/>
      <c r="Y37" s="1001"/>
      <c r="Z37" s="844"/>
      <c r="AA37" s="847"/>
      <c r="AB37" s="844"/>
      <c r="AC37" s="844"/>
      <c r="AD37" s="844"/>
    </row>
    <row customHeight="1" ht="18">
      <c r="A38" s="843"/>
      <c r="B38" s="899">
        <v>21</v>
      </c>
      <c r="C38" s="841" t="s">
        <v>1408</v>
      </c>
      <c r="D38" s="968"/>
      <c r="E38" s="841"/>
      <c r="F38" s="841"/>
      <c r="G38" s="891"/>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2" t="str">
        <f>IF(I38=0,"",I38)</f>
        <v>2.6.2</v>
      </c>
      <c r="M38" s="842" t="str">
        <f>IF(J38=0,"",J38)</f>
        <v>Расходы на амортизацию нематериальных активов</v>
      </c>
      <c r="N38" s="842" t="str">
        <f>IF(K38=0,"",K38)</f>
        <v/>
      </c>
      <c r="O38" s="958" t="s">
        <v>1409</v>
      </c>
      <c r="P38" s="958" t="s">
        <v>1389</v>
      </c>
      <c r="Q38" s="958" t="s">
        <v>1409</v>
      </c>
      <c r="R38" s="958" t="s">
        <v>1389</v>
      </c>
      <c r="S38" s="958"/>
      <c r="T38" s="965" t="s">
        <v>1410</v>
      </c>
      <c r="U38" s="844" t="s">
        <v>1410</v>
      </c>
      <c r="V38" s="844" t="s">
        <v>1410</v>
      </c>
      <c r="W38" s="844" t="s">
        <v>1410</v>
      </c>
      <c r="X38" s="841"/>
      <c r="Y38" s="1001"/>
      <c r="Z38" s="844"/>
      <c r="AA38" s="847"/>
      <c r="AB38" s="844"/>
      <c r="AC38" s="844"/>
      <c r="AD38" s="844"/>
    </row>
    <row customHeight="1" ht="36">
      <c r="A39" s="843"/>
      <c r="B39" s="899">
        <v>22</v>
      </c>
      <c r="C39" s="841">
        <v>12</v>
      </c>
      <c r="D39" s="968"/>
      <c r="E39" s="841"/>
      <c r="F39" s="841"/>
      <c r="G39" s="891"/>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2" t="str">
        <f>IF(I39=0,"",I39)</f>
        <v>2.7</v>
      </c>
      <c r="M39" s="842" t="str">
        <f>IF(J39=0,"",J39)</f>
        <v>Расходы на аренду имущества, используемого для осуществления регулируемых видов деятельности в сфере холодного водоснабжения</v>
      </c>
      <c r="N39" s="842" t="str">
        <f>IF(K39=0,"",K39)</f>
        <v/>
      </c>
      <c r="O39" s="958" t="s">
        <v>1411</v>
      </c>
      <c r="P39" s="958" t="s">
        <v>1392</v>
      </c>
      <c r="Q39" s="958" t="s">
        <v>1411</v>
      </c>
      <c r="R39" s="958" t="s">
        <v>1392</v>
      </c>
      <c r="S39" s="958"/>
      <c r="T39" s="965" t="s">
        <v>1412</v>
      </c>
      <c r="U39" s="844" t="s">
        <v>1413</v>
      </c>
      <c r="V39" s="844" t="s">
        <v>1414</v>
      </c>
      <c r="W39" s="844" t="s">
        <v>1415</v>
      </c>
      <c r="X39" s="841"/>
      <c r="Y39" s="1001"/>
      <c r="Z39" s="844"/>
      <c r="AA39" s="847"/>
      <c r="AB39" s="844"/>
      <c r="AC39" s="844"/>
      <c r="AD39" s="844"/>
    </row>
    <row customHeight="1" ht="18">
      <c r="A40" s="843"/>
      <c r="B40" s="899">
        <v>23</v>
      </c>
      <c r="C40" s="841">
        <v>13</v>
      </c>
      <c r="D40" s="968"/>
      <c r="E40" s="841"/>
      <c r="F40" s="841"/>
      <c r="G40" s="841"/>
      <c r="H40" s="894"/>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2" t="str">
        <f>IF(I40=0,"",I40)</f>
        <v>2.8</v>
      </c>
      <c r="M40" s="842" t="str">
        <f>IF(J40=0,"",J40)</f>
        <v>Общепроизводственные расходы, в том числе:</v>
      </c>
      <c r="N40" s="842" t="str">
        <f>IF(K40=0,"",K40)</f>
        <v>Указывается общая сумма общепроизводственных расходов.</v>
      </c>
      <c r="O40" s="958" t="s">
        <v>1416</v>
      </c>
      <c r="P40" s="958" t="s">
        <v>1403</v>
      </c>
      <c r="Q40" s="958" t="s">
        <v>1416</v>
      </c>
      <c r="R40" s="958" t="s">
        <v>1403</v>
      </c>
      <c r="S40" s="958"/>
      <c r="T40" s="841" t="s">
        <v>1417</v>
      </c>
      <c r="U40" s="841" t="s">
        <v>1417</v>
      </c>
      <c r="V40" s="841" t="s">
        <v>1417</v>
      </c>
      <c r="W40" s="841" t="s">
        <v>1417</v>
      </c>
      <c r="X40" s="841"/>
      <c r="Y40" s="1001"/>
      <c r="Z40" s="844" t="s">
        <v>1418</v>
      </c>
      <c r="AA40" s="847" t="s">
        <v>1418</v>
      </c>
      <c r="AB40" s="847" t="s">
        <v>1418</v>
      </c>
      <c r="AC40" s="847" t="s">
        <v>1418</v>
      </c>
      <c r="AD40" s="844"/>
    </row>
    <row customHeight="1" ht="27">
      <c r="A41" s="843"/>
      <c r="B41" s="899">
        <v>24</v>
      </c>
      <c r="C41" s="841" t="s">
        <v>1419</v>
      </c>
      <c r="D41" s="968"/>
      <c r="E41" s="841"/>
      <c r="F41" s="841"/>
      <c r="G41" s="841"/>
      <c r="H41" s="891"/>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2" t="str">
        <f>IF(I41=0,"",I41)</f>
        <v>2.8.1</v>
      </c>
      <c r="M41" s="842" t="str">
        <f>IF(J41=0,"",J41)</f>
        <v>Расходы на текущий ремонт</v>
      </c>
      <c r="N41" s="842" t="str">
        <f>IF(K41=0,"",K41)</f>
        <v>Указываются расходы на текущий ремонт, отнесенные к общепроизводственным расходам.</v>
      </c>
      <c r="O41" s="958" t="s">
        <v>1420</v>
      </c>
      <c r="P41" s="958" t="s">
        <v>1406</v>
      </c>
      <c r="Q41" s="958" t="s">
        <v>1420</v>
      </c>
      <c r="R41" s="958" t="s">
        <v>1406</v>
      </c>
      <c r="S41" s="958"/>
      <c r="T41" s="841" t="s">
        <v>1421</v>
      </c>
      <c r="U41" s="841" t="s">
        <v>1421</v>
      </c>
      <c r="V41" s="841" t="s">
        <v>1421</v>
      </c>
      <c r="W41" s="841" t="s">
        <v>1421</v>
      </c>
      <c r="X41" s="841"/>
      <c r="Y41" s="1001"/>
      <c r="Z41" s="844" t="s">
        <v>1422</v>
      </c>
      <c r="AA41" s="844" t="s">
        <v>1422</v>
      </c>
      <c r="AB41" s="844" t="s">
        <v>1422</v>
      </c>
      <c r="AC41" s="844" t="s">
        <v>1422</v>
      </c>
      <c r="AD41" s="844"/>
    </row>
    <row customHeight="1" ht="27">
      <c r="A42" s="843"/>
      <c r="B42" s="899">
        <v>25</v>
      </c>
      <c r="C42" s="841" t="s">
        <v>1423</v>
      </c>
      <c r="D42" s="968"/>
      <c r="E42" s="841"/>
      <c r="F42" s="841"/>
      <c r="G42" s="841"/>
      <c r="H42" s="891"/>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2" t="str">
        <f>IF(I42=0,"",I42)</f>
        <v>2.8.2</v>
      </c>
      <c r="M42" s="842" t="str">
        <f>IF(J42=0,"",J42)</f>
        <v>Расходы на капитальный ремонт</v>
      </c>
      <c r="N42" s="842" t="str">
        <f>IF(K42=0,"",K42)</f>
        <v>Указываются расходы на капитальный ремонт, отнесенные к общепроизводственным расходам.</v>
      </c>
      <c r="O42" s="958" t="s">
        <v>1424</v>
      </c>
      <c r="P42" s="958" t="s">
        <v>1409</v>
      </c>
      <c r="Q42" s="958" t="s">
        <v>1424</v>
      </c>
      <c r="R42" s="958" t="s">
        <v>1409</v>
      </c>
      <c r="S42" s="958"/>
      <c r="T42" s="841" t="s">
        <v>1425</v>
      </c>
      <c r="U42" s="841" t="s">
        <v>1425</v>
      </c>
      <c r="V42" s="841" t="s">
        <v>1425</v>
      </c>
      <c r="W42" s="841" t="s">
        <v>1425</v>
      </c>
      <c r="X42" s="841"/>
      <c r="Y42" s="1001"/>
      <c r="Z42" s="844" t="s">
        <v>1426</v>
      </c>
      <c r="AA42" s="844" t="s">
        <v>1426</v>
      </c>
      <c r="AB42" s="844" t="s">
        <v>1426</v>
      </c>
      <c r="AC42" s="844" t="s">
        <v>1426</v>
      </c>
      <c r="AD42" s="844"/>
    </row>
    <row customHeight="1" ht="18">
      <c r="A43" s="843"/>
      <c r="B43" s="899">
        <v>26</v>
      </c>
      <c r="C43" s="841">
        <v>14</v>
      </c>
      <c r="D43" s="968"/>
      <c r="E43" s="841"/>
      <c r="F43" s="841"/>
      <c r="G43" s="841"/>
      <c r="H43" s="891"/>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2" t="str">
        <f>IF(I43=0,"",I43)</f>
        <v>2.9</v>
      </c>
      <c r="M43" s="842" t="str">
        <f>IF(J43=0,"",J43)</f>
        <v>Общехозяйственные расходы, в том числе:</v>
      </c>
      <c r="N43" s="842" t="str">
        <f>IF(K43=0,"",K43)</f>
        <v>Указывается общая сумма общехозяйственных расходов.</v>
      </c>
      <c r="O43" s="958" t="s">
        <v>1427</v>
      </c>
      <c r="P43" s="958" t="s">
        <v>1411</v>
      </c>
      <c r="Q43" s="958" t="s">
        <v>1427</v>
      </c>
      <c r="R43" s="958" t="s">
        <v>1411</v>
      </c>
      <c r="S43" s="958"/>
      <c r="T43" s="841" t="s">
        <v>1428</v>
      </c>
      <c r="U43" s="841" t="s">
        <v>1428</v>
      </c>
      <c r="V43" s="841" t="s">
        <v>1428</v>
      </c>
      <c r="W43" s="841" t="s">
        <v>1428</v>
      </c>
      <c r="X43" s="841"/>
      <c r="Y43" s="1001"/>
      <c r="Z43" s="844" t="s">
        <v>1429</v>
      </c>
      <c r="AA43" s="844" t="s">
        <v>1429</v>
      </c>
      <c r="AB43" s="844" t="s">
        <v>1429</v>
      </c>
      <c r="AC43" s="844" t="s">
        <v>1429</v>
      </c>
      <c r="AD43" s="844"/>
    </row>
    <row customHeight="1" ht="27">
      <c r="A44" s="843"/>
      <c r="B44" s="899">
        <v>27</v>
      </c>
      <c r="C44" s="841" t="s">
        <v>1430</v>
      </c>
      <c r="D44" s="968"/>
      <c r="E44" s="841"/>
      <c r="F44" s="841"/>
      <c r="G44" s="841"/>
      <c r="H44" s="891"/>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2" t="str">
        <f>IF(I44=0,"",I44)</f>
        <v>2.9.1</v>
      </c>
      <c r="M44" s="842" t="str">
        <f>IF(J44=0,"",J44)</f>
        <v>Расходы на текущий ремонт</v>
      </c>
      <c r="N44" s="842" t="str">
        <f>IF(K44=0,"",K44)</f>
        <v>Указываются расходы на текущий ремонт, отнесенные к общехозяйственным расходам.</v>
      </c>
      <c r="O44" s="958" t="s">
        <v>1431</v>
      </c>
      <c r="P44" s="958" t="s">
        <v>1432</v>
      </c>
      <c r="Q44" s="958" t="s">
        <v>1431</v>
      </c>
      <c r="R44" s="958" t="s">
        <v>1432</v>
      </c>
      <c r="S44" s="958"/>
      <c r="T44" s="841" t="s">
        <v>1421</v>
      </c>
      <c r="U44" s="841" t="s">
        <v>1421</v>
      </c>
      <c r="V44" s="841" t="s">
        <v>1421</v>
      </c>
      <c r="W44" s="841" t="s">
        <v>1421</v>
      </c>
      <c r="X44" s="841"/>
      <c r="Y44" s="1001"/>
      <c r="Z44" s="844" t="s">
        <v>1433</v>
      </c>
      <c r="AA44" s="844" t="s">
        <v>1433</v>
      </c>
      <c r="AB44" s="844" t="s">
        <v>1433</v>
      </c>
      <c r="AC44" s="844" t="s">
        <v>1433</v>
      </c>
      <c r="AD44" s="844"/>
    </row>
    <row customHeight="1" ht="27">
      <c r="A45" s="843"/>
      <c r="B45" s="899">
        <v>28</v>
      </c>
      <c r="C45" s="841" t="s">
        <v>1434</v>
      </c>
      <c r="D45" s="968"/>
      <c r="E45" s="841"/>
      <c r="F45" s="841"/>
      <c r="G45" s="841"/>
      <c r="H45" s="891"/>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2" t="str">
        <f>IF(I45=0,"",I45)</f>
        <v>2.9.2</v>
      </c>
      <c r="M45" s="842" t="str">
        <f>IF(J45=0,"",J45)</f>
        <v>Расходы на капитальный ремонт</v>
      </c>
      <c r="N45" s="842" t="str">
        <f>IF(K45=0,"",K45)</f>
        <v>Указываются расходы на капитальный ремонт, отнесенные к общехозяйственным расходам.</v>
      </c>
      <c r="O45" s="958" t="s">
        <v>1435</v>
      </c>
      <c r="P45" s="958" t="s">
        <v>1436</v>
      </c>
      <c r="Q45" s="958" t="s">
        <v>1435</v>
      </c>
      <c r="R45" s="958" t="s">
        <v>1436</v>
      </c>
      <c r="S45" s="958"/>
      <c r="T45" s="841" t="s">
        <v>1425</v>
      </c>
      <c r="U45" s="841" t="s">
        <v>1425</v>
      </c>
      <c r="V45" s="841" t="s">
        <v>1425</v>
      </c>
      <c r="W45" s="841" t="s">
        <v>1425</v>
      </c>
      <c r="X45" s="841"/>
      <c r="Y45" s="1001"/>
      <c r="Z45" s="844" t="s">
        <v>1437</v>
      </c>
      <c r="AA45" s="844" t="s">
        <v>1437</v>
      </c>
      <c r="AB45" s="844" t="s">
        <v>1437</v>
      </c>
      <c r="AC45" s="844" t="s">
        <v>1437</v>
      </c>
      <c r="AD45" s="844"/>
    </row>
    <row customHeight="1" ht="54">
      <c r="A46" s="843"/>
      <c r="B46" s="899">
        <v>29</v>
      </c>
      <c r="C46" s="841">
        <v>15</v>
      </c>
      <c r="D46" s="968"/>
      <c r="E46" s="841"/>
      <c r="F46" s="841"/>
      <c r="G46" s="841"/>
      <c r="H46" s="891"/>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2" t="str">
        <f>IF(I46=0,"",I46)</f>
        <v>2.10</v>
      </c>
      <c r="M46" s="842" t="str">
        <f>IF(J46=0,"",J46)</f>
        <v>Расходы на капитальный и текущий ремонт основных средств</v>
      </c>
      <c r="N46" s="84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1438</v>
      </c>
      <c r="P46" s="958" t="s">
        <v>1416</v>
      </c>
      <c r="Q46" s="958" t="s">
        <v>1438</v>
      </c>
      <c r="R46" s="958" t="s">
        <v>1416</v>
      </c>
      <c r="S46" s="958"/>
      <c r="T46" s="841" t="s">
        <v>1439</v>
      </c>
      <c r="U46" s="841" t="s">
        <v>1439</v>
      </c>
      <c r="V46" s="841" t="s">
        <v>1439</v>
      </c>
      <c r="W46" s="841" t="s">
        <v>1439</v>
      </c>
      <c r="X46" s="841"/>
      <c r="Y46" s="1001"/>
      <c r="Z46" s="844" t="s">
        <v>1440</v>
      </c>
      <c r="AA46" s="844" t="s">
        <v>1441</v>
      </c>
      <c r="AB46" s="844" t="s">
        <v>1441</v>
      </c>
      <c r="AC46" s="844" t="s">
        <v>1441</v>
      </c>
      <c r="AD46" s="844"/>
    </row>
    <row customHeight="1" ht="54">
      <c r="A47" s="843"/>
      <c r="B47" s="899">
        <v>30</v>
      </c>
      <c r="C47" s="841" t="s">
        <v>1442</v>
      </c>
      <c r="D47" s="968"/>
      <c r="E47" s="841"/>
      <c r="F47" s="841"/>
      <c r="G47" s="841"/>
      <c r="H47" s="891"/>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2" t="str">
        <f>IF(I47=0,"",I47)</f>
        <v>2.10.1</v>
      </c>
      <c r="M47" s="84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2" t="str">
        <f>IF(K47=0,"",K47)</f>
        <v/>
      </c>
      <c r="O47" s="958" t="s">
        <v>1443</v>
      </c>
      <c r="P47" s="958" t="s">
        <v>1420</v>
      </c>
      <c r="Q47" s="958" t="s">
        <v>1443</v>
      </c>
      <c r="R47" s="958" t="s">
        <v>1420</v>
      </c>
      <c r="S47" s="958"/>
      <c r="T47" s="841" t="s">
        <v>1444</v>
      </c>
      <c r="U47" s="841" t="s">
        <v>1444</v>
      </c>
      <c r="V47" s="841" t="s">
        <v>1444</v>
      </c>
      <c r="W47" s="841" t="s">
        <v>1444</v>
      </c>
      <c r="X47" s="841"/>
      <c r="Y47" s="1001"/>
      <c r="Z47" s="844"/>
      <c r="AA47" s="847"/>
      <c r="AB47" s="847"/>
      <c r="AC47" s="847"/>
      <c r="AD47" s="844"/>
    </row>
    <row customHeight="1" ht="54">
      <c r="A48" s="843"/>
      <c r="B48" s="899">
        <v>31</v>
      </c>
      <c r="C48" s="841">
        <v>16</v>
      </c>
      <c r="D48" s="968"/>
      <c r="E48" s="841"/>
      <c r="F48" s="841"/>
      <c r="G48" s="841"/>
      <c r="H48" s="891"/>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2" t="str">
        <f>IF(I48=0,"",I48)</f>
        <v>2.11</v>
      </c>
      <c r="M48" s="84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1427</v>
      </c>
      <c r="Q48" s="958" t="s">
        <v>1445</v>
      </c>
      <c r="R48" s="958" t="s">
        <v>1427</v>
      </c>
      <c r="S48" s="958"/>
      <c r="T48" s="841"/>
      <c r="U48" s="841" t="s">
        <v>1446</v>
      </c>
      <c r="V48" s="841" t="s">
        <v>1447</v>
      </c>
      <c r="W48" s="841" t="s">
        <v>1447</v>
      </c>
      <c r="X48" s="841"/>
      <c r="Y48" s="1001"/>
      <c r="Z48" s="844"/>
      <c r="AA48" s="847" t="s">
        <v>1441</v>
      </c>
      <c r="AB48" s="847" t="s">
        <v>1441</v>
      </c>
      <c r="AC48" s="847" t="s">
        <v>1441</v>
      </c>
      <c r="AD48" s="844"/>
    </row>
    <row customHeight="1" ht="54">
      <c r="A49" s="843"/>
      <c r="B49" s="899">
        <v>32</v>
      </c>
      <c r="C49" s="841" t="s">
        <v>1448</v>
      </c>
      <c r="D49" s="968"/>
      <c r="E49" s="841"/>
      <c r="F49" s="841"/>
      <c r="G49" s="841"/>
      <c r="H49" s="891"/>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2" t="str">
        <f>IF(I49=0,"",I49)</f>
        <v>2.11.1</v>
      </c>
      <c r="M49" s="84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2" t="str">
        <f>IF(K49=0,"",K49)</f>
        <v/>
      </c>
      <c r="O49" s="958"/>
      <c r="P49" s="958" t="s">
        <v>1431</v>
      </c>
      <c r="Q49" s="958" t="s">
        <v>1449</v>
      </c>
      <c r="R49" s="958" t="s">
        <v>1431</v>
      </c>
      <c r="S49" s="958"/>
      <c r="T49" s="841"/>
      <c r="U49" s="841" t="s">
        <v>1444</v>
      </c>
      <c r="V49" s="841" t="s">
        <v>1444</v>
      </c>
      <c r="W49" s="841" t="s">
        <v>1444</v>
      </c>
      <c r="X49" s="841"/>
      <c r="Y49" s="1001"/>
      <c r="Z49" s="844"/>
      <c r="AA49" s="847"/>
      <c r="AB49" s="847"/>
      <c r="AC49" s="847"/>
      <c r="AD49" s="844"/>
    </row>
    <row customHeight="1" ht="126">
      <c r="A50" s="843"/>
      <c r="B50" s="899">
        <v>33</v>
      </c>
      <c r="C50" s="841">
        <v>17</v>
      </c>
      <c r="D50" s="968"/>
      <c r="E50" s="841"/>
      <c r="F50" s="841"/>
      <c r="G50" s="841"/>
      <c r="H50" s="891"/>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2" t="str">
        <f>IF(I50=0,"",I50)</f>
        <v>2.12</v>
      </c>
      <c r="M50" s="842"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1445</v>
      </c>
      <c r="P50" s="958" t="s">
        <v>1438</v>
      </c>
      <c r="Q50" s="958" t="s">
        <v>1450</v>
      </c>
      <c r="R50" s="958" t="s">
        <v>1438</v>
      </c>
      <c r="S50" s="958"/>
      <c r="T50" s="841" t="s">
        <v>1451</v>
      </c>
      <c r="U50" s="841" t="s">
        <v>1452</v>
      </c>
      <c r="V50" s="841" t="s">
        <v>1453</v>
      </c>
      <c r="W50" s="841" t="s">
        <v>1454</v>
      </c>
      <c r="X50" s="841"/>
      <c r="Y50" s="1001"/>
      <c r="Z50" s="844" t="s">
        <v>1455</v>
      </c>
      <c r="AA50" s="847" t="s">
        <v>1456</v>
      </c>
      <c r="AB50" s="847" t="s">
        <v>1456</v>
      </c>
      <c r="AC50" s="847" t="s">
        <v>1456</v>
      </c>
      <c r="AD50" s="844"/>
    </row>
    <row customHeight="1" ht="27">
      <c r="A51" s="843"/>
      <c r="B51" s="899">
        <v>34</v>
      </c>
      <c r="C51" s="841" t="s">
        <v>1457</v>
      </c>
      <c r="D51" s="968"/>
      <c r="E51" s="841"/>
      <c r="F51" s="841"/>
      <c r="G51" s="841"/>
      <c r="H51" s="891"/>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2" t="str">
        <f>IF(I51=0,"",I51)</f>
        <v/>
      </c>
      <c r="M51" s="842" t="str">
        <f>IF(J51=0,"",J51)</f>
        <v/>
      </c>
      <c r="N51" s="842" t="str">
        <f>IF(K51=0,"",K51)</f>
        <v/>
      </c>
      <c r="O51" s="958" t="s">
        <v>89</v>
      </c>
      <c r="P51" s="958"/>
      <c r="Q51" s="958"/>
      <c r="R51" s="958"/>
      <c r="S51" s="958"/>
      <c r="T51" s="841" t="s">
        <v>1458</v>
      </c>
      <c r="U51" s="841"/>
      <c r="V51" s="841"/>
      <c r="W51" s="841"/>
      <c r="X51" s="841"/>
      <c r="Y51" s="1001"/>
      <c r="Z51" s="844"/>
      <c r="AA51" s="847"/>
      <c r="AB51" s="847"/>
      <c r="AC51" s="847"/>
      <c r="AD51" s="844"/>
    </row>
    <row customHeight="1" ht="36">
      <c r="A52" s="843"/>
      <c r="B52" s="899">
        <v>35</v>
      </c>
      <c r="C52" s="841" t="s">
        <v>1337</v>
      </c>
      <c r="D52" s="968" t="s">
        <v>1337</v>
      </c>
      <c r="E52" s="841" t="s">
        <v>1337</v>
      </c>
      <c r="F52" s="841" t="s">
        <v>1337</v>
      </c>
      <c r="G52" s="841"/>
      <c r="H52" s="891"/>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2" t="str">
        <f>IF(I52=0,"",I52)</f>
        <v>3</v>
      </c>
      <c r="M52" s="842" t="str">
        <f>IF(J52=0,"",J52)</f>
        <v>Чистая прибыль, полученная от регулируемого вида деятельности в сфере холодного водоснабжения, в том числе:</v>
      </c>
      <c r="N52" s="842"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1" t="s">
        <v>1459</v>
      </c>
      <c r="U52" s="841" t="s">
        <v>1460</v>
      </c>
      <c r="V52" s="841" t="s">
        <v>1461</v>
      </c>
      <c r="W52" s="841" t="s">
        <v>1462</v>
      </c>
      <c r="X52" s="841"/>
      <c r="Y52" s="1001"/>
      <c r="Z52" s="844" t="s">
        <v>1463</v>
      </c>
      <c r="AA52" s="847" t="s">
        <v>1463</v>
      </c>
      <c r="AB52" s="847" t="s">
        <v>1463</v>
      </c>
      <c r="AC52" s="847" t="s">
        <v>1463</v>
      </c>
      <c r="AD52" s="844"/>
    </row>
    <row customHeight="1" ht="36">
      <c r="A53" s="843"/>
      <c r="B53" s="899">
        <v>36</v>
      </c>
      <c r="C53" s="841">
        <v>1</v>
      </c>
      <c r="D53" s="968"/>
      <c r="E53" s="841"/>
      <c r="F53" s="841"/>
      <c r="G53" s="841"/>
      <c r="H53" s="891"/>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2" t="str">
        <f>IF(I53=0,"",I53)</f>
        <v>3.1</v>
      </c>
      <c r="M53" s="84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2" t="str">
        <f>IF(K53=0,"",K53)</f>
        <v/>
      </c>
      <c r="O53" s="958" t="s">
        <v>1464</v>
      </c>
      <c r="P53" s="958" t="s">
        <v>316</v>
      </c>
      <c r="Q53" s="958" t="s">
        <v>316</v>
      </c>
      <c r="R53" s="958" t="s">
        <v>316</v>
      </c>
      <c r="S53" s="958"/>
      <c r="T53" s="841" t="s">
        <v>1465</v>
      </c>
      <c r="U53" s="841" t="s">
        <v>1465</v>
      </c>
      <c r="V53" s="841" t="s">
        <v>1465</v>
      </c>
      <c r="W53" s="841" t="s">
        <v>1465</v>
      </c>
      <c r="X53" s="841"/>
      <c r="Y53" s="1001"/>
      <c r="Z53" s="844"/>
      <c r="AA53" s="847"/>
      <c r="AB53" s="844"/>
      <c r="AC53" s="844"/>
      <c r="AD53" s="844"/>
    </row>
    <row customHeight="1" ht="18">
      <c r="A54" s="843"/>
      <c r="B54" s="899">
        <v>37</v>
      </c>
      <c r="C54" s="841" t="s">
        <v>1343</v>
      </c>
      <c r="D54" s="968" t="s">
        <v>1343</v>
      </c>
      <c r="E54" s="841" t="s">
        <v>1343</v>
      </c>
      <c r="F54" s="841" t="s">
        <v>1343</v>
      </c>
      <c r="G54" s="841"/>
      <c r="H54" s="891"/>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2" t="str">
        <f>IF(I54=0,"",I54)</f>
        <v>4</v>
      </c>
      <c r="M54" s="842" t="str">
        <f>IF(J54=0,"",J54)</f>
        <v>Изменение стоимости основных фондов, в том числе:</v>
      </c>
      <c r="N54" s="842" t="str">
        <f>IF(K54=0,"",K54)</f>
        <v>Указывается общее изменение стоимости основных фондов.</v>
      </c>
      <c r="O54" s="958" t="s">
        <v>110</v>
      </c>
      <c r="P54" s="958" t="s">
        <v>90</v>
      </c>
      <c r="Q54" s="958" t="s">
        <v>90</v>
      </c>
      <c r="R54" s="958" t="s">
        <v>90</v>
      </c>
      <c r="S54" s="958"/>
      <c r="T54" s="841" t="s">
        <v>1466</v>
      </c>
      <c r="U54" s="841" t="s">
        <v>1466</v>
      </c>
      <c r="V54" s="841" t="s">
        <v>1466</v>
      </c>
      <c r="W54" s="841" t="s">
        <v>1466</v>
      </c>
      <c r="X54" s="841"/>
      <c r="Y54" s="1001"/>
      <c r="Z54" s="844" t="s">
        <v>1467</v>
      </c>
      <c r="AA54" s="844" t="s">
        <v>1467</v>
      </c>
      <c r="AB54" s="844" t="s">
        <v>1467</v>
      </c>
      <c r="AC54" s="844" t="s">
        <v>1467</v>
      </c>
      <c r="AD54" s="844"/>
    </row>
    <row customHeight="1" ht="36">
      <c r="A55" s="843"/>
      <c r="B55" s="899">
        <v>38</v>
      </c>
      <c r="C55" s="841">
        <v>1</v>
      </c>
      <c r="D55" s="968"/>
      <c r="E55" s="841"/>
      <c r="F55" s="841"/>
      <c r="G55" s="841"/>
      <c r="H55" s="891"/>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2" t="str">
        <f>IF(I55=0,"",I55)</f>
        <v>4.1</v>
      </c>
      <c r="M55" s="842" t="str">
        <f>IF(J55=0,"",J55)</f>
        <v>Изменение стоимости основных фондов за счет их ввода в эксплуатацию (вывода из эксплуатации)</v>
      </c>
      <c r="N55" s="842" t="str">
        <f>IF(K55=0,"",K55)</f>
        <v>Указываются общее изменение стоимости основных фондов за счет их ввода в эксплуатацию и вывода из эксплуатации.</v>
      </c>
      <c r="O55" s="958" t="s">
        <v>305</v>
      </c>
      <c r="P55" s="958" t="s">
        <v>1464</v>
      </c>
      <c r="Q55" s="958" t="s">
        <v>1464</v>
      </c>
      <c r="R55" s="958" t="s">
        <v>1464</v>
      </c>
      <c r="S55" s="958"/>
      <c r="T55" s="841" t="s">
        <v>1468</v>
      </c>
      <c r="U55" s="841" t="s">
        <v>1469</v>
      </c>
      <c r="V55" s="841" t="s">
        <v>1469</v>
      </c>
      <c r="W55" s="841" t="s">
        <v>1469</v>
      </c>
      <c r="X55" s="841"/>
      <c r="Y55" s="1001"/>
      <c r="Z55" s="844" t="s">
        <v>1470</v>
      </c>
      <c r="AA55" s="844" t="s">
        <v>1470</v>
      </c>
      <c r="AB55" s="844" t="s">
        <v>1470</v>
      </c>
      <c r="AC55" s="844" t="s">
        <v>1470</v>
      </c>
      <c r="AD55" s="844"/>
    </row>
    <row customHeight="1" ht="27">
      <c r="A56" s="843"/>
      <c r="B56" s="899">
        <v>39</v>
      </c>
      <c r="C56" s="841" t="s">
        <v>428</v>
      </c>
      <c r="D56" s="968"/>
      <c r="E56" s="841"/>
      <c r="F56" s="841"/>
      <c r="G56" s="841"/>
      <c r="H56" s="891"/>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2" t="str">
        <f>IF(I56=0,"",I56)</f>
        <v>4.1.1</v>
      </c>
      <c r="M56" s="842" t="str">
        <f>IF(J56=0,"",J56)</f>
        <v>Изменение стоимости основных фондов за счет их ввода в эксплуатацию</v>
      </c>
      <c r="N56" s="842" t="str">
        <f>IF(K56=0,"",K56)</f>
        <v>Указываются изменение стоимости основных фондов за счет их ввода в эксплуатацию.</v>
      </c>
      <c r="O56" s="958" t="s">
        <v>1471</v>
      </c>
      <c r="P56" s="958" t="s">
        <v>1472</v>
      </c>
      <c r="Q56" s="958" t="s">
        <v>1472</v>
      </c>
      <c r="R56" s="958" t="s">
        <v>1472</v>
      </c>
      <c r="S56" s="958"/>
      <c r="T56" s="841" t="s">
        <v>1473</v>
      </c>
      <c r="U56" s="841" t="s">
        <v>1474</v>
      </c>
      <c r="V56" s="841" t="s">
        <v>1474</v>
      </c>
      <c r="W56" s="841" t="s">
        <v>1474</v>
      </c>
      <c r="X56" s="841"/>
      <c r="Y56" s="1001"/>
      <c r="Z56" s="844" t="s">
        <v>1475</v>
      </c>
      <c r="AA56" s="844" t="s">
        <v>1475</v>
      </c>
      <c r="AB56" s="844" t="s">
        <v>1475</v>
      </c>
      <c r="AC56" s="844" t="s">
        <v>1475</v>
      </c>
      <c r="AD56" s="844"/>
    </row>
    <row customHeight="1" ht="27">
      <c r="A57" s="843"/>
      <c r="B57" s="899">
        <v>40</v>
      </c>
      <c r="C57" s="841" t="s">
        <v>443</v>
      </c>
      <c r="D57" s="968"/>
      <c r="E57" s="841"/>
      <c r="F57" s="841"/>
      <c r="G57" s="841"/>
      <c r="H57" s="891"/>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2" t="str">
        <f>IF(I57=0,"",I57)</f>
        <v>4.1.2</v>
      </c>
      <c r="M57" s="842" t="str">
        <f>IF(J57=0,"",J57)</f>
        <v>Изменение стоимости основных фондов за счет их вывода в эксплуатацию</v>
      </c>
      <c r="N57" s="842" t="str">
        <f>IF(K57=0,"",K57)</f>
        <v>Указываются изменение стоимости основных фондов за счет их вывода из эксплуатации.</v>
      </c>
      <c r="O57" s="958" t="s">
        <v>1476</v>
      </c>
      <c r="P57" s="958" t="s">
        <v>1477</v>
      </c>
      <c r="Q57" s="958" t="s">
        <v>1477</v>
      </c>
      <c r="R57" s="958" t="s">
        <v>1477</v>
      </c>
      <c r="S57" s="958"/>
      <c r="T57" s="841" t="s">
        <v>1478</v>
      </c>
      <c r="U57" s="841" t="s">
        <v>1479</v>
      </c>
      <c r="V57" s="841" t="s">
        <v>1479</v>
      </c>
      <c r="W57" s="841" t="s">
        <v>1479</v>
      </c>
      <c r="X57" s="841"/>
      <c r="Y57" s="1001"/>
      <c r="Z57" s="844" t="s">
        <v>1480</v>
      </c>
      <c r="AA57" s="844" t="s">
        <v>1480</v>
      </c>
      <c r="AB57" s="844" t="s">
        <v>1480</v>
      </c>
      <c r="AC57" s="844" t="s">
        <v>1480</v>
      </c>
      <c r="AD57" s="844"/>
    </row>
    <row customHeight="1" ht="18">
      <c r="A58" s="843"/>
      <c r="B58" s="899">
        <v>41</v>
      </c>
      <c r="C58" s="841">
        <v>2</v>
      </c>
      <c r="D58" s="968"/>
      <c r="E58" s="841"/>
      <c r="F58" s="841"/>
      <c r="G58" s="841"/>
      <c r="H58" s="891"/>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2" t="str">
        <f>IF(I58=0,"",I58)</f>
        <v>4.2</v>
      </c>
      <c r="M58" s="842" t="str">
        <f>IF(J58=0,"",J58)</f>
        <v>Изменение стоимости основных фондов за счет их переоценки</v>
      </c>
      <c r="N58" s="842" t="str">
        <f>IF(K58=0,"",K58)</f>
        <v/>
      </c>
      <c r="O58" s="958" t="s">
        <v>307</v>
      </c>
      <c r="P58" s="958" t="s">
        <v>1481</v>
      </c>
      <c r="Q58" s="958" t="s">
        <v>1481</v>
      </c>
      <c r="R58" s="958" t="s">
        <v>1481</v>
      </c>
      <c r="S58" s="958"/>
      <c r="T58" s="841" t="s">
        <v>1482</v>
      </c>
      <c r="U58" s="841" t="s">
        <v>1482</v>
      </c>
      <c r="V58" s="841" t="s">
        <v>1482</v>
      </c>
      <c r="W58" s="841" t="s">
        <v>1482</v>
      </c>
      <c r="X58" s="841"/>
      <c r="Y58" s="1001"/>
      <c r="Z58" s="844"/>
      <c r="AA58" s="847"/>
      <c r="AB58" s="844"/>
      <c r="AC58" s="844"/>
      <c r="AD58" s="844"/>
    </row>
    <row customHeight="1" ht="36">
      <c r="A59" s="843"/>
      <c r="B59" s="899">
        <v>42</v>
      </c>
      <c r="C59" s="841">
        <v>3</v>
      </c>
      <c r="D59" s="968" t="s">
        <v>1457</v>
      </c>
      <c r="E59" s="841" t="s">
        <v>1457</v>
      </c>
      <c r="F59" s="841" t="s">
        <v>1457</v>
      </c>
      <c r="G59" s="841"/>
      <c r="H59" s="891"/>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2" t="str">
        <f>IF(I59=0,"",I59)</f>
        <v>5</v>
      </c>
      <c r="M59" s="842" t="str">
        <f>IF(J59=0,"",J59)</f>
        <v>Валовая прибыль (убытки) от продажи товаров и услуг по регулируемым видам деятельности в сфере холодного водоснабжения</v>
      </c>
      <c r="N59" s="842" t="str">
        <f>IF(K59=0,"",K59)</f>
        <v/>
      </c>
      <c r="O59" s="958"/>
      <c r="P59" s="958" t="s">
        <v>110</v>
      </c>
      <c r="Q59" s="958" t="s">
        <v>110</v>
      </c>
      <c r="R59" s="958" t="s">
        <v>110</v>
      </c>
      <c r="S59" s="958"/>
      <c r="T59" s="841"/>
      <c r="U59" s="841" t="s">
        <v>1483</v>
      </c>
      <c r="V59" s="841" t="s">
        <v>1484</v>
      </c>
      <c r="W59" s="841" t="s">
        <v>1485</v>
      </c>
      <c r="X59" s="841"/>
      <c r="Y59" s="1001"/>
      <c r="Z59" s="844"/>
      <c r="AA59" s="847"/>
      <c r="AB59" s="844"/>
      <c r="AC59" s="844"/>
      <c r="AD59" s="844"/>
    </row>
    <row customHeight="1" ht="81">
      <c r="A60" s="843"/>
      <c r="B60" s="899">
        <v>43</v>
      </c>
      <c r="C60" s="841" t="s">
        <v>1486</v>
      </c>
      <c r="D60" s="968" t="s">
        <v>1486</v>
      </c>
      <c r="E60" s="841" t="s">
        <v>1486</v>
      </c>
      <c r="F60" s="841" t="s">
        <v>1486</v>
      </c>
      <c r="G60" s="841"/>
      <c r="H60" s="891"/>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2" t="str">
        <f>IF(I60=0,"",I60)</f>
        <v>6</v>
      </c>
      <c r="M60" s="842" t="str">
        <f>IF(J60=0,"",J60)</f>
        <v>Годовая бухгалтерская (финансовая) отчетность, включая бухгалтерский баланс и приложения к нему</v>
      </c>
      <c r="N60" s="84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1" t="s">
        <v>1487</v>
      </c>
      <c r="U60" s="841" t="s">
        <v>1487</v>
      </c>
      <c r="V60" s="841" t="s">
        <v>1487</v>
      </c>
      <c r="W60" s="841" t="s">
        <v>1487</v>
      </c>
      <c r="X60" s="841"/>
      <c r="Y60" s="1001"/>
      <c r="Z60" s="844" t="s">
        <v>1488</v>
      </c>
      <c r="AA60" s="847" t="s">
        <v>1489</v>
      </c>
      <c r="AB60" s="844" t="s">
        <v>1490</v>
      </c>
      <c r="AC60" s="844" t="s">
        <v>1489</v>
      </c>
      <c r="AD60" s="844"/>
    </row>
    <row customHeight="1" ht="9">
      <c r="A61" s="843"/>
      <c r="B61" s="899">
        <v>44</v>
      </c>
      <c r="C61" s="841"/>
      <c r="D61" s="968" t="s">
        <v>1491</v>
      </c>
      <c r="E61" s="841"/>
      <c r="F61" s="841"/>
      <c r="G61" s="841"/>
      <c r="H61" s="891"/>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2" t="str">
        <f>IF(I61=0,"",I61)</f>
        <v>7</v>
      </c>
      <c r="M61" s="842" t="str">
        <f>IF(J61=0,"",J61)</f>
        <v>Объём поднятой воды</v>
      </c>
      <c r="N61" s="842" t="str">
        <f>IF(K61=0,"",K61)</f>
        <v/>
      </c>
      <c r="O61" s="958"/>
      <c r="P61" s="958" t="s">
        <v>92</v>
      </c>
      <c r="Q61" s="958"/>
      <c r="R61" s="958"/>
      <c r="S61" s="958"/>
      <c r="T61" s="841"/>
      <c r="U61" s="841" t="s">
        <v>1492</v>
      </c>
      <c r="V61" s="841"/>
      <c r="W61" s="841"/>
      <c r="X61" s="841"/>
      <c r="Y61" s="1001"/>
      <c r="Z61" s="844"/>
      <c r="AA61" s="847"/>
      <c r="AB61" s="844"/>
      <c r="AC61" s="844"/>
      <c r="AD61" s="844"/>
    </row>
    <row customHeight="1" ht="9">
      <c r="A62" s="843"/>
      <c r="B62" s="899">
        <v>45</v>
      </c>
      <c r="C62" s="841"/>
      <c r="D62" s="968" t="s">
        <v>1493</v>
      </c>
      <c r="E62" s="841"/>
      <c r="F62" s="841"/>
      <c r="G62" s="841"/>
      <c r="H62" s="891"/>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2" t="str">
        <f>IF(I62=0,"",I62)</f>
        <v>8</v>
      </c>
      <c r="M62" s="842" t="str">
        <f>IF(J62=0,"",J62)</f>
        <v>Объём покупной воды</v>
      </c>
      <c r="N62" s="842" t="str">
        <f>IF(K62=0,"",K62)</f>
        <v/>
      </c>
      <c r="O62" s="958"/>
      <c r="P62" s="958" t="s">
        <v>111</v>
      </c>
      <c r="Q62" s="958"/>
      <c r="R62" s="958"/>
      <c r="S62" s="958"/>
      <c r="T62" s="841"/>
      <c r="U62" s="841" t="s">
        <v>1494</v>
      </c>
      <c r="V62" s="841"/>
      <c r="W62" s="841"/>
      <c r="X62" s="841"/>
      <c r="Y62" s="1001"/>
      <c r="Z62" s="844"/>
      <c r="AA62" s="847"/>
      <c r="AB62" s="844"/>
      <c r="AC62" s="844"/>
      <c r="AD62" s="844"/>
    </row>
    <row customHeight="1" ht="18">
      <c r="A63" s="843"/>
      <c r="B63" s="899">
        <v>46</v>
      </c>
      <c r="C63" s="841"/>
      <c r="D63" s="968" t="s">
        <v>1495</v>
      </c>
      <c r="E63" s="841"/>
      <c r="F63" s="841"/>
      <c r="G63" s="841"/>
      <c r="H63" s="891"/>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2" t="str">
        <f>IF(I63=0,"",I63)</f>
        <v>9</v>
      </c>
      <c r="M63" s="842" t="str">
        <f>IF(J63=0,"",J63)</f>
        <v>Объём воды, пропущенной через очистные сооружения</v>
      </c>
      <c r="N63" s="842" t="str">
        <f>IF(K63=0,"",K63)</f>
        <v/>
      </c>
      <c r="O63" s="958"/>
      <c r="P63" s="958" t="s">
        <v>152</v>
      </c>
      <c r="Q63" s="958"/>
      <c r="R63" s="958"/>
      <c r="S63" s="958"/>
      <c r="T63" s="841"/>
      <c r="U63" s="841" t="s">
        <v>1496</v>
      </c>
      <c r="V63" s="841"/>
      <c r="W63" s="841"/>
      <c r="X63" s="841"/>
      <c r="Y63" s="1001"/>
      <c r="Z63" s="844"/>
      <c r="AA63" s="847"/>
      <c r="AB63" s="844"/>
      <c r="AC63" s="844"/>
      <c r="AD63" s="844"/>
    </row>
    <row customHeight="1" ht="18">
      <c r="A64" s="843"/>
      <c r="B64" s="899">
        <v>47</v>
      </c>
      <c r="C64" s="841"/>
      <c r="D64" s="968" t="s">
        <v>1497</v>
      </c>
      <c r="E64" s="841"/>
      <c r="F64" s="841"/>
      <c r="G64" s="841"/>
      <c r="H64" s="891"/>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2" t="str">
        <f>IF(I64=0,"",I64)</f>
        <v>10</v>
      </c>
      <c r="M64" s="842" t="str">
        <f>IF(J64=0,"",J64)</f>
        <v>Объём отпущенной потребителям воды, в том числе:</v>
      </c>
      <c r="N64" s="842" t="str">
        <f>IF(K64=0,"",K64)</f>
        <v>Указывается общий объем отпущенной потребителям воды.</v>
      </c>
      <c r="O64" s="958"/>
      <c r="P64" s="958" t="s">
        <v>153</v>
      </c>
      <c r="Q64" s="958"/>
      <c r="R64" s="958"/>
      <c r="S64" s="958"/>
      <c r="T64" s="841"/>
      <c r="U64" s="841" t="s">
        <v>1498</v>
      </c>
      <c r="V64" s="841"/>
      <c r="W64" s="841"/>
      <c r="X64" s="841"/>
      <c r="Y64" s="1001"/>
      <c r="Z64" s="844"/>
      <c r="AA64" s="847" t="s">
        <v>1499</v>
      </c>
      <c r="AB64" s="844"/>
      <c r="AC64" s="844"/>
      <c r="AD64" s="844"/>
    </row>
    <row customHeight="1" ht="18">
      <c r="A65" s="843"/>
      <c r="B65" s="899">
        <v>48</v>
      </c>
      <c r="C65" s="841"/>
      <c r="D65" s="968"/>
      <c r="E65" s="841"/>
      <c r="F65" s="841"/>
      <c r="G65" s="841"/>
      <c r="H65" s="891"/>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2" t="str">
        <f>IF(I65=0,"",I65)</f>
        <v>10.1</v>
      </c>
      <c r="M65" s="842" t="str">
        <f>IF(J65=0,"",J65)</f>
        <v>Объём отпущенной потребителям воды, определенный по приборам учета</v>
      </c>
      <c r="N65" s="842" t="str">
        <f>IF(K65=0,"",K65)</f>
        <v/>
      </c>
      <c r="O65" s="958"/>
      <c r="P65" s="958" t="s">
        <v>1396</v>
      </c>
      <c r="Q65" s="958"/>
      <c r="R65" s="958"/>
      <c r="S65" s="958"/>
      <c r="T65" s="841"/>
      <c r="U65" s="841" t="s">
        <v>1500</v>
      </c>
      <c r="V65" s="841"/>
      <c r="W65" s="841"/>
      <c r="X65" s="841"/>
      <c r="Y65" s="1001"/>
      <c r="Z65" s="844"/>
      <c r="AA65" s="847"/>
      <c r="AB65" s="844"/>
      <c r="AC65" s="844"/>
      <c r="AD65" s="844"/>
    </row>
    <row customHeight="1" ht="18">
      <c r="A66" s="843"/>
      <c r="B66" s="899">
        <v>49</v>
      </c>
      <c r="C66" s="841"/>
      <c r="D66" s="968"/>
      <c r="E66" s="841"/>
      <c r="F66" s="841"/>
      <c r="G66" s="841"/>
      <c r="H66" s="891"/>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2" t="str">
        <f>IF(I66=0,"",I66)</f>
        <v>10.2</v>
      </c>
      <c r="M66" s="842" t="str">
        <f>IF(J66=0,"",J66)</f>
        <v>Объём отпущенной потребителям воды, определенный расчетным способом</v>
      </c>
      <c r="N66" s="842" t="str">
        <f>IF(K66=0,"",K66)</f>
        <v/>
      </c>
      <c r="O66" s="958"/>
      <c r="P66" s="958" t="s">
        <v>1400</v>
      </c>
      <c r="Q66" s="958"/>
      <c r="R66" s="958"/>
      <c r="S66" s="958"/>
      <c r="T66" s="841"/>
      <c r="U66" s="841" t="s">
        <v>1501</v>
      </c>
      <c r="V66" s="841"/>
      <c r="W66" s="841"/>
      <c r="X66" s="841"/>
      <c r="Y66" s="1001"/>
      <c r="Z66" s="844"/>
      <c r="AA66" s="847"/>
      <c r="AB66" s="844"/>
      <c r="AC66" s="844"/>
      <c r="AD66" s="844"/>
    </row>
    <row customHeight="1" ht="27">
      <c r="A67" s="843"/>
      <c r="B67" s="899">
        <v>50</v>
      </c>
      <c r="C67" s="841"/>
      <c r="D67" s="968"/>
      <c r="E67" s="841"/>
      <c r="F67" s="841"/>
      <c r="G67" s="841"/>
      <c r="H67" s="891"/>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2" t="str">
        <f>IF(I67=0,"",I67)</f>
        <v>10.2.1</v>
      </c>
      <c r="M67" s="842" t="str">
        <f>IF(J67=0,"",J67)</f>
        <v>Объём отпущенной потребителям воды, определенный по нормативам потребления коммунальных услуг</v>
      </c>
      <c r="N67" s="842" t="str">
        <f>IF(K67=0,"",K67)</f>
        <v/>
      </c>
      <c r="O67" s="958"/>
      <c r="P67" s="958" t="s">
        <v>1502</v>
      </c>
      <c r="Q67" s="958"/>
      <c r="R67" s="958"/>
      <c r="S67" s="958"/>
      <c r="T67" s="841"/>
      <c r="U67" s="841" t="s">
        <v>1503</v>
      </c>
      <c r="V67" s="841"/>
      <c r="W67" s="841"/>
      <c r="X67" s="841"/>
      <c r="Y67" s="1001"/>
      <c r="Z67" s="844"/>
      <c r="AA67" s="847"/>
      <c r="AB67" s="844"/>
      <c r="AC67" s="844"/>
      <c r="AD67" s="844"/>
    </row>
    <row customHeight="1" ht="27">
      <c r="A68" s="843"/>
      <c r="B68" s="899">
        <v>51</v>
      </c>
      <c r="C68" s="841"/>
      <c r="D68" s="968"/>
      <c r="E68" s="841"/>
      <c r="F68" s="841"/>
      <c r="G68" s="841"/>
      <c r="H68" s="891"/>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2" t="str">
        <f>IF(I68=0,"",I68)</f>
        <v>10.2.2</v>
      </c>
      <c r="M68" s="842" t="str">
        <f>IF(J68=0,"",J68)</f>
        <v>Объём отпущенной потребителям воды, определенный по нормативам потребления коммунальных ресурсов </v>
      </c>
      <c r="N68" s="842" t="str">
        <f>IF(K68=0,"",K68)</f>
        <v/>
      </c>
      <c r="O68" s="958"/>
      <c r="P68" s="958" t="s">
        <v>1504</v>
      </c>
      <c r="Q68" s="958"/>
      <c r="R68" s="958"/>
      <c r="S68" s="958"/>
      <c r="T68" s="841"/>
      <c r="U68" s="841" t="s">
        <v>1505</v>
      </c>
      <c r="V68" s="841"/>
      <c r="W68" s="841"/>
      <c r="X68" s="841"/>
      <c r="Y68" s="1001"/>
      <c r="Z68" s="844"/>
      <c r="AA68" s="847"/>
      <c r="AB68" s="844"/>
      <c r="AC68" s="844"/>
      <c r="AD68" s="844"/>
    </row>
    <row customHeight="1" ht="9">
      <c r="A69" s="843"/>
      <c r="B69" s="899">
        <v>52</v>
      </c>
      <c r="C69" s="841"/>
      <c r="D69" s="968" t="s">
        <v>1506</v>
      </c>
      <c r="E69" s="841"/>
      <c r="F69" s="841"/>
      <c r="G69" s="841"/>
      <c r="H69" s="891"/>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2" t="str">
        <f>IF(I69=0,"",I69)</f>
        <v>11</v>
      </c>
      <c r="M69" s="842" t="str">
        <f>IF(J69=0,"",J69)</f>
        <v>Потери воды в сетях</v>
      </c>
      <c r="N69" s="842" t="str">
        <f>IF(K69=0,"",K69)</f>
        <v/>
      </c>
      <c r="O69" s="958"/>
      <c r="P69" s="958" t="s">
        <v>154</v>
      </c>
      <c r="Q69" s="958"/>
      <c r="R69" s="958"/>
      <c r="S69" s="958"/>
      <c r="T69" s="841"/>
      <c r="U69" s="841" t="s">
        <v>1507</v>
      </c>
      <c r="V69" s="841"/>
      <c r="W69" s="841"/>
      <c r="X69" s="841"/>
      <c r="Y69" s="1001"/>
      <c r="Z69" s="844"/>
      <c r="AA69" s="847"/>
      <c r="AB69" s="844"/>
      <c r="AC69" s="844"/>
      <c r="AD69" s="844"/>
    </row>
    <row customHeight="1" ht="27">
      <c r="A70" s="843"/>
      <c r="B70" s="899">
        <v>53</v>
      </c>
      <c r="C70" s="841"/>
      <c r="D70" s="968"/>
      <c r="E70" s="841" t="s">
        <v>1491</v>
      </c>
      <c r="F70" s="841"/>
      <c r="G70" s="841"/>
      <c r="H70" s="891"/>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2" t="str">
        <f>IF(I70=0,"",I70)</f>
        <v/>
      </c>
      <c r="M70" s="842" t="str">
        <f>IF(J70=0,"",J70)</f>
        <v/>
      </c>
      <c r="N70" s="842" t="str">
        <f>IF(K70=0,"",K70)</f>
        <v/>
      </c>
      <c r="O70" s="958"/>
      <c r="P70" s="958"/>
      <c r="Q70" s="958" t="s">
        <v>92</v>
      </c>
      <c r="R70" s="958"/>
      <c r="S70" s="958"/>
      <c r="T70" s="841"/>
      <c r="U70" s="841"/>
      <c r="V70" s="841" t="s">
        <v>1508</v>
      </c>
      <c r="W70" s="841"/>
      <c r="X70" s="841"/>
      <c r="Y70" s="1001"/>
      <c r="Z70" s="844"/>
      <c r="AA70" s="847"/>
      <c r="AB70" s="844"/>
      <c r="AC70" s="844"/>
      <c r="AD70" s="844"/>
    </row>
    <row customHeight="1" ht="36">
      <c r="A71" s="843"/>
      <c r="B71" s="899">
        <v>54</v>
      </c>
      <c r="C71" s="841"/>
      <c r="D71" s="968"/>
      <c r="E71" s="841" t="s">
        <v>1493</v>
      </c>
      <c r="F71" s="841"/>
      <c r="G71" s="841"/>
      <c r="H71" s="891"/>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2" t="str">
        <f>IF(I71=0,"",I71)</f>
        <v/>
      </c>
      <c r="M71" s="842" t="str">
        <f>IF(J71=0,"",J71)</f>
        <v/>
      </c>
      <c r="N71" s="842" t="str">
        <f>IF(K71=0,"",K71)</f>
        <v/>
      </c>
      <c r="O71" s="958"/>
      <c r="P71" s="958"/>
      <c r="Q71" s="958" t="s">
        <v>111</v>
      </c>
      <c r="R71" s="958"/>
      <c r="S71" s="958"/>
      <c r="T71" s="841"/>
      <c r="U71" s="841"/>
      <c r="V71" s="841" t="s">
        <v>1509</v>
      </c>
      <c r="W71" s="841"/>
      <c r="X71" s="841"/>
      <c r="Y71" s="1001"/>
      <c r="Z71" s="844"/>
      <c r="AA71" s="847"/>
      <c r="AB71" s="844"/>
      <c r="AC71" s="844"/>
      <c r="AD71" s="844"/>
    </row>
    <row customHeight="1" ht="27">
      <c r="A72" s="843"/>
      <c r="B72" s="899">
        <v>55</v>
      </c>
      <c r="C72" s="841"/>
      <c r="D72" s="968"/>
      <c r="E72" s="841" t="s">
        <v>1495</v>
      </c>
      <c r="F72" s="841"/>
      <c r="G72" s="841"/>
      <c r="H72" s="891"/>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2" t="str">
        <f>IF(I72=0,"",I72)</f>
        <v/>
      </c>
      <c r="M72" s="842" t="str">
        <f>IF(J72=0,"",J72)</f>
        <v/>
      </c>
      <c r="N72" s="842" t="str">
        <f>IF(K72=0,"",K72)</f>
        <v/>
      </c>
      <c r="O72" s="958"/>
      <c r="P72" s="958"/>
      <c r="Q72" s="958" t="s">
        <v>152</v>
      </c>
      <c r="R72" s="958"/>
      <c r="S72" s="958"/>
      <c r="T72" s="841"/>
      <c r="U72" s="841"/>
      <c r="V72" s="841" t="s">
        <v>1510</v>
      </c>
      <c r="W72" s="841"/>
      <c r="X72" s="841"/>
      <c r="Y72" s="1001"/>
      <c r="Z72" s="844"/>
      <c r="AA72" s="847"/>
      <c r="AB72" s="844"/>
      <c r="AC72" s="844"/>
      <c r="AD72" s="844"/>
    </row>
    <row customHeight="1" ht="36">
      <c r="A73" s="843"/>
      <c r="B73" s="899">
        <v>56</v>
      </c>
      <c r="C73" s="841"/>
      <c r="D73" s="968"/>
      <c r="E73" s="841" t="s">
        <v>1497</v>
      </c>
      <c r="F73" s="841"/>
      <c r="G73" s="841"/>
      <c r="H73" s="891"/>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2" t="str">
        <f>IF(I73=0,"",I73)</f>
        <v/>
      </c>
      <c r="M73" s="842" t="str">
        <f>IF(J73=0,"",J73)</f>
        <v/>
      </c>
      <c r="N73" s="842" t="str">
        <f>IF(K73=0,"",K73)</f>
        <v/>
      </c>
      <c r="O73" s="958"/>
      <c r="P73" s="958"/>
      <c r="Q73" s="958" t="s">
        <v>153</v>
      </c>
      <c r="R73" s="958"/>
      <c r="S73" s="958"/>
      <c r="T73" s="841"/>
      <c r="U73" s="841"/>
      <c r="V73" s="841" t="s">
        <v>1511</v>
      </c>
      <c r="W73" s="841"/>
      <c r="X73" s="841"/>
      <c r="Y73" s="1001"/>
      <c r="Z73" s="844"/>
      <c r="AA73" s="847"/>
      <c r="AB73" s="844"/>
      <c r="AC73" s="844"/>
      <c r="AD73" s="844"/>
    </row>
    <row customHeight="1" ht="18">
      <c r="A74" s="843"/>
      <c r="B74" s="899">
        <v>57</v>
      </c>
      <c r="C74" s="841"/>
      <c r="D74" s="968"/>
      <c r="E74" s="841" t="s">
        <v>1506</v>
      </c>
      <c r="F74" s="841"/>
      <c r="G74" s="841"/>
      <c r="H74" s="891"/>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2" t="str">
        <f>IF(I74=0,"",I74)</f>
        <v/>
      </c>
      <c r="M74" s="842" t="str">
        <f>IF(J74=0,"",J74)</f>
        <v/>
      </c>
      <c r="N74" s="842" t="str">
        <f>IF(K74=0,"",K74)</f>
        <v/>
      </c>
      <c r="O74" s="958"/>
      <c r="P74" s="958"/>
      <c r="Q74" s="958" t="s">
        <v>154</v>
      </c>
      <c r="R74" s="958"/>
      <c r="S74" s="958"/>
      <c r="T74" s="841"/>
      <c r="U74" s="841"/>
      <c r="V74" s="841" t="s">
        <v>1512</v>
      </c>
      <c r="W74" s="841"/>
      <c r="X74" s="841"/>
      <c r="Y74" s="1001"/>
      <c r="Z74" s="844"/>
      <c r="AA74" s="847"/>
      <c r="AB74" s="844"/>
      <c r="AC74" s="844"/>
      <c r="AD74" s="844"/>
    </row>
    <row customHeight="1" ht="18">
      <c r="A75" s="843"/>
      <c r="B75" s="899">
        <v>58</v>
      </c>
      <c r="C75" s="841"/>
      <c r="D75" s="968"/>
      <c r="E75" s="841"/>
      <c r="F75" s="841" t="s">
        <v>1491</v>
      </c>
      <c r="G75" s="841"/>
      <c r="H75" s="891"/>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2" t="str">
        <f>IF(I75=0,"",I75)</f>
        <v/>
      </c>
      <c r="M75" s="842" t="str">
        <f>IF(J75=0,"",J75)</f>
        <v/>
      </c>
      <c r="N75" s="842" t="str">
        <f>IF(K75=0,"",K75)</f>
        <v/>
      </c>
      <c r="O75" s="958"/>
      <c r="P75" s="958"/>
      <c r="Q75" s="958"/>
      <c r="R75" s="958" t="s">
        <v>92</v>
      </c>
      <c r="S75" s="958"/>
      <c r="T75" s="841"/>
      <c r="U75" s="841"/>
      <c r="V75" s="841"/>
      <c r="W75" s="841" t="s">
        <v>1513</v>
      </c>
      <c r="X75" s="841"/>
      <c r="Y75" s="1001"/>
      <c r="Z75" s="844"/>
      <c r="AA75" s="847"/>
      <c r="AB75" s="844"/>
      <c r="AC75" s="844"/>
      <c r="AD75" s="844"/>
    </row>
    <row customHeight="1" ht="36">
      <c r="A76" s="843"/>
      <c r="B76" s="899">
        <v>59</v>
      </c>
      <c r="C76" s="841"/>
      <c r="D76" s="968"/>
      <c r="E76" s="841"/>
      <c r="F76" s="841" t="s">
        <v>1493</v>
      </c>
      <c r="G76" s="841"/>
      <c r="H76" s="891"/>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2" t="str">
        <f>IF(I76=0,"",I76)</f>
        <v/>
      </c>
      <c r="M76" s="842" t="str">
        <f>IF(J76=0,"",J76)</f>
        <v/>
      </c>
      <c r="N76" s="842" t="str">
        <f>IF(K76=0,"",K76)</f>
        <v/>
      </c>
      <c r="O76" s="958"/>
      <c r="P76" s="958"/>
      <c r="Q76" s="958"/>
      <c r="R76" s="958" t="s">
        <v>111</v>
      </c>
      <c r="S76" s="958"/>
      <c r="T76" s="841"/>
      <c r="U76" s="841"/>
      <c r="V76" s="841"/>
      <c r="W76" s="841" t="s">
        <v>1514</v>
      </c>
      <c r="X76" s="841"/>
      <c r="Y76" s="1001"/>
      <c r="Z76" s="844"/>
      <c r="AA76" s="847"/>
      <c r="AB76" s="844"/>
      <c r="AC76" s="844"/>
      <c r="AD76" s="844"/>
    </row>
    <row customHeight="1" ht="18">
      <c r="A77" s="843"/>
      <c r="B77" s="899">
        <v>60</v>
      </c>
      <c r="C77" s="841"/>
      <c r="D77" s="968"/>
      <c r="E77" s="841"/>
      <c r="F77" s="841" t="s">
        <v>1495</v>
      </c>
      <c r="G77" s="841"/>
      <c r="H77" s="891"/>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2" t="str">
        <f>IF(I77=0,"",I77)</f>
        <v/>
      </c>
      <c r="M77" s="842" t="str">
        <f>IF(J77=0,"",J77)</f>
        <v/>
      </c>
      <c r="N77" s="842" t="str">
        <f>IF(K77=0,"",K77)</f>
        <v/>
      </c>
      <c r="O77" s="958"/>
      <c r="P77" s="958"/>
      <c r="Q77" s="958"/>
      <c r="R77" s="958" t="s">
        <v>152</v>
      </c>
      <c r="S77" s="958"/>
      <c r="T77" s="841"/>
      <c r="U77" s="841"/>
      <c r="V77" s="841"/>
      <c r="W77" s="841" t="s">
        <v>1515</v>
      </c>
      <c r="X77" s="841"/>
      <c r="Y77" s="1001"/>
      <c r="Z77" s="844"/>
      <c r="AA77" s="847"/>
      <c r="AB77" s="844"/>
      <c r="AC77" s="844"/>
      <c r="AD77" s="844"/>
    </row>
    <row customHeight="1" ht="72">
      <c r="A78" s="843"/>
      <c r="B78" s="899">
        <v>61</v>
      </c>
      <c r="C78" s="841" t="s">
        <v>1491</v>
      </c>
      <c r="D78" s="968"/>
      <c r="E78" s="841"/>
      <c r="F78" s="841"/>
      <c r="G78" s="841"/>
      <c r="H78" s="891"/>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2" t="str">
        <f>IF(I78=0,"",I78)</f>
        <v/>
      </c>
      <c r="M78" s="842" t="str">
        <f>IF(J78=0,"",J78)</f>
        <v/>
      </c>
      <c r="N78" s="842" t="str">
        <f>IF(K78=0,"",K78)</f>
        <v/>
      </c>
      <c r="O78" s="958" t="s">
        <v>92</v>
      </c>
      <c r="P78" s="958"/>
      <c r="Q78" s="958"/>
      <c r="R78" s="958"/>
      <c r="S78" s="958"/>
      <c r="T78" s="841" t="s">
        <v>1516</v>
      </c>
      <c r="U78" s="841"/>
      <c r="V78" s="841"/>
      <c r="W78" s="841"/>
      <c r="X78" s="841"/>
      <c r="Y78" s="1001"/>
      <c r="Z78" s="844" t="s">
        <v>1517</v>
      </c>
      <c r="AA78" s="847"/>
      <c r="AB78" s="844"/>
      <c r="AC78" s="844"/>
      <c r="AD78" s="844"/>
    </row>
    <row customHeight="1" ht="36">
      <c r="A79" s="843"/>
      <c r="B79" s="899">
        <v>62</v>
      </c>
      <c r="C79" s="841" t="s">
        <v>1493</v>
      </c>
      <c r="D79" s="968"/>
      <c r="E79" s="841"/>
      <c r="F79" s="841"/>
      <c r="G79" s="841"/>
      <c r="H79" s="891"/>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2" t="str">
        <f>IF(I79=0,"",I79)</f>
        <v/>
      </c>
      <c r="M79" s="842" t="str">
        <f>IF(J79=0,"",J79)</f>
        <v/>
      </c>
      <c r="N79" s="842" t="str">
        <f>IF(K79=0,"",K79)</f>
        <v/>
      </c>
      <c r="O79" s="958" t="s">
        <v>111</v>
      </c>
      <c r="P79" s="958"/>
      <c r="Q79" s="958"/>
      <c r="R79" s="958"/>
      <c r="S79" s="958"/>
      <c r="T79" s="841" t="s">
        <v>1518</v>
      </c>
      <c r="U79" s="841"/>
      <c r="V79" s="841"/>
      <c r="W79" s="841"/>
      <c r="X79" s="841"/>
      <c r="Y79" s="1001"/>
      <c r="Z79" s="844" t="s">
        <v>1519</v>
      </c>
      <c r="AA79" s="847"/>
      <c r="AB79" s="844"/>
      <c r="AC79" s="844"/>
      <c r="AD79" s="844"/>
    </row>
    <row customHeight="1" ht="45">
      <c r="A80" s="843"/>
      <c r="B80" s="899">
        <v>63</v>
      </c>
      <c r="C80" s="841" t="s">
        <v>1495</v>
      </c>
      <c r="D80" s="968"/>
      <c r="E80" s="841"/>
      <c r="F80" s="841"/>
      <c r="G80" s="841"/>
      <c r="H80" s="891"/>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2" t="str">
        <f>IF(I80=0,"",I80)</f>
        <v/>
      </c>
      <c r="M80" s="842" t="str">
        <f>IF(J80=0,"",J80)</f>
        <v/>
      </c>
      <c r="N80" s="842" t="str">
        <f>IF(K80=0,"",K80)</f>
        <v/>
      </c>
      <c r="O80" s="958" t="s">
        <v>152</v>
      </c>
      <c r="P80" s="958"/>
      <c r="Q80" s="958"/>
      <c r="R80" s="958"/>
      <c r="S80" s="958"/>
      <c r="T80" s="841" t="s">
        <v>1520</v>
      </c>
      <c r="U80" s="841"/>
      <c r="V80" s="841"/>
      <c r="W80" s="841"/>
      <c r="X80" s="841"/>
      <c r="Y80" s="1001"/>
      <c r="Z80" s="844" t="s">
        <v>1521</v>
      </c>
      <c r="AA80" s="847"/>
      <c r="AB80" s="844"/>
      <c r="AC80" s="844"/>
      <c r="AD80" s="844"/>
    </row>
    <row customHeight="1" ht="36">
      <c r="A81" s="843"/>
      <c r="B81" s="899">
        <v>64</v>
      </c>
      <c r="C81" s="841" t="s">
        <v>1497</v>
      </c>
      <c r="D81" s="968"/>
      <c r="E81" s="841"/>
      <c r="F81" s="841"/>
      <c r="G81" s="841"/>
      <c r="H81" s="891"/>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2" t="str">
        <f>IF(I81=0,"",I81)</f>
        <v/>
      </c>
      <c r="M81" s="842" t="str">
        <f>IF(J81=0,"",J81)</f>
        <v/>
      </c>
      <c r="N81" s="842" t="str">
        <f>IF(K81=0,"",K81)</f>
        <v/>
      </c>
      <c r="O81" s="958" t="s">
        <v>1384</v>
      </c>
      <c r="P81" s="958"/>
      <c r="Q81" s="958"/>
      <c r="R81" s="958"/>
      <c r="S81" s="958"/>
      <c r="T81" s="841" t="s">
        <v>1522</v>
      </c>
      <c r="U81" s="841"/>
      <c r="V81" s="841"/>
      <c r="W81" s="841"/>
      <c r="X81" s="841"/>
      <c r="Y81" s="1001"/>
      <c r="Z81" s="844" t="s">
        <v>1523</v>
      </c>
      <c r="AA81" s="847"/>
      <c r="AB81" s="844"/>
      <c r="AC81" s="844"/>
      <c r="AD81" s="844"/>
    </row>
    <row customHeight="1" ht="90">
      <c r="A82" s="843"/>
      <c r="B82" s="899">
        <v>65</v>
      </c>
      <c r="C82" s="841" t="s">
        <v>1506</v>
      </c>
      <c r="D82" s="968"/>
      <c r="E82" s="841"/>
      <c r="F82" s="841"/>
      <c r="G82" s="841"/>
      <c r="H82" s="891"/>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2" t="str">
        <f>IF(I82=0,"",I82)</f>
        <v/>
      </c>
      <c r="M82" s="842" t="str">
        <f>IF(J82=0,"",J82)</f>
        <v/>
      </c>
      <c r="N82" s="842" t="str">
        <f>IF(K82=0,"",K82)</f>
        <v/>
      </c>
      <c r="O82" s="958" t="s">
        <v>153</v>
      </c>
      <c r="P82" s="958"/>
      <c r="Q82" s="958"/>
      <c r="R82" s="958"/>
      <c r="S82" s="958"/>
      <c r="T82" s="841" t="s">
        <v>1524</v>
      </c>
      <c r="U82" s="841"/>
      <c r="V82" s="841"/>
      <c r="W82" s="841"/>
      <c r="X82" s="841"/>
      <c r="Y82" s="1001"/>
      <c r="Z82" s="844" t="s">
        <v>1525</v>
      </c>
      <c r="AA82" s="847"/>
      <c r="AB82" s="844"/>
      <c r="AC82" s="844"/>
      <c r="AD82" s="844"/>
    </row>
    <row customHeight="1" ht="9">
      <c r="A83" s="843"/>
      <c r="B83" s="899">
        <v>66</v>
      </c>
      <c r="C83" s="841"/>
      <c r="D83" s="968"/>
      <c r="E83" s="841"/>
      <c r="F83" s="841"/>
      <c r="G83" s="841"/>
      <c r="H83" s="891"/>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2" t="str">
        <f>IF(I83=0,"",I83)</f>
        <v/>
      </c>
      <c r="M83" s="842" t="str">
        <f>IF(J83=0,"",J83)</f>
        <v/>
      </c>
      <c r="N83" s="842" t="str">
        <f>IF(K83=0,"",K83)</f>
        <v/>
      </c>
      <c r="O83" s="958" t="s">
        <v>1396</v>
      </c>
      <c r="P83" s="958"/>
      <c r="Q83" s="958"/>
      <c r="R83" s="958"/>
      <c r="S83" s="958"/>
      <c r="T83" s="841" t="s">
        <v>1526</v>
      </c>
      <c r="U83" s="841"/>
      <c r="V83" s="841"/>
      <c r="W83" s="841"/>
      <c r="X83" s="841"/>
      <c r="Y83" s="1001"/>
      <c r="Z83" s="844"/>
      <c r="AA83" s="847"/>
      <c r="AB83" s="844"/>
      <c r="AC83" s="844"/>
      <c r="AD83" s="844"/>
    </row>
    <row customHeight="1" ht="54">
      <c r="A84" s="843"/>
      <c r="B84" s="899">
        <v>67</v>
      </c>
      <c r="C84" s="841"/>
      <c r="D84" s="968"/>
      <c r="E84" s="841"/>
      <c r="F84" s="841"/>
      <c r="G84" s="841"/>
      <c r="H84" s="891"/>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2" t="str">
        <f>IF(I84=0,"",I84)</f>
        <v/>
      </c>
      <c r="M84" s="842" t="str">
        <f>IF(J84=0,"",J84)</f>
        <v/>
      </c>
      <c r="N84" s="842" t="str">
        <f>IF(K84=0,"",K84)</f>
        <v/>
      </c>
      <c r="O84" s="958" t="s">
        <v>1527</v>
      </c>
      <c r="P84" s="958"/>
      <c r="Q84" s="958"/>
      <c r="R84" s="958"/>
      <c r="S84" s="958"/>
      <c r="T84" s="841" t="s">
        <v>1528</v>
      </c>
      <c r="U84" s="841"/>
      <c r="V84" s="841"/>
      <c r="W84" s="841"/>
      <c r="X84" s="841"/>
      <c r="Y84" s="1001"/>
      <c r="Z84" s="844"/>
      <c r="AA84" s="847"/>
      <c r="AB84" s="844"/>
      <c r="AC84" s="844"/>
      <c r="AD84" s="844"/>
    </row>
    <row customHeight="1" ht="9">
      <c r="A85" s="843"/>
      <c r="B85" s="899">
        <v>68</v>
      </c>
      <c r="C85" s="841"/>
      <c r="D85" s="968"/>
      <c r="E85" s="841"/>
      <c r="F85" s="841"/>
      <c r="G85" s="841"/>
      <c r="H85" s="891"/>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2" t="str">
        <f>IF(I85=0,"",I85)</f>
        <v/>
      </c>
      <c r="M85" s="842" t="str">
        <f>IF(J85=0,"",J85)</f>
        <v/>
      </c>
      <c r="N85" s="842" t="str">
        <f>IF(K85=0,"",K85)</f>
        <v/>
      </c>
      <c r="O85" s="958" t="s">
        <v>1400</v>
      </c>
      <c r="P85" s="958"/>
      <c r="Q85" s="958"/>
      <c r="R85" s="958"/>
      <c r="S85" s="958"/>
      <c r="T85" s="841" t="s">
        <v>1529</v>
      </c>
      <c r="U85" s="841"/>
      <c r="V85" s="841"/>
      <c r="W85" s="841"/>
      <c r="X85" s="841"/>
      <c r="Y85" s="1001"/>
      <c r="Z85" s="844"/>
      <c r="AA85" s="847"/>
      <c r="AB85" s="844"/>
      <c r="AC85" s="844"/>
      <c r="AD85" s="844"/>
    </row>
    <row customHeight="1" ht="27">
      <c r="A86" s="843"/>
      <c r="B86" s="899">
        <v>69</v>
      </c>
      <c r="C86" s="841"/>
      <c r="D86" s="968"/>
      <c r="E86" s="841"/>
      <c r="F86" s="841"/>
      <c r="G86" s="841"/>
      <c r="H86" s="891"/>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2" t="str">
        <f>IF(I86=0,"",I86)</f>
        <v/>
      </c>
      <c r="M86" s="842" t="str">
        <f>IF(J86=0,"",J86)</f>
        <v/>
      </c>
      <c r="N86" s="842" t="str">
        <f>IF(K86=0,"",K86)</f>
        <v/>
      </c>
      <c r="O86" s="958" t="s">
        <v>1530</v>
      </c>
      <c r="P86" s="958"/>
      <c r="Q86" s="958"/>
      <c r="R86" s="958"/>
      <c r="S86" s="958"/>
      <c r="T86" s="841" t="s">
        <v>1531</v>
      </c>
      <c r="U86" s="841"/>
      <c r="V86" s="841"/>
      <c r="W86" s="841"/>
      <c r="X86" s="841"/>
      <c r="Y86" s="1001"/>
      <c r="Z86" s="844"/>
      <c r="AA86" s="847"/>
      <c r="AB86" s="844"/>
      <c r="AC86" s="844"/>
      <c r="AD86" s="844"/>
    </row>
    <row customHeight="1" ht="36">
      <c r="A87" s="843"/>
      <c r="B87" s="899">
        <v>70</v>
      </c>
      <c r="C87" s="841" t="s">
        <v>1532</v>
      </c>
      <c r="D87" s="968"/>
      <c r="E87" s="841"/>
      <c r="F87" s="841"/>
      <c r="G87" s="841"/>
      <c r="H87" s="891"/>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2" t="str">
        <f>IF(I87=0,"",I87)</f>
        <v/>
      </c>
      <c r="M87" s="842" t="str">
        <f>IF(J87=0,"",J87)</f>
        <v/>
      </c>
      <c r="N87" s="842" t="str">
        <f>IF(K87=0,"",K87)</f>
        <v/>
      </c>
      <c r="O87" s="958" t="s">
        <v>154</v>
      </c>
      <c r="P87" s="958"/>
      <c r="Q87" s="958"/>
      <c r="R87" s="958"/>
      <c r="S87" s="958"/>
      <c r="T87" s="841" t="s">
        <v>1533</v>
      </c>
      <c r="U87" s="841"/>
      <c r="V87" s="841"/>
      <c r="W87" s="841"/>
      <c r="X87" s="841"/>
      <c r="Y87" s="1001"/>
      <c r="Z87" s="844"/>
      <c r="AA87" s="847"/>
      <c r="AB87" s="844"/>
      <c r="AC87" s="844"/>
      <c r="AD87" s="844"/>
    </row>
    <row customHeight="1" ht="18">
      <c r="A88" s="843"/>
      <c r="B88" s="899">
        <v>71</v>
      </c>
      <c r="C88" s="841" t="s">
        <v>1534</v>
      </c>
      <c r="D88" s="968"/>
      <c r="E88" s="841"/>
      <c r="F88" s="841"/>
      <c r="G88" s="841"/>
      <c r="H88" s="891"/>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2" t="str">
        <f>IF(I88=0,"",I88)</f>
        <v/>
      </c>
      <c r="M88" s="842" t="str">
        <f>IF(J88=0,"",J88)</f>
        <v/>
      </c>
      <c r="N88" s="842" t="str">
        <f>IF(K88=0,"",K88)</f>
        <v/>
      </c>
      <c r="O88" s="958" t="s">
        <v>155</v>
      </c>
      <c r="P88" s="958"/>
      <c r="Q88" s="958"/>
      <c r="R88" s="958"/>
      <c r="S88" s="958"/>
      <c r="T88" s="841" t="s">
        <v>1535</v>
      </c>
      <c r="U88" s="841"/>
      <c r="V88" s="841"/>
      <c r="W88" s="841"/>
      <c r="X88" s="841"/>
      <c r="Y88" s="1001"/>
      <c r="Z88" s="844"/>
      <c r="AA88" s="847"/>
      <c r="AB88" s="844"/>
      <c r="AC88" s="844"/>
      <c r="AD88" s="844"/>
    </row>
    <row customHeight="1" ht="18">
      <c r="A89" s="843"/>
      <c r="B89" s="899">
        <v>72</v>
      </c>
      <c r="C89" s="841" t="s">
        <v>1536</v>
      </c>
      <c r="D89" s="968" t="s">
        <v>1532</v>
      </c>
      <c r="E89" s="841" t="s">
        <v>1532</v>
      </c>
      <c r="F89" s="841" t="s">
        <v>1497</v>
      </c>
      <c r="G89" s="841"/>
      <c r="H89" s="891"/>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2" t="str">
        <f>IF(I89=0,"",I89)</f>
        <v>12</v>
      </c>
      <c r="M89" s="842" t="str">
        <f>IF(J89=0,"",J89)</f>
        <v>Среднесписочная численность основного производственного персонала</v>
      </c>
      <c r="N89" s="842" t="str">
        <f>IF(K89=0,"",K89)</f>
        <v/>
      </c>
      <c r="O89" s="958" t="s">
        <v>156</v>
      </c>
      <c r="P89" s="958" t="s">
        <v>155</v>
      </c>
      <c r="Q89" s="958" t="s">
        <v>155</v>
      </c>
      <c r="R89" s="958" t="s">
        <v>153</v>
      </c>
      <c r="S89" s="958"/>
      <c r="T89" s="841" t="s">
        <v>1537</v>
      </c>
      <c r="U89" s="841" t="s">
        <v>1537</v>
      </c>
      <c r="V89" s="841" t="s">
        <v>1537</v>
      </c>
      <c r="W89" s="841" t="s">
        <v>1537</v>
      </c>
      <c r="X89" s="841"/>
      <c r="Y89" s="1001"/>
      <c r="Z89" s="844"/>
      <c r="AA89" s="847"/>
      <c r="AB89" s="844"/>
      <c r="AC89" s="844"/>
      <c r="AD89" s="844"/>
    </row>
    <row customHeight="1" ht="27">
      <c r="A90" s="843"/>
      <c r="B90" s="899">
        <v>73</v>
      </c>
      <c r="C90" s="841" t="s">
        <v>1538</v>
      </c>
      <c r="D90" s="968"/>
      <c r="E90" s="841"/>
      <c r="F90" s="841"/>
      <c r="G90" s="841"/>
      <c r="H90" s="891"/>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2" t="str">
        <f>IF(I90=0,"",I90)</f>
        <v/>
      </c>
      <c r="M90" s="842" t="str">
        <f>IF(J90=0,"",J90)</f>
        <v/>
      </c>
      <c r="N90" s="842" t="str">
        <f>IF(K90=0,"",K90)</f>
        <v/>
      </c>
      <c r="O90" s="958" t="s">
        <v>157</v>
      </c>
      <c r="P90" s="958"/>
      <c r="Q90" s="958"/>
      <c r="R90" s="958"/>
      <c r="S90" s="958"/>
      <c r="T90" s="841" t="s">
        <v>1539</v>
      </c>
      <c r="U90" s="841"/>
      <c r="V90" s="841"/>
      <c r="W90" s="841"/>
      <c r="X90" s="841"/>
      <c r="Y90" s="1001"/>
      <c r="Z90" s="844"/>
      <c r="AA90" s="847"/>
      <c r="AB90" s="844"/>
      <c r="AC90" s="844"/>
      <c r="AD90" s="844"/>
    </row>
    <row customHeight="1" ht="18">
      <c r="A91" s="843"/>
      <c r="B91" s="899">
        <v>74</v>
      </c>
      <c r="C91" s="841"/>
      <c r="D91" s="968" t="s">
        <v>1534</v>
      </c>
      <c r="E91" s="841" t="s">
        <v>1534</v>
      </c>
      <c r="F91" s="841"/>
      <c r="G91" s="841"/>
      <c r="H91" s="891"/>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2" t="str">
        <f>IF(I91=0,"",I91)</f>
        <v>13</v>
      </c>
      <c r="M91" s="842" t="str">
        <f>IF(J91=0,"",J91)</f>
        <v>Удельный расход электрической энергии на подачу воды в сеть</v>
      </c>
      <c r="N91" s="842" t="str">
        <f>IF(K91=0,"",K91)</f>
        <v/>
      </c>
      <c r="O91" s="958"/>
      <c r="P91" s="958" t="s">
        <v>156</v>
      </c>
      <c r="Q91" s="958" t="s">
        <v>156</v>
      </c>
      <c r="R91" s="958"/>
      <c r="S91" s="958"/>
      <c r="T91" s="841"/>
      <c r="U91" s="841" t="s">
        <v>1540</v>
      </c>
      <c r="V91" s="841" t="s">
        <v>1540</v>
      </c>
      <c r="W91" s="841"/>
      <c r="X91" s="841"/>
      <c r="Y91" s="1001"/>
      <c r="Z91" s="844"/>
      <c r="AA91" s="847"/>
      <c r="AB91" s="844"/>
      <c r="AC91" s="844"/>
      <c r="AD91" s="844"/>
    </row>
    <row customHeight="1" ht="27">
      <c r="A92" s="843"/>
      <c r="B92" s="899">
        <v>75</v>
      </c>
      <c r="C92" s="841"/>
      <c r="D92" s="968" t="s">
        <v>1536</v>
      </c>
      <c r="E92" s="841"/>
      <c r="F92" s="841"/>
      <c r="G92" s="841"/>
      <c r="H92" s="891"/>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2" t="str">
        <f>IF(I92=0,"",I92)</f>
        <v>14</v>
      </c>
      <c r="M92" s="842" t="str">
        <f>IF(J92=0,"",J92)</f>
        <v>Расход воды на собственные нужды, в том числе:</v>
      </c>
      <c r="N92" s="842" t="str">
        <f>IF(K92=0,"",K92)</f>
        <v>Указывается доля общего расхода воды на собственные нужны от объема отпуска воды потребителям.</v>
      </c>
      <c r="O92" s="958"/>
      <c r="P92" s="958" t="s">
        <v>157</v>
      </c>
      <c r="Q92" s="958"/>
      <c r="R92" s="958"/>
      <c r="S92" s="958"/>
      <c r="T92" s="841"/>
      <c r="U92" s="841" t="s">
        <v>1541</v>
      </c>
      <c r="V92" s="841"/>
      <c r="W92" s="841"/>
      <c r="X92" s="841"/>
      <c r="Y92" s="1001"/>
      <c r="Z92" s="844"/>
      <c r="AA92" s="847" t="s">
        <v>1542</v>
      </c>
      <c r="AB92" s="844"/>
      <c r="AC92" s="844"/>
      <c r="AD92" s="844"/>
    </row>
    <row customHeight="1" ht="27">
      <c r="A93" s="843"/>
      <c r="B93" s="899">
        <v>76</v>
      </c>
      <c r="C93" s="841"/>
      <c r="D93" s="968"/>
      <c r="E93" s="841"/>
      <c r="F93" s="841"/>
      <c r="G93" s="841"/>
      <c r="H93" s="891"/>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2" t="str">
        <f>IF(I93=0,"",I93)</f>
        <v>14.1</v>
      </c>
      <c r="M93" s="842" t="str">
        <f>IF(J93=0,"",J93)</f>
        <v>Расход воды на хозяйственно-бытовые нужды</v>
      </c>
      <c r="N93" s="842" t="str">
        <f>IF(K93=0,"",K93)</f>
        <v>Указывается доля расхода воды на хозяйственно-бытовые нужны от объема отпуска воды потребителям.</v>
      </c>
      <c r="O93" s="958"/>
      <c r="P93" s="958" t="s">
        <v>1430</v>
      </c>
      <c r="Q93" s="958"/>
      <c r="R93" s="958"/>
      <c r="S93" s="958"/>
      <c r="T93" s="841"/>
      <c r="U93" s="841" t="s">
        <v>1543</v>
      </c>
      <c r="V93" s="841"/>
      <c r="W93" s="841"/>
      <c r="X93" s="841"/>
      <c r="Y93" s="1001"/>
      <c r="Z93" s="844"/>
      <c r="AA93" s="847" t="s">
        <v>1544</v>
      </c>
      <c r="AB93" s="844"/>
      <c r="AC93" s="844"/>
      <c r="AD93" s="844"/>
    </row>
    <row customHeight="1" ht="45">
      <c r="A94" s="843"/>
      <c r="B94" s="899">
        <v>77</v>
      </c>
      <c r="C94" s="841"/>
      <c r="D94" s="968" t="s">
        <v>1538</v>
      </c>
      <c r="E94" s="841"/>
      <c r="F94" s="841"/>
      <c r="G94" s="841"/>
      <c r="H94" s="891"/>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2" t="str">
        <f>IF(I94=0,"",I94)</f>
        <v>15</v>
      </c>
      <c r="M94" s="842" t="str">
        <f>IF(J94=0,"",J94)</f>
        <v>Показатель использования производственных объектов (по объему перекачки), в том числе:</v>
      </c>
      <c r="N94" s="842"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856</v>
      </c>
      <c r="Q94" s="958"/>
      <c r="R94" s="958"/>
      <c r="S94" s="958"/>
      <c r="T94" s="841"/>
      <c r="U94" s="841" t="s">
        <v>1545</v>
      </c>
      <c r="V94" s="841"/>
      <c r="W94" s="841"/>
      <c r="X94" s="841"/>
      <c r="Y94" s="1001"/>
      <c r="Z94" s="844"/>
      <c r="AA94" s="847" t="s">
        <v>1546</v>
      </c>
      <c r="AB94" s="844"/>
      <c r="AC94" s="844"/>
      <c r="AD94" s="844"/>
    </row>
    <row customHeight="1" ht="99">
      <c r="A95" s="843"/>
      <c r="B95" s="899">
        <v>78</v>
      </c>
      <c r="C95" s="841" t="s">
        <v>1547</v>
      </c>
      <c r="D95" s="968"/>
      <c r="E95" s="841"/>
      <c r="F95" s="841"/>
      <c r="G95" s="841"/>
      <c r="H95" s="891"/>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2" t="str">
        <f>IF(I95=0,"",I95)</f>
        <v/>
      </c>
      <c r="M95" s="842" t="str">
        <f>IF(J95=0,"",J95)</f>
        <v/>
      </c>
      <c r="N95" s="842" t="str">
        <f>IF(K95=0,"",K95)</f>
        <v/>
      </c>
      <c r="O95" s="958" t="s">
        <v>856</v>
      </c>
      <c r="P95" s="958"/>
      <c r="Q95" s="958"/>
      <c r="R95" s="958"/>
      <c r="S95" s="958"/>
      <c r="T95" s="841" t="s">
        <v>1548</v>
      </c>
      <c r="U95" s="841"/>
      <c r="V95" s="841"/>
      <c r="W95" s="841"/>
      <c r="X95" s="841"/>
      <c r="Y95" s="1001"/>
      <c r="Z95" s="844"/>
      <c r="AA95" s="847"/>
      <c r="AB95" s="844"/>
      <c r="AC95" s="844"/>
      <c r="AD95" s="844"/>
    </row>
    <row customHeight="1" ht="99">
      <c r="A96" s="843"/>
      <c r="B96" s="899">
        <v>79</v>
      </c>
      <c r="C96" s="841" t="s">
        <v>1549</v>
      </c>
      <c r="D96" s="968"/>
      <c r="E96" s="841"/>
      <c r="F96" s="841"/>
      <c r="G96" s="841"/>
      <c r="H96" s="891"/>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2" t="str">
        <f>IF(I96=0,"",I96)</f>
        <v/>
      </c>
      <c r="M96" s="842" t="str">
        <f>IF(J96=0,"",J96)</f>
        <v/>
      </c>
      <c r="N96" s="842" t="str">
        <f>IF(K96=0,"",K96)</f>
        <v/>
      </c>
      <c r="O96" s="958" t="s">
        <v>862</v>
      </c>
      <c r="P96" s="958"/>
      <c r="Q96" s="958"/>
      <c r="R96" s="958"/>
      <c r="S96" s="958"/>
      <c r="T96" s="841" t="s">
        <v>1550</v>
      </c>
      <c r="U96" s="841"/>
      <c r="V96" s="841"/>
      <c r="W96" s="841"/>
      <c r="X96" s="841"/>
      <c r="Y96" s="1001"/>
      <c r="Z96" s="844" t="s">
        <v>1551</v>
      </c>
      <c r="AA96" s="847"/>
      <c r="AB96" s="844"/>
      <c r="AC96" s="844"/>
      <c r="AD96" s="844"/>
    </row>
    <row customHeight="1" ht="63">
      <c r="A97" s="843"/>
      <c r="B97" s="899">
        <v>80</v>
      </c>
      <c r="C97" s="841" t="s">
        <v>1552</v>
      </c>
      <c r="D97" s="968"/>
      <c r="E97" s="841"/>
      <c r="F97" s="841"/>
      <c r="G97" s="841"/>
      <c r="H97" s="891"/>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2" t="str">
        <f>IF(I97=0,"",I97)</f>
        <v/>
      </c>
      <c r="M97" s="842" t="str">
        <f>IF(J97=0,"",J97)</f>
        <v/>
      </c>
      <c r="N97" s="842" t="str">
        <f>IF(K97=0,"",K97)</f>
        <v/>
      </c>
      <c r="O97" s="958" t="s">
        <v>873</v>
      </c>
      <c r="P97" s="958"/>
      <c r="Q97" s="958"/>
      <c r="R97" s="958"/>
      <c r="S97" s="958"/>
      <c r="T97" s="841" t="s">
        <v>1553</v>
      </c>
      <c r="U97" s="841"/>
      <c r="V97" s="841"/>
      <c r="W97" s="841"/>
      <c r="X97" s="841"/>
      <c r="Y97" s="1001"/>
      <c r="Z97" s="844" t="s">
        <v>1554</v>
      </c>
      <c r="AA97" s="847"/>
      <c r="AB97" s="844"/>
      <c r="AC97" s="844"/>
      <c r="AD97" s="844"/>
    </row>
    <row customHeight="1" ht="63">
      <c r="A98" s="843"/>
      <c r="B98" s="899">
        <v>81</v>
      </c>
      <c r="C98" s="841" t="s">
        <v>1555</v>
      </c>
      <c r="D98" s="968"/>
      <c r="E98" s="841"/>
      <c r="F98" s="841"/>
      <c r="G98" s="841"/>
      <c r="H98" s="891"/>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2" t="str">
        <f>IF(I98=0,"",I98)</f>
        <v/>
      </c>
      <c r="M98" s="842" t="str">
        <f>IF(J98=0,"",J98)</f>
        <v/>
      </c>
      <c r="N98" s="842" t="str">
        <f>IF(K98=0,"",K98)</f>
        <v/>
      </c>
      <c r="O98" s="958" t="s">
        <v>887</v>
      </c>
      <c r="P98" s="958"/>
      <c r="Q98" s="958"/>
      <c r="R98" s="958"/>
      <c r="S98" s="958"/>
      <c r="T98" s="841" t="s">
        <v>1556</v>
      </c>
      <c r="U98" s="841"/>
      <c r="V98" s="841"/>
      <c r="W98" s="841"/>
      <c r="X98" s="841"/>
      <c r="Y98" s="1001"/>
      <c r="Z98" s="844" t="s">
        <v>1554</v>
      </c>
      <c r="AA98" s="847"/>
      <c r="AB98" s="844"/>
      <c r="AC98" s="844"/>
      <c r="AD98" s="844"/>
    </row>
    <row customHeight="1" ht="90">
      <c r="A99" s="843"/>
      <c r="B99" s="899">
        <v>82</v>
      </c>
      <c r="C99" s="841" t="s">
        <v>1557</v>
      </c>
      <c r="D99" s="968"/>
      <c r="E99" s="841"/>
      <c r="F99" s="841"/>
      <c r="G99" s="841"/>
      <c r="H99" s="891"/>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2" t="str">
        <f>IF(I99=0,"",I99)</f>
        <v/>
      </c>
      <c r="M99" s="842" t="str">
        <f>IF(J99=0,"",J99)</f>
        <v/>
      </c>
      <c r="N99" s="842" t="str">
        <f>IF(K99=0,"",K99)</f>
        <v/>
      </c>
      <c r="O99" s="958" t="s">
        <v>899</v>
      </c>
      <c r="P99" s="958"/>
      <c r="Q99" s="958"/>
      <c r="R99" s="958"/>
      <c r="S99" s="958"/>
      <c r="T99" s="841" t="s">
        <v>1558</v>
      </c>
      <c r="U99" s="841"/>
      <c r="V99" s="841"/>
      <c r="W99" s="841"/>
      <c r="X99" s="841"/>
      <c r="Y99" s="1001"/>
      <c r="Z99" s="844" t="s">
        <v>1559</v>
      </c>
      <c r="AA99" s="847"/>
      <c r="AB99" s="844"/>
      <c r="AC99" s="844"/>
      <c r="AD99" s="844"/>
    </row>
    <row customHeight="1" ht="27">
      <c r="A100" s="843"/>
      <c r="B100" s="899">
        <v>83</v>
      </c>
      <c r="C100" s="841"/>
      <c r="D100" s="968"/>
      <c r="E100" s="841"/>
      <c r="F100" s="841"/>
      <c r="G100" s="841"/>
      <c r="H100" s="891"/>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2" t="str">
        <f>IF(I100=0,"",I100)</f>
        <v/>
      </c>
      <c r="M100" s="842" t="str">
        <f>IF(J100=0,"",J100)</f>
        <v/>
      </c>
      <c r="N100" s="842" t="str">
        <f>IF(K100=0,"",K100)</f>
        <v/>
      </c>
      <c r="O100" s="958" t="s">
        <v>1560</v>
      </c>
      <c r="P100" s="958"/>
      <c r="Q100" s="958"/>
      <c r="R100" s="958"/>
      <c r="S100" s="958"/>
      <c r="T100" s="841" t="s">
        <v>1561</v>
      </c>
      <c r="U100" s="841"/>
      <c r="V100" s="841"/>
      <c r="W100" s="841"/>
      <c r="X100" s="841"/>
      <c r="Y100" s="1001"/>
      <c r="Z100" s="844" t="s">
        <v>1559</v>
      </c>
      <c r="AA100" s="847"/>
      <c r="AB100" s="844"/>
      <c r="AC100" s="844"/>
      <c r="AD100" s="844"/>
    </row>
    <row customHeight="1" ht="27">
      <c r="A101" s="843"/>
      <c r="B101" s="899">
        <v>84</v>
      </c>
      <c r="C101" s="841"/>
      <c r="D101" s="968"/>
      <c r="E101" s="841"/>
      <c r="F101" s="841"/>
      <c r="G101" s="841"/>
      <c r="H101" s="891"/>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2" t="str">
        <f>IF(I101=0,"",I101)</f>
        <v/>
      </c>
      <c r="M101" s="842" t="str">
        <f>IF(J101=0,"",J101)</f>
        <v/>
      </c>
      <c r="N101" s="842" t="str">
        <f>IF(K101=0,"",K101)</f>
        <v/>
      </c>
      <c r="O101" s="958" t="s">
        <v>1562</v>
      </c>
      <c r="P101" s="958"/>
      <c r="Q101" s="958"/>
      <c r="R101" s="958"/>
      <c r="S101" s="958"/>
      <c r="T101" s="841" t="s">
        <v>1563</v>
      </c>
      <c r="U101" s="841"/>
      <c r="V101" s="841"/>
      <c r="W101" s="841"/>
      <c r="X101" s="841"/>
      <c r="Y101" s="1001"/>
      <c r="Z101" s="844" t="s">
        <v>1559</v>
      </c>
      <c r="AA101" s="847"/>
      <c r="AB101" s="844"/>
      <c r="AC101" s="844"/>
      <c r="AD101" s="844"/>
    </row>
    <row customHeight="1" ht="9">
      <c r="A102" s="843"/>
      <c r="B102" s="843"/>
      <c r="C102" s="841"/>
      <c r="D102" s="841"/>
      <c r="E102" s="841"/>
      <c r="F102" s="841"/>
      <c r="G102" s="841"/>
      <c r="H102" s="891"/>
      <c r="I102" s="891"/>
      <c r="J102" s="891"/>
      <c r="K102" s="891"/>
      <c r="L102" s="891"/>
      <c r="M102" s="841"/>
      <c r="N102" s="890"/>
      <c r="O102" s="958"/>
      <c r="P102" s="958"/>
      <c r="Q102" s="958"/>
      <c r="R102" s="958"/>
      <c r="S102" s="841"/>
      <c r="T102" s="841"/>
      <c r="U102" s="841"/>
      <c r="V102" s="841"/>
      <c r="W102" s="841"/>
      <c r="X102" s="841"/>
      <c r="Y102" s="1001"/>
      <c r="Z102" s="844"/>
      <c r="AA102" s="847"/>
      <c r="AB102" s="844"/>
      <c r="AC102" s="844"/>
      <c r="AD102" s="844"/>
    </row>
    <row customHeight="1" ht="9">
      <c r="A103" s="843"/>
      <c r="B103" s="843"/>
      <c r="C103" s="841"/>
      <c r="D103" s="841"/>
      <c r="E103" s="841"/>
      <c r="F103" s="841"/>
      <c r="G103" s="841"/>
      <c r="H103" s="891"/>
      <c r="I103" s="891"/>
      <c r="J103" s="891"/>
      <c r="K103" s="891"/>
      <c r="L103" s="891"/>
      <c r="M103" s="841"/>
      <c r="N103" s="890"/>
      <c r="O103" s="958"/>
      <c r="P103" s="958"/>
      <c r="Q103" s="958"/>
      <c r="R103" s="958"/>
      <c r="S103" s="841"/>
      <c r="T103" s="841"/>
      <c r="U103" s="841"/>
      <c r="V103" s="841"/>
      <c r="W103" s="841"/>
      <c r="X103" s="841"/>
      <c r="Y103" s="1001"/>
      <c r="Z103" s="844"/>
      <c r="AA103" s="847"/>
      <c r="AB103" s="844"/>
      <c r="AC103" s="844"/>
      <c r="AD103" s="844"/>
    </row>
    <row customHeight="1" ht="9">
      <c r="A104" s="843"/>
      <c r="B104" s="843"/>
      <c r="C104" s="841"/>
      <c r="D104" s="841"/>
      <c r="E104" s="841"/>
      <c r="F104" s="841"/>
      <c r="G104" s="841"/>
      <c r="H104" s="891"/>
      <c r="I104" s="891"/>
      <c r="J104" s="891"/>
      <c r="K104" s="891"/>
      <c r="L104" s="891"/>
      <c r="M104" s="841"/>
      <c r="N104" s="890"/>
      <c r="O104" s="958"/>
      <c r="P104" s="958"/>
      <c r="Q104" s="958"/>
      <c r="R104" s="958"/>
      <c r="S104" s="841"/>
      <c r="T104" s="841"/>
      <c r="U104" s="841"/>
      <c r="V104" s="841"/>
      <c r="W104" s="841"/>
      <c r="X104" s="841"/>
      <c r="Y104" s="1001"/>
      <c r="Z104" s="844"/>
      <c r="AA104" s="847"/>
      <c r="AB104" s="844"/>
      <c r="AC104" s="844"/>
      <c r="AD104" s="844"/>
    </row>
    <row customHeight="1" ht="9">
      <c r="A105" s="843"/>
      <c r="B105" s="843"/>
      <c r="C105" s="841"/>
      <c r="D105" s="841"/>
      <c r="E105" s="841"/>
      <c r="F105" s="841"/>
      <c r="G105" s="841"/>
      <c r="H105" s="891"/>
      <c r="I105" s="891"/>
      <c r="J105" s="891"/>
      <c r="K105" s="891"/>
      <c r="L105" s="891"/>
      <c r="M105" s="841"/>
      <c r="N105" s="890"/>
      <c r="O105" s="958"/>
      <c r="P105" s="958"/>
      <c r="Q105" s="958"/>
      <c r="R105" s="958"/>
      <c r="S105" s="841"/>
      <c r="T105" s="841"/>
      <c r="U105" s="841"/>
      <c r="V105" s="841"/>
      <c r="W105" s="841"/>
      <c r="X105" s="841"/>
      <c r="Y105" s="1001"/>
      <c r="Z105" s="844"/>
      <c r="AA105" s="847"/>
      <c r="AB105" s="844"/>
      <c r="AC105" s="844"/>
      <c r="AD105" s="844"/>
    </row>
    <row customHeight="1" ht="9">
      <c r="A106" s="843"/>
      <c r="B106" s="843"/>
      <c r="C106" s="841"/>
      <c r="D106" s="841"/>
      <c r="E106" s="841"/>
      <c r="F106" s="841"/>
      <c r="G106" s="841"/>
      <c r="H106" s="891"/>
      <c r="I106" s="891"/>
      <c r="J106" s="891"/>
      <c r="K106" s="891"/>
      <c r="L106" s="891"/>
      <c r="M106" s="841"/>
      <c r="N106" s="890"/>
      <c r="O106" s="958"/>
      <c r="P106" s="958"/>
      <c r="Q106" s="958"/>
      <c r="R106" s="958"/>
      <c r="S106" s="841"/>
      <c r="T106" s="841"/>
      <c r="U106" s="841"/>
      <c r="V106" s="841"/>
      <c r="W106" s="841"/>
      <c r="X106" s="841"/>
      <c r="Y106" s="1001"/>
      <c r="Z106" s="844"/>
      <c r="AA106" s="847"/>
      <c r="AB106" s="844"/>
      <c r="AC106" s="844"/>
      <c r="AD106" s="844"/>
    </row>
    <row customHeight="1" ht="9">
      <c r="A107" s="843"/>
      <c r="B107" s="843"/>
      <c r="C107" s="841"/>
      <c r="D107" s="841"/>
      <c r="E107" s="841"/>
      <c r="F107" s="841"/>
      <c r="G107" s="841"/>
      <c r="H107" s="891"/>
      <c r="I107" s="891"/>
      <c r="J107" s="891"/>
      <c r="K107" s="891"/>
      <c r="L107" s="891"/>
      <c r="M107" s="841"/>
      <c r="N107" s="890"/>
      <c r="O107" s="958"/>
      <c r="P107" s="958"/>
      <c r="Q107" s="958"/>
      <c r="R107" s="958"/>
      <c r="S107" s="841"/>
      <c r="T107" s="841"/>
      <c r="U107" s="841"/>
      <c r="V107" s="841"/>
      <c r="W107" s="841"/>
      <c r="X107" s="841"/>
      <c r="Y107" s="1001"/>
      <c r="Z107" s="844"/>
      <c r="AA107" s="847"/>
      <c r="AB107" s="844"/>
      <c r="AC107" s="844"/>
      <c r="AD107" s="844"/>
    </row>
    <row customHeight="1" ht="9">
      <c r="A108" s="843"/>
      <c r="B108" s="843"/>
      <c r="C108" s="841"/>
      <c r="D108" s="841"/>
      <c r="E108" s="841"/>
      <c r="F108" s="841"/>
      <c r="G108" s="841"/>
      <c r="H108" s="891"/>
      <c r="I108" s="891"/>
      <c r="J108" s="891"/>
      <c r="K108" s="891"/>
      <c r="L108" s="891"/>
      <c r="M108" s="841"/>
      <c r="N108" s="890"/>
      <c r="O108" s="958"/>
      <c r="P108" s="958"/>
      <c r="Q108" s="958"/>
      <c r="R108" s="958"/>
      <c r="S108" s="841"/>
      <c r="T108" s="841"/>
      <c r="U108" s="841"/>
      <c r="V108" s="841"/>
      <c r="W108" s="841"/>
      <c r="X108" s="841"/>
      <c r="Y108" s="1001"/>
      <c r="Z108" s="844"/>
      <c r="AA108" s="847"/>
      <c r="AB108" s="844"/>
      <c r="AC108" s="844"/>
      <c r="AD108" s="844"/>
    </row>
    <row customHeight="1" ht="9">
      <c r="A109" s="843"/>
      <c r="B109" s="843"/>
      <c r="C109" s="841"/>
      <c r="D109" s="841"/>
      <c r="E109" s="841"/>
      <c r="F109" s="841"/>
      <c r="G109" s="841"/>
      <c r="H109" s="891"/>
      <c r="I109" s="891"/>
      <c r="J109" s="891"/>
      <c r="K109" s="891"/>
      <c r="L109" s="891"/>
      <c r="M109" s="841"/>
      <c r="N109" s="890"/>
      <c r="O109" s="958"/>
      <c r="P109" s="958"/>
      <c r="Q109" s="958"/>
      <c r="R109" s="958"/>
      <c r="S109" s="841"/>
      <c r="T109" s="841"/>
      <c r="U109" s="841"/>
      <c r="V109" s="841"/>
      <c r="W109" s="841"/>
      <c r="X109" s="841"/>
      <c r="Y109" s="1001"/>
      <c r="Z109" s="844"/>
      <c r="AA109" s="847"/>
      <c r="AB109" s="844"/>
      <c r="AC109" s="844"/>
      <c r="AD109" s="844"/>
    </row>
    <row customHeight="1" ht="9">
      <c r="A110" s="843"/>
      <c r="B110" s="843"/>
      <c r="C110" s="841"/>
      <c r="D110" s="841"/>
      <c r="E110" s="841"/>
      <c r="F110" s="841"/>
      <c r="G110" s="841"/>
      <c r="H110" s="891"/>
      <c r="I110" s="891"/>
      <c r="J110" s="891"/>
      <c r="K110" s="891"/>
      <c r="L110" s="891"/>
      <c r="M110" s="841"/>
      <c r="N110" s="890"/>
      <c r="O110" s="958"/>
      <c r="P110" s="958"/>
      <c r="Q110" s="958"/>
      <c r="R110" s="958"/>
      <c r="S110" s="841"/>
      <c r="T110" s="841"/>
      <c r="U110" s="841"/>
      <c r="V110" s="841"/>
      <c r="W110" s="841"/>
      <c r="X110" s="841"/>
      <c r="Y110" s="1001"/>
      <c r="Z110" s="844"/>
      <c r="AA110" s="847"/>
      <c r="AB110" s="844"/>
      <c r="AC110" s="844"/>
      <c r="AD110" s="844"/>
    </row>
    <row customHeight="1" ht="9">
      <c r="A111" s="843"/>
      <c r="B111" s="843"/>
      <c r="C111" s="841"/>
      <c r="D111" s="841"/>
      <c r="E111" s="841"/>
      <c r="F111" s="841"/>
      <c r="G111" s="841"/>
      <c r="H111" s="891"/>
      <c r="I111" s="891"/>
      <c r="J111" s="891"/>
      <c r="K111" s="891"/>
      <c r="L111" s="891"/>
      <c r="M111" s="841"/>
      <c r="N111" s="890"/>
      <c r="O111" s="958"/>
      <c r="P111" s="958"/>
      <c r="Q111" s="958"/>
      <c r="R111" s="958"/>
      <c r="S111" s="841"/>
      <c r="T111" s="841"/>
      <c r="U111" s="841"/>
      <c r="V111" s="841"/>
      <c r="W111" s="841"/>
      <c r="X111" s="841"/>
      <c r="Y111" s="1001"/>
      <c r="Z111" s="844"/>
      <c r="AA111" s="847"/>
      <c r="AB111" s="844"/>
      <c r="AC111" s="844"/>
      <c r="AD111" s="844"/>
    </row>
    <row customHeight="1" ht="9">
      <c r="A112" s="843"/>
      <c r="B112" s="843"/>
      <c r="C112" s="841"/>
      <c r="D112" s="841"/>
      <c r="E112" s="841"/>
      <c r="F112" s="841"/>
      <c r="G112" s="841"/>
      <c r="H112" s="891"/>
      <c r="I112" s="891"/>
      <c r="J112" s="891"/>
      <c r="K112" s="891"/>
      <c r="L112" s="891"/>
      <c r="M112" s="841"/>
      <c r="N112" s="890"/>
      <c r="O112" s="958"/>
      <c r="P112" s="958"/>
      <c r="Q112" s="958"/>
      <c r="R112" s="958"/>
      <c r="S112" s="841"/>
      <c r="T112" s="841"/>
      <c r="U112" s="841"/>
      <c r="V112" s="841"/>
      <c r="W112" s="841"/>
      <c r="X112" s="841"/>
      <c r="Y112" s="1001"/>
      <c r="Z112" s="844"/>
      <c r="AA112" s="847"/>
      <c r="AB112" s="844"/>
      <c r="AC112" s="844"/>
      <c r="AD112" s="844"/>
    </row>
    <row customHeight="1" ht="9">
      <c r="A113" s="843"/>
      <c r="B113" s="843"/>
      <c r="C113" s="841"/>
      <c r="D113" s="841"/>
      <c r="E113" s="841"/>
      <c r="F113" s="841"/>
      <c r="G113" s="841"/>
      <c r="H113" s="891"/>
      <c r="I113" s="891"/>
      <c r="J113" s="891"/>
      <c r="K113" s="891"/>
      <c r="L113" s="891"/>
      <c r="M113" s="841"/>
      <c r="N113" s="890"/>
      <c r="O113" s="958"/>
      <c r="P113" s="958"/>
      <c r="Q113" s="958"/>
      <c r="R113" s="958"/>
      <c r="S113" s="841"/>
      <c r="T113" s="841"/>
      <c r="U113" s="841"/>
      <c r="V113" s="841"/>
      <c r="W113" s="841"/>
      <c r="X113" s="841"/>
      <c r="Y113" s="1001"/>
      <c r="Z113" s="844"/>
      <c r="AA113" s="847"/>
      <c r="AB113" s="844"/>
      <c r="AC113" s="844"/>
      <c r="AD113" s="844"/>
    </row>
    <row customHeight="1" ht="9">
      <c r="A114" s="843"/>
      <c r="B114" s="843"/>
      <c r="C114" s="841"/>
      <c r="D114" s="841"/>
      <c r="E114" s="841"/>
      <c r="F114" s="841"/>
      <c r="G114" s="841"/>
      <c r="H114" s="891"/>
      <c r="I114" s="891"/>
      <c r="J114" s="891"/>
      <c r="K114" s="891"/>
      <c r="L114" s="891"/>
      <c r="M114" s="841"/>
      <c r="N114" s="890"/>
      <c r="O114" s="958"/>
      <c r="P114" s="958"/>
      <c r="Q114" s="958"/>
      <c r="R114" s="958"/>
      <c r="S114" s="841"/>
      <c r="T114" s="841"/>
      <c r="U114" s="841"/>
      <c r="V114" s="841"/>
      <c r="W114" s="841"/>
      <c r="X114" s="841"/>
      <c r="Y114" s="1001"/>
      <c r="Z114" s="844"/>
      <c r="AA114" s="847"/>
      <c r="AB114" s="844"/>
      <c r="AC114" s="844"/>
      <c r="AD114" s="844"/>
    </row>
    <row customHeight="1" ht="9">
      <c r="A115" s="843"/>
      <c r="B115" s="843"/>
      <c r="C115" s="841"/>
      <c r="D115" s="841"/>
      <c r="E115" s="841"/>
      <c r="F115" s="841"/>
      <c r="G115" s="841"/>
      <c r="H115" s="891"/>
      <c r="I115" s="891"/>
      <c r="J115" s="891"/>
      <c r="K115" s="891"/>
      <c r="L115" s="891"/>
      <c r="M115" s="841"/>
      <c r="N115" s="890"/>
      <c r="O115" s="958"/>
      <c r="P115" s="958"/>
      <c r="Q115" s="958"/>
      <c r="R115" s="958"/>
      <c r="S115" s="841"/>
      <c r="T115" s="841"/>
      <c r="U115" s="841"/>
      <c r="V115" s="841"/>
      <c r="W115" s="841"/>
      <c r="X115" s="841"/>
      <c r="Y115" s="1001"/>
      <c r="Z115" s="844"/>
      <c r="AA115" s="847"/>
      <c r="AB115" s="844"/>
      <c r="AC115" s="844"/>
      <c r="AD115" s="844"/>
    </row>
    <row customHeight="1" ht="9">
      <c r="A116" s="843"/>
      <c r="B116" s="843"/>
      <c r="C116" s="841"/>
      <c r="D116" s="841"/>
      <c r="E116" s="841"/>
      <c r="F116" s="841"/>
      <c r="G116" s="841"/>
      <c r="H116" s="891"/>
      <c r="I116" s="891"/>
      <c r="J116" s="891"/>
      <c r="K116" s="891"/>
      <c r="L116" s="891"/>
      <c r="M116" s="841"/>
      <c r="N116" s="890"/>
      <c r="O116" s="958"/>
      <c r="P116" s="958"/>
      <c r="Q116" s="958"/>
      <c r="R116" s="958"/>
      <c r="S116" s="841"/>
      <c r="T116" s="841"/>
      <c r="U116" s="841"/>
      <c r="V116" s="841"/>
      <c r="W116" s="841"/>
      <c r="X116" s="841"/>
      <c r="Y116" s="1001"/>
      <c r="Z116" s="844"/>
      <c r="AA116" s="847"/>
      <c r="AB116" s="844"/>
      <c r="AC116" s="844"/>
      <c r="AD116" s="844"/>
    </row>
    <row customHeight="1" ht="9">
      <c r="A117" s="843"/>
      <c r="B117" s="843"/>
      <c r="C117" s="841"/>
      <c r="D117" s="841"/>
      <c r="E117" s="841"/>
      <c r="F117" s="841"/>
      <c r="G117" s="841"/>
      <c r="H117" s="891"/>
      <c r="I117" s="891"/>
      <c r="J117" s="891"/>
      <c r="K117" s="891"/>
      <c r="L117" s="891"/>
      <c r="M117" s="841"/>
      <c r="N117" s="890"/>
      <c r="O117" s="958"/>
      <c r="P117" s="958"/>
      <c r="Q117" s="958"/>
      <c r="R117" s="958"/>
      <c r="S117" s="841"/>
      <c r="T117" s="841"/>
      <c r="U117" s="841"/>
      <c r="V117" s="841"/>
      <c r="W117" s="841"/>
      <c r="X117" s="841"/>
      <c r="Y117" s="1001"/>
      <c r="Z117" s="844"/>
      <c r="AA117" s="847"/>
      <c r="AB117" s="844"/>
      <c r="AC117" s="844"/>
      <c r="AD117" s="844"/>
    </row>
    <row customHeight="1" ht="9">
      <c r="A118" s="843"/>
      <c r="B118" s="843"/>
      <c r="C118" s="841"/>
      <c r="D118" s="841"/>
      <c r="E118" s="841"/>
      <c r="F118" s="841"/>
      <c r="G118" s="841"/>
      <c r="H118" s="891"/>
      <c r="I118" s="891"/>
      <c r="J118" s="891"/>
      <c r="K118" s="891"/>
      <c r="L118" s="891"/>
      <c r="M118" s="841"/>
      <c r="N118" s="890"/>
      <c r="O118" s="958"/>
      <c r="P118" s="958"/>
      <c r="Q118" s="958"/>
      <c r="R118" s="958"/>
      <c r="S118" s="841"/>
      <c r="T118" s="841"/>
      <c r="U118" s="841"/>
      <c r="V118" s="841"/>
      <c r="W118" s="841"/>
      <c r="X118" s="841"/>
      <c r="Y118" s="1001"/>
      <c r="Z118" s="844"/>
      <c r="AA118" s="847"/>
      <c r="AB118" s="844"/>
      <c r="AC118" s="844"/>
      <c r="AD118" s="844"/>
    </row>
    <row customHeight="1" ht="9">
      <c r="A119" s="843"/>
      <c r="B119" s="843"/>
      <c r="C119" s="841"/>
      <c r="D119" s="841"/>
      <c r="E119" s="841"/>
      <c r="F119" s="841"/>
      <c r="G119" s="841"/>
      <c r="H119" s="891"/>
      <c r="I119" s="891"/>
      <c r="J119" s="891"/>
      <c r="K119" s="891"/>
      <c r="L119" s="891"/>
      <c r="M119" s="841"/>
      <c r="N119" s="890"/>
      <c r="O119" s="958"/>
      <c r="P119" s="958"/>
      <c r="Q119" s="958"/>
      <c r="R119" s="958"/>
      <c r="S119" s="841"/>
      <c r="T119" s="841"/>
      <c r="U119" s="841"/>
      <c r="V119" s="841"/>
      <c r="W119" s="841"/>
      <c r="X119" s="841"/>
      <c r="Y119" s="1001"/>
      <c r="Z119" s="844"/>
      <c r="AA119" s="847"/>
      <c r="AB119" s="844"/>
      <c r="AC119" s="844"/>
      <c r="AD119" s="844"/>
    </row>
    <row customHeight="1" ht="9">
      <c r="A120" s="843"/>
      <c r="B120" s="843"/>
      <c r="C120" s="841"/>
      <c r="D120" s="841"/>
      <c r="E120" s="841"/>
      <c r="F120" s="841"/>
      <c r="G120" s="841"/>
      <c r="H120" s="891"/>
      <c r="I120" s="891"/>
      <c r="J120" s="891"/>
      <c r="K120" s="891"/>
      <c r="L120" s="891"/>
      <c r="M120" s="841"/>
      <c r="N120" s="890"/>
      <c r="O120" s="958"/>
      <c r="P120" s="958"/>
      <c r="Q120" s="958"/>
      <c r="R120" s="958"/>
      <c r="S120" s="841"/>
      <c r="T120" s="841"/>
      <c r="U120" s="841"/>
      <c r="V120" s="841"/>
      <c r="W120" s="841"/>
      <c r="X120" s="841"/>
      <c r="Y120" s="1001"/>
      <c r="Z120" s="844"/>
      <c r="AA120" s="847"/>
      <c r="AB120" s="844"/>
      <c r="AC120" s="844"/>
      <c r="AD120" s="844"/>
    </row>
    <row customHeight="1" ht="9">
      <c r="A121" s="843"/>
      <c r="B121" s="843"/>
      <c r="C121" s="841"/>
      <c r="D121" s="841"/>
      <c r="E121" s="841"/>
      <c r="F121" s="841"/>
      <c r="G121" s="841"/>
      <c r="H121" s="891"/>
      <c r="I121" s="891"/>
      <c r="J121" s="891"/>
      <c r="K121" s="891"/>
      <c r="L121" s="891"/>
      <c r="M121" s="841"/>
      <c r="N121" s="890"/>
      <c r="O121" s="958"/>
      <c r="P121" s="958"/>
      <c r="Q121" s="958"/>
      <c r="R121" s="958"/>
      <c r="S121" s="841"/>
      <c r="T121" s="841"/>
      <c r="U121" s="841"/>
      <c r="V121" s="841"/>
      <c r="W121" s="841"/>
      <c r="X121" s="841"/>
      <c r="Y121" s="1001"/>
      <c r="Z121" s="844"/>
      <c r="AA121" s="847"/>
      <c r="AB121" s="844"/>
      <c r="AC121" s="844"/>
      <c r="AD121" s="844"/>
    </row>
    <row customHeight="1" ht="9">
      <c r="A122" s="843"/>
      <c r="B122" s="843"/>
      <c r="C122" s="841"/>
      <c r="D122" s="841"/>
      <c r="E122" s="841"/>
      <c r="F122" s="841"/>
      <c r="G122" s="841"/>
      <c r="H122" s="891"/>
      <c r="I122" s="891"/>
      <c r="J122" s="891"/>
      <c r="K122" s="891"/>
      <c r="L122" s="891"/>
      <c r="M122" s="841"/>
      <c r="N122" s="890"/>
      <c r="O122" s="958"/>
      <c r="P122" s="958"/>
      <c r="Q122" s="958"/>
      <c r="R122" s="958"/>
      <c r="S122" s="841"/>
      <c r="T122" s="841"/>
      <c r="U122" s="841"/>
      <c r="V122" s="841"/>
      <c r="W122" s="841"/>
      <c r="X122" s="841"/>
      <c r="Y122" s="1001"/>
      <c r="Z122" s="844"/>
      <c r="AA122" s="847"/>
      <c r="AB122" s="844"/>
      <c r="AC122" s="844"/>
      <c r="AD122" s="844"/>
    </row>
    <row customHeight="1" ht="9">
      <c r="A123" s="843"/>
      <c r="B123" s="843"/>
      <c r="C123" s="841"/>
      <c r="D123" s="841"/>
      <c r="E123" s="841"/>
      <c r="F123" s="841"/>
      <c r="G123" s="841"/>
      <c r="H123" s="891"/>
      <c r="I123" s="891"/>
      <c r="J123" s="891"/>
      <c r="K123" s="891"/>
      <c r="L123" s="891"/>
      <c r="M123" s="841"/>
      <c r="N123" s="890"/>
      <c r="O123" s="958"/>
      <c r="P123" s="958"/>
      <c r="Q123" s="958"/>
      <c r="R123" s="958"/>
      <c r="S123" s="841"/>
      <c r="T123" s="841"/>
      <c r="U123" s="841"/>
      <c r="V123" s="841"/>
      <c r="W123" s="841"/>
      <c r="X123" s="841"/>
      <c r="Y123" s="1001"/>
      <c r="Z123" s="844"/>
      <c r="AA123" s="847"/>
      <c r="AB123" s="844"/>
      <c r="AC123" s="844"/>
      <c r="AD123" s="844"/>
    </row>
    <row customHeight="1" ht="9">
      <c r="A124" s="843"/>
      <c r="B124" s="843"/>
      <c r="C124" s="841"/>
      <c r="D124" s="841"/>
      <c r="E124" s="841"/>
      <c r="F124" s="841"/>
      <c r="G124" s="841"/>
      <c r="H124" s="891"/>
      <c r="I124" s="891"/>
      <c r="J124" s="891"/>
      <c r="K124" s="891"/>
      <c r="L124" s="891"/>
      <c r="M124" s="841"/>
      <c r="N124" s="890"/>
      <c r="O124" s="958"/>
      <c r="P124" s="958"/>
      <c r="Q124" s="958"/>
      <c r="R124" s="958"/>
      <c r="S124" s="841"/>
      <c r="T124" s="841"/>
      <c r="U124" s="841"/>
      <c r="V124" s="841"/>
      <c r="W124" s="841"/>
      <c r="X124" s="841"/>
      <c r="Y124" s="1001"/>
      <c r="Z124" s="844"/>
      <c r="AA124" s="847"/>
      <c r="AB124" s="844"/>
      <c r="AC124" s="844"/>
      <c r="AD124" s="844"/>
    </row>
    <row customHeight="1" ht="9">
      <c r="A125" s="843"/>
      <c r="B125" s="843"/>
      <c r="C125" s="841"/>
      <c r="D125" s="841"/>
      <c r="E125" s="841"/>
      <c r="F125" s="841"/>
      <c r="G125" s="841"/>
      <c r="H125" s="891"/>
      <c r="I125" s="891"/>
      <c r="J125" s="891"/>
      <c r="K125" s="891"/>
      <c r="L125" s="891"/>
      <c r="M125" s="841"/>
      <c r="N125" s="890"/>
      <c r="O125" s="958"/>
      <c r="P125" s="958"/>
      <c r="Q125" s="958"/>
      <c r="R125" s="958"/>
      <c r="S125" s="841"/>
      <c r="T125" s="841"/>
      <c r="U125" s="841"/>
      <c r="V125" s="841"/>
      <c r="W125" s="841"/>
      <c r="X125" s="841"/>
      <c r="Y125" s="1001"/>
      <c r="Z125" s="844"/>
      <c r="AA125" s="847"/>
      <c r="AB125" s="844"/>
      <c r="AC125" s="844"/>
      <c r="AD125" s="844"/>
    </row>
    <row customHeight="1" ht="9">
      <c r="A126" s="843"/>
      <c r="B126" s="843"/>
      <c r="C126" s="841"/>
      <c r="D126" s="841"/>
      <c r="E126" s="841"/>
      <c r="F126" s="841"/>
      <c r="G126" s="841"/>
      <c r="H126" s="891"/>
      <c r="I126" s="891"/>
      <c r="J126" s="891"/>
      <c r="K126" s="891"/>
      <c r="L126" s="891"/>
      <c r="M126" s="841"/>
      <c r="N126" s="890"/>
      <c r="O126" s="958"/>
      <c r="P126" s="958"/>
      <c r="Q126" s="958"/>
      <c r="R126" s="958"/>
      <c r="S126" s="841"/>
      <c r="T126" s="841"/>
      <c r="U126" s="841"/>
      <c r="V126" s="841"/>
      <c r="W126" s="841"/>
      <c r="X126" s="841"/>
      <c r="Y126" s="1001"/>
      <c r="Z126" s="844"/>
      <c r="AA126" s="847"/>
      <c r="AB126" s="844"/>
      <c r="AC126" s="844"/>
      <c r="AD126" s="844"/>
    </row>
    <row customHeight="1" ht="9">
      <c r="A127" s="843"/>
      <c r="B127" s="843"/>
      <c r="C127" s="841"/>
      <c r="D127" s="841"/>
      <c r="E127" s="841"/>
      <c r="F127" s="841"/>
      <c r="G127" s="841"/>
      <c r="H127" s="891"/>
      <c r="I127" s="891"/>
      <c r="J127" s="891"/>
      <c r="K127" s="891"/>
      <c r="L127" s="891"/>
      <c r="M127" s="841"/>
      <c r="N127" s="890"/>
      <c r="O127" s="958"/>
      <c r="P127" s="958"/>
      <c r="Q127" s="958"/>
      <c r="R127" s="958"/>
      <c r="S127" s="841"/>
      <c r="T127" s="841"/>
      <c r="U127" s="841"/>
      <c r="V127" s="841"/>
      <c r="W127" s="841"/>
      <c r="X127" s="841"/>
      <c r="Y127" s="1001"/>
      <c r="Z127" s="844"/>
      <c r="AA127" s="847"/>
      <c r="AB127" s="844"/>
      <c r="AC127" s="844"/>
      <c r="AD127" s="844"/>
    </row>
    <row customHeight="1" ht="9">
      <c r="A128" s="843"/>
      <c r="B128" s="843"/>
      <c r="C128" s="841"/>
      <c r="D128" s="841"/>
      <c r="E128" s="841"/>
      <c r="F128" s="841"/>
      <c r="G128" s="841"/>
      <c r="H128" s="891"/>
      <c r="I128" s="891"/>
      <c r="J128" s="891"/>
      <c r="K128" s="891"/>
      <c r="L128" s="891"/>
      <c r="M128" s="841"/>
      <c r="N128" s="890"/>
      <c r="O128" s="958"/>
      <c r="P128" s="958"/>
      <c r="Q128" s="958"/>
      <c r="R128" s="958"/>
      <c r="S128" s="841"/>
      <c r="T128" s="841"/>
      <c r="U128" s="841"/>
      <c r="V128" s="841"/>
      <c r="W128" s="841"/>
      <c r="X128" s="841"/>
      <c r="Y128" s="1001"/>
      <c r="Z128" s="844"/>
      <c r="AA128" s="847"/>
      <c r="AB128" s="844"/>
      <c r="AC128" s="844"/>
      <c r="AD128" s="844"/>
    </row>
    <row customHeight="1" ht="9">
      <c r="A129" s="843"/>
      <c r="B129" s="843"/>
      <c r="C129" s="841"/>
      <c r="D129" s="841"/>
      <c r="E129" s="841"/>
      <c r="F129" s="841"/>
      <c r="G129" s="841"/>
      <c r="H129" s="891"/>
      <c r="I129" s="891"/>
      <c r="J129" s="891"/>
      <c r="K129" s="891"/>
      <c r="L129" s="891"/>
      <c r="M129" s="841"/>
      <c r="N129" s="890"/>
      <c r="O129" s="958"/>
      <c r="P129" s="958"/>
      <c r="Q129" s="958"/>
      <c r="R129" s="958"/>
      <c r="S129" s="841"/>
      <c r="T129" s="841"/>
      <c r="U129" s="841"/>
      <c r="V129" s="841"/>
      <c r="W129" s="841"/>
      <c r="X129" s="841"/>
      <c r="Y129" s="1001"/>
      <c r="Z129" s="844"/>
      <c r="AA129" s="847"/>
      <c r="AB129" s="844"/>
      <c r="AC129" s="844"/>
      <c r="AD129" s="844"/>
    </row>
    <row customHeight="1" ht="9">
      <c r="A130" s="843"/>
      <c r="B130" s="843"/>
      <c r="C130" s="841"/>
      <c r="D130" s="841"/>
      <c r="E130" s="841"/>
      <c r="F130" s="841"/>
      <c r="G130" s="841"/>
      <c r="H130" s="891"/>
      <c r="I130" s="891"/>
      <c r="J130" s="891"/>
      <c r="K130" s="891"/>
      <c r="L130" s="891"/>
      <c r="M130" s="841"/>
      <c r="N130" s="890"/>
      <c r="O130" s="960"/>
      <c r="P130" s="960"/>
      <c r="Q130" s="960"/>
      <c r="R130" s="960"/>
      <c r="S130" s="841"/>
      <c r="T130" s="841"/>
      <c r="U130" s="841"/>
      <c r="V130" s="841"/>
      <c r="W130" s="841"/>
      <c r="X130" s="841"/>
      <c r="Y130" s="1001"/>
      <c r="Z130" s="844"/>
      <c r="AA130" s="847"/>
      <c r="AB130" s="844"/>
      <c r="AC130" s="844"/>
      <c r="AD130" s="844"/>
    </row>
    <row customHeight="1" ht="9">
      <c r="A131" s="843"/>
      <c r="B131" s="843"/>
      <c r="C131" s="841"/>
      <c r="D131" s="841"/>
      <c r="E131" s="841"/>
      <c r="F131" s="841"/>
      <c r="G131" s="841"/>
      <c r="H131" s="891"/>
      <c r="I131" s="891"/>
      <c r="J131" s="891"/>
      <c r="K131" s="891"/>
      <c r="L131" s="891"/>
      <c r="M131" s="841"/>
      <c r="N131" s="890"/>
      <c r="O131" s="961"/>
      <c r="P131" s="961"/>
      <c r="Q131" s="961"/>
      <c r="R131" s="961"/>
      <c r="S131" s="841"/>
      <c r="T131" s="841"/>
      <c r="U131" s="841"/>
      <c r="V131" s="841"/>
      <c r="W131" s="841"/>
      <c r="X131" s="841"/>
      <c r="Y131" s="1001"/>
      <c r="Z131" s="844"/>
      <c r="AA131" s="847"/>
      <c r="AB131" s="844"/>
      <c r="AC131" s="844"/>
      <c r="AD131" s="844"/>
    </row>
    <row customHeight="1" ht="9">
      <c r="A132" s="843"/>
      <c r="B132" s="843"/>
      <c r="C132" s="841"/>
      <c r="D132" s="841"/>
      <c r="E132" s="841"/>
      <c r="F132" s="841"/>
      <c r="G132" s="841"/>
      <c r="H132" s="891"/>
      <c r="I132" s="891"/>
      <c r="J132" s="891"/>
      <c r="K132" s="891"/>
      <c r="L132" s="891"/>
      <c r="M132" s="841"/>
      <c r="N132" s="890"/>
      <c r="O132" s="960"/>
      <c r="P132" s="960"/>
      <c r="Q132" s="960"/>
      <c r="R132" s="960"/>
      <c r="S132" s="841"/>
      <c r="T132" s="841"/>
      <c r="U132" s="841"/>
      <c r="V132" s="841"/>
      <c r="W132" s="841"/>
      <c r="X132" s="841"/>
      <c r="Y132" s="1001"/>
      <c r="Z132" s="844"/>
      <c r="AA132" s="847"/>
      <c r="AB132" s="844"/>
      <c r="AC132" s="844"/>
      <c r="AD132" s="844"/>
    </row>
    <row customHeight="1" ht="9">
      <c r="A133" s="843"/>
      <c r="B133" s="843"/>
      <c r="C133" s="841"/>
      <c r="D133" s="841"/>
      <c r="E133" s="841"/>
      <c r="F133" s="841"/>
      <c r="G133" s="841"/>
      <c r="H133" s="891"/>
      <c r="I133" s="891"/>
      <c r="J133" s="891"/>
      <c r="K133" s="891"/>
      <c r="L133" s="891"/>
      <c r="M133" s="841"/>
      <c r="N133" s="890"/>
      <c r="O133" s="961"/>
      <c r="P133" s="961"/>
      <c r="Q133" s="961"/>
      <c r="R133" s="961"/>
      <c r="S133" s="841"/>
      <c r="T133" s="841"/>
      <c r="U133" s="841"/>
      <c r="V133" s="841"/>
      <c r="W133" s="841"/>
      <c r="X133" s="841"/>
      <c r="Y133" s="1001"/>
      <c r="Z133" s="844"/>
      <c r="AA133" s="847"/>
      <c r="AB133" s="844"/>
      <c r="AC133" s="844"/>
      <c r="AD133" s="844"/>
    </row>
    <row customHeight="1" ht="9">
      <c r="A134" s="843"/>
      <c r="B134" s="843"/>
      <c r="C134" s="841"/>
      <c r="D134" s="841"/>
      <c r="E134" s="841"/>
      <c r="F134" s="841"/>
      <c r="G134" s="841"/>
      <c r="H134" s="891"/>
      <c r="I134" s="891"/>
      <c r="J134" s="891"/>
      <c r="K134" s="891"/>
      <c r="L134" s="891"/>
      <c r="M134" s="841"/>
      <c r="N134" s="890"/>
      <c r="O134" s="958"/>
      <c r="P134" s="958"/>
      <c r="Q134" s="958"/>
      <c r="R134" s="958"/>
      <c r="S134" s="841"/>
      <c r="T134" s="841"/>
      <c r="U134" s="841"/>
      <c r="V134" s="841"/>
      <c r="W134" s="841"/>
      <c r="X134" s="841"/>
      <c r="Y134" s="1001"/>
      <c r="Z134" s="844"/>
      <c r="AA134" s="847"/>
      <c r="AB134" s="844"/>
      <c r="AC134" s="844"/>
      <c r="AD134" s="844"/>
    </row>
    <row customHeight="1" ht="9">
      <c r="A135" s="843"/>
      <c r="B135" s="843"/>
      <c r="C135" s="841"/>
      <c r="D135" s="841"/>
      <c r="E135" s="841"/>
      <c r="F135" s="841"/>
      <c r="G135" s="841"/>
      <c r="H135" s="891"/>
      <c r="I135" s="891"/>
      <c r="J135" s="891"/>
      <c r="K135" s="891"/>
      <c r="L135" s="891"/>
      <c r="M135" s="841"/>
      <c r="N135" s="890"/>
      <c r="O135" s="958"/>
      <c r="P135" s="958"/>
      <c r="Q135" s="958"/>
      <c r="R135" s="958"/>
      <c r="S135" s="841"/>
      <c r="T135" s="841"/>
      <c r="U135" s="841"/>
      <c r="V135" s="841"/>
      <c r="W135" s="841"/>
      <c r="X135" s="841"/>
      <c r="Y135" s="1001"/>
      <c r="Z135" s="844"/>
      <c r="AA135" s="847"/>
      <c r="AB135" s="844"/>
      <c r="AC135" s="844"/>
      <c r="AD135" s="844"/>
    </row>
    <row customHeight="1" ht="9">
      <c r="A136" s="843"/>
      <c r="B136" s="843"/>
      <c r="C136" s="841"/>
      <c r="D136" s="841"/>
      <c r="E136" s="841"/>
      <c r="F136" s="841"/>
      <c r="G136" s="841"/>
      <c r="H136" s="891"/>
      <c r="I136" s="891"/>
      <c r="J136" s="891"/>
      <c r="K136" s="891"/>
      <c r="L136" s="891"/>
      <c r="M136" s="841"/>
      <c r="N136" s="890"/>
      <c r="O136" s="958"/>
      <c r="P136" s="958"/>
      <c r="Q136" s="958"/>
      <c r="R136" s="958"/>
      <c r="S136" s="841"/>
      <c r="T136" s="841"/>
      <c r="U136" s="841"/>
      <c r="V136" s="841"/>
      <c r="W136" s="841"/>
      <c r="X136" s="841"/>
      <c r="Y136" s="1001"/>
      <c r="Z136" s="844"/>
      <c r="AA136" s="847"/>
      <c r="AB136" s="844"/>
      <c r="AC136" s="844"/>
      <c r="AD136" s="844"/>
    </row>
    <row customHeight="1" ht="9">
      <c r="A137" s="843"/>
      <c r="B137" s="843"/>
      <c r="C137" s="841"/>
      <c r="D137" s="841"/>
      <c r="E137" s="841"/>
      <c r="F137" s="841"/>
      <c r="G137" s="841"/>
      <c r="H137" s="891"/>
      <c r="I137" s="891"/>
      <c r="J137" s="891"/>
      <c r="K137" s="891"/>
      <c r="L137" s="891"/>
      <c r="M137" s="841"/>
      <c r="N137" s="890"/>
      <c r="O137" s="962"/>
      <c r="P137" s="962"/>
      <c r="Q137" s="962"/>
      <c r="R137" s="962"/>
      <c r="S137" s="841"/>
      <c r="T137" s="841"/>
      <c r="U137" s="841"/>
      <c r="V137" s="841"/>
      <c r="W137" s="841"/>
      <c r="X137" s="841"/>
      <c r="Y137" s="1001"/>
      <c r="Z137" s="844"/>
      <c r="AA137" s="847"/>
      <c r="AB137" s="844"/>
      <c r="AC137" s="844"/>
      <c r="AD137" s="844"/>
    </row>
    <row customHeight="1" ht="9">
      <c r="A138" s="843"/>
      <c r="B138" s="843"/>
      <c r="C138" s="841"/>
      <c r="D138" s="841"/>
      <c r="E138" s="841"/>
      <c r="F138" s="841"/>
      <c r="G138" s="841"/>
      <c r="H138" s="891"/>
      <c r="I138" s="891"/>
      <c r="J138" s="891"/>
      <c r="K138" s="891"/>
      <c r="L138" s="891"/>
      <c r="M138" s="841"/>
      <c r="N138" s="890"/>
      <c r="O138" s="959"/>
      <c r="P138" s="959"/>
      <c r="Q138" s="959"/>
      <c r="R138" s="959"/>
      <c r="S138" s="841"/>
      <c r="T138" s="841"/>
      <c r="U138" s="841"/>
      <c r="V138" s="841"/>
      <c r="W138" s="841"/>
      <c r="X138" s="841"/>
      <c r="Y138" s="1001"/>
      <c r="Z138" s="844"/>
      <c r="AA138" s="847"/>
      <c r="AB138" s="844"/>
      <c r="AC138" s="844"/>
      <c r="AD138" s="844"/>
    </row>
    <row customHeight="1" ht="9">
      <c r="A139" s="843"/>
      <c r="B139" s="843"/>
      <c r="C139" s="841"/>
      <c r="D139" s="841"/>
      <c r="E139" s="841"/>
      <c r="F139" s="841"/>
      <c r="G139" s="841"/>
      <c r="H139" s="891"/>
      <c r="I139" s="891"/>
      <c r="J139" s="891"/>
      <c r="K139" s="891"/>
      <c r="L139" s="891"/>
      <c r="M139" s="841"/>
      <c r="N139" s="890"/>
      <c r="O139" s="841"/>
      <c r="P139" s="841"/>
      <c r="Q139" s="841"/>
      <c r="R139" s="841"/>
      <c r="S139" s="841"/>
      <c r="T139" s="841"/>
      <c r="U139" s="841"/>
      <c r="V139" s="841"/>
      <c r="W139" s="841"/>
      <c r="X139" s="841"/>
      <c r="Y139" s="1001"/>
      <c r="Z139" s="844"/>
      <c r="AA139" s="847"/>
      <c r="AB139" s="844"/>
      <c r="AC139" s="844"/>
      <c r="AD139" s="844"/>
    </row>
    <row customHeight="1" ht="9">
      <c r="A140" s="843"/>
      <c r="B140" s="843"/>
      <c r="C140" s="841"/>
      <c r="D140" s="841"/>
      <c r="E140" s="841"/>
      <c r="F140" s="841"/>
      <c r="G140" s="841"/>
      <c r="H140" s="891"/>
      <c r="I140" s="891"/>
      <c r="J140" s="891"/>
      <c r="K140" s="891"/>
      <c r="L140" s="891"/>
      <c r="M140" s="841"/>
      <c r="N140" s="890"/>
      <c r="O140" s="841"/>
      <c r="P140" s="841"/>
      <c r="Q140" s="841"/>
      <c r="R140" s="841"/>
      <c r="S140" s="841"/>
      <c r="T140" s="841"/>
      <c r="U140" s="841"/>
      <c r="V140" s="841"/>
      <c r="W140" s="841"/>
      <c r="X140" s="841"/>
      <c r="Y140" s="1001"/>
      <c r="Z140" s="844"/>
      <c r="AA140" s="847"/>
      <c r="AB140" s="844"/>
      <c r="AC140" s="844"/>
      <c r="AD140" s="844"/>
    </row>
    <row customHeight="1" ht="9">
      <c r="A141" s="843"/>
      <c r="B141" s="843"/>
      <c r="C141" s="841"/>
      <c r="D141" s="841"/>
      <c r="E141" s="841"/>
      <c r="F141" s="841"/>
      <c r="G141" s="841"/>
      <c r="H141" s="891"/>
      <c r="I141" s="891"/>
      <c r="J141" s="891"/>
      <c r="K141" s="891"/>
      <c r="L141" s="891"/>
      <c r="M141" s="841"/>
      <c r="N141" s="890"/>
      <c r="O141" s="841"/>
      <c r="P141" s="841"/>
      <c r="Q141" s="841"/>
      <c r="R141" s="841"/>
      <c r="S141" s="841"/>
      <c r="T141" s="841"/>
      <c r="U141" s="841"/>
      <c r="V141" s="841"/>
      <c r="W141" s="841"/>
      <c r="X141" s="841"/>
      <c r="Y141" s="1001"/>
      <c r="Z141" s="844"/>
      <c r="AA141" s="847"/>
      <c r="AB141" s="844"/>
      <c r="AC141" s="844"/>
      <c r="AD141" s="844"/>
    </row>
    <row customHeight="1" ht="9">
      <c r="A142" s="843"/>
      <c r="B142" s="843"/>
      <c r="C142" s="841"/>
      <c r="D142" s="841"/>
      <c r="E142" s="841"/>
      <c r="F142" s="841"/>
      <c r="G142" s="841"/>
      <c r="H142" s="891"/>
      <c r="I142" s="891"/>
      <c r="J142" s="891"/>
      <c r="K142" s="891"/>
      <c r="L142" s="891"/>
      <c r="M142" s="841"/>
      <c r="N142" s="890"/>
      <c r="O142" s="841"/>
      <c r="P142" s="841"/>
      <c r="Q142" s="841"/>
      <c r="R142" s="841"/>
      <c r="S142" s="841"/>
      <c r="T142" s="841"/>
      <c r="U142" s="841"/>
      <c r="V142" s="841"/>
      <c r="W142" s="841"/>
      <c r="X142" s="841"/>
      <c r="Y142" s="1001"/>
      <c r="Z142" s="844"/>
      <c r="AA142" s="847"/>
      <c r="AB142" s="844"/>
      <c r="AC142" s="844"/>
      <c r="AD142" s="844"/>
    </row>
    <row customHeight="1" ht="9">
      <c r="A143" s="843"/>
      <c r="B143" s="843"/>
      <c r="C143" s="841"/>
      <c r="D143" s="841"/>
      <c r="E143" s="841"/>
      <c r="F143" s="841"/>
      <c r="G143" s="841"/>
      <c r="H143" s="891"/>
      <c r="I143" s="891"/>
      <c r="J143" s="891"/>
      <c r="K143" s="891"/>
      <c r="L143" s="891"/>
      <c r="M143" s="841"/>
      <c r="N143" s="890"/>
      <c r="O143" s="841"/>
      <c r="P143" s="841"/>
      <c r="Q143" s="841"/>
      <c r="R143" s="841"/>
      <c r="S143" s="841"/>
      <c r="T143" s="841"/>
      <c r="U143" s="841"/>
      <c r="V143" s="841"/>
      <c r="W143" s="841"/>
      <c r="X143" s="841"/>
      <c r="Y143" s="1001"/>
      <c r="Z143" s="844"/>
      <c r="AA143" s="847"/>
      <c r="AB143" s="844"/>
      <c r="AC143" s="844"/>
      <c r="AD143" s="844"/>
    </row>
    <row customHeight="1" ht="9">
      <c r="A144" s="843"/>
      <c r="B144" s="843"/>
      <c r="C144" s="841"/>
      <c r="D144" s="841"/>
      <c r="E144" s="841"/>
      <c r="F144" s="841"/>
      <c r="G144" s="841"/>
      <c r="H144" s="891"/>
      <c r="I144" s="891"/>
      <c r="J144" s="891"/>
      <c r="K144" s="891"/>
      <c r="L144" s="891"/>
      <c r="M144" s="841"/>
      <c r="N144" s="890"/>
      <c r="O144" s="841"/>
      <c r="P144" s="841"/>
      <c r="Q144" s="841"/>
      <c r="R144" s="841"/>
      <c r="S144" s="841"/>
      <c r="T144" s="841"/>
      <c r="U144" s="841"/>
      <c r="V144" s="841"/>
      <c r="W144" s="841"/>
      <c r="X144" s="841"/>
      <c r="Y144" s="1001"/>
      <c r="Z144" s="844"/>
      <c r="AA144" s="847"/>
      <c r="AB144" s="844"/>
      <c r="AC144" s="844"/>
      <c r="AD144" s="844"/>
    </row>
    <row customHeight="1" ht="9">
      <c r="A145" s="843"/>
      <c r="B145" s="843"/>
      <c r="C145" s="841"/>
      <c r="D145" s="841"/>
      <c r="E145" s="841"/>
      <c r="F145" s="841"/>
      <c r="G145" s="841"/>
      <c r="H145" s="891"/>
      <c r="I145" s="891"/>
      <c r="J145" s="891"/>
      <c r="K145" s="891"/>
      <c r="L145" s="891"/>
      <c r="M145" s="841"/>
      <c r="N145" s="890"/>
      <c r="O145" s="841"/>
      <c r="P145" s="841"/>
      <c r="Q145" s="841"/>
      <c r="R145" s="841"/>
      <c r="S145" s="841"/>
      <c r="T145" s="841"/>
      <c r="U145" s="841"/>
      <c r="V145" s="841"/>
      <c r="W145" s="841"/>
      <c r="X145" s="841"/>
      <c r="Y145" s="1001"/>
      <c r="Z145" s="844"/>
      <c r="AA145" s="847"/>
      <c r="AB145" s="844"/>
      <c r="AC145" s="844"/>
      <c r="AD145" s="844"/>
    </row>
    <row customHeight="1" ht="9">
      <c r="A146" s="843"/>
      <c r="B146" s="843"/>
      <c r="C146" s="841"/>
      <c r="D146" s="841"/>
      <c r="E146" s="841"/>
      <c r="F146" s="841"/>
      <c r="G146" s="841"/>
      <c r="H146" s="891"/>
      <c r="I146" s="891"/>
      <c r="J146" s="891"/>
      <c r="K146" s="891"/>
      <c r="L146" s="891"/>
      <c r="M146" s="841"/>
      <c r="N146" s="890"/>
      <c r="O146" s="841"/>
      <c r="P146" s="841"/>
      <c r="Q146" s="841"/>
      <c r="R146" s="841"/>
      <c r="S146" s="841"/>
      <c r="T146" s="841"/>
      <c r="U146" s="841"/>
      <c r="V146" s="841"/>
      <c r="W146" s="841"/>
      <c r="X146" s="841"/>
      <c r="Y146" s="1001"/>
      <c r="Z146" s="844"/>
      <c r="AA146" s="847"/>
      <c r="AB146" s="844"/>
      <c r="AC146" s="844"/>
      <c r="AD146" s="844"/>
    </row>
    <row customHeight="1" ht="9">
      <c r="A147" s="843"/>
      <c r="B147" s="843"/>
      <c r="C147" s="843"/>
      <c r="D147" s="843"/>
      <c r="E147" s="843"/>
      <c r="F147" s="843"/>
      <c r="G147" s="843"/>
      <c r="H147" s="843"/>
      <c r="I147" s="843"/>
      <c r="J147" s="843"/>
      <c r="K147" s="843"/>
      <c r="L147" s="843"/>
      <c r="M147" s="843"/>
      <c r="N147" s="843"/>
      <c r="O147" s="843"/>
      <c r="P147" s="843"/>
      <c r="Q147" s="843"/>
      <c r="R147" s="843"/>
      <c r="S147" s="843"/>
      <c r="T147" s="843"/>
      <c r="U147" s="843"/>
      <c r="V147" s="843"/>
      <c r="W147" s="843"/>
      <c r="X147" s="843"/>
      <c r="Y147" s="843"/>
      <c r="Z147" s="843"/>
      <c r="AA147" s="843"/>
      <c r="AB147" s="843"/>
      <c r="AC147" s="843"/>
      <c r="AD147" s="843"/>
    </row>
    <row customHeight="1" ht="90">
      <c r="A148" s="843" t="s">
        <v>1064</v>
      </c>
      <c r="B148" s="843"/>
      <c r="C148" s="841" t="s">
        <v>1564</v>
      </c>
      <c r="D148" s="841" t="s">
        <v>954</v>
      </c>
      <c r="E148" s="841" t="s">
        <v>1066</v>
      </c>
      <c r="F148" s="841" t="s">
        <v>1565</v>
      </c>
      <c r="G148" s="841"/>
      <c r="H148" s="841"/>
      <c r="I148" s="964"/>
      <c r="J148" s="964"/>
      <c r="K148" s="964"/>
      <c r="L148" s="964"/>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6"/>
      <c r="O148" s="841"/>
      <c r="P148" s="842"/>
      <c r="Q148" s="842"/>
      <c r="R148" s="842"/>
      <c r="S148" s="841"/>
      <c r="T148" s="841" t="s">
        <v>1566</v>
      </c>
      <c r="U148" s="84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2"/>
      <c r="W148" s="842"/>
      <c r="X148" s="841" t="s">
        <v>1567</v>
      </c>
      <c r="Y148" s="1001"/>
      <c r="Z148" s="844"/>
      <c r="AA148" s="847"/>
      <c r="AB148" s="844"/>
      <c r="AC148" s="844"/>
      <c r="AD148" s="844"/>
    </row>
    <row customHeight="1" ht="9">
      <c r="A149" s="843"/>
      <c r="B149" s="843"/>
      <c r="C149" s="843"/>
      <c r="D149" s="843"/>
      <c r="E149" s="843"/>
      <c r="F149" s="843"/>
      <c r="G149" s="843"/>
      <c r="H149" s="843"/>
      <c r="I149" s="843"/>
      <c r="J149" s="843"/>
      <c r="K149" s="843"/>
      <c r="L149" s="843"/>
      <c r="M149" s="843"/>
      <c r="N149" s="843"/>
      <c r="O149" s="843"/>
      <c r="P149" s="843"/>
      <c r="Q149" s="843"/>
      <c r="R149" s="843"/>
      <c r="S149" s="843"/>
      <c r="T149" s="843"/>
      <c r="U149" s="843"/>
      <c r="V149" s="843"/>
      <c r="W149" s="843"/>
      <c r="X149" s="843"/>
      <c r="Y149" s="843"/>
      <c r="Z149" s="843"/>
      <c r="AA149" s="843"/>
      <c r="AB149" s="843"/>
      <c r="AC149" s="843"/>
      <c r="AD149" s="843"/>
    </row>
    <row customHeight="1" ht="9">
      <c r="A150" s="843" t="s">
        <v>1070</v>
      </c>
      <c r="B150" s="843"/>
      <c r="C150" s="841"/>
      <c r="D150" s="841"/>
      <c r="E150" s="841"/>
      <c r="F150" s="841"/>
      <c r="G150" s="841"/>
      <c r="H150" s="841"/>
      <c r="I150" s="841"/>
      <c r="J150" s="841"/>
      <c r="K150" s="841"/>
      <c r="L150" s="841"/>
      <c r="M150" s="841"/>
      <c r="N150" s="841"/>
      <c r="O150" s="841"/>
      <c r="P150" s="841"/>
      <c r="Q150" s="841"/>
      <c r="R150" s="841"/>
      <c r="S150" s="841"/>
      <c r="T150" s="841"/>
      <c r="U150" s="841"/>
      <c r="V150" s="841"/>
      <c r="W150" s="841"/>
      <c r="X150" s="841"/>
      <c r="Y150" s="1001"/>
      <c r="Z150" s="844"/>
      <c r="AA150" s="847"/>
      <c r="AB150" s="844"/>
      <c r="AC150" s="844"/>
      <c r="AD150" s="844"/>
    </row>
    <row customHeight="1" ht="9">
      <c r="A151" s="843"/>
      <c r="B151" s="843"/>
      <c r="C151" s="843"/>
      <c r="D151" s="843"/>
      <c r="E151" s="843"/>
      <c r="F151" s="843"/>
      <c r="G151" s="843"/>
      <c r="H151" s="843"/>
      <c r="I151" s="843"/>
      <c r="J151" s="843"/>
      <c r="K151" s="843"/>
      <c r="L151" s="843"/>
      <c r="M151" s="843"/>
      <c r="N151" s="843"/>
      <c r="O151" s="843"/>
      <c r="P151" s="843"/>
      <c r="Q151" s="843"/>
      <c r="R151" s="843"/>
      <c r="S151" s="843"/>
      <c r="T151" s="843"/>
      <c r="U151" s="843"/>
      <c r="V151" s="843"/>
      <c r="W151" s="843"/>
      <c r="X151" s="843"/>
      <c r="Y151" s="843"/>
      <c r="Z151" s="843"/>
      <c r="AA151" s="843"/>
      <c r="AB151" s="843"/>
      <c r="AC151" s="843"/>
      <c r="AD151" s="843"/>
    </row>
    <row customHeight="1" ht="9">
      <c r="A152" s="843" t="s">
        <v>1075</v>
      </c>
      <c r="B152" s="843"/>
      <c r="C152" s="841"/>
      <c r="D152" s="841"/>
      <c r="E152" s="841"/>
      <c r="F152" s="841"/>
      <c r="G152" s="841"/>
      <c r="H152" s="841"/>
      <c r="I152" s="841"/>
      <c r="J152" s="841"/>
      <c r="K152" s="841"/>
      <c r="L152" s="841"/>
      <c r="M152" s="841"/>
      <c r="N152" s="841"/>
      <c r="O152" s="841"/>
      <c r="P152" s="841"/>
      <c r="Q152" s="841"/>
      <c r="R152" s="841"/>
      <c r="S152" s="841"/>
      <c r="T152" s="841"/>
      <c r="U152" s="841"/>
      <c r="V152" s="841"/>
      <c r="W152" s="841"/>
      <c r="X152" s="841"/>
      <c r="Y152" s="1001"/>
      <c r="Z152" s="844"/>
      <c r="AA152" s="847"/>
      <c r="AB152" s="844"/>
      <c r="AC152" s="844"/>
      <c r="AD152" s="844"/>
    </row>
    <row customHeight="1" ht="9">
      <c r="A153" s="843"/>
      <c r="B153" s="843"/>
      <c r="C153" s="843"/>
      <c r="D153" s="843"/>
      <c r="E153" s="843"/>
      <c r="F153" s="843"/>
      <c r="G153" s="843"/>
      <c r="H153" s="843"/>
      <c r="I153" s="843"/>
      <c r="J153" s="843"/>
      <c r="K153" s="843"/>
      <c r="L153" s="843"/>
      <c r="M153" s="843"/>
      <c r="N153" s="843"/>
      <c r="O153" s="843"/>
      <c r="P153" s="843"/>
      <c r="Q153" s="843"/>
      <c r="R153" s="843"/>
      <c r="S153" s="843"/>
      <c r="T153" s="843"/>
      <c r="U153" s="843"/>
      <c r="V153" s="843"/>
      <c r="W153" s="843"/>
      <c r="X153" s="843"/>
      <c r="Y153" s="843"/>
      <c r="Z153" s="843"/>
      <c r="AA153" s="843"/>
      <c r="AB153" s="843"/>
      <c r="AC153" s="843"/>
      <c r="AD153" s="843"/>
    </row>
    <row customHeight="1" ht="9">
      <c r="A154" s="843" t="s">
        <v>1080</v>
      </c>
      <c r="B154" s="843"/>
      <c r="C154" s="841"/>
      <c r="D154" s="841"/>
      <c r="E154" s="841"/>
      <c r="F154" s="841"/>
      <c r="G154" s="841"/>
      <c r="H154" s="841"/>
      <c r="I154" s="841"/>
      <c r="J154" s="841"/>
      <c r="K154" s="841"/>
      <c r="L154" s="841"/>
      <c r="M154" s="841"/>
      <c r="N154" s="841"/>
      <c r="O154" s="841"/>
      <c r="P154" s="841"/>
      <c r="Q154" s="841"/>
      <c r="R154" s="841"/>
      <c r="S154" s="841"/>
      <c r="T154" s="841"/>
      <c r="U154" s="841"/>
      <c r="V154" s="841"/>
      <c r="W154" s="841"/>
      <c r="X154" s="841"/>
      <c r="Y154" s="1001"/>
      <c r="Z154" s="844"/>
      <c r="AA154" s="847"/>
      <c r="AB154" s="844"/>
      <c r="AC154" s="844"/>
      <c r="AD154" s="84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7016D-7A14-875B-E82B-4910C03AAB9F}"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2.28125" hidden="1" customWidth="1"/>
    <col min="6" max="8" style="1810" width="12.28125" hidden="1" customWidth="1"/>
    <col min="9" max="9" style="2295" width="3.7109375" customWidth="1"/>
    <col min="10" max="11" style="332" width="3.7109375" customWidth="1"/>
    <col min="12" max="12" style="2337" width="12.7109375" customWidth="1"/>
    <col min="13" max="13" style="1666" width="32.00390625" customWidth="1"/>
    <col min="14" max="14" style="1666" width="1.7109375" customWidth="1"/>
    <col min="15" max="18" style="1666" width="24.7109375" customWidth="1"/>
    <col min="19" max="19" style="1666" width="11.7109375" customWidth="1"/>
    <col min="20" max="20" style="1666" width="3.7109375" customWidth="1"/>
    <col min="21" max="21" style="1666" width="11.7109375" customWidth="1"/>
    <col min="22" max="22" style="1666" width="8.57421875" customWidth="1"/>
    <col min="23" max="23" style="1666" width="4.7109375" customWidth="1"/>
    <col min="24" max="24" style="1666" width="115.7109375" customWidth="1"/>
    <col min="25" max="26" style="1673" width="10.57421875"/>
    <col min="27" max="27" style="1673" width="11.140625" customWidth="1"/>
    <col min="28" max="29" style="1673" width="10.57421875"/>
  </cols>
  <sheetData>
    <row customHeight="1" ht="14.25" hidden="1">
      <c r="R1" s="315"/>
      <c r="S1" s="315"/>
    </row>
    <row customHeight="1" ht="14.25" hidden="1">
      <c r="V2" s="315"/>
    </row>
    <row customHeight="1" ht="14.25" hidden="1"/>
    <row customHeight="1" ht="14.25">
      <c r="J4" s="368"/>
      <c r="K4" s="368"/>
      <c r="L4" s="1298"/>
      <c r="M4" s="353"/>
      <c r="N4" s="353"/>
      <c r="O4" s="507"/>
      <c r="P4" s="507"/>
      <c r="Q4" s="507"/>
      <c r="R4" s="507"/>
      <c r="S4" s="507"/>
      <c r="T4" s="507"/>
      <c r="U4" s="507"/>
      <c r="V4" s="507"/>
    </row>
    <row customHeight="1" ht="64.5">
      <c r="J5" s="368"/>
      <c r="K5" s="368"/>
      <c r="L5" s="2266" t="s">
        <v>1568</v>
      </c>
      <c r="M5" s="2266"/>
      <c r="N5" s="2266"/>
      <c r="O5" s="2266"/>
      <c r="P5" s="2266"/>
      <c r="Q5" s="2266"/>
      <c r="R5" s="2266"/>
      <c r="S5" s="2266"/>
      <c r="T5" s="2266"/>
      <c r="U5" s="2266"/>
      <c r="V5" s="1254"/>
    </row>
    <row customHeight="1" ht="14.25">
      <c r="J6" s="368"/>
      <c r="K6" s="368"/>
      <c r="L6" s="2267" t="str">
        <f>IF(org=0,"Не определено",org)</f>
        <v>ПАО "ТГК-2"</v>
      </c>
      <c r="M6" s="2267"/>
      <c r="N6" s="2267"/>
      <c r="O6" s="2267"/>
      <c r="P6" s="2267"/>
      <c r="Q6" s="2267"/>
      <c r="R6" s="2267"/>
      <c r="S6" s="2267"/>
      <c r="T6" s="2267"/>
      <c r="U6" s="2267"/>
      <c r="V6" s="1254"/>
    </row>
    <row customHeight="1" ht="14.25">
      <c r="J7" s="368"/>
      <c r="K7" s="368"/>
      <c r="L7" s="1298"/>
      <c r="M7" s="353"/>
      <c r="N7" s="353"/>
      <c r="O7" s="308"/>
      <c r="P7" s="308"/>
      <c r="Q7" s="308"/>
      <c r="R7" s="308"/>
      <c r="S7" s="308"/>
      <c r="T7" s="308"/>
      <c r="U7" s="308"/>
      <c r="V7" s="308"/>
      <c r="W7" s="507"/>
    </row>
    <row s="1888" customFormat="1" customHeight="1" ht="45">
      <c r="A8" s="1391"/>
      <c r="B8" s="1391"/>
      <c r="C8" s="1391"/>
      <c r="D8" s="1391"/>
      <c r="E8" s="1391"/>
      <c r="F8" s="1391"/>
      <c r="G8" s="1391"/>
      <c r="H8" s="1391"/>
      <c r="L8" s="1299"/>
      <c r="M8" s="275" t="s">
        <v>39</v>
      </c>
      <c r="N8" s="284"/>
      <c r="O8" s="2166" t="str">
        <f>IF(TITLE_NAME_OR_PR_CHANGE="",IF(TITLE_NAME_OR_PR="","",TITLE_NAME_OR_PR),TITLE_NAME_OR_PR_CHANGE)</f>
        <v/>
      </c>
      <c r="P8" s="2166"/>
      <c r="Q8" s="2166"/>
      <c r="R8" s="2166"/>
      <c r="S8" s="2166"/>
      <c r="T8" s="2166"/>
      <c r="U8" s="2166"/>
      <c r="V8" s="314"/>
      <c r="W8" s="314"/>
      <c r="X8" s="261"/>
      <c r="Y8" s="360"/>
      <c r="Z8" s="360"/>
      <c r="AA8" s="360"/>
      <c r="AB8" s="360"/>
      <c r="AC8" s="360"/>
    </row>
    <row s="1888" customFormat="1" customHeight="1" ht="22.5">
      <c r="A9" s="1391"/>
      <c r="B9" s="1391"/>
      <c r="C9" s="1391"/>
      <c r="D9" s="1391"/>
      <c r="E9" s="1391"/>
      <c r="F9" s="1391"/>
      <c r="G9" s="1391"/>
      <c r="H9" s="1391"/>
      <c r="L9" s="1299"/>
      <c r="M9" s="275" t="s">
        <v>482</v>
      </c>
      <c r="N9" s="284"/>
      <c r="O9" s="2166" t="str">
        <f>IF(TITLE_DATE_CHANGE_PERIOD="",IF(TITLE_DATE_PR="","",TITLE_DATE_PR),TITLE_DATE_CHANGE_PERIOD)</f>
        <v/>
      </c>
      <c r="P9" s="2166"/>
      <c r="Q9" s="2166"/>
      <c r="R9" s="2166"/>
      <c r="S9" s="2166"/>
      <c r="T9" s="2166"/>
      <c r="U9" s="2166"/>
      <c r="V9" s="314"/>
      <c r="W9" s="314"/>
      <c r="X9" s="261"/>
      <c r="Y9" s="360"/>
      <c r="Z9" s="360"/>
      <c r="AA9" s="360"/>
      <c r="AB9" s="360"/>
      <c r="AC9" s="360"/>
    </row>
    <row s="1888" customFormat="1" customHeight="1" ht="22.5">
      <c r="A10" s="1391"/>
      <c r="B10" s="1391"/>
      <c r="C10" s="1391"/>
      <c r="D10" s="1391"/>
      <c r="E10" s="1391"/>
      <c r="F10" s="1391"/>
      <c r="G10" s="1391"/>
      <c r="H10" s="1391"/>
      <c r="L10" s="1262"/>
      <c r="M10" s="275" t="s">
        <v>483</v>
      </c>
      <c r="N10" s="284"/>
      <c r="O10" s="2166" t="str">
        <f>IF(TITLE_NUMBER_PR_CHANGE="",IF(TITLE_NUMBER_PR="","",TITLE_NUMBER_PR),TITLE_NUMBER_PR_CHANGE)</f>
        <v/>
      </c>
      <c r="P10" s="2166"/>
      <c r="Q10" s="2166"/>
      <c r="R10" s="2166"/>
      <c r="S10" s="2166"/>
      <c r="T10" s="2166"/>
      <c r="U10" s="2166"/>
      <c r="V10" s="314"/>
      <c r="W10" s="314"/>
      <c r="X10" s="261"/>
      <c r="Y10" s="360"/>
      <c r="Z10" s="360"/>
      <c r="AA10" s="360"/>
      <c r="AB10" s="360"/>
      <c r="AC10" s="360"/>
    </row>
    <row s="1888" customFormat="1" customHeight="1" ht="22.5">
      <c r="A11" s="1391"/>
      <c r="B11" s="1391"/>
      <c r="C11" s="1391"/>
      <c r="D11" s="1391"/>
      <c r="E11" s="1391"/>
      <c r="F11" s="1391"/>
      <c r="G11" s="1391"/>
      <c r="H11" s="1391"/>
      <c r="L11" s="1262"/>
      <c r="M11" s="275" t="s">
        <v>40</v>
      </c>
      <c r="N11" s="284"/>
      <c r="O11" s="2166" t="str">
        <f>IF(TITLE_IST_PUB_CHANGE="",IF(TITLE_IST_PUB="","",TITLE_IST_PUB),TITLE_IST_PUB_CHANGE)</f>
        <v/>
      </c>
      <c r="P11" s="2166"/>
      <c r="Q11" s="2166"/>
      <c r="R11" s="2166"/>
      <c r="S11" s="2166"/>
      <c r="T11" s="2166"/>
      <c r="U11" s="2166"/>
      <c r="V11" s="314"/>
      <c r="W11" s="314"/>
      <c r="X11" s="261"/>
      <c r="Y11" s="360"/>
      <c r="Z11" s="360"/>
      <c r="AA11" s="360"/>
      <c r="AB11" s="360"/>
      <c r="AC11" s="360"/>
    </row>
    <row s="1888" customFormat="1" customHeight="1" ht="11.25" hidden="1">
      <c r="A12" s="1391"/>
      <c r="B12" s="1391"/>
      <c r="C12" s="1391"/>
      <c r="D12" s="1391"/>
      <c r="E12" s="1391"/>
      <c r="F12" s="1391"/>
      <c r="G12" s="1391"/>
      <c r="H12" s="1391"/>
      <c r="L12" s="2268"/>
      <c r="M12" s="2268"/>
      <c r="N12" s="1310"/>
      <c r="O12" s="314"/>
      <c r="P12" s="314"/>
      <c r="Q12" s="314"/>
      <c r="R12" s="314"/>
      <c r="S12" s="314"/>
      <c r="T12" s="314"/>
      <c r="U12" s="314"/>
      <c r="V12" s="259" t="s">
        <v>486</v>
      </c>
      <c r="Y12" s="360"/>
      <c r="Z12" s="360"/>
      <c r="AA12" s="360"/>
      <c r="AB12" s="360"/>
      <c r="AC12" s="360"/>
    </row>
    <row customHeight="1" ht="14.25">
      <c r="J13" s="368"/>
      <c r="K13" s="368"/>
      <c r="L13" s="1298"/>
      <c r="M13" s="353"/>
      <c r="N13" s="1255"/>
      <c r="O13" s="2167"/>
      <c r="P13" s="2167"/>
      <c r="Q13" s="2167"/>
      <c r="R13" s="2167"/>
      <c r="S13" s="2167"/>
      <c r="T13" s="2167"/>
      <c r="U13" s="2167"/>
      <c r="V13" s="2167"/>
    </row>
    <row customHeight="1" ht="14.25">
      <c r="J14" s="368"/>
      <c r="K14" s="368"/>
      <c r="L14" s="1948" t="s">
        <v>290</v>
      </c>
      <c r="M14" s="1948"/>
      <c r="N14" s="1948"/>
      <c r="O14" s="1948"/>
      <c r="P14" s="1948"/>
      <c r="Q14" s="1948"/>
      <c r="R14" s="1948"/>
      <c r="S14" s="1948"/>
      <c r="T14" s="1948"/>
      <c r="U14" s="1948"/>
      <c r="V14" s="1948"/>
      <c r="W14" s="1948"/>
      <c r="X14" s="1948" t="s">
        <v>291</v>
      </c>
    </row>
    <row customHeight="1" ht="14.25">
      <c r="J15" s="368"/>
      <c r="K15" s="368"/>
      <c r="L15" s="2188" t="s">
        <v>87</v>
      </c>
      <c r="M15" s="2029" t="s">
        <v>487</v>
      </c>
      <c r="N15" s="281"/>
      <c r="O15" s="2189" t="s">
        <v>1569</v>
      </c>
      <c r="P15" s="2190"/>
      <c r="Q15" s="2190"/>
      <c r="R15" s="2190"/>
      <c r="S15" s="2190"/>
      <c r="T15" s="2190"/>
      <c r="U15" s="2191"/>
      <c r="V15" s="2192" t="s">
        <v>489</v>
      </c>
      <c r="W15" s="2195" t="s">
        <v>1570</v>
      </c>
      <c r="X15" s="1948"/>
    </row>
    <row customHeight="1" ht="33.75">
      <c r="J16" s="368"/>
      <c r="K16" s="368"/>
      <c r="L16" s="2188"/>
      <c r="M16" s="2029"/>
      <c r="N16" s="1032"/>
      <c r="O16" s="2175" t="s">
        <v>492</v>
      </c>
      <c r="P16" s="2175" t="s">
        <v>493</v>
      </c>
      <c r="Q16" s="2177" t="s">
        <v>494</v>
      </c>
      <c r="R16" s="2178"/>
      <c r="S16" s="2177" t="s">
        <v>513</v>
      </c>
      <c r="T16" s="2184"/>
      <c r="U16" s="2178"/>
      <c r="V16" s="2193"/>
      <c r="W16" s="2196"/>
      <c r="X16" s="1948"/>
    </row>
    <row customHeight="1" ht="33.75">
      <c r="A17" s="1393" t="s">
        <v>138</v>
      </c>
      <c r="B17" s="1393" t="s">
        <v>139</v>
      </c>
      <c r="C17" s="1393" t="s">
        <v>140</v>
      </c>
      <c r="D17" s="1393" t="s">
        <v>141</v>
      </c>
      <c r="E17" s="1393"/>
      <c r="J17" s="368"/>
      <c r="K17" s="368"/>
      <c r="L17" s="2188"/>
      <c r="M17" s="2029"/>
      <c r="N17" s="282"/>
      <c r="O17" s="2176"/>
      <c r="P17" s="2176"/>
      <c r="Q17" s="1230" t="s">
        <v>503</v>
      </c>
      <c r="R17" s="1230" t="s">
        <v>504</v>
      </c>
      <c r="S17" s="1315" t="s">
        <v>505</v>
      </c>
      <c r="T17" s="2185" t="s">
        <v>506</v>
      </c>
      <c r="U17" s="2186"/>
      <c r="V17" s="2194"/>
      <c r="W17" s="2197"/>
      <c r="X17" s="1948"/>
    </row>
    <row s="1672" customFormat="1" customHeight="1" ht="11.25">
      <c r="A18" s="1393"/>
      <c r="B18" s="1393"/>
      <c r="C18" s="1393"/>
      <c r="D18" s="1393"/>
      <c r="E18" s="1393"/>
      <c r="F18" s="1385"/>
      <c r="G18" s="1385"/>
      <c r="H18" s="1385"/>
      <c r="I18" s="1257"/>
      <c r="J18" s="1258"/>
      <c r="K18" s="1273">
        <v>1</v>
      </c>
      <c r="L18" s="1300" t="s">
        <v>108</v>
      </c>
      <c r="M18" s="1274" t="s">
        <v>109</v>
      </c>
      <c r="N18" s="1256" t="str">
        <f>OFFSET(N18,0,-1)</f>
        <v>2</v>
      </c>
      <c r="O18" s="1312">
        <f>OFFSET(O18,0,-1)+1</f>
        <v>3</v>
      </c>
      <c r="P18" s="1312"/>
      <c r="Q18" s="1312">
        <f>OFFSET(Q18,0,-1)+1</f>
        <v>1</v>
      </c>
      <c r="R18" s="1312">
        <f>OFFSET(R18,0,-1)+1</f>
        <v>2</v>
      </c>
      <c r="S18" s="1312">
        <f>OFFSET(S18,0,-1)+1</f>
        <v>3</v>
      </c>
      <c r="T18" s="2187">
        <f>OFFSET(T18,0,-1)+1</f>
        <v>4</v>
      </c>
      <c r="U18" s="2187"/>
      <c r="V18" s="1312">
        <f>OFFSET(V18,0,-2)+1</f>
        <v>5</v>
      </c>
      <c r="W18" s="1256">
        <f>OFFSET(W18,0,-1)</f>
        <v>5</v>
      </c>
      <c r="X18" s="1312">
        <f>OFFSET(X18,0,-1)+1</f>
        <v>6</v>
      </c>
      <c r="Y18" s="509"/>
      <c r="Z18" s="509"/>
      <c r="AA18" s="509"/>
      <c r="AB18" s="509"/>
      <c r="AC18" s="509"/>
    </row>
    <row customHeight="1" ht="21">
      <c r="A19" s="1386" t="s">
        <v>172</v>
      </c>
      <c r="B19" s="1386" t="s">
        <v>173</v>
      </c>
      <c r="C19" s="1386" t="s">
        <v>174</v>
      </c>
      <c r="D19" s="1386" t="s">
        <v>175</v>
      </c>
      <c r="E19" s="1386"/>
      <c r="F19" s="1388"/>
      <c r="G19" s="1388"/>
      <c r="H19" s="1388"/>
      <c r="I19" s="349"/>
      <c r="J19" s="348"/>
      <c r="K19" s="343"/>
      <c r="L19" s="1316">
        <f>INDEX(PT_DIFFERENTIATION_NUM_NTAR,MATCH(A19,PT_DIFFERENTIATION_NTAR_ID,0))</f>
        <v>0</v>
      </c>
      <c r="M19" s="278" t="s">
        <v>127</v>
      </c>
      <c r="N19" s="280"/>
      <c r="O19" s="2269" t="str">
        <f>INDEX(PT_DIFFERENTIATION_NTAR,MATCH(A19,PT_DIFFERENTIATION_NTAR_ID,0))</f>
        <v/>
      </c>
      <c r="P19" s="2269"/>
      <c r="Q19" s="2269"/>
      <c r="R19" s="2269"/>
      <c r="S19" s="2269"/>
      <c r="T19" s="2269"/>
      <c r="U19" s="2269"/>
      <c r="V19" s="2269"/>
      <c r="W19" s="2269"/>
      <c r="X19" s="1279" t="s">
        <v>458</v>
      </c>
      <c r="Z19" s="498"/>
      <c r="AA19" s="498" t="str">
        <f>IF(M19="","",M19)</f>
        <v>Наименование тарифа</v>
      </c>
      <c r="AB19" s="498"/>
      <c r="AC19" s="498"/>
    </row>
    <row customHeight="1" ht="21">
      <c r="A20" s="1386" t="s">
        <v>172</v>
      </c>
      <c r="B20" s="1386" t="s">
        <v>173</v>
      </c>
      <c r="C20" s="1386" t="s">
        <v>174</v>
      </c>
      <c r="D20" s="1386" t="s">
        <v>175</v>
      </c>
      <c r="E20" s="1386"/>
      <c r="F20" s="1388"/>
      <c r="G20" s="1388"/>
      <c r="H20" s="1388"/>
      <c r="I20" s="1313"/>
      <c r="J20" s="340"/>
      <c r="K20" s="341"/>
      <c r="L20" s="1316" t="str">
        <f>INDEX(PT_DIFFERENTIATION_NUM_TER,MATCH(B19,PT_DIFFERENTIATION_TER_ID,0))</f>
        <v>.</v>
      </c>
      <c r="M20" s="290" t="s">
        <v>459</v>
      </c>
      <c r="N20" s="280"/>
      <c r="O20" s="2269" t="str">
        <f>INDEX(PT_DIFFERENTIATION_TER,MATCH(B19,PT_DIFFERENTIATION_TER_ID,0))</f>
        <v/>
      </c>
      <c r="P20" s="2269"/>
      <c r="Q20" s="2269"/>
      <c r="R20" s="2269"/>
      <c r="S20" s="2269"/>
      <c r="T20" s="2269"/>
      <c r="U20" s="2269"/>
      <c r="V20" s="2269"/>
      <c r="W20" s="2269"/>
      <c r="X20" s="1279" t="s">
        <v>460</v>
      </c>
      <c r="Z20" s="498"/>
      <c r="AA20" s="498" t="str">
        <f>IF(M20="","",M20)</f>
        <v>Территория действия тарифа</v>
      </c>
      <c r="AB20" s="498"/>
      <c r="AC20" s="498"/>
    </row>
    <row customHeight="1" ht="22.5">
      <c r="A21" s="1386" t="s">
        <v>172</v>
      </c>
      <c r="B21" s="1386" t="s">
        <v>173</v>
      </c>
      <c r="C21" s="1386" t="s">
        <v>174</v>
      </c>
      <c r="D21" s="1386" t="s">
        <v>175</v>
      </c>
      <c r="E21" s="1386"/>
      <c r="F21" s="1388"/>
      <c r="G21" s="1388"/>
      <c r="H21" s="1388"/>
      <c r="I21" s="342"/>
      <c r="J21" s="340"/>
      <c r="K21" s="341"/>
      <c r="L21" s="1316" t="str">
        <f>INDEX(PT_DIFFERENTIATION_NUM_CS,MATCH(C19,PT_DIFFERENTIATION_CS_ID,0))</f>
        <v>..</v>
      </c>
      <c r="M21" s="291" t="s">
        <v>461</v>
      </c>
      <c r="N21" s="280"/>
      <c r="O21" s="2269" t="str">
        <f>INDEX(PT_DIFFERENTIATION_CS,MATCH(C19,PT_DIFFERENTIATION_CS_ID,0))</f>
        <v/>
      </c>
      <c r="P21" s="2269"/>
      <c r="Q21" s="2269"/>
      <c r="R21" s="2269"/>
      <c r="S21" s="2269"/>
      <c r="T21" s="2269"/>
      <c r="U21" s="2269"/>
      <c r="V21" s="2269"/>
      <c r="W21" s="2269"/>
      <c r="X21" s="1279" t="s">
        <v>462</v>
      </c>
      <c r="Z21" s="498"/>
      <c r="AA21" s="498" t="str">
        <f>IF(M21="","",M21)</f>
        <v>Наименование системы теплоснабжения </v>
      </c>
      <c r="AB21" s="498"/>
      <c r="AC21" s="498"/>
    </row>
    <row customHeight="1" ht="21">
      <c r="A22" s="1386" t="s">
        <v>172</v>
      </c>
      <c r="B22" s="1386" t="s">
        <v>173</v>
      </c>
      <c r="C22" s="1386" t="s">
        <v>174</v>
      </c>
      <c r="D22" s="1386" t="s">
        <v>175</v>
      </c>
      <c r="E22" s="1386"/>
      <c r="F22" s="1388"/>
      <c r="G22" s="1388"/>
      <c r="H22" s="1388"/>
      <c r="I22" s="342"/>
      <c r="J22" s="340"/>
      <c r="K22" s="341"/>
      <c r="L22" s="1316" t="str">
        <f>INDEX(PT_DIFFERENTIATION_NUM_IST_TE,MATCH(D19,PT_DIFFERENTIATION_IST_TE_ID,0))</f>
        <v>...</v>
      </c>
      <c r="M22" s="292" t="s">
        <v>463</v>
      </c>
      <c r="N22" s="280"/>
      <c r="O22" s="2269" t="str">
        <f>INDEX(PT_DIFFERENTIATION_IST_TE,MATCH(D19,PT_DIFFERENTIATION_IST_TE_ID,0))</f>
        <v/>
      </c>
      <c r="P22" s="2269"/>
      <c r="Q22" s="2269"/>
      <c r="R22" s="2269"/>
      <c r="S22" s="2269"/>
      <c r="T22" s="2269"/>
      <c r="U22" s="2269"/>
      <c r="V22" s="2269"/>
      <c r="W22" s="2269"/>
      <c r="X22" s="1279" t="s">
        <v>464</v>
      </c>
      <c r="Z22" s="498"/>
      <c r="AA22" s="498" t="str">
        <f>IF(M22="","",M22)</f>
        <v>Источник тепловой энергии  </v>
      </c>
      <c r="AB22" s="498"/>
      <c r="AC22" s="498"/>
    </row>
    <row customHeight="1" ht="94.5">
      <c r="A23" s="1386" t="s">
        <v>172</v>
      </c>
      <c r="B23" s="1386" t="s">
        <v>173</v>
      </c>
      <c r="C23" s="1386" t="s">
        <v>174</v>
      </c>
      <c r="D23" s="1386" t="s">
        <v>175</v>
      </c>
      <c r="E23" s="1386"/>
      <c r="F23" s="2270" t="str">
        <f>L22&amp;".1"</f>
        <v>....1</v>
      </c>
      <c r="I23" s="2172">
        <v>1</v>
      </c>
      <c r="J23" s="1314"/>
      <c r="K23" s="344"/>
      <c r="L23" s="1316" t="str">
        <f>$F$23</f>
        <v>....1</v>
      </c>
      <c r="M23" s="266" t="s">
        <v>466</v>
      </c>
      <c r="N23" s="280"/>
      <c r="O23" s="2271"/>
      <c r="P23" s="2271"/>
      <c r="Q23" s="2271"/>
      <c r="R23" s="2271"/>
      <c r="S23" s="2271"/>
      <c r="T23" s="2271"/>
      <c r="U23" s="2271"/>
      <c r="V23" s="2271"/>
      <c r="W23" s="2271"/>
      <c r="X23" s="1279" t="s">
        <v>467</v>
      </c>
      <c r="Z23" s="498"/>
      <c r="AA23" s="498" t="str">
        <f>IF(M23="","",M23)</f>
        <v>Схема подключения теплопотребляющей установки к коллектору источника тепловой энергии</v>
      </c>
      <c r="AB23" s="498"/>
      <c r="AC23" s="498"/>
    </row>
    <row customHeight="1" ht="84">
      <c r="A24" s="1386" t="s">
        <v>172</v>
      </c>
      <c r="B24" s="1386" t="s">
        <v>173</v>
      </c>
      <c r="C24" s="1386" t="s">
        <v>174</v>
      </c>
      <c r="D24" s="1386" t="s">
        <v>175</v>
      </c>
      <c r="E24" s="1386"/>
      <c r="F24" s="2270"/>
      <c r="G24" s="2038" t="str">
        <f>F23&amp;".1"</f>
        <v>....1.1</v>
      </c>
      <c r="I24" s="2172"/>
      <c r="J24" s="2172">
        <v>1</v>
      </c>
      <c r="K24" s="345"/>
      <c r="L24" s="1316" t="str">
        <f>$G$24</f>
        <v>....1.1</v>
      </c>
      <c r="M24" s="267" t="s">
        <v>469</v>
      </c>
      <c r="N24" s="280"/>
      <c r="O24" s="2272"/>
      <c r="P24" s="2273"/>
      <c r="Q24" s="2273"/>
      <c r="R24" s="2273"/>
      <c r="S24" s="2273"/>
      <c r="T24" s="2273"/>
      <c r="U24" s="2273"/>
      <c r="V24" s="2273"/>
      <c r="W24" s="2274"/>
      <c r="X24" s="1279" t="s">
        <v>470</v>
      </c>
      <c r="Z24" s="498"/>
      <c r="AA24" s="498" t="str">
        <f>IF(M24="","",M24)</f>
        <v>Группа потребителей</v>
      </c>
      <c r="AB24" s="498"/>
      <c r="AC24" s="498"/>
    </row>
    <row customHeight="1" ht="11.25">
      <c r="A25" s="1386" t="s">
        <v>172</v>
      </c>
      <c r="B25" s="1386" t="s">
        <v>173</v>
      </c>
      <c r="C25" s="1386" t="s">
        <v>174</v>
      </c>
      <c r="D25" s="1386" t="s">
        <v>175</v>
      </c>
      <c r="E25" s="1386"/>
      <c r="F25" s="2270"/>
      <c r="G25" s="2038"/>
      <c r="H25" s="2038" t="str">
        <f>G24&amp;".1"</f>
        <v>....1.1.1</v>
      </c>
      <c r="I25" s="2172"/>
      <c r="J25" s="2172"/>
      <c r="K25" s="345">
        <v>1</v>
      </c>
      <c r="L25" s="1316" t="str">
        <f>$H$25</f>
        <v>....1.1.1</v>
      </c>
      <c r="M25" s="1280"/>
      <c r="N25" s="280"/>
      <c r="O25" s="749"/>
      <c r="P25" s="312"/>
      <c r="Q25" s="749"/>
      <c r="R25" s="1278"/>
      <c r="S25" s="2265"/>
      <c r="T25" s="1928" t="s">
        <v>58</v>
      </c>
      <c r="U25" s="2265"/>
      <c r="V25" s="1928" t="s">
        <v>56</v>
      </c>
      <c r="W25" s="312"/>
      <c r="X25" s="2168" t="s">
        <v>472</v>
      </c>
      <c r="Y25" s="509">
        <f>STRCHECKDATE(O26:W26)</f>
      </c>
      <c r="Z25" s="498"/>
      <c r="AA25" s="498" t="str">
        <f>IF(M25="","",M25)</f>
        <v/>
      </c>
      <c r="AB25" s="498"/>
      <c r="AC25" s="498"/>
    </row>
    <row customHeight="1" ht="11.25">
      <c r="A26" s="1386" t="s">
        <v>172</v>
      </c>
      <c r="B26" s="1386" t="s">
        <v>173</v>
      </c>
      <c r="C26" s="1386" t="s">
        <v>174</v>
      </c>
      <c r="D26" s="1386" t="s">
        <v>175</v>
      </c>
      <c r="E26" s="1386"/>
      <c r="F26" s="2270"/>
      <c r="G26" s="2038"/>
      <c r="H26" s="2038"/>
      <c r="I26" s="2172"/>
      <c r="J26" s="2172"/>
      <c r="K26" s="345"/>
      <c r="L26" s="1317"/>
      <c r="M26" s="280"/>
      <c r="N26" s="280"/>
      <c r="O26" s="312"/>
      <c r="P26" s="312"/>
      <c r="Q26" s="312"/>
      <c r="R26" s="316" t="str">
        <f>S25&amp;"-"&amp;U25</f>
        <v>-</v>
      </c>
      <c r="S26" s="2181"/>
      <c r="T26" s="1928"/>
      <c r="U26" s="2181"/>
      <c r="V26" s="1928"/>
      <c r="W26" s="312"/>
      <c r="X26" s="2169"/>
      <c r="Z26" s="498"/>
      <c r="AA26" s="498" t="str">
        <f>IF(M26="","",M26)</f>
        <v/>
      </c>
      <c r="AB26" s="498"/>
      <c r="AC26" s="498"/>
    </row>
    <row customHeight="1" ht="15">
      <c r="A27" s="1386" t="s">
        <v>172</v>
      </c>
      <c r="B27" s="1386" t="s">
        <v>173</v>
      </c>
      <c r="C27" s="1386" t="s">
        <v>174</v>
      </c>
      <c r="D27" s="1386" t="s">
        <v>175</v>
      </c>
      <c r="E27" s="1386"/>
      <c r="F27" s="2270"/>
      <c r="G27" s="2038"/>
      <c r="I27" s="2172"/>
      <c r="J27" s="2172"/>
      <c r="K27" s="344"/>
      <c r="L27" s="1301"/>
      <c r="M27" s="269" t="s">
        <v>473</v>
      </c>
      <c r="N27" s="359"/>
      <c r="O27" s="359"/>
      <c r="P27" s="359"/>
      <c r="Q27" s="359"/>
      <c r="R27" s="359"/>
      <c r="S27" s="359"/>
      <c r="T27" s="359"/>
      <c r="U27" s="359"/>
      <c r="V27" s="359"/>
      <c r="W27" s="311"/>
      <c r="X27" s="2170"/>
      <c r="Z27" s="498"/>
      <c r="AA27" s="498" t="str">
        <f>IF(M27="","",M27)</f>
        <v>Добавить вид теплоносителя (параметры теплоносителя)</v>
      </c>
      <c r="AB27" s="498"/>
      <c r="AC27" s="498"/>
    </row>
    <row customHeight="1" ht="15">
      <c r="A28" s="1386" t="s">
        <v>172</v>
      </c>
      <c r="B28" s="1386" t="s">
        <v>173</v>
      </c>
      <c r="C28" s="1386" t="s">
        <v>174</v>
      </c>
      <c r="D28" s="1386" t="s">
        <v>175</v>
      </c>
      <c r="E28" s="1386"/>
      <c r="F28" s="2270"/>
      <c r="I28" s="2172"/>
      <c r="J28" s="1314"/>
      <c r="K28" s="344"/>
      <c r="L28" s="1301"/>
      <c r="M28" s="268" t="s">
        <v>474</v>
      </c>
      <c r="N28" s="359"/>
      <c r="O28" s="359"/>
      <c r="P28" s="359"/>
      <c r="Q28" s="359"/>
      <c r="R28" s="359"/>
      <c r="S28" s="359"/>
      <c r="T28" s="359"/>
      <c r="U28" s="359"/>
      <c r="V28" s="358"/>
      <c r="W28" s="359"/>
      <c r="X28" s="283"/>
      <c r="Z28" s="498"/>
      <c r="AA28" s="498" t="str">
        <f>IF(M28="","",M28)</f>
        <v>Добавить группу потребителей</v>
      </c>
      <c r="AB28" s="498"/>
      <c r="AC28" s="498"/>
    </row>
    <row customHeight="1" ht="14.25">
      <c r="A29" s="1386" t="s">
        <v>172</v>
      </c>
      <c r="B29" s="1386" t="s">
        <v>173</v>
      </c>
      <c r="C29" s="1386" t="s">
        <v>174</v>
      </c>
      <c r="D29" s="1386" t="s">
        <v>175</v>
      </c>
      <c r="E29" s="1386"/>
      <c r="F29" s="1388"/>
      <c r="G29" s="1388"/>
      <c r="H29" s="535"/>
      <c r="I29" s="348"/>
      <c r="J29" s="367"/>
      <c r="K29" s="343"/>
      <c r="L29" s="1301"/>
      <c r="M29" s="356" t="s">
        <v>475</v>
      </c>
      <c r="N29" s="359"/>
      <c r="O29" s="359"/>
      <c r="P29" s="359"/>
      <c r="Q29" s="359"/>
      <c r="R29" s="359"/>
      <c r="S29" s="359"/>
      <c r="T29" s="359"/>
      <c r="U29" s="359"/>
      <c r="V29" s="358"/>
      <c r="W29" s="359"/>
      <c r="X29" s="283"/>
      <c r="Z29" s="498"/>
      <c r="AA29" s="498" t="str">
        <f>IF(M29="","",M29)</f>
        <v>Добавить схему подключения</v>
      </c>
      <c r="AB29" s="498"/>
      <c r="AC29" s="498"/>
    </row>
    <row customHeight="1" ht="14.25">
      <c r="A30" s="1386" t="s">
        <v>172</v>
      </c>
      <c r="B30" s="1386" t="s">
        <v>173</v>
      </c>
      <c r="C30" s="1386" t="s">
        <v>174</v>
      </c>
      <c r="D30" s="1386"/>
      <c r="E30" s="1386" t="s">
        <v>1571</v>
      </c>
      <c r="F30" s="1388"/>
      <c r="G30" s="1388"/>
      <c r="H30" s="535"/>
      <c r="I30" s="348"/>
      <c r="J30" s="367"/>
      <c r="K30" s="343"/>
      <c r="L30" s="1302"/>
      <c r="M30" s="1291"/>
      <c r="N30" s="1292"/>
      <c r="O30" s="1292"/>
      <c r="P30" s="1292"/>
      <c r="Q30" s="1292"/>
      <c r="R30" s="1292"/>
      <c r="S30" s="1292"/>
      <c r="T30" s="1292"/>
      <c r="U30" s="1292"/>
      <c r="V30" s="1293"/>
      <c r="W30" s="1292"/>
      <c r="X30" s="1294"/>
      <c r="Z30" s="498"/>
      <c r="AA30" s="498" t="str">
        <f>IF(M30="","",M30)</f>
        <v/>
      </c>
      <c r="AB30" s="498"/>
      <c r="AC30" s="498"/>
    </row>
    <row customHeight="1" ht="14.25">
      <c r="A31" s="1386" t="s">
        <v>172</v>
      </c>
      <c r="B31" s="1386" t="s">
        <v>173</v>
      </c>
      <c r="C31" s="1386"/>
      <c r="D31" s="1386"/>
      <c r="E31" s="1386" t="s">
        <v>1572</v>
      </c>
      <c r="F31" s="1540"/>
      <c r="G31" s="1540"/>
      <c r="H31" s="535"/>
      <c r="I31" s="346"/>
      <c r="J31" s="367"/>
      <c r="K31" s="347"/>
      <c r="L31" s="1302"/>
      <c r="M31" s="1295"/>
      <c r="N31" s="1292"/>
      <c r="O31" s="1292"/>
      <c r="P31" s="1292"/>
      <c r="Q31" s="1292"/>
      <c r="R31" s="1292"/>
      <c r="S31" s="1292"/>
      <c r="T31" s="1292"/>
      <c r="U31" s="1292"/>
      <c r="V31" s="1293"/>
      <c r="W31" s="1292"/>
      <c r="X31" s="1294"/>
      <c r="Z31" s="498"/>
      <c r="AA31" s="498" t="str">
        <f>IF(M31="","",M31)</f>
        <v/>
      </c>
      <c r="AB31" s="498"/>
      <c r="AC31" s="498"/>
    </row>
    <row customHeight="1" ht="14.25">
      <c r="A32" s="1386" t="s">
        <v>1573</v>
      </c>
      <c r="B32" s="1386"/>
      <c r="C32" s="1386"/>
      <c r="D32" s="1386"/>
      <c r="E32" s="1386" t="s">
        <v>103</v>
      </c>
      <c r="F32" s="1540"/>
      <c r="G32" s="1540"/>
      <c r="H32" s="535"/>
      <c r="I32" s="348"/>
      <c r="J32" s="367"/>
      <c r="K32" s="343"/>
      <c r="L32" s="1302"/>
      <c r="M32" s="1296"/>
      <c r="N32" s="1292"/>
      <c r="O32" s="1292"/>
      <c r="P32" s="1292"/>
      <c r="Q32" s="1292"/>
      <c r="R32" s="1292"/>
      <c r="S32" s="1292"/>
      <c r="T32" s="1292"/>
      <c r="U32" s="1292"/>
      <c r="V32" s="1293"/>
      <c r="W32" s="1292"/>
      <c r="X32" s="1294"/>
      <c r="Z32" s="498"/>
      <c r="AA32" s="498" t="str">
        <f>IF(M32="","",M32)</f>
        <v/>
      </c>
      <c r="AB32" s="498"/>
      <c r="AC32" s="498"/>
    </row>
    <row s="2412" customFormat="1" customHeight="1" ht="11.25">
      <c r="A33" s="1386"/>
      <c r="B33" s="1386"/>
      <c r="C33" s="1386"/>
      <c r="D33" s="1386"/>
      <c r="E33" s="1386" t="s">
        <v>435</v>
      </c>
      <c r="F33" s="1541"/>
      <c r="G33" s="1542"/>
      <c r="H33" s="535"/>
      <c r="L33" s="1303"/>
      <c r="M33" s="1297"/>
      <c r="N33" s="1292"/>
      <c r="O33" s="1292"/>
      <c r="P33" s="1292"/>
      <c r="Q33" s="1292"/>
      <c r="R33" s="1292"/>
      <c r="S33" s="1292"/>
      <c r="T33" s="1292"/>
      <c r="U33" s="1292"/>
      <c r="V33" s="1293"/>
      <c r="W33" s="1292"/>
      <c r="X33" s="1294"/>
      <c r="Y33" s="374"/>
      <c r="Z33" s="374"/>
      <c r="AA33" s="374"/>
      <c r="AB33" s="374"/>
      <c r="AC33" s="374"/>
    </row>
    <row customHeight="1" ht="11.25">
      <c r="F34" s="1161"/>
      <c r="G34" s="1161"/>
      <c r="H34" s="535"/>
      <c r="I34" s="1156"/>
      <c r="J34" s="1156"/>
      <c r="K34" s="1156"/>
      <c r="Y34" s="1156"/>
      <c r="Z34" s="1156"/>
      <c r="AA34" s="1156"/>
      <c r="AB34" s="1156"/>
      <c r="AC34" s="1156"/>
    </row>
    <row customHeight="1" ht="27">
      <c r="H35" s="535"/>
      <c r="L35" s="1311" t="s">
        <v>507</v>
      </c>
      <c r="M35" s="2200" t="s">
        <v>514</v>
      </c>
      <c r="N35" s="2200"/>
      <c r="O35" s="2200"/>
      <c r="P35" s="2200"/>
      <c r="Q35" s="2200"/>
      <c r="R35" s="2200"/>
      <c r="S35" s="2200"/>
      <c r="T35" s="2200"/>
      <c r="U35" s="2200"/>
      <c r="V35" s="2200"/>
      <c r="W35" s="2200"/>
      <c r="X35" s="2200"/>
    </row>
    <row customHeight="1" ht="104.25">
      <c r="H36" s="535"/>
      <c r="I36" s="1326"/>
      <c r="M36" s="2200" t="s">
        <v>509</v>
      </c>
      <c r="N36" s="2200"/>
      <c r="O36" s="2200"/>
      <c r="P36" s="2200"/>
      <c r="Q36" s="2200"/>
      <c r="R36" s="2200"/>
      <c r="S36" s="2200"/>
      <c r="T36" s="2200"/>
      <c r="U36" s="2200"/>
      <c r="V36" s="2200"/>
      <c r="W36" s="2200"/>
      <c r="X36" s="2200"/>
    </row>
    <row customHeight="1" ht="14.25">
      <c r="H37" s="535"/>
    </row>
    <row customHeight="1" ht="14.25">
      <c r="H38" s="535"/>
    </row>
    <row customHeight="1" ht="14.25">
      <c r="H39" s="535"/>
    </row>
    <row customHeight="1" ht="14.25">
      <c r="H40" s="535"/>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A2135-77D9-6BDE-A644-CE819AE0227E}"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1666" width="11.57421875" customWidth="1"/>
    <col min="2" max="2" style="1666" width="10.7109375" customWidth="1"/>
    <col min="3" max="3" style="1666" width="10.00390625" customWidth="1"/>
    <col min="4" max="4" style="1666" width="12.8515625" customWidth="1"/>
    <col min="5" max="5" style="1666" width="12.28125" customWidth="1"/>
    <col min="6" max="8" style="2295" width="12.28125" customWidth="1"/>
    <col min="9" max="9" style="2295" width="3.7109375" customWidth="1"/>
    <col min="10" max="11" style="332" width="3.7109375" customWidth="1"/>
    <col min="12" max="12" style="2337" width="12.7109375" customWidth="1"/>
    <col min="13" max="13" style="1666" width="32.00390625" customWidth="1"/>
    <col min="14" max="14" style="1666" width="1.7109375" customWidth="1"/>
    <col min="15" max="18" style="1666" width="24.7109375" customWidth="1"/>
    <col min="19" max="19" style="1666" width="11.7109375" customWidth="1"/>
    <col min="20" max="20" style="1666" width="3.7109375" customWidth="1"/>
    <col min="21" max="21" style="1666" width="11.7109375" customWidth="1"/>
    <col min="22" max="22" style="1666" width="8.57421875" customWidth="1"/>
    <col min="23" max="23" style="1666" width="4.7109375" customWidth="1"/>
    <col min="24" max="24" style="1666" width="115.7109375" customWidth="1"/>
    <col min="25" max="26" style="1673" width="10.57421875"/>
    <col min="27" max="27" style="1673" width="11.140625" customWidth="1"/>
    <col min="28" max="29" style="1673" width="10.57421875"/>
  </cols>
  <sheetData>
    <row customHeight="1" ht="14.25" hidden="1">
      <c r="R1" s="315"/>
      <c r="S1" s="315"/>
    </row>
    <row customHeight="1" ht="14.25" hidden="1">
      <c r="V2" s="315"/>
    </row>
    <row customHeight="1" ht="14.25" hidden="1"/>
    <row customHeight="1" ht="14.25">
      <c r="J4" s="368"/>
      <c r="K4" s="368"/>
      <c r="L4" s="1298"/>
      <c r="M4" s="353"/>
      <c r="N4" s="353"/>
      <c r="O4" s="507"/>
      <c r="P4" s="507"/>
      <c r="Q4" s="507"/>
      <c r="R4" s="507"/>
      <c r="S4" s="507"/>
      <c r="T4" s="507"/>
      <c r="U4" s="507"/>
      <c r="V4" s="507"/>
    </row>
    <row customHeight="1" ht="64.5">
      <c r="J5" s="368"/>
      <c r="K5" s="368"/>
      <c r="L5" s="2266" t="s">
        <v>1568</v>
      </c>
      <c r="M5" s="2266"/>
      <c r="N5" s="2266"/>
      <c r="O5" s="2266"/>
      <c r="P5" s="2266"/>
      <c r="Q5" s="2266"/>
      <c r="R5" s="2266"/>
      <c r="S5" s="2266"/>
      <c r="T5" s="2266"/>
      <c r="U5" s="2266"/>
      <c r="V5" s="1254"/>
    </row>
    <row customHeight="1" ht="14.25">
      <c r="J6" s="368"/>
      <c r="K6" s="368"/>
      <c r="L6" s="2267" t="str">
        <f>IF(org=0,"Не определено",org)</f>
        <v>ПАО "ТГК-2"</v>
      </c>
      <c r="M6" s="2267"/>
      <c r="N6" s="2267"/>
      <c r="O6" s="2267"/>
      <c r="P6" s="2267"/>
      <c r="Q6" s="2267"/>
      <c r="R6" s="2267"/>
      <c r="S6" s="2267"/>
      <c r="T6" s="2267"/>
      <c r="U6" s="2267"/>
      <c r="V6" s="1254"/>
    </row>
    <row customHeight="1" ht="14.25">
      <c r="J7" s="368"/>
      <c r="K7" s="368"/>
      <c r="L7" s="1298"/>
      <c r="M7" s="353"/>
      <c r="N7" s="353"/>
      <c r="O7" s="308"/>
      <c r="P7" s="308"/>
      <c r="Q7" s="308"/>
      <c r="R7" s="308"/>
      <c r="S7" s="308"/>
      <c r="T7" s="308"/>
      <c r="U7" s="308"/>
      <c r="V7" s="308"/>
      <c r="W7" s="507"/>
    </row>
    <row s="1888" customFormat="1" customHeight="1" ht="45">
      <c r="F8" s="1260"/>
      <c r="G8" s="1260"/>
      <c r="H8" s="1260"/>
      <c r="L8" s="1299"/>
      <c r="M8" s="275" t="s">
        <v>39</v>
      </c>
      <c r="N8" s="284"/>
      <c r="O8" s="2166" t="str">
        <f>IF(TITLE_NAME_OR_PR_CHANGE="",IF(TITLE_NAME_OR_PR="","",TITLE_NAME_OR_PR),TITLE_NAME_OR_PR_CHANGE)</f>
        <v/>
      </c>
      <c r="P8" s="2166"/>
      <c r="Q8" s="2166"/>
      <c r="R8" s="2166"/>
      <c r="S8" s="2166"/>
      <c r="T8" s="2166"/>
      <c r="U8" s="2166"/>
      <c r="V8" s="314"/>
      <c r="W8" s="314"/>
      <c r="X8" s="261"/>
      <c r="Y8" s="360"/>
      <c r="Z8" s="360"/>
      <c r="AA8" s="360"/>
      <c r="AB8" s="360"/>
      <c r="AC8" s="360"/>
    </row>
    <row s="1888" customFormat="1" customHeight="1" ht="22.5">
      <c r="F9" s="1260"/>
      <c r="G9" s="1260"/>
      <c r="H9" s="1260"/>
      <c r="L9" s="1299"/>
      <c r="M9" s="275" t="s">
        <v>482</v>
      </c>
      <c r="N9" s="284"/>
      <c r="O9" s="2166" t="str">
        <f>IF(TITLE_DATE_CHANGE_PERIOD="",IF(TITLE_DATE_PR="","",TITLE_DATE_PR),TITLE_DATE_CHANGE_PERIOD)</f>
        <v/>
      </c>
      <c r="P9" s="2166"/>
      <c r="Q9" s="2166"/>
      <c r="R9" s="2166"/>
      <c r="S9" s="2166"/>
      <c r="T9" s="2166"/>
      <c r="U9" s="2166"/>
      <c r="V9" s="314"/>
      <c r="W9" s="314"/>
      <c r="X9" s="261"/>
      <c r="Y9" s="360"/>
      <c r="Z9" s="360"/>
      <c r="AA9" s="360"/>
      <c r="AB9" s="360"/>
      <c r="AC9" s="360"/>
    </row>
    <row s="1888" customFormat="1" customHeight="1" ht="22.5">
      <c r="F10" s="1260"/>
      <c r="G10" s="1260"/>
      <c r="H10" s="1260"/>
      <c r="L10" s="1262"/>
      <c r="M10" s="275" t="s">
        <v>483</v>
      </c>
      <c r="N10" s="284"/>
      <c r="O10" s="2166" t="str">
        <f>IF(TITLE_NUMBER_PR_CHANGE="",IF(TITLE_NUMBER_PR="","",TITLE_NUMBER_PR),TITLE_NUMBER_PR_CHANGE)</f>
        <v/>
      </c>
      <c r="P10" s="2166"/>
      <c r="Q10" s="2166"/>
      <c r="R10" s="2166"/>
      <c r="S10" s="2166"/>
      <c r="T10" s="2166"/>
      <c r="U10" s="2166"/>
      <c r="V10" s="314"/>
      <c r="W10" s="314"/>
      <c r="X10" s="261"/>
      <c r="Y10" s="360"/>
      <c r="Z10" s="360"/>
      <c r="AA10" s="360"/>
      <c r="AB10" s="360"/>
      <c r="AC10" s="360"/>
    </row>
    <row s="1888" customFormat="1" customHeight="1" ht="22.5">
      <c r="F11" s="1260"/>
      <c r="G11" s="1260"/>
      <c r="H11" s="1260"/>
      <c r="L11" s="1262"/>
      <c r="M11" s="275" t="s">
        <v>40</v>
      </c>
      <c r="N11" s="284"/>
      <c r="O11" s="2166" t="str">
        <f>IF(TITLE_IST_PUB_CHANGE="",IF(TITLE_IST_PUB="","",TITLE_IST_PUB),TITLE_IST_PUB_CHANGE)</f>
        <v/>
      </c>
      <c r="P11" s="2166"/>
      <c r="Q11" s="2166"/>
      <c r="R11" s="2166"/>
      <c r="S11" s="2166"/>
      <c r="T11" s="2166"/>
      <c r="U11" s="2166"/>
      <c r="V11" s="314"/>
      <c r="W11" s="314"/>
      <c r="X11" s="261"/>
      <c r="Y11" s="360"/>
      <c r="Z11" s="360"/>
      <c r="AA11" s="360"/>
      <c r="AB11" s="360"/>
      <c r="AC11" s="360"/>
    </row>
    <row s="1888" customFormat="1" customHeight="1" ht="11.25" hidden="1">
      <c r="F12" s="1260"/>
      <c r="G12" s="1260"/>
      <c r="H12" s="1260"/>
      <c r="L12" s="2268"/>
      <c r="M12" s="2268"/>
      <c r="N12" s="1310"/>
      <c r="O12" s="314"/>
      <c r="P12" s="314"/>
      <c r="Q12" s="314"/>
      <c r="R12" s="314"/>
      <c r="S12" s="314"/>
      <c r="T12" s="314"/>
      <c r="U12" s="314"/>
      <c r="V12" s="259" t="s">
        <v>486</v>
      </c>
      <c r="Y12" s="360"/>
      <c r="Z12" s="360"/>
      <c r="AA12" s="360"/>
      <c r="AB12" s="360"/>
      <c r="AC12" s="360"/>
    </row>
    <row customHeight="1" ht="14.25">
      <c r="J13" s="368"/>
      <c r="K13" s="368"/>
      <c r="L13" s="1298"/>
      <c r="M13" s="353"/>
      <c r="N13" s="1255"/>
      <c r="O13" s="2167"/>
      <c r="P13" s="2167"/>
      <c r="Q13" s="2167"/>
      <c r="R13" s="2167"/>
      <c r="S13" s="2167"/>
      <c r="T13" s="2167"/>
      <c r="U13" s="2167"/>
      <c r="V13" s="2167"/>
    </row>
    <row customHeight="1" ht="14.25">
      <c r="J14" s="368"/>
      <c r="K14" s="368"/>
      <c r="L14" s="1948" t="s">
        <v>290</v>
      </c>
      <c r="M14" s="1948"/>
      <c r="N14" s="1948"/>
      <c r="O14" s="1948"/>
      <c r="P14" s="1948"/>
      <c r="Q14" s="1948"/>
      <c r="R14" s="1948"/>
      <c r="S14" s="1948"/>
      <c r="T14" s="1948"/>
      <c r="U14" s="1948"/>
      <c r="V14" s="1948"/>
      <c r="W14" s="1948"/>
      <c r="X14" s="1948" t="s">
        <v>291</v>
      </c>
    </row>
    <row customHeight="1" ht="14.25">
      <c r="J15" s="368"/>
      <c r="K15" s="368"/>
      <c r="L15" s="2188" t="s">
        <v>87</v>
      </c>
      <c r="M15" s="2029" t="s">
        <v>487</v>
      </c>
      <c r="N15" s="281"/>
      <c r="O15" s="2189" t="s">
        <v>1569</v>
      </c>
      <c r="P15" s="2190"/>
      <c r="Q15" s="2190"/>
      <c r="R15" s="2190"/>
      <c r="S15" s="2190"/>
      <c r="T15" s="2190"/>
      <c r="U15" s="2191"/>
      <c r="V15" s="2192" t="s">
        <v>489</v>
      </c>
      <c r="W15" s="2195" t="s">
        <v>1570</v>
      </c>
      <c r="X15" s="1948"/>
    </row>
    <row customHeight="1" ht="33.75">
      <c r="J16" s="368"/>
      <c r="K16" s="368"/>
      <c r="L16" s="2188"/>
      <c r="M16" s="2029"/>
      <c r="N16" s="1032"/>
      <c r="O16" s="2175" t="s">
        <v>492</v>
      </c>
      <c r="P16" s="2175" t="s">
        <v>493</v>
      </c>
      <c r="Q16" s="2177" t="s">
        <v>494</v>
      </c>
      <c r="R16" s="2178"/>
      <c r="S16" s="2177" t="s">
        <v>513</v>
      </c>
      <c r="T16" s="2184"/>
      <c r="U16" s="2178"/>
      <c r="V16" s="2193"/>
      <c r="W16" s="2196"/>
      <c r="X16" s="1948"/>
    </row>
    <row customHeight="1" ht="33.75">
      <c r="A17" s="1281" t="s">
        <v>138</v>
      </c>
      <c r="B17" s="1281" t="s">
        <v>139</v>
      </c>
      <c r="C17" s="1281" t="s">
        <v>140</v>
      </c>
      <c r="D17" s="1281" t="s">
        <v>141</v>
      </c>
      <c r="E17" s="1281"/>
      <c r="J17" s="368"/>
      <c r="K17" s="368"/>
      <c r="L17" s="2188"/>
      <c r="M17" s="2029"/>
      <c r="N17" s="282"/>
      <c r="O17" s="2176"/>
      <c r="P17" s="2176"/>
      <c r="Q17" s="1230" t="s">
        <v>503</v>
      </c>
      <c r="R17" s="1230" t="s">
        <v>504</v>
      </c>
      <c r="S17" s="1315" t="s">
        <v>505</v>
      </c>
      <c r="T17" s="2185" t="s">
        <v>506</v>
      </c>
      <c r="U17" s="2186"/>
      <c r="V17" s="2194"/>
      <c r="W17" s="2197"/>
      <c r="X17" s="1948"/>
    </row>
    <row s="1672" customFormat="1" customHeight="1" ht="11.25">
      <c r="A18" s="1281"/>
      <c r="B18" s="1281"/>
      <c r="C18" s="1281"/>
      <c r="D18" s="1281"/>
      <c r="E18" s="1281"/>
      <c r="F18" s="1309"/>
      <c r="G18" s="1309"/>
      <c r="H18" s="1309"/>
      <c r="I18" s="1257"/>
      <c r="J18" s="1258"/>
      <c r="K18" s="1273">
        <v>1</v>
      </c>
      <c r="L18" s="1300" t="s">
        <v>108</v>
      </c>
      <c r="M18" s="1274" t="s">
        <v>109</v>
      </c>
      <c r="N18" s="1256" t="str">
        <f>OFFSET(N18,0,-1)</f>
        <v>2</v>
      </c>
      <c r="O18" s="1312">
        <f>OFFSET(O18,0,-1)+1</f>
        <v>3</v>
      </c>
      <c r="P18" s="1312"/>
      <c r="Q18" s="1312">
        <f>OFFSET(Q18,0,-1)+1</f>
        <v>1</v>
      </c>
      <c r="R18" s="1312">
        <f>OFFSET(R18,0,-1)+1</f>
        <v>2</v>
      </c>
      <c r="S18" s="1312">
        <f>OFFSET(S18,0,-1)+1</f>
        <v>3</v>
      </c>
      <c r="T18" s="2187">
        <f>OFFSET(T18,0,-1)+1</f>
        <v>4</v>
      </c>
      <c r="U18" s="2187"/>
      <c r="V18" s="1312">
        <f>OFFSET(V18,0,-2)+1</f>
        <v>5</v>
      </c>
      <c r="W18" s="1256">
        <f>OFFSET(W18,0,-1)</f>
        <v>5</v>
      </c>
      <c r="X18" s="1312">
        <f>OFFSET(X18,0,-1)+1</f>
        <v>6</v>
      </c>
      <c r="Y18" s="509"/>
      <c r="Z18" s="509"/>
      <c r="AA18" s="509"/>
      <c r="AB18" s="509"/>
      <c r="AC18" s="509"/>
    </row>
    <row customHeight="1" ht="21">
      <c r="A19" s="1289" t="s">
        <v>1574</v>
      </c>
      <c r="B19" s="1289" t="s">
        <v>1575</v>
      </c>
      <c r="C19" s="1289" t="s">
        <v>1576</v>
      </c>
      <c r="D19" s="1289" t="s">
        <v>1577</v>
      </c>
      <c r="E19" s="1289"/>
      <c r="F19" s="685"/>
      <c r="G19" s="685"/>
      <c r="H19" s="685"/>
      <c r="I19" s="349"/>
      <c r="J19" s="348"/>
      <c r="K19" s="343"/>
      <c r="L19" s="1316">
        <f>INDEX(PT_DIFFERENTIATION_NUM_NTAR,MATCH(A19,PT_DIFFERENTIATION_NTAR_ID,0))</f>
      </c>
      <c r="M19" s="278" t="s">
        <v>127</v>
      </c>
      <c r="N19" s="280"/>
      <c r="O19" s="2269">
        <f>INDEX(PT_DIFFERENTIATION_NTAR,MATCH(A19,PT_DIFFERENTIATION_NTAR_ID,0))</f>
      </c>
      <c r="P19" s="2269"/>
      <c r="Q19" s="2269"/>
      <c r="R19" s="2269"/>
      <c r="S19" s="2269"/>
      <c r="T19" s="2269"/>
      <c r="U19" s="2269"/>
      <c r="V19" s="2269"/>
      <c r="W19" s="2269"/>
      <c r="X19" s="1279" t="s">
        <v>458</v>
      </c>
      <c r="Z19" s="498"/>
      <c r="AA19" s="498" t="str">
        <f>IF(M19="","",M19)</f>
        <v>Наименование тарифа</v>
      </c>
      <c r="AB19" s="498"/>
      <c r="AC19" s="498"/>
    </row>
    <row customHeight="1" ht="21">
      <c r="A20" s="1289" t="s">
        <v>1574</v>
      </c>
      <c r="B20" s="1289" t="s">
        <v>1575</v>
      </c>
      <c r="C20" s="1289" t="s">
        <v>1576</v>
      </c>
      <c r="D20" s="1289" t="s">
        <v>1577</v>
      </c>
      <c r="E20" s="1289"/>
      <c r="F20" s="685"/>
      <c r="G20" s="685"/>
      <c r="H20" s="685"/>
      <c r="I20" s="1313"/>
      <c r="J20" s="340"/>
      <c r="K20" s="341"/>
      <c r="L20" s="1316">
        <f>INDEX(PT_DIFFERENTIATION_NUM_TER,MATCH(B19,PT_DIFFERENTIATION_TER_ID,0))</f>
      </c>
      <c r="M20" s="290" t="s">
        <v>459</v>
      </c>
      <c r="N20" s="280"/>
      <c r="O20" s="2269">
        <f>INDEX(PT_DIFFERENTIATION_TER,MATCH(B19,PT_DIFFERENTIATION_TER_ID,0))</f>
      </c>
      <c r="P20" s="2269"/>
      <c r="Q20" s="2269"/>
      <c r="R20" s="2269"/>
      <c r="S20" s="2269"/>
      <c r="T20" s="2269"/>
      <c r="U20" s="2269"/>
      <c r="V20" s="2269"/>
      <c r="W20" s="2269"/>
      <c r="X20" s="1279" t="s">
        <v>460</v>
      </c>
      <c r="Z20" s="498"/>
      <c r="AA20" s="498" t="str">
        <f>IF(M20="","",M20)</f>
        <v>Территория действия тарифа</v>
      </c>
      <c r="AB20" s="498"/>
      <c r="AC20" s="498"/>
    </row>
    <row customHeight="1" ht="22.5">
      <c r="A21" s="1289" t="s">
        <v>1574</v>
      </c>
      <c r="B21" s="1289" t="s">
        <v>1575</v>
      </c>
      <c r="C21" s="1289" t="s">
        <v>1576</v>
      </c>
      <c r="D21" s="1289" t="s">
        <v>1577</v>
      </c>
      <c r="E21" s="1289"/>
      <c r="F21" s="685"/>
      <c r="G21" s="685"/>
      <c r="H21" s="685"/>
      <c r="I21" s="342"/>
      <c r="J21" s="340"/>
      <c r="K21" s="341"/>
      <c r="L21" s="1316">
        <f>INDEX(PT_DIFFERENTIATION_NUM_CS,MATCH(C19,PT_DIFFERENTIATION_CS_ID,0))</f>
      </c>
      <c r="M21" s="291" t="s">
        <v>461</v>
      </c>
      <c r="N21" s="280"/>
      <c r="O21" s="2269">
        <f>INDEX(PT_DIFFERENTIATION_CS,MATCH(C19,PT_DIFFERENTIATION_CS_ID,0))</f>
      </c>
      <c r="P21" s="2269"/>
      <c r="Q21" s="2269"/>
      <c r="R21" s="2269"/>
      <c r="S21" s="2269"/>
      <c r="T21" s="2269"/>
      <c r="U21" s="2269"/>
      <c r="V21" s="2269"/>
      <c r="W21" s="2269"/>
      <c r="X21" s="1279" t="s">
        <v>462</v>
      </c>
      <c r="Z21" s="498"/>
      <c r="AA21" s="498" t="str">
        <f>IF(M21="","",M21)</f>
        <v>Наименование системы теплоснабжения </v>
      </c>
      <c r="AB21" s="498"/>
      <c r="AC21" s="498"/>
    </row>
    <row customHeight="1" ht="21">
      <c r="A22" s="1289" t="s">
        <v>1574</v>
      </c>
      <c r="B22" s="1289" t="s">
        <v>1575</v>
      </c>
      <c r="C22" s="1289" t="s">
        <v>1576</v>
      </c>
      <c r="D22" s="1289" t="s">
        <v>1577</v>
      </c>
      <c r="E22" s="1289"/>
      <c r="F22" s="685"/>
      <c r="G22" s="685"/>
      <c r="H22" s="685"/>
      <c r="I22" s="342"/>
      <c r="J22" s="340"/>
      <c r="K22" s="341"/>
      <c r="L22" s="1316">
        <f>INDEX(PT_DIFFERENTIATION_NUM_IST_TE,MATCH(D19,PT_DIFFERENTIATION_IST_TE_ID,0))</f>
      </c>
      <c r="M22" s="292" t="s">
        <v>463</v>
      </c>
      <c r="N22" s="280"/>
      <c r="O22" s="2269">
        <f>INDEX(PT_DIFFERENTIATION_IST_TE,MATCH(D19,PT_DIFFERENTIATION_IST_TE_ID,0))</f>
      </c>
      <c r="P22" s="2269"/>
      <c r="Q22" s="2269"/>
      <c r="R22" s="2269"/>
      <c r="S22" s="2269"/>
      <c r="T22" s="2269"/>
      <c r="U22" s="2269"/>
      <c r="V22" s="2269"/>
      <c r="W22" s="2269"/>
      <c r="X22" s="1279" t="s">
        <v>464</v>
      </c>
      <c r="Z22" s="498"/>
      <c r="AA22" s="498" t="str">
        <f>IF(M22="","",M22)</f>
        <v>Источник тепловой энергии  </v>
      </c>
      <c r="AB22" s="498"/>
      <c r="AC22" s="498"/>
    </row>
    <row customHeight="1" ht="94.5">
      <c r="A23" s="1289" t="s">
        <v>1574</v>
      </c>
      <c r="B23" s="1289" t="s">
        <v>1575</v>
      </c>
      <c r="C23" s="1289" t="s">
        <v>1576</v>
      </c>
      <c r="D23" s="1289" t="s">
        <v>1577</v>
      </c>
      <c r="E23" s="1289"/>
      <c r="F23" s="1946">
        <f>L22&amp;".1"</f>
      </c>
      <c r="I23" s="2172">
        <v>1</v>
      </c>
      <c r="J23" s="1314"/>
      <c r="K23" s="344"/>
      <c r="L23" s="1316">
        <f>$F$23</f>
      </c>
      <c r="M23" s="266" t="s">
        <v>466</v>
      </c>
      <c r="N23" s="280"/>
      <c r="O23" s="2271"/>
      <c r="P23" s="2271"/>
      <c r="Q23" s="2271"/>
      <c r="R23" s="2271"/>
      <c r="S23" s="2271"/>
      <c r="T23" s="2271"/>
      <c r="U23" s="2271"/>
      <c r="V23" s="2271"/>
      <c r="W23" s="2271"/>
      <c r="X23" s="1279" t="s">
        <v>467</v>
      </c>
      <c r="Z23" s="498"/>
      <c r="AA23" s="498" t="str">
        <f>IF(M23="","",M23)</f>
        <v>Схема подключения теплопотребляющей установки к коллектору источника тепловой энергии</v>
      </c>
      <c r="AB23" s="498"/>
      <c r="AC23" s="498"/>
    </row>
    <row customHeight="1" ht="84">
      <c r="A24" s="1289" t="s">
        <v>1574</v>
      </c>
      <c r="B24" s="1289" t="s">
        <v>1575</v>
      </c>
      <c r="C24" s="1289" t="s">
        <v>1576</v>
      </c>
      <c r="D24" s="1289" t="s">
        <v>1577</v>
      </c>
      <c r="E24" s="1289"/>
      <c r="F24" s="1946"/>
      <c r="G24" s="1920">
        <f>F23&amp;".1"</f>
      </c>
      <c r="I24" s="2172"/>
      <c r="J24" s="2172">
        <v>1</v>
      </c>
      <c r="K24" s="345"/>
      <c r="L24" s="1316">
        <f>$G$24</f>
      </c>
      <c r="M24" s="267" t="s">
        <v>469</v>
      </c>
      <c r="N24" s="280"/>
      <c r="O24" s="2272"/>
      <c r="P24" s="2273"/>
      <c r="Q24" s="2273"/>
      <c r="R24" s="2273"/>
      <c r="S24" s="2273"/>
      <c r="T24" s="2273"/>
      <c r="U24" s="2273"/>
      <c r="V24" s="2273"/>
      <c r="W24" s="2274"/>
      <c r="X24" s="1279" t="s">
        <v>470</v>
      </c>
      <c r="Z24" s="498"/>
      <c r="AA24" s="498" t="str">
        <f>IF(M24="","",M24)</f>
        <v>Группа потребителей</v>
      </c>
      <c r="AB24" s="498"/>
      <c r="AC24" s="498"/>
    </row>
    <row customHeight="1" ht="11.25">
      <c r="A25" s="1289" t="s">
        <v>1574</v>
      </c>
      <c r="B25" s="1289" t="s">
        <v>1575</v>
      </c>
      <c r="C25" s="1289" t="s">
        <v>1576</v>
      </c>
      <c r="D25" s="1289" t="s">
        <v>1577</v>
      </c>
      <c r="E25" s="1289"/>
      <c r="F25" s="1946"/>
      <c r="G25" s="1920"/>
      <c r="H25" s="1920">
        <f>G24&amp;".1"</f>
      </c>
      <c r="I25" s="2172"/>
      <c r="J25" s="2172"/>
      <c r="K25" s="345">
        <v>1</v>
      </c>
      <c r="L25" s="1316">
        <f>$H$25</f>
      </c>
      <c r="M25" s="1280"/>
      <c r="N25" s="280"/>
      <c r="O25" s="749"/>
      <c r="P25" s="312"/>
      <c r="Q25" s="749"/>
      <c r="R25" s="1278"/>
      <c r="S25" s="2265"/>
      <c r="T25" s="1928" t="s">
        <v>58</v>
      </c>
      <c r="U25" s="2265"/>
      <c r="V25" s="1928" t="s">
        <v>56</v>
      </c>
      <c r="W25" s="312"/>
      <c r="X25" s="2168" t="s">
        <v>472</v>
      </c>
      <c r="Y25" s="509">
        <f>STRCHECKDATE(O26:W26)</f>
      </c>
      <c r="Z25" s="498"/>
      <c r="AA25" s="498" t="str">
        <f>IF(M25="","",M25)</f>
        <v/>
      </c>
      <c r="AB25" s="498"/>
      <c r="AC25" s="498"/>
    </row>
    <row customHeight="1" ht="11.25">
      <c r="A26" s="1289" t="s">
        <v>1574</v>
      </c>
      <c r="B26" s="1289" t="s">
        <v>1575</v>
      </c>
      <c r="C26" s="1289" t="s">
        <v>1576</v>
      </c>
      <c r="D26" s="1289" t="s">
        <v>1577</v>
      </c>
      <c r="E26" s="1289"/>
      <c r="F26" s="1946"/>
      <c r="G26" s="1920"/>
      <c r="H26" s="1920"/>
      <c r="I26" s="2172"/>
      <c r="J26" s="2172"/>
      <c r="K26" s="345"/>
      <c r="L26" s="1317"/>
      <c r="M26" s="280"/>
      <c r="N26" s="280"/>
      <c r="O26" s="312"/>
      <c r="P26" s="312"/>
      <c r="Q26" s="312"/>
      <c r="R26" s="316" t="str">
        <f>S25&amp;"-"&amp;U25</f>
        <v>-</v>
      </c>
      <c r="S26" s="2181"/>
      <c r="T26" s="1928"/>
      <c r="U26" s="2181"/>
      <c r="V26" s="1928"/>
      <c r="W26" s="312"/>
      <c r="X26" s="2169"/>
      <c r="Z26" s="498"/>
      <c r="AA26" s="498" t="str">
        <f>IF(M26="","",M26)</f>
        <v/>
      </c>
      <c r="AB26" s="498"/>
      <c r="AC26" s="498"/>
    </row>
    <row customHeight="1" ht="15">
      <c r="A27" s="1289" t="s">
        <v>1574</v>
      </c>
      <c r="B27" s="1289" t="s">
        <v>1575</v>
      </c>
      <c r="C27" s="1289" t="s">
        <v>1576</v>
      </c>
      <c r="D27" s="1289" t="s">
        <v>1577</v>
      </c>
      <c r="E27" s="1289"/>
      <c r="F27" s="1946"/>
      <c r="G27" s="1920"/>
      <c r="I27" s="2172"/>
      <c r="J27" s="2172"/>
      <c r="K27" s="344"/>
      <c r="L27" s="1301"/>
      <c r="M27" s="269" t="s">
        <v>473</v>
      </c>
      <c r="N27" s="359"/>
      <c r="O27" s="359"/>
      <c r="P27" s="359"/>
      <c r="Q27" s="359"/>
      <c r="R27" s="359"/>
      <c r="S27" s="359"/>
      <c r="T27" s="359"/>
      <c r="U27" s="359"/>
      <c r="V27" s="359"/>
      <c r="W27" s="311"/>
      <c r="X27" s="2170"/>
      <c r="Z27" s="498"/>
      <c r="AA27" s="498" t="str">
        <f>IF(M27="","",M27)</f>
        <v>Добавить вид теплоносителя (параметры теплоносителя)</v>
      </c>
      <c r="AB27" s="498"/>
      <c r="AC27" s="498"/>
    </row>
    <row customHeight="1" ht="15">
      <c r="A28" s="1289" t="s">
        <v>1574</v>
      </c>
      <c r="B28" s="1289" t="s">
        <v>1575</v>
      </c>
      <c r="C28" s="1289" t="s">
        <v>1576</v>
      </c>
      <c r="D28" s="1289" t="s">
        <v>1577</v>
      </c>
      <c r="E28" s="1289"/>
      <c r="F28" s="1946"/>
      <c r="I28" s="2172"/>
      <c r="J28" s="1314"/>
      <c r="K28" s="344"/>
      <c r="L28" s="1301"/>
      <c r="M28" s="268" t="s">
        <v>474</v>
      </c>
      <c r="N28" s="359"/>
      <c r="O28" s="359"/>
      <c r="P28" s="359"/>
      <c r="Q28" s="359"/>
      <c r="R28" s="359"/>
      <c r="S28" s="359"/>
      <c r="T28" s="359"/>
      <c r="U28" s="359"/>
      <c r="V28" s="358"/>
      <c r="W28" s="359"/>
      <c r="X28" s="283"/>
      <c r="Z28" s="498"/>
      <c r="AA28" s="498" t="str">
        <f>IF(M28="","",M28)</f>
        <v>Добавить группу потребителей</v>
      </c>
      <c r="AB28" s="498"/>
      <c r="AC28" s="498"/>
    </row>
    <row customHeight="1" ht="14.25">
      <c r="A29" s="1289" t="s">
        <v>1574</v>
      </c>
      <c r="B29" s="1289" t="s">
        <v>1575</v>
      </c>
      <c r="C29" s="1289" t="s">
        <v>1576</v>
      </c>
      <c r="D29" s="1289" t="s">
        <v>1577</v>
      </c>
      <c r="E29" s="1289"/>
      <c r="F29" s="685"/>
      <c r="G29" s="685"/>
      <c r="H29" s="507"/>
      <c r="I29" s="348"/>
      <c r="J29" s="367"/>
      <c r="K29" s="343"/>
      <c r="L29" s="1301"/>
      <c r="M29" s="356" t="s">
        <v>475</v>
      </c>
      <c r="N29" s="359"/>
      <c r="O29" s="359"/>
      <c r="P29" s="359"/>
      <c r="Q29" s="359"/>
      <c r="R29" s="359"/>
      <c r="S29" s="359"/>
      <c r="T29" s="359"/>
      <c r="U29" s="359"/>
      <c r="V29" s="358"/>
      <c r="W29" s="359"/>
      <c r="X29" s="283"/>
      <c r="Z29" s="498"/>
      <c r="AA29" s="498" t="str">
        <f>IF(M29="","",M29)</f>
        <v>Добавить схему подключения</v>
      </c>
      <c r="AB29" s="498"/>
      <c r="AC29" s="498"/>
    </row>
    <row customHeight="1" ht="14.25">
      <c r="A30" s="1289" t="s">
        <v>1574</v>
      </c>
      <c r="B30" s="1289" t="s">
        <v>1575</v>
      </c>
      <c r="C30" s="1289" t="s">
        <v>1576</v>
      </c>
      <c r="D30" s="1289"/>
      <c r="E30" s="1289" t="s">
        <v>1571</v>
      </c>
      <c r="F30" s="685"/>
      <c r="G30" s="685"/>
      <c r="H30" s="507"/>
      <c r="I30" s="348"/>
      <c r="J30" s="367"/>
      <c r="K30" s="343"/>
      <c r="L30" s="1302"/>
      <c r="M30" s="1291"/>
      <c r="N30" s="1292"/>
      <c r="O30" s="1292"/>
      <c r="P30" s="1292"/>
      <c r="Q30" s="1292"/>
      <c r="R30" s="1292"/>
      <c r="S30" s="1292"/>
      <c r="T30" s="1292"/>
      <c r="U30" s="1292"/>
      <c r="V30" s="1293"/>
      <c r="W30" s="1292"/>
      <c r="X30" s="1294"/>
      <c r="Z30" s="498"/>
      <c r="AA30" s="498" t="str">
        <f>IF(M30="","",M30)</f>
        <v/>
      </c>
      <c r="AB30" s="498"/>
      <c r="AC30" s="498"/>
    </row>
    <row customHeight="1" ht="14.25">
      <c r="A31" s="1289" t="s">
        <v>1574</v>
      </c>
      <c r="B31" s="1289" t="s">
        <v>1575</v>
      </c>
      <c r="C31" s="1289"/>
      <c r="D31" s="1289"/>
      <c r="E31" s="1289" t="s">
        <v>1572</v>
      </c>
      <c r="F31" s="1276"/>
      <c r="G31" s="1276"/>
      <c r="H31" s="507"/>
      <c r="I31" s="346"/>
      <c r="J31" s="367"/>
      <c r="K31" s="347"/>
      <c r="L31" s="1302"/>
      <c r="M31" s="1295"/>
      <c r="N31" s="1292"/>
      <c r="O31" s="1292"/>
      <c r="P31" s="1292"/>
      <c r="Q31" s="1292"/>
      <c r="R31" s="1292"/>
      <c r="S31" s="1292"/>
      <c r="T31" s="1292"/>
      <c r="U31" s="1292"/>
      <c r="V31" s="1293"/>
      <c r="W31" s="1292"/>
      <c r="X31" s="1294"/>
      <c r="Z31" s="498"/>
      <c r="AA31" s="498" t="str">
        <f>IF(M31="","",M31)</f>
        <v/>
      </c>
      <c r="AB31" s="498"/>
      <c r="AC31" s="498"/>
    </row>
    <row customHeight="1" ht="14.25">
      <c r="A32" s="1289" t="s">
        <v>1578</v>
      </c>
      <c r="B32" s="1289"/>
      <c r="C32" s="1289"/>
      <c r="D32" s="1289"/>
      <c r="E32" s="1289" t="s">
        <v>103</v>
      </c>
      <c r="F32" s="1276"/>
      <c r="G32" s="1276"/>
      <c r="H32" s="507"/>
      <c r="I32" s="348"/>
      <c r="J32" s="367"/>
      <c r="K32" s="343"/>
      <c r="L32" s="1302"/>
      <c r="M32" s="1296"/>
      <c r="N32" s="1292"/>
      <c r="O32" s="1292"/>
      <c r="P32" s="1292"/>
      <c r="Q32" s="1292"/>
      <c r="R32" s="1292"/>
      <c r="S32" s="1292"/>
      <c r="T32" s="1292"/>
      <c r="U32" s="1292"/>
      <c r="V32" s="1293"/>
      <c r="W32" s="1292"/>
      <c r="X32" s="1294"/>
      <c r="Z32" s="498"/>
      <c r="AA32" s="498" t="str">
        <f>IF(M32="","",M32)</f>
        <v/>
      </c>
      <c r="AB32" s="498"/>
      <c r="AC32" s="498"/>
    </row>
    <row s="2412" customFormat="1" customHeight="1" ht="11.25">
      <c r="A33" s="1289"/>
      <c r="B33" s="1289"/>
      <c r="C33" s="1289"/>
      <c r="D33" s="1289"/>
      <c r="E33" s="1289" t="s">
        <v>435</v>
      </c>
      <c r="F33" s="1290"/>
      <c r="G33" s="1277"/>
      <c r="H33" s="507"/>
      <c r="L33" s="1303"/>
      <c r="M33" s="1297"/>
      <c r="N33" s="1292"/>
      <c r="O33" s="1292"/>
      <c r="P33" s="1292"/>
      <c r="Q33" s="1292"/>
      <c r="R33" s="1292"/>
      <c r="S33" s="1292"/>
      <c r="T33" s="1292"/>
      <c r="U33" s="1292"/>
      <c r="V33" s="1293"/>
      <c r="W33" s="1292"/>
      <c r="X33" s="1294"/>
      <c r="Y33" s="374"/>
      <c r="Z33" s="374"/>
      <c r="AA33" s="374"/>
      <c r="AB33" s="374"/>
      <c r="AC33" s="374"/>
    </row>
    <row customHeight="1" ht="11.25">
      <c r="F34" s="1156"/>
      <c r="G34" s="1156"/>
      <c r="H34" s="507"/>
      <c r="I34" s="1156"/>
      <c r="J34" s="1156"/>
      <c r="K34" s="1156"/>
      <c r="Y34" s="1156"/>
      <c r="Z34" s="1156"/>
      <c r="AA34" s="1156"/>
      <c r="AB34" s="1156"/>
      <c r="AC34" s="1156"/>
    </row>
    <row customHeight="1" ht="27">
      <c r="H35" s="507"/>
      <c r="L35" s="1311" t="s">
        <v>507</v>
      </c>
      <c r="M35" s="2200" t="s">
        <v>514</v>
      </c>
      <c r="N35" s="2200"/>
      <c r="O35" s="2200"/>
      <c r="P35" s="2200"/>
      <c r="Q35" s="2200"/>
      <c r="R35" s="2200"/>
      <c r="S35" s="2200"/>
      <c r="T35" s="2200"/>
      <c r="U35" s="2200"/>
      <c r="V35" s="2200"/>
      <c r="W35" s="2200"/>
      <c r="X35" s="2200"/>
    </row>
    <row customHeight="1" ht="104.25">
      <c r="F36" s="1326"/>
      <c r="G36" s="1326"/>
      <c r="H36" s="507"/>
      <c r="I36" s="1326"/>
      <c r="M36" s="2200" t="s">
        <v>509</v>
      </c>
      <c r="N36" s="2200"/>
      <c r="O36" s="2200"/>
      <c r="P36" s="2200"/>
      <c r="Q36" s="2200"/>
      <c r="R36" s="2200"/>
      <c r="S36" s="2200"/>
      <c r="T36" s="2200"/>
      <c r="U36" s="2200"/>
      <c r="V36" s="2200"/>
      <c r="W36" s="2200"/>
      <c r="X36" s="2200"/>
    </row>
    <row customHeight="1" ht="14.25">
      <c r="H37" s="507"/>
    </row>
    <row customHeight="1" ht="14.25">
      <c r="H38" s="507"/>
    </row>
    <row customHeight="1" ht="14.25">
      <c r="H39" s="507"/>
    </row>
    <row customHeight="1" ht="14.25">
      <c r="H40" s="50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7C039-9683-A11A-30F2-F2E9862ED4C1}"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1666" width="10.57421875"/>
    <col min="2" max="2" style="1666" width="11.00390625" customWidth="1"/>
    <col min="3" max="3" style="1666" width="10.57421875"/>
    <col min="4" max="4" style="1666" width="11.8515625" customWidth="1"/>
    <col min="5" max="5" style="1666" width="12.28125" customWidth="1"/>
    <col min="6" max="8" style="2295" width="12.28125" customWidth="1"/>
    <col min="9" max="9" style="2295" width="3.7109375" customWidth="1"/>
    <col min="10" max="11" style="332" width="3.7109375" customWidth="1"/>
    <col min="12" max="12" style="2337" width="12.7109375" customWidth="1"/>
    <col min="13" max="13" style="1666" width="32.00390625" customWidth="1"/>
    <col min="14" max="14" style="1666" width="1.7109375" customWidth="1"/>
    <col min="15" max="18" style="1666" width="24.7109375" customWidth="1"/>
    <col min="19" max="19" style="1666" width="11.7109375" customWidth="1"/>
    <col min="20" max="20" style="1666" width="3.7109375" customWidth="1"/>
    <col min="21" max="21" style="1666" width="11.7109375" customWidth="1"/>
    <col min="22" max="22" style="1666" width="8.57421875" customWidth="1"/>
    <col min="23" max="23" style="1666" width="4.7109375" customWidth="1"/>
    <col min="24" max="24" style="1666" width="115.7109375" customWidth="1"/>
    <col min="25" max="26" style="1673" width="10.57421875"/>
    <col min="27" max="27" style="1673" width="11.140625" customWidth="1"/>
    <col min="28" max="29" style="1673" width="10.57421875"/>
  </cols>
  <sheetData>
    <row customHeight="1" ht="14.25" hidden="1">
      <c r="R1" s="315"/>
      <c r="S1" s="315"/>
    </row>
    <row customHeight="1" ht="14.25" hidden="1">
      <c r="V2" s="315"/>
    </row>
    <row customHeight="1" ht="14.25" hidden="1"/>
    <row customHeight="1" ht="14.25">
      <c r="J4" s="368"/>
      <c r="K4" s="368"/>
      <c r="L4" s="1298"/>
      <c r="M4" s="353"/>
      <c r="N4" s="353"/>
      <c r="O4" s="507"/>
      <c r="P4" s="507"/>
      <c r="Q4" s="507"/>
      <c r="R4" s="507"/>
      <c r="S4" s="507"/>
      <c r="T4" s="507"/>
      <c r="U4" s="507"/>
      <c r="V4" s="507"/>
    </row>
    <row customHeight="1" ht="64.5">
      <c r="J5" s="368"/>
      <c r="K5" s="368"/>
      <c r="L5" s="2266" t="s">
        <v>1568</v>
      </c>
      <c r="M5" s="2266"/>
      <c r="N5" s="2266"/>
      <c r="O5" s="2266"/>
      <c r="P5" s="2266"/>
      <c r="Q5" s="2266"/>
      <c r="R5" s="2266"/>
      <c r="S5" s="2266"/>
      <c r="T5" s="2266"/>
      <c r="U5" s="2266"/>
      <c r="V5" s="1254"/>
    </row>
    <row customHeight="1" ht="14.25">
      <c r="J6" s="368"/>
      <c r="K6" s="368"/>
      <c r="L6" s="2267" t="str">
        <f>IF(org=0,"Не определено",org)</f>
        <v>ПАО "ТГК-2"</v>
      </c>
      <c r="M6" s="2267"/>
      <c r="N6" s="2267"/>
      <c r="O6" s="2267"/>
      <c r="P6" s="2267"/>
      <c r="Q6" s="2267"/>
      <c r="R6" s="2267"/>
      <c r="S6" s="2267"/>
      <c r="T6" s="2267"/>
      <c r="U6" s="2267"/>
      <c r="V6" s="1254"/>
    </row>
    <row customHeight="1" ht="14.25">
      <c r="J7" s="368"/>
      <c r="K7" s="368"/>
      <c r="L7" s="1298"/>
      <c r="M7" s="353"/>
      <c r="N7" s="353"/>
      <c r="O7" s="308"/>
      <c r="P7" s="308"/>
      <c r="Q7" s="308"/>
      <c r="R7" s="308"/>
      <c r="S7" s="308"/>
      <c r="T7" s="308"/>
      <c r="U7" s="308"/>
      <c r="V7" s="308"/>
      <c r="W7" s="507"/>
    </row>
    <row s="1888" customFormat="1" customHeight="1" ht="45">
      <c r="F8" s="1260"/>
      <c r="G8" s="1260"/>
      <c r="H8" s="1260"/>
      <c r="L8" s="1299"/>
      <c r="M8" s="275" t="s">
        <v>39</v>
      </c>
      <c r="N8" s="284"/>
      <c r="O8" s="2166" t="str">
        <f>IF(TITLE_NAME_OR_PR_CHANGE="",IF(TITLE_NAME_OR_PR="","",TITLE_NAME_OR_PR),TITLE_NAME_OR_PR_CHANGE)</f>
        <v/>
      </c>
      <c r="P8" s="2166"/>
      <c r="Q8" s="2166"/>
      <c r="R8" s="2166"/>
      <c r="S8" s="2166"/>
      <c r="T8" s="2166"/>
      <c r="U8" s="2166"/>
      <c r="V8" s="314"/>
      <c r="W8" s="314"/>
      <c r="X8" s="261"/>
      <c r="Y8" s="360"/>
      <c r="Z8" s="360"/>
      <c r="AA8" s="360"/>
      <c r="AB8" s="360"/>
      <c r="AC8" s="360"/>
    </row>
    <row s="1888" customFormat="1" customHeight="1" ht="22.5">
      <c r="F9" s="1260"/>
      <c r="G9" s="1260"/>
      <c r="H9" s="1260"/>
      <c r="L9" s="1299"/>
      <c r="M9" s="275" t="s">
        <v>482</v>
      </c>
      <c r="N9" s="284"/>
      <c r="O9" s="2166" t="str">
        <f>IF(TITLE_DATE_CHANGE_PERIOD="",IF(TITLE_DATE_PR="","",TITLE_DATE_PR),TITLE_DATE_CHANGE_PERIOD)</f>
        <v/>
      </c>
      <c r="P9" s="2166"/>
      <c r="Q9" s="2166"/>
      <c r="R9" s="2166"/>
      <c r="S9" s="2166"/>
      <c r="T9" s="2166"/>
      <c r="U9" s="2166"/>
      <c r="V9" s="314"/>
      <c r="W9" s="314"/>
      <c r="X9" s="261"/>
      <c r="Y9" s="360"/>
      <c r="Z9" s="360"/>
      <c r="AA9" s="360"/>
      <c r="AB9" s="360"/>
      <c r="AC9" s="360"/>
    </row>
    <row s="1888" customFormat="1" customHeight="1" ht="22.5">
      <c r="F10" s="1260"/>
      <c r="G10" s="1260"/>
      <c r="H10" s="1260"/>
      <c r="L10" s="1262"/>
      <c r="M10" s="275" t="s">
        <v>483</v>
      </c>
      <c r="N10" s="284"/>
      <c r="O10" s="2166" t="str">
        <f>IF(TITLE_NUMBER_PR_CHANGE="",IF(TITLE_NUMBER_PR="","",TITLE_NUMBER_PR),TITLE_NUMBER_PR_CHANGE)</f>
        <v/>
      </c>
      <c r="P10" s="2166"/>
      <c r="Q10" s="2166"/>
      <c r="R10" s="2166"/>
      <c r="S10" s="2166"/>
      <c r="T10" s="2166"/>
      <c r="U10" s="2166"/>
      <c r="V10" s="314"/>
      <c r="W10" s="314"/>
      <c r="X10" s="261"/>
      <c r="Y10" s="360"/>
      <c r="Z10" s="360"/>
      <c r="AA10" s="360"/>
      <c r="AB10" s="360"/>
      <c r="AC10" s="360"/>
    </row>
    <row s="1888" customFormat="1" customHeight="1" ht="22.5">
      <c r="F11" s="1260"/>
      <c r="G11" s="1260"/>
      <c r="H11" s="1260"/>
      <c r="L11" s="1262"/>
      <c r="M11" s="275" t="s">
        <v>40</v>
      </c>
      <c r="N11" s="284"/>
      <c r="O11" s="2166" t="str">
        <f>IF(TITLE_IST_PUB_CHANGE="",IF(TITLE_IST_PUB="","",TITLE_IST_PUB),TITLE_IST_PUB_CHANGE)</f>
        <v/>
      </c>
      <c r="P11" s="2166"/>
      <c r="Q11" s="2166"/>
      <c r="R11" s="2166"/>
      <c r="S11" s="2166"/>
      <c r="T11" s="2166"/>
      <c r="U11" s="2166"/>
      <c r="V11" s="314"/>
      <c r="W11" s="314"/>
      <c r="X11" s="261"/>
      <c r="Y11" s="360"/>
      <c r="Z11" s="360"/>
      <c r="AA11" s="360"/>
      <c r="AB11" s="360"/>
      <c r="AC11" s="360"/>
    </row>
    <row s="1888" customFormat="1" customHeight="1" ht="11.25" hidden="1">
      <c r="F12" s="1260"/>
      <c r="G12" s="1260"/>
      <c r="H12" s="1260"/>
      <c r="L12" s="2268"/>
      <c r="M12" s="2268"/>
      <c r="N12" s="1310"/>
      <c r="O12" s="314"/>
      <c r="P12" s="314"/>
      <c r="Q12" s="314"/>
      <c r="R12" s="314"/>
      <c r="S12" s="314"/>
      <c r="T12" s="314"/>
      <c r="U12" s="314"/>
      <c r="V12" s="259" t="s">
        <v>486</v>
      </c>
      <c r="Y12" s="360"/>
      <c r="Z12" s="360"/>
      <c r="AA12" s="360"/>
      <c r="AB12" s="360"/>
      <c r="AC12" s="360"/>
    </row>
    <row customHeight="1" ht="14.25">
      <c r="J13" s="368"/>
      <c r="K13" s="368"/>
      <c r="L13" s="1298"/>
      <c r="M13" s="353"/>
      <c r="N13" s="1255"/>
      <c r="O13" s="2167"/>
      <c r="P13" s="2167"/>
      <c r="Q13" s="2167"/>
      <c r="R13" s="2167"/>
      <c r="S13" s="2167"/>
      <c r="T13" s="2167"/>
      <c r="U13" s="2167"/>
      <c r="V13" s="2167"/>
    </row>
    <row customHeight="1" ht="14.25">
      <c r="J14" s="368"/>
      <c r="K14" s="368"/>
      <c r="L14" s="1948" t="s">
        <v>290</v>
      </c>
      <c r="M14" s="1948"/>
      <c r="N14" s="1948"/>
      <c r="O14" s="1948"/>
      <c r="P14" s="1948"/>
      <c r="Q14" s="1948"/>
      <c r="R14" s="1948"/>
      <c r="S14" s="1948"/>
      <c r="T14" s="1948"/>
      <c r="U14" s="1948"/>
      <c r="V14" s="1948"/>
      <c r="W14" s="1948"/>
      <c r="X14" s="1948" t="s">
        <v>291</v>
      </c>
    </row>
    <row customHeight="1" ht="14.25">
      <c r="J15" s="368"/>
      <c r="K15" s="368"/>
      <c r="L15" s="2188" t="s">
        <v>87</v>
      </c>
      <c r="M15" s="2029" t="s">
        <v>487</v>
      </c>
      <c r="N15" s="281"/>
      <c r="O15" s="2189" t="s">
        <v>1569</v>
      </c>
      <c r="P15" s="2190"/>
      <c r="Q15" s="2190"/>
      <c r="R15" s="2190"/>
      <c r="S15" s="2190"/>
      <c r="T15" s="2190"/>
      <c r="U15" s="2191"/>
      <c r="V15" s="2192" t="s">
        <v>489</v>
      </c>
      <c r="W15" s="2195" t="s">
        <v>1570</v>
      </c>
      <c r="X15" s="1948"/>
    </row>
    <row customHeight="1" ht="33.75">
      <c r="J16" s="368"/>
      <c r="K16" s="368"/>
      <c r="L16" s="2188"/>
      <c r="M16" s="2029"/>
      <c r="N16" s="1032"/>
      <c r="O16" s="2175" t="s">
        <v>492</v>
      </c>
      <c r="P16" s="2175" t="s">
        <v>493</v>
      </c>
      <c r="Q16" s="2177" t="s">
        <v>494</v>
      </c>
      <c r="R16" s="2178"/>
      <c r="S16" s="2177" t="s">
        <v>513</v>
      </c>
      <c r="T16" s="2184"/>
      <c r="U16" s="2178"/>
      <c r="V16" s="2193"/>
      <c r="W16" s="2196"/>
      <c r="X16" s="1948"/>
    </row>
    <row customHeight="1" ht="33.75">
      <c r="A17" s="1281" t="s">
        <v>138</v>
      </c>
      <c r="B17" s="1281" t="s">
        <v>139</v>
      </c>
      <c r="C17" s="1281" t="s">
        <v>140</v>
      </c>
      <c r="D17" s="1281" t="s">
        <v>141</v>
      </c>
      <c r="E17" s="1281"/>
      <c r="J17" s="368"/>
      <c r="K17" s="368"/>
      <c r="L17" s="2188"/>
      <c r="M17" s="2029"/>
      <c r="N17" s="282"/>
      <c r="O17" s="2176"/>
      <c r="P17" s="2176"/>
      <c r="Q17" s="1230" t="s">
        <v>503</v>
      </c>
      <c r="R17" s="1230" t="s">
        <v>504</v>
      </c>
      <c r="S17" s="1315" t="s">
        <v>505</v>
      </c>
      <c r="T17" s="2185" t="s">
        <v>506</v>
      </c>
      <c r="U17" s="2186"/>
      <c r="V17" s="2194"/>
      <c r="W17" s="2197"/>
      <c r="X17" s="1948"/>
    </row>
    <row s="1672" customFormat="1" customHeight="1" ht="11.25">
      <c r="A18" s="1281"/>
      <c r="B18" s="1281"/>
      <c r="C18" s="1281"/>
      <c r="D18" s="1281"/>
      <c r="E18" s="1281"/>
      <c r="F18" s="1309"/>
      <c r="G18" s="1309"/>
      <c r="H18" s="1309"/>
      <c r="I18" s="1257"/>
      <c r="J18" s="1258"/>
      <c r="K18" s="1273">
        <v>1</v>
      </c>
      <c r="L18" s="1300" t="s">
        <v>108</v>
      </c>
      <c r="M18" s="1274" t="s">
        <v>109</v>
      </c>
      <c r="N18" s="1256" t="str">
        <f>OFFSET(N18,0,-1)</f>
        <v>2</v>
      </c>
      <c r="O18" s="1312">
        <f>OFFSET(O18,0,-1)+1</f>
        <v>3</v>
      </c>
      <c r="P18" s="1312"/>
      <c r="Q18" s="1312">
        <f>OFFSET(Q18,0,-1)+1</f>
        <v>1</v>
      </c>
      <c r="R18" s="1312">
        <f>OFFSET(R18,0,-1)+1</f>
        <v>2</v>
      </c>
      <c r="S18" s="1312">
        <f>OFFSET(S18,0,-1)+1</f>
        <v>3</v>
      </c>
      <c r="T18" s="2187">
        <f>OFFSET(T18,0,-1)+1</f>
        <v>4</v>
      </c>
      <c r="U18" s="2187"/>
      <c r="V18" s="1312">
        <f>OFFSET(V18,0,-2)+1</f>
        <v>5</v>
      </c>
      <c r="W18" s="1256">
        <f>OFFSET(W18,0,-1)</f>
        <v>5</v>
      </c>
      <c r="X18" s="1312">
        <f>OFFSET(X18,0,-1)+1</f>
        <v>6</v>
      </c>
      <c r="Y18" s="509"/>
      <c r="Z18" s="509"/>
      <c r="AA18" s="509"/>
      <c r="AB18" s="509"/>
      <c r="AC18" s="509"/>
    </row>
    <row customHeight="1" ht="21">
      <c r="A19" s="1289" t="s">
        <v>1579</v>
      </c>
      <c r="B19" s="1289" t="s">
        <v>1580</v>
      </c>
      <c r="C19" s="1289" t="s">
        <v>1581</v>
      </c>
      <c r="D19" s="1289" t="s">
        <v>1582</v>
      </c>
      <c r="E19" s="1289"/>
      <c r="F19" s="685"/>
      <c r="G19" s="685"/>
      <c r="H19" s="685"/>
      <c r="I19" s="349"/>
      <c r="J19" s="348"/>
      <c r="K19" s="343"/>
      <c r="L19" s="1316">
        <f>INDEX(PT_DIFFERENTIATION_NUM_NTAR,MATCH(A19,PT_DIFFERENTIATION_NTAR_ID,0))</f>
      </c>
      <c r="M19" s="278" t="s">
        <v>127</v>
      </c>
      <c r="N19" s="280"/>
      <c r="O19" s="2269">
        <f>INDEX(PT_DIFFERENTIATION_NTAR,MATCH(A19,PT_DIFFERENTIATION_NTAR_ID,0))</f>
      </c>
      <c r="P19" s="2269"/>
      <c r="Q19" s="2269"/>
      <c r="R19" s="2269"/>
      <c r="S19" s="2269"/>
      <c r="T19" s="2269"/>
      <c r="U19" s="2269"/>
      <c r="V19" s="2269"/>
      <c r="W19" s="2269"/>
      <c r="X19" s="1279" t="s">
        <v>458</v>
      </c>
      <c r="Z19" s="498"/>
      <c r="AA19" s="498" t="str">
        <f>IF(M19="","",M19)</f>
        <v>Наименование тарифа</v>
      </c>
      <c r="AB19" s="498"/>
      <c r="AC19" s="498"/>
    </row>
    <row customHeight="1" ht="21">
      <c r="A20" s="1289" t="s">
        <v>1579</v>
      </c>
      <c r="B20" s="1289" t="s">
        <v>1580</v>
      </c>
      <c r="C20" s="1289" t="s">
        <v>1581</v>
      </c>
      <c r="D20" s="1289" t="s">
        <v>1582</v>
      </c>
      <c r="E20" s="1289"/>
      <c r="F20" s="685"/>
      <c r="G20" s="685"/>
      <c r="H20" s="685"/>
      <c r="I20" s="1313"/>
      <c r="J20" s="340"/>
      <c r="K20" s="341"/>
      <c r="L20" s="1316">
        <f>INDEX(PT_DIFFERENTIATION_NUM_TER,MATCH(B19,PT_DIFFERENTIATION_TER_ID,0))</f>
      </c>
      <c r="M20" s="290" t="s">
        <v>459</v>
      </c>
      <c r="N20" s="280"/>
      <c r="O20" s="2269">
        <f>INDEX(PT_DIFFERENTIATION_TER,MATCH(B19,PT_DIFFERENTIATION_TER_ID,0))</f>
      </c>
      <c r="P20" s="2269"/>
      <c r="Q20" s="2269"/>
      <c r="R20" s="2269"/>
      <c r="S20" s="2269"/>
      <c r="T20" s="2269"/>
      <c r="U20" s="2269"/>
      <c r="V20" s="2269"/>
      <c r="W20" s="2269"/>
      <c r="X20" s="1279" t="s">
        <v>460</v>
      </c>
      <c r="Z20" s="498"/>
      <c r="AA20" s="498" t="str">
        <f>IF(M20="","",M20)</f>
        <v>Территория действия тарифа</v>
      </c>
      <c r="AB20" s="498"/>
      <c r="AC20" s="498"/>
    </row>
    <row customHeight="1" ht="22.5">
      <c r="A21" s="1289" t="s">
        <v>1579</v>
      </c>
      <c r="B21" s="1289" t="s">
        <v>1580</v>
      </c>
      <c r="C21" s="1289" t="s">
        <v>1581</v>
      </c>
      <c r="D21" s="1289" t="s">
        <v>1582</v>
      </c>
      <c r="E21" s="1289"/>
      <c r="F21" s="685"/>
      <c r="G21" s="685"/>
      <c r="H21" s="685"/>
      <c r="I21" s="342"/>
      <c r="J21" s="340"/>
      <c r="K21" s="341"/>
      <c r="L21" s="1316">
        <f>INDEX(PT_DIFFERENTIATION_NUM_CS,MATCH(C19,PT_DIFFERENTIATION_CS_ID,0))</f>
      </c>
      <c r="M21" s="291" t="s">
        <v>461</v>
      </c>
      <c r="N21" s="280"/>
      <c r="O21" s="2269">
        <f>INDEX(PT_DIFFERENTIATION_CS,MATCH(C19,PT_DIFFERENTIATION_CS_ID,0))</f>
      </c>
      <c r="P21" s="2269"/>
      <c r="Q21" s="2269"/>
      <c r="R21" s="2269"/>
      <c r="S21" s="2269"/>
      <c r="T21" s="2269"/>
      <c r="U21" s="2269"/>
      <c r="V21" s="2269"/>
      <c r="W21" s="2269"/>
      <c r="X21" s="1279" t="s">
        <v>462</v>
      </c>
      <c r="Z21" s="498"/>
      <c r="AA21" s="498" t="str">
        <f>IF(M21="","",M21)</f>
        <v>Наименование системы теплоснабжения </v>
      </c>
      <c r="AB21" s="498"/>
      <c r="AC21" s="498"/>
    </row>
    <row customHeight="1" ht="21">
      <c r="A22" s="1289" t="s">
        <v>1579</v>
      </c>
      <c r="B22" s="1289" t="s">
        <v>1580</v>
      </c>
      <c r="C22" s="1289" t="s">
        <v>1581</v>
      </c>
      <c r="D22" s="1289" t="s">
        <v>1582</v>
      </c>
      <c r="E22" s="1289"/>
      <c r="F22" s="685"/>
      <c r="G22" s="685"/>
      <c r="H22" s="685"/>
      <c r="I22" s="342"/>
      <c r="J22" s="340"/>
      <c r="K22" s="341"/>
      <c r="L22" s="1316">
        <f>INDEX(PT_DIFFERENTIATION_NUM_IST_TE,MATCH(D19,PT_DIFFERENTIATION_IST_TE_ID,0))</f>
      </c>
      <c r="M22" s="292" t="s">
        <v>463</v>
      </c>
      <c r="N22" s="280"/>
      <c r="O22" s="2269">
        <f>INDEX(PT_DIFFERENTIATION_IST_TE,MATCH(D19,PT_DIFFERENTIATION_IST_TE_ID,0))</f>
      </c>
      <c r="P22" s="2269"/>
      <c r="Q22" s="2269"/>
      <c r="R22" s="2269"/>
      <c r="S22" s="2269"/>
      <c r="T22" s="2269"/>
      <c r="U22" s="2269"/>
      <c r="V22" s="2269"/>
      <c r="W22" s="2269"/>
      <c r="X22" s="1279" t="s">
        <v>464</v>
      </c>
      <c r="Z22" s="498"/>
      <c r="AA22" s="498" t="str">
        <f>IF(M22="","",M22)</f>
        <v>Источник тепловой энергии  </v>
      </c>
      <c r="AB22" s="498"/>
      <c r="AC22" s="498"/>
    </row>
    <row customHeight="1" ht="94.5">
      <c r="A23" s="1289" t="s">
        <v>1579</v>
      </c>
      <c r="B23" s="1289" t="s">
        <v>1580</v>
      </c>
      <c r="C23" s="1289" t="s">
        <v>1581</v>
      </c>
      <c r="D23" s="1289" t="s">
        <v>1582</v>
      </c>
      <c r="E23" s="1289"/>
      <c r="F23" s="1946">
        <f>L22&amp;".1"</f>
      </c>
      <c r="I23" s="2172">
        <v>1</v>
      </c>
      <c r="J23" s="1314"/>
      <c r="K23" s="344"/>
      <c r="L23" s="1316">
        <f>$F$23</f>
      </c>
      <c r="M23" s="266" t="s">
        <v>466</v>
      </c>
      <c r="N23" s="280"/>
      <c r="O23" s="2271"/>
      <c r="P23" s="2271"/>
      <c r="Q23" s="2271"/>
      <c r="R23" s="2271"/>
      <c r="S23" s="2271"/>
      <c r="T23" s="2271"/>
      <c r="U23" s="2271"/>
      <c r="V23" s="2271"/>
      <c r="W23" s="2271"/>
      <c r="X23" s="1279" t="s">
        <v>467</v>
      </c>
      <c r="Z23" s="498"/>
      <c r="AA23" s="498" t="str">
        <f>IF(M23="","",M23)</f>
        <v>Схема подключения теплопотребляющей установки к коллектору источника тепловой энергии</v>
      </c>
      <c r="AB23" s="498"/>
      <c r="AC23" s="498"/>
    </row>
    <row customHeight="1" ht="84">
      <c r="A24" s="1289" t="s">
        <v>1579</v>
      </c>
      <c r="B24" s="1289" t="s">
        <v>1580</v>
      </c>
      <c r="C24" s="1289" t="s">
        <v>1581</v>
      </c>
      <c r="D24" s="1289" t="s">
        <v>1582</v>
      </c>
      <c r="E24" s="1289"/>
      <c r="F24" s="1946"/>
      <c r="G24" s="1920">
        <f>F23&amp;".1"</f>
      </c>
      <c r="I24" s="2172"/>
      <c r="J24" s="2172">
        <v>1</v>
      </c>
      <c r="K24" s="345"/>
      <c r="L24" s="1316">
        <f>$G$24</f>
      </c>
      <c r="M24" s="267" t="s">
        <v>469</v>
      </c>
      <c r="N24" s="280"/>
      <c r="O24" s="2272"/>
      <c r="P24" s="2273"/>
      <c r="Q24" s="2273"/>
      <c r="R24" s="2273"/>
      <c r="S24" s="2273"/>
      <c r="T24" s="2273"/>
      <c r="U24" s="2273"/>
      <c r="V24" s="2273"/>
      <c r="W24" s="2274"/>
      <c r="X24" s="1279" t="s">
        <v>470</v>
      </c>
      <c r="Z24" s="498"/>
      <c r="AA24" s="498" t="str">
        <f>IF(M24="","",M24)</f>
        <v>Группа потребителей</v>
      </c>
      <c r="AB24" s="498"/>
      <c r="AC24" s="498"/>
    </row>
    <row customHeight="1" ht="11.25">
      <c r="A25" s="1289" t="s">
        <v>1579</v>
      </c>
      <c r="B25" s="1289" t="s">
        <v>1580</v>
      </c>
      <c r="C25" s="1289" t="s">
        <v>1581</v>
      </c>
      <c r="D25" s="1289" t="s">
        <v>1582</v>
      </c>
      <c r="E25" s="1289"/>
      <c r="F25" s="1946"/>
      <c r="G25" s="1920"/>
      <c r="H25" s="1920">
        <f>G24&amp;".1"</f>
      </c>
      <c r="I25" s="2172"/>
      <c r="J25" s="2172"/>
      <c r="K25" s="345">
        <v>1</v>
      </c>
      <c r="L25" s="1316">
        <f>$H$25</f>
      </c>
      <c r="M25" s="1280"/>
      <c r="N25" s="280"/>
      <c r="O25" s="749"/>
      <c r="P25" s="312"/>
      <c r="Q25" s="749"/>
      <c r="R25" s="1278"/>
      <c r="S25" s="2265"/>
      <c r="T25" s="1928" t="s">
        <v>58</v>
      </c>
      <c r="U25" s="2265"/>
      <c r="V25" s="1928" t="s">
        <v>56</v>
      </c>
      <c r="W25" s="312"/>
      <c r="X25" s="2168" t="s">
        <v>472</v>
      </c>
      <c r="Y25" s="509">
        <f>STRCHECKDATE(O26:W26)</f>
      </c>
      <c r="Z25" s="498"/>
      <c r="AA25" s="498" t="str">
        <f>IF(M25="","",M25)</f>
        <v/>
      </c>
      <c r="AB25" s="498"/>
      <c r="AC25" s="498"/>
    </row>
    <row customHeight="1" ht="11.25">
      <c r="A26" s="1289" t="s">
        <v>1579</v>
      </c>
      <c r="B26" s="1289" t="s">
        <v>1580</v>
      </c>
      <c r="C26" s="1289" t="s">
        <v>1581</v>
      </c>
      <c r="D26" s="1289" t="s">
        <v>1582</v>
      </c>
      <c r="E26" s="1289"/>
      <c r="F26" s="1946"/>
      <c r="G26" s="1920"/>
      <c r="H26" s="1920"/>
      <c r="I26" s="2172"/>
      <c r="J26" s="2172"/>
      <c r="K26" s="345"/>
      <c r="L26" s="1317"/>
      <c r="M26" s="280"/>
      <c r="N26" s="280"/>
      <c r="O26" s="312"/>
      <c r="P26" s="312"/>
      <c r="Q26" s="312"/>
      <c r="R26" s="316" t="str">
        <f>S25&amp;"-"&amp;U25</f>
        <v>-</v>
      </c>
      <c r="S26" s="2181"/>
      <c r="T26" s="1928"/>
      <c r="U26" s="2181"/>
      <c r="V26" s="1928"/>
      <c r="W26" s="312"/>
      <c r="X26" s="2169"/>
      <c r="Z26" s="498"/>
      <c r="AA26" s="498" t="str">
        <f>IF(M26="","",M26)</f>
        <v/>
      </c>
      <c r="AB26" s="498"/>
      <c r="AC26" s="498"/>
    </row>
    <row customHeight="1" ht="15">
      <c r="A27" s="1289" t="s">
        <v>1579</v>
      </c>
      <c r="B27" s="1289" t="s">
        <v>1580</v>
      </c>
      <c r="C27" s="1289" t="s">
        <v>1581</v>
      </c>
      <c r="D27" s="1289" t="s">
        <v>1582</v>
      </c>
      <c r="E27" s="1289"/>
      <c r="F27" s="1946"/>
      <c r="G27" s="1920"/>
      <c r="I27" s="2172"/>
      <c r="J27" s="2172"/>
      <c r="K27" s="344"/>
      <c r="L27" s="1301"/>
      <c r="M27" s="269" t="s">
        <v>473</v>
      </c>
      <c r="N27" s="359"/>
      <c r="O27" s="359"/>
      <c r="P27" s="359"/>
      <c r="Q27" s="359"/>
      <c r="R27" s="359"/>
      <c r="S27" s="359"/>
      <c r="T27" s="359"/>
      <c r="U27" s="359"/>
      <c r="V27" s="359"/>
      <c r="W27" s="311"/>
      <c r="X27" s="2170"/>
      <c r="Z27" s="498"/>
      <c r="AA27" s="498" t="str">
        <f>IF(M27="","",M27)</f>
        <v>Добавить вид теплоносителя (параметры теплоносителя)</v>
      </c>
      <c r="AB27" s="498"/>
      <c r="AC27" s="498"/>
    </row>
    <row customHeight="1" ht="15">
      <c r="A28" s="1289" t="s">
        <v>1579</v>
      </c>
      <c r="B28" s="1289" t="s">
        <v>1580</v>
      </c>
      <c r="C28" s="1289" t="s">
        <v>1581</v>
      </c>
      <c r="D28" s="1289" t="s">
        <v>1582</v>
      </c>
      <c r="E28" s="1289"/>
      <c r="F28" s="1946"/>
      <c r="I28" s="2172"/>
      <c r="J28" s="1314"/>
      <c r="K28" s="344"/>
      <c r="L28" s="1301"/>
      <c r="M28" s="268" t="s">
        <v>474</v>
      </c>
      <c r="N28" s="359"/>
      <c r="O28" s="359"/>
      <c r="P28" s="359"/>
      <c r="Q28" s="359"/>
      <c r="R28" s="359"/>
      <c r="S28" s="359"/>
      <c r="T28" s="359"/>
      <c r="U28" s="359"/>
      <c r="V28" s="358"/>
      <c r="W28" s="359"/>
      <c r="X28" s="283"/>
      <c r="Z28" s="498"/>
      <c r="AA28" s="498" t="str">
        <f>IF(M28="","",M28)</f>
        <v>Добавить группу потребителей</v>
      </c>
      <c r="AB28" s="498"/>
      <c r="AC28" s="498"/>
    </row>
    <row customHeight="1" ht="14.25">
      <c r="A29" s="1289" t="s">
        <v>1579</v>
      </c>
      <c r="B29" s="1289" t="s">
        <v>1580</v>
      </c>
      <c r="C29" s="1289" t="s">
        <v>1581</v>
      </c>
      <c r="D29" s="1289" t="s">
        <v>1582</v>
      </c>
      <c r="E29" s="1289"/>
      <c r="F29" s="685"/>
      <c r="G29" s="685"/>
      <c r="H29" s="507"/>
      <c r="I29" s="348"/>
      <c r="J29" s="367"/>
      <c r="K29" s="343"/>
      <c r="L29" s="1301"/>
      <c r="M29" s="356" t="s">
        <v>475</v>
      </c>
      <c r="N29" s="359"/>
      <c r="O29" s="359"/>
      <c r="P29" s="359"/>
      <c r="Q29" s="359"/>
      <c r="R29" s="359"/>
      <c r="S29" s="359"/>
      <c r="T29" s="359"/>
      <c r="U29" s="359"/>
      <c r="V29" s="358"/>
      <c r="W29" s="359"/>
      <c r="X29" s="283"/>
      <c r="Z29" s="498"/>
      <c r="AA29" s="498" t="str">
        <f>IF(M29="","",M29)</f>
        <v>Добавить схему подключения</v>
      </c>
      <c r="AB29" s="498"/>
      <c r="AC29" s="498"/>
    </row>
    <row customHeight="1" ht="14.25">
      <c r="A30" s="1289" t="s">
        <v>1579</v>
      </c>
      <c r="B30" s="1289" t="s">
        <v>1580</v>
      </c>
      <c r="C30" s="1289" t="s">
        <v>1581</v>
      </c>
      <c r="D30" s="1289"/>
      <c r="E30" s="1289" t="s">
        <v>1571</v>
      </c>
      <c r="F30" s="685"/>
      <c r="G30" s="685"/>
      <c r="H30" s="507"/>
      <c r="I30" s="348"/>
      <c r="J30" s="367"/>
      <c r="K30" s="343"/>
      <c r="L30" s="1302"/>
      <c r="M30" s="1291"/>
      <c r="N30" s="1292"/>
      <c r="O30" s="1292"/>
      <c r="P30" s="1292"/>
      <c r="Q30" s="1292"/>
      <c r="R30" s="1292"/>
      <c r="S30" s="1292"/>
      <c r="T30" s="1292"/>
      <c r="U30" s="1292"/>
      <c r="V30" s="1293"/>
      <c r="W30" s="1292"/>
      <c r="X30" s="1294"/>
      <c r="Z30" s="498"/>
      <c r="AA30" s="498" t="str">
        <f>IF(M30="","",M30)</f>
        <v/>
      </c>
      <c r="AB30" s="498"/>
      <c r="AC30" s="498"/>
    </row>
    <row customHeight="1" ht="14.25">
      <c r="A31" s="1289" t="s">
        <v>1579</v>
      </c>
      <c r="B31" s="1289" t="s">
        <v>1580</v>
      </c>
      <c r="C31" s="1289"/>
      <c r="D31" s="1289"/>
      <c r="E31" s="1289" t="s">
        <v>1572</v>
      </c>
      <c r="F31" s="1276"/>
      <c r="G31" s="1276"/>
      <c r="H31" s="507"/>
      <c r="I31" s="346"/>
      <c r="J31" s="367"/>
      <c r="K31" s="347"/>
      <c r="L31" s="1302"/>
      <c r="M31" s="1295"/>
      <c r="N31" s="1292"/>
      <c r="O31" s="1292"/>
      <c r="P31" s="1292"/>
      <c r="Q31" s="1292"/>
      <c r="R31" s="1292"/>
      <c r="S31" s="1292"/>
      <c r="T31" s="1292"/>
      <c r="U31" s="1292"/>
      <c r="V31" s="1293"/>
      <c r="W31" s="1292"/>
      <c r="X31" s="1294"/>
      <c r="Z31" s="498"/>
      <c r="AA31" s="498" t="str">
        <f>IF(M31="","",M31)</f>
        <v/>
      </c>
      <c r="AB31" s="498"/>
      <c r="AC31" s="498"/>
    </row>
    <row customHeight="1" ht="14.25">
      <c r="A32" s="1289" t="s">
        <v>1583</v>
      </c>
      <c r="B32" s="1289"/>
      <c r="C32" s="1289"/>
      <c r="D32" s="1289"/>
      <c r="E32" s="1289" t="s">
        <v>103</v>
      </c>
      <c r="F32" s="1276"/>
      <c r="G32" s="1276"/>
      <c r="H32" s="507"/>
      <c r="I32" s="348"/>
      <c r="J32" s="367"/>
      <c r="K32" s="343"/>
      <c r="L32" s="1302"/>
      <c r="M32" s="1296"/>
      <c r="N32" s="1292"/>
      <c r="O32" s="1292"/>
      <c r="P32" s="1292"/>
      <c r="Q32" s="1292"/>
      <c r="R32" s="1292"/>
      <c r="S32" s="1292"/>
      <c r="T32" s="1292"/>
      <c r="U32" s="1292"/>
      <c r="V32" s="1293"/>
      <c r="W32" s="1292"/>
      <c r="X32" s="1294"/>
      <c r="Z32" s="498"/>
      <c r="AA32" s="498" t="str">
        <f>IF(M32="","",M32)</f>
        <v/>
      </c>
      <c r="AB32" s="498"/>
      <c r="AC32" s="498"/>
    </row>
    <row s="2412" customFormat="1" customHeight="1" ht="11.25">
      <c r="A33" s="1289"/>
      <c r="B33" s="1289"/>
      <c r="C33" s="1289"/>
      <c r="D33" s="1289"/>
      <c r="E33" s="1289" t="s">
        <v>435</v>
      </c>
      <c r="F33" s="1290"/>
      <c r="G33" s="1277"/>
      <c r="H33" s="507"/>
      <c r="L33" s="1303"/>
      <c r="M33" s="1297"/>
      <c r="N33" s="1292"/>
      <c r="O33" s="1292"/>
      <c r="P33" s="1292"/>
      <c r="Q33" s="1292"/>
      <c r="R33" s="1292"/>
      <c r="S33" s="1292"/>
      <c r="T33" s="1292"/>
      <c r="U33" s="1292"/>
      <c r="V33" s="1293"/>
      <c r="W33" s="1292"/>
      <c r="X33" s="1294"/>
      <c r="Y33" s="374"/>
      <c r="Z33" s="374"/>
      <c r="AA33" s="374"/>
      <c r="AB33" s="374"/>
      <c r="AC33" s="374"/>
    </row>
    <row customHeight="1" ht="11.25">
      <c r="F34" s="1156"/>
      <c r="G34" s="1156"/>
      <c r="H34" s="507"/>
      <c r="I34" s="1156"/>
      <c r="J34" s="1156"/>
      <c r="K34" s="1156"/>
      <c r="Y34" s="1156"/>
      <c r="Z34" s="1156"/>
      <c r="AA34" s="1156"/>
      <c r="AB34" s="1156"/>
      <c r="AC34" s="1156"/>
    </row>
    <row customHeight="1" ht="27">
      <c r="H35" s="507"/>
      <c r="L35" s="1311" t="s">
        <v>507</v>
      </c>
      <c r="M35" s="2200" t="s">
        <v>514</v>
      </c>
      <c r="N35" s="2200"/>
      <c r="O35" s="2200"/>
      <c r="P35" s="2200"/>
      <c r="Q35" s="2200"/>
      <c r="R35" s="2200"/>
      <c r="S35" s="2200"/>
      <c r="T35" s="2200"/>
      <c r="U35" s="2200"/>
      <c r="V35" s="2200"/>
      <c r="W35" s="2200"/>
      <c r="X35" s="2200"/>
    </row>
    <row customHeight="1" ht="104.25">
      <c r="F36" s="1326"/>
      <c r="G36" s="1326"/>
      <c r="H36" s="507"/>
      <c r="I36" s="1326"/>
      <c r="M36" s="2200" t="s">
        <v>509</v>
      </c>
      <c r="N36" s="2200"/>
      <c r="O36" s="2200"/>
      <c r="P36" s="2200"/>
      <c r="Q36" s="2200"/>
      <c r="R36" s="2200"/>
      <c r="S36" s="2200"/>
      <c r="T36" s="2200"/>
      <c r="U36" s="2200"/>
      <c r="V36" s="2200"/>
      <c r="W36" s="2200"/>
      <c r="X36" s="2200"/>
    </row>
    <row customHeight="1" ht="14.25">
      <c r="H37" s="507"/>
    </row>
    <row customHeight="1" ht="14.25">
      <c r="H38" s="507"/>
    </row>
    <row customHeight="1" ht="14.25">
      <c r="H39" s="507"/>
    </row>
    <row customHeight="1" ht="14.25">
      <c r="H40" s="50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A8C3A-099B-7047-AA3C-6B4AD14A8C63}"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1673" width="10.57421875"/>
    <col min="7" max="8" style="508" width="9.140625" customWidth="1"/>
    <col min="9" max="9" style="2295" width="3.7109375" customWidth="1"/>
    <col min="10" max="11" style="332" width="3.7109375" customWidth="1"/>
    <col min="12" max="12" style="1666" width="12.7109375" customWidth="1"/>
    <col min="13" max="13" style="1666" width="47.421875" customWidth="1"/>
    <col min="14" max="14" style="1666" width="2.7109375" hidden="1" customWidth="1"/>
    <col min="15" max="18" style="1666" width="23.7109375" customWidth="1"/>
    <col min="19" max="19" style="1666" width="11.7109375" customWidth="1"/>
    <col min="20" max="20" style="1666" width="3.7109375" customWidth="1"/>
    <col min="21" max="21" style="1666" width="11.7109375" customWidth="1"/>
    <col min="22" max="22" style="1666" width="8.57421875" hidden="1" customWidth="1"/>
    <col min="23" max="23" style="1666" width="4.7109375" customWidth="1"/>
    <col min="24" max="24" style="1666" width="115.7109375" customWidth="1"/>
    <col min="25" max="29" style="1673" width="10.57421875"/>
  </cols>
  <sheetData>
    <row customHeight="1" ht="14.25" hidden="1"/>
    <row customHeight="1" ht="14.25" hidden="1"/>
    <row customHeight="1" ht="14.25" hidden="1"/>
    <row customHeight="1" ht="14.25">
      <c r="J4" s="368"/>
      <c r="K4" s="368"/>
      <c r="L4" s="353"/>
      <c r="M4" s="353"/>
      <c r="N4" s="353"/>
      <c r="O4" s="507"/>
      <c r="P4" s="507"/>
      <c r="Q4" s="507"/>
      <c r="R4" s="507"/>
      <c r="S4" s="507"/>
      <c r="T4" s="507"/>
      <c r="U4" s="507"/>
      <c r="V4" s="353"/>
    </row>
    <row customHeight="1" ht="14.25">
      <c r="J5" s="368"/>
      <c r="K5" s="368"/>
      <c r="L5" s="2275" t="s">
        <v>1584</v>
      </c>
      <c r="M5" s="2275"/>
      <c r="N5" s="2275"/>
      <c r="O5" s="2275"/>
      <c r="P5" s="2275"/>
      <c r="Q5" s="2275"/>
      <c r="R5" s="2275"/>
      <c r="S5" s="2275"/>
      <c r="T5" s="2275"/>
      <c r="U5" s="257"/>
      <c r="V5" s="257"/>
    </row>
    <row customHeight="1" ht="14.25">
      <c r="J6" s="368"/>
      <c r="K6" s="368"/>
      <c r="L6" s="353"/>
      <c r="M6" s="353"/>
      <c r="N6" s="353"/>
      <c r="O6" s="308"/>
      <c r="P6" s="308"/>
      <c r="Q6" s="308"/>
      <c r="R6" s="308"/>
      <c r="S6" s="308"/>
      <c r="T6" s="308"/>
      <c r="U6" s="353"/>
    </row>
    <row s="1888" customFormat="1" customHeight="1" ht="22.5">
      <c r="A7" s="360"/>
      <c r="B7" s="360"/>
      <c r="C7" s="360"/>
      <c r="D7" s="360"/>
      <c r="E7" s="360"/>
      <c r="F7" s="360"/>
      <c r="G7" s="360"/>
      <c r="H7" s="360"/>
      <c r="L7" s="258"/>
      <c r="M7" s="275" t="s">
        <v>39</v>
      </c>
      <c r="N7" s="284"/>
      <c r="O7" s="2276">
        <f>IF(NameOrPr_ch="",IF(NameOrPr="","",NameOrPr),NameOrPr_ch)</f>
      </c>
      <c r="P7" s="2277"/>
      <c r="Q7" s="2277"/>
      <c r="R7" s="2277"/>
      <c r="S7" s="2277"/>
      <c r="T7" s="2278"/>
      <c r="U7" s="1259"/>
      <c r="Y7" s="360"/>
      <c r="Z7" s="360"/>
      <c r="AA7" s="360"/>
      <c r="AB7" s="360"/>
      <c r="AC7" s="360"/>
    </row>
    <row s="1888" customFormat="1" customHeight="1" ht="18.75">
      <c r="A8" s="360"/>
      <c r="B8" s="360"/>
      <c r="C8" s="360"/>
      <c r="D8" s="360"/>
      <c r="E8" s="360"/>
      <c r="F8" s="360"/>
      <c r="G8" s="360"/>
      <c r="H8" s="360"/>
      <c r="L8" s="258"/>
      <c r="M8" s="275" t="s">
        <v>482</v>
      </c>
      <c r="N8" s="284"/>
      <c r="O8" s="2276">
        <f>IF(datePr_ch="",IF(datePr="","",datePr),datePr_ch)</f>
      </c>
      <c r="P8" s="2277"/>
      <c r="Q8" s="2277"/>
      <c r="R8" s="2277"/>
      <c r="S8" s="2277"/>
      <c r="T8" s="2278"/>
      <c r="U8" s="1259"/>
      <c r="Y8" s="360"/>
      <c r="Z8" s="360"/>
      <c r="AA8" s="360"/>
      <c r="AB8" s="360"/>
      <c r="AC8" s="360"/>
    </row>
    <row s="1888" customFormat="1" customHeight="1" ht="18.75">
      <c r="A9" s="360"/>
      <c r="B9" s="360"/>
      <c r="C9" s="360"/>
      <c r="D9" s="360"/>
      <c r="E9" s="360"/>
      <c r="F9" s="360"/>
      <c r="G9" s="360"/>
      <c r="H9" s="360"/>
      <c r="L9" s="310"/>
      <c r="M9" s="275" t="s">
        <v>483</v>
      </c>
      <c r="N9" s="284"/>
      <c r="O9" s="2276">
        <f>IF(numberPr_ch="",IF(numberPr="","",numberPr),numberPr_ch)</f>
      </c>
      <c r="P9" s="2277"/>
      <c r="Q9" s="2277"/>
      <c r="R9" s="2277"/>
      <c r="S9" s="2277"/>
      <c r="T9" s="2278"/>
      <c r="U9" s="1259"/>
      <c r="Y9" s="360"/>
      <c r="Z9" s="360"/>
      <c r="AA9" s="360"/>
      <c r="AB9" s="360"/>
      <c r="AC9" s="360"/>
    </row>
    <row s="1888" customFormat="1" customHeight="1" ht="18.75">
      <c r="A10" s="360"/>
      <c r="B10" s="360"/>
      <c r="C10" s="360"/>
      <c r="D10" s="360"/>
      <c r="E10" s="360"/>
      <c r="F10" s="360"/>
      <c r="G10" s="360"/>
      <c r="H10" s="360"/>
      <c r="L10" s="310"/>
      <c r="M10" s="275" t="s">
        <v>40</v>
      </c>
      <c r="N10" s="284"/>
      <c r="O10" s="2276">
        <f>IF(IstPub_ch="",IF(IstPub="","",IstPub),IstPub_ch)</f>
      </c>
      <c r="P10" s="2277"/>
      <c r="Q10" s="2277"/>
      <c r="R10" s="2277"/>
      <c r="S10" s="2277"/>
      <c r="T10" s="2278"/>
      <c r="U10" s="1259"/>
      <c r="Y10" s="360"/>
      <c r="Z10" s="360"/>
      <c r="AA10" s="360"/>
      <c r="AB10" s="360"/>
      <c r="AC10" s="360"/>
    </row>
    <row s="1888" customFormat="1" customHeight="1" ht="18.75" hidden="1">
      <c r="A11" s="1263"/>
      <c r="B11" s="1263"/>
      <c r="C11" s="1263"/>
      <c r="D11" s="1263"/>
      <c r="E11" s="1263"/>
      <c r="F11" s="1263"/>
      <c r="G11" s="1263"/>
      <c r="H11" s="1263"/>
      <c r="L11" s="310"/>
      <c r="M11" s="307"/>
      <c r="O11" s="1264"/>
      <c r="P11" s="1264"/>
      <c r="Q11" s="360" t="s">
        <v>1585</v>
      </c>
      <c r="R11" s="360" t="s">
        <v>1586</v>
      </c>
      <c r="S11" s="1264"/>
      <c r="T11" s="1264"/>
      <c r="U11" s="1259"/>
      <c r="Y11" s="1263"/>
      <c r="Z11" s="1263"/>
      <c r="AA11" s="1263"/>
      <c r="AB11" s="1263"/>
      <c r="AC11" s="1263"/>
    </row>
    <row s="1888" customFormat="1" customHeight="1" ht="11.25" hidden="1">
      <c r="A12" s="360"/>
      <c r="B12" s="360"/>
      <c r="C12" s="360"/>
      <c r="D12" s="360"/>
      <c r="E12" s="360"/>
      <c r="F12" s="360"/>
      <c r="G12" s="360"/>
      <c r="H12" s="360"/>
      <c r="L12" s="2268"/>
      <c r="M12" s="2268"/>
      <c r="N12" s="1226"/>
      <c r="O12" s="314"/>
      <c r="P12" s="314"/>
      <c r="Q12" s="314"/>
      <c r="R12" s="314"/>
      <c r="S12" s="314"/>
      <c r="T12" s="314"/>
      <c r="U12" s="1262"/>
      <c r="V12" s="259" t="s">
        <v>486</v>
      </c>
      <c r="Y12" s="360"/>
      <c r="Z12" s="360"/>
      <c r="AA12" s="360"/>
      <c r="AB12" s="360"/>
      <c r="AC12" s="360"/>
    </row>
    <row customHeight="1" ht="14.25">
      <c r="J13" s="368"/>
      <c r="K13" s="368"/>
      <c r="L13" s="353"/>
      <c r="M13" s="353"/>
      <c r="N13" s="353"/>
      <c r="O13" s="1265"/>
      <c r="P13" s="1265"/>
      <c r="Q13" s="2279"/>
      <c r="R13" s="2279"/>
      <c r="S13" s="2279"/>
      <c r="T13" s="2279"/>
      <c r="U13" s="2279"/>
      <c r="V13" s="2279"/>
    </row>
    <row customHeight="1" ht="14.25">
      <c r="J14" s="368"/>
      <c r="K14" s="368"/>
      <c r="L14" s="1948" t="s">
        <v>290</v>
      </c>
      <c r="M14" s="1948"/>
      <c r="N14" s="1948"/>
      <c r="O14" s="1948"/>
      <c r="P14" s="1948"/>
      <c r="Q14" s="1948"/>
      <c r="R14" s="1948"/>
      <c r="S14" s="1948"/>
      <c r="T14" s="1948"/>
      <c r="U14" s="1948"/>
      <c r="V14" s="1948"/>
      <c r="W14" s="1948"/>
      <c r="X14" s="1948" t="s">
        <v>291</v>
      </c>
    </row>
    <row customHeight="1" ht="14.25">
      <c r="J15" s="368"/>
      <c r="K15" s="368"/>
      <c r="L15" s="2029" t="s">
        <v>87</v>
      </c>
      <c r="M15" s="2029" t="s">
        <v>1587</v>
      </c>
      <c r="N15" s="1225"/>
      <c r="O15" s="2029" t="s">
        <v>1588</v>
      </c>
      <c r="P15" s="2028" t="s">
        <v>1589</v>
      </c>
      <c r="Q15" s="2028" t="s">
        <v>1569</v>
      </c>
      <c r="R15" s="2028"/>
      <c r="S15" s="2028"/>
      <c r="T15" s="2028"/>
      <c r="U15" s="2028"/>
      <c r="V15" s="2029" t="s">
        <v>489</v>
      </c>
      <c r="W15" s="2280" t="s">
        <v>1570</v>
      </c>
      <c r="X15" s="1948"/>
    </row>
    <row customHeight="1" ht="25.5">
      <c r="J16" s="368"/>
      <c r="K16" s="368"/>
      <c r="L16" s="2029"/>
      <c r="M16" s="2029"/>
      <c r="N16" s="1225"/>
      <c r="O16" s="2029"/>
      <c r="P16" s="2028"/>
      <c r="Q16" s="2028" t="s">
        <v>1590</v>
      </c>
      <c r="R16" s="2028"/>
      <c r="S16" s="2219" t="s">
        <v>513</v>
      </c>
      <c r="T16" s="2219"/>
      <c r="U16" s="2219"/>
      <c r="V16" s="2029"/>
      <c r="W16" s="2280"/>
      <c r="X16" s="1948"/>
    </row>
    <row customHeight="1" ht="14.25">
      <c r="J17" s="368"/>
      <c r="K17" s="368"/>
      <c r="L17" s="2029"/>
      <c r="M17" s="2029"/>
      <c r="N17" s="1225"/>
      <c r="O17" s="2029"/>
      <c r="P17" s="2028"/>
      <c r="Q17" s="1225" t="s">
        <v>550</v>
      </c>
      <c r="R17" s="1225" t="s">
        <v>551</v>
      </c>
      <c r="S17" s="1229" t="s">
        <v>505</v>
      </c>
      <c r="T17" s="2282" t="s">
        <v>506</v>
      </c>
      <c r="U17" s="2282"/>
      <c r="V17" s="2029"/>
      <c r="W17" s="2280"/>
      <c r="X17" s="1948"/>
    </row>
    <row customHeight="1" ht="14.25">
      <c r="J18" s="368"/>
      <c r="K18" s="272">
        <v>1</v>
      </c>
      <c r="L18" s="446" t="s">
        <v>108</v>
      </c>
      <c r="M18" s="446" t="s">
        <v>109</v>
      </c>
      <c r="N18" s="1261" t="s">
        <v>109</v>
      </c>
      <c r="O18" s="1227">
        <f>OFFSET(O18,0,-1)+1</f>
        <v>3</v>
      </c>
      <c r="P18" s="1227">
        <f>OFFSET(P18,0,-1)+1</f>
        <v>4</v>
      </c>
      <c r="Q18" s="1227">
        <f>OFFSET(Q18,0,-1)+1</f>
        <v>5</v>
      </c>
      <c r="R18" s="1227">
        <f>OFFSET(R18,0,-1)+1</f>
        <v>6</v>
      </c>
      <c r="S18" s="1227">
        <f>OFFSET(S18,0,-1)+1</f>
        <v>7</v>
      </c>
      <c r="T18" s="2283">
        <f>OFFSET(T18,0,-1)+1</f>
        <v>8</v>
      </c>
      <c r="U18" s="2283"/>
      <c r="V18" s="1227">
        <f>OFFSET(V18,0,-2)+1</f>
        <v>9</v>
      </c>
      <c r="X18" s="1227">
        <f>OFFSET(X18,0,-2)+1</f>
        <v>10</v>
      </c>
    </row>
    <row customHeight="1" ht="22.5">
      <c r="A19" s="2172">
        <v>1</v>
      </c>
      <c r="B19" s="516"/>
      <c r="C19" s="516"/>
      <c r="D19" s="516"/>
      <c r="E19" s="516"/>
      <c r="F19" s="516"/>
      <c r="G19" s="375"/>
      <c r="H19" s="375"/>
      <c r="I19" s="349"/>
      <c r="J19" s="368"/>
      <c r="K19" s="368"/>
      <c r="L19" s="1234">
        <f>MERGEVALUE(A19)</f>
      </c>
      <c r="M19" s="278" t="s">
        <v>127</v>
      </c>
      <c r="N19" s="297"/>
      <c r="O19" s="2281"/>
      <c r="P19" s="2281"/>
      <c r="Q19" s="2281"/>
      <c r="R19" s="2281"/>
      <c r="S19" s="2281"/>
      <c r="T19" s="2281"/>
      <c r="U19" s="2281"/>
      <c r="V19" s="2281"/>
      <c r="W19" s="2281"/>
      <c r="X19" s="333" t="s">
        <v>458</v>
      </c>
    </row>
    <row customHeight="1" ht="22.5">
      <c r="A20" s="2172"/>
      <c r="B20" s="2172">
        <v>1</v>
      </c>
      <c r="C20" s="516"/>
      <c r="D20" s="516"/>
      <c r="E20" s="516"/>
      <c r="F20" s="516"/>
      <c r="G20" s="377"/>
      <c r="H20" s="1228"/>
      <c r="I20" s="351"/>
      <c r="J20" s="1235"/>
      <c r="K20" s="1156"/>
      <c r="L20" s="1234">
        <f>MERGEVALUE(A20)&amp;"."&amp;MERGEVALUE(B20)</f>
      </c>
      <c r="M20" s="290" t="s">
        <v>459</v>
      </c>
      <c r="N20" s="297"/>
      <c r="O20" s="2281"/>
      <c r="P20" s="2281"/>
      <c r="Q20" s="2281"/>
      <c r="R20" s="2281"/>
      <c r="S20" s="2281"/>
      <c r="T20" s="2281"/>
      <c r="U20" s="2281"/>
      <c r="V20" s="2281"/>
      <c r="W20" s="2281"/>
      <c r="X20" s="333" t="s">
        <v>460</v>
      </c>
    </row>
    <row customHeight="1" ht="22.5">
      <c r="A21" s="2172"/>
      <c r="B21" s="2172"/>
      <c r="C21" s="2172">
        <v>1</v>
      </c>
      <c r="D21" s="516"/>
      <c r="E21" s="516"/>
      <c r="F21" s="516"/>
      <c r="G21" s="377"/>
      <c r="H21" s="1228"/>
      <c r="I21" s="352"/>
      <c r="J21" s="1235"/>
      <c r="K21" s="1156"/>
      <c r="L21" s="1234">
        <f>MERGEVALUE(A21)&amp;"."&amp;MERGEVALUE(B21)&amp;"."&amp;MERGEVALUE(C21)</f>
      </c>
      <c r="M21" s="291" t="s">
        <v>461</v>
      </c>
      <c r="N21" s="297"/>
      <c r="O21" s="2281"/>
      <c r="P21" s="2281"/>
      <c r="Q21" s="2281"/>
      <c r="R21" s="2281"/>
      <c r="S21" s="2281"/>
      <c r="T21" s="2281"/>
      <c r="U21" s="2281"/>
      <c r="V21" s="2281"/>
      <c r="W21" s="2281"/>
      <c r="X21" s="333" t="s">
        <v>462</v>
      </c>
    </row>
    <row customHeight="1" ht="14.25">
      <c r="A22" s="2172"/>
      <c r="B22" s="2172"/>
      <c r="C22" s="2172"/>
      <c r="D22" s="2172">
        <v>1</v>
      </c>
      <c r="E22" s="516"/>
      <c r="F22" s="516"/>
      <c r="G22" s="377"/>
      <c r="H22" s="1228"/>
      <c r="I22" s="352"/>
      <c r="J22" s="350"/>
      <c r="K22" s="1156"/>
      <c r="L22" s="1234">
        <f>MERGEVALUE(A22)&amp;"."&amp;MERGEVALUE(B22)&amp;"."&amp;MERGEVALUE(C22)&amp;"."&amp;MERGEVALUE(D22)</f>
      </c>
      <c r="M22" s="292" t="s">
        <v>463</v>
      </c>
      <c r="N22" s="297"/>
      <c r="O22" s="2281"/>
      <c r="P22" s="2281"/>
      <c r="Q22" s="2281"/>
      <c r="R22" s="2281"/>
      <c r="S22" s="2281"/>
      <c r="T22" s="2281"/>
      <c r="U22" s="2281"/>
      <c r="V22" s="2281"/>
      <c r="W22" s="2281"/>
      <c r="X22" s="325" t="s">
        <v>1591</v>
      </c>
    </row>
    <row customHeight="1" ht="22.5">
      <c r="A23" s="2172"/>
      <c r="B23" s="2172"/>
      <c r="C23" s="2172"/>
      <c r="D23" s="2172"/>
      <c r="E23" s="516">
        <v>1</v>
      </c>
      <c r="F23" s="516"/>
      <c r="G23" s="377"/>
      <c r="H23" s="1228"/>
      <c r="I23" s="352"/>
      <c r="J23" s="350"/>
      <c r="K23" s="449"/>
      <c r="L23" s="1234">
        <f>MERGEVALUE(A23)&amp;"."&amp;MERGEVALUE(B23)&amp;"."&amp;MERGEVALUE(C23)&amp;"."&amp;MERGEVALUE(D23)&amp;"."&amp;MERGEVALUE(E23)</f>
      </c>
      <c r="M23" s="370"/>
      <c r="N23" s="1231"/>
      <c r="O23" s="372"/>
      <c r="P23" s="373"/>
      <c r="Q23" s="285"/>
      <c r="R23" s="285"/>
      <c r="S23" s="1764"/>
      <c r="T23" s="1223" t="s">
        <v>56</v>
      </c>
      <c r="U23" s="1267"/>
      <c r="V23" s="1223" t="s">
        <v>56</v>
      </c>
      <c r="W23" s="1268"/>
      <c r="X23" s="1988" t="s">
        <v>1592</v>
      </c>
      <c r="Y23" s="509">
        <f>STRCHECKDATETWO(N23:W23)</f>
      </c>
    </row>
    <row customHeight="1" ht="14.25" hidden="1">
      <c r="A24" s="2172"/>
      <c r="B24" s="2172"/>
      <c r="C24" s="2172"/>
      <c r="D24" s="2172"/>
      <c r="E24" s="516"/>
      <c r="F24" s="516"/>
      <c r="G24" s="377"/>
      <c r="H24" s="1228"/>
      <c r="I24" s="352"/>
      <c r="J24" s="350"/>
      <c r="K24" s="449"/>
      <c r="L24" s="1233"/>
      <c r="M24" s="293"/>
      <c r="N24" s="280"/>
      <c r="O24" s="280"/>
      <c r="P24" s="280"/>
      <c r="Q24" s="280"/>
      <c r="R24" s="316" t="str">
        <f>S23&amp;"-"&amp;U23</f>
        <v>-</v>
      </c>
      <c r="S24" s="301"/>
      <c r="T24" s="298"/>
      <c r="U24" s="301"/>
      <c r="V24" s="280"/>
      <c r="W24" s="1269"/>
      <c r="X24" s="1989"/>
    </row>
    <row customHeight="1" ht="14.25">
      <c r="A25" s="2172"/>
      <c r="B25" s="2172"/>
      <c r="C25" s="2172"/>
      <c r="D25" s="2172"/>
      <c r="E25" s="516"/>
      <c r="F25" s="516"/>
      <c r="G25" s="377"/>
      <c r="H25" s="1228"/>
      <c r="I25" s="352"/>
      <c r="J25" s="350"/>
      <c r="K25" s="449"/>
      <c r="L25" s="289"/>
      <c r="M25" s="356" t="s">
        <v>539</v>
      </c>
      <c r="N25" s="355"/>
      <c r="O25" s="309"/>
      <c r="P25" s="309"/>
      <c r="Q25" s="309"/>
      <c r="R25" s="309"/>
      <c r="S25" s="313"/>
      <c r="T25" s="359"/>
      <c r="U25" s="358"/>
      <c r="V25" s="355"/>
      <c r="W25" s="355"/>
      <c r="X25" s="1990"/>
    </row>
    <row s="2412" customFormat="1" customHeight="1" ht="14.25">
      <c r="A26" s="2172"/>
      <c r="B26" s="2172"/>
      <c r="C26" s="2172"/>
      <c r="D26" s="376"/>
      <c r="E26" s="376"/>
      <c r="F26" s="376"/>
      <c r="G26" s="377"/>
      <c r="H26" s="376"/>
      <c r="I26" s="352"/>
      <c r="J26" s="367"/>
      <c r="K26" s="369"/>
      <c r="L26" s="289"/>
      <c r="M26" s="364" t="s">
        <v>1571</v>
      </c>
      <c r="N26" s="355"/>
      <c r="O26" s="309"/>
      <c r="P26" s="309"/>
      <c r="Q26" s="309"/>
      <c r="R26" s="309"/>
      <c r="S26" s="313"/>
      <c r="T26" s="359"/>
      <c r="U26" s="358"/>
      <c r="V26" s="355"/>
      <c r="W26" s="359"/>
      <c r="X26" s="1270"/>
      <c r="Y26" s="374"/>
      <c r="Z26" s="374"/>
      <c r="AA26" s="374"/>
      <c r="AB26" s="374"/>
      <c r="AC26" s="374"/>
    </row>
    <row s="2412" customFormat="1" customHeight="1" ht="14.25">
      <c r="A27" s="2172"/>
      <c r="B27" s="2172"/>
      <c r="C27" s="376"/>
      <c r="D27" s="376"/>
      <c r="E27" s="376"/>
      <c r="F27" s="376"/>
      <c r="G27" s="377"/>
      <c r="H27" s="376"/>
      <c r="I27" s="348"/>
      <c r="J27" s="367"/>
      <c r="K27" s="369"/>
      <c r="L27" s="289"/>
      <c r="M27" s="355" t="s">
        <v>1572</v>
      </c>
      <c r="N27" s="355"/>
      <c r="O27" s="309"/>
      <c r="P27" s="309"/>
      <c r="Q27" s="309"/>
      <c r="R27" s="309"/>
      <c r="S27" s="313"/>
      <c r="T27" s="359"/>
      <c r="U27" s="358"/>
      <c r="V27" s="355"/>
      <c r="W27" s="359"/>
      <c r="X27" s="311"/>
      <c r="Y27" s="374"/>
      <c r="Z27" s="374"/>
      <c r="AA27" s="374"/>
      <c r="AB27" s="374"/>
      <c r="AC27" s="374"/>
    </row>
    <row s="2412" customFormat="1" customHeight="1" ht="14.25">
      <c r="A28" s="2172"/>
      <c r="B28" s="376"/>
      <c r="C28" s="376"/>
      <c r="D28" s="376"/>
      <c r="E28" s="376"/>
      <c r="F28" s="376"/>
      <c r="G28" s="377"/>
      <c r="H28" s="376"/>
      <c r="I28" s="348"/>
      <c r="J28" s="367"/>
      <c r="K28" s="369"/>
      <c r="L28" s="289"/>
      <c r="M28" s="413" t="s">
        <v>103</v>
      </c>
      <c r="N28" s="355"/>
      <c r="O28" s="309"/>
      <c r="P28" s="309"/>
      <c r="Q28" s="309"/>
      <c r="R28" s="309"/>
      <c r="S28" s="313"/>
      <c r="T28" s="359"/>
      <c r="U28" s="358"/>
      <c r="V28" s="355"/>
      <c r="W28" s="359"/>
      <c r="X28" s="311"/>
      <c r="Y28" s="374"/>
      <c r="Z28" s="374"/>
      <c r="AA28" s="374"/>
      <c r="AB28" s="374"/>
      <c r="AC28" s="374"/>
    </row>
    <row s="2412" customFormat="1" customHeight="1" ht="14.25">
      <c r="G29" s="357"/>
      <c r="H29" s="369"/>
      <c r="I29" s="366"/>
      <c r="J29" s="367"/>
      <c r="L29" s="289"/>
      <c r="M29" s="414" t="s">
        <v>435</v>
      </c>
      <c r="N29" s="355"/>
      <c r="O29" s="309"/>
      <c r="P29" s="309"/>
      <c r="Q29" s="309"/>
      <c r="R29" s="309"/>
      <c r="S29" s="313"/>
      <c r="T29" s="359"/>
      <c r="U29" s="358"/>
      <c r="V29" s="355"/>
      <c r="W29" s="359"/>
      <c r="X29" s="311"/>
      <c r="Y29" s="374"/>
      <c r="Z29" s="374"/>
      <c r="AA29" s="374"/>
      <c r="AB29" s="374"/>
      <c r="AC29" s="374"/>
    </row>
    <row r="31" customHeight="1" ht="14.25">
      <c r="L31" s="47">
        <v>1</v>
      </c>
      <c r="M31" s="2200" t="s">
        <v>1593</v>
      </c>
      <c r="N31" s="2200"/>
      <c r="O31" s="2200"/>
      <c r="P31" s="2200"/>
      <c r="Q31" s="2200"/>
      <c r="R31" s="2200"/>
      <c r="S31" s="2200"/>
      <c r="T31" s="2200"/>
      <c r="U31" s="2200"/>
      <c r="V31" s="2200"/>
      <c r="W31" s="2200"/>
      <c r="X31" s="2200"/>
      <c r="Y31" s="1271"/>
      <c r="Z31" s="361"/>
      <c r="AA31" s="361"/>
      <c r="AB31" s="361"/>
      <c r="AC31" s="361"/>
    </row>
    <row customHeight="1" ht="14.25">
      <c r="M32" s="1272"/>
      <c r="N32" s="1272"/>
      <c r="O32" s="1272"/>
      <c r="P32" s="1272"/>
      <c r="Q32" s="1272"/>
      <c r="R32" s="1272"/>
      <c r="S32" s="1272"/>
      <c r="T32" s="1272"/>
      <c r="U32" s="1272"/>
      <c r="V32" s="1272"/>
      <c r="W32" s="1272"/>
      <c r="X32" s="1272"/>
      <c r="Y32" s="508"/>
      <c r="Z32" s="508"/>
      <c r="AA32" s="508"/>
      <c r="AB32" s="508"/>
      <c r="AC32" s="508"/>
    </row>
  </sheetData>
  <sheetProtection formatColumns="0" formatRows="0" autoFilter="0" sort="0" insertRows="0" insertColumns="1" deleteRows="0" deleteColumns="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67902-2C17-6AD1-524E-6537966BDBF3}" mc:Ignorable="x14ac xr xr2 xr3">
  <sheetPr>
    <tabColor theme="6" tint="0.4"/>
  </sheetPr>
  <dimension ref="A1:L42"/>
  <sheetViews>
    <sheetView topLeftCell="C13" showGridLines="0" zoomScale="90" workbookViewId="0">
      <selection activeCell="A1" sqref="A1"/>
    </sheetView>
  </sheetViews>
  <sheetFormatPr defaultColWidth="10.57421875" customHeight="1" defaultRowHeight="14.25"/>
  <cols>
    <col min="1" max="1" style="1810" width="9.140625" hidden="1" customWidth="1"/>
    <col min="2" max="2" style="1389" width="9.140625" hidden="1" customWidth="1"/>
    <col min="3" max="3" style="332" width="3.7109375" customWidth="1"/>
    <col min="4" max="4" style="1666" width="6.28125" customWidth="1"/>
    <col min="5" max="5" style="1666" width="63.421875" customWidth="1"/>
    <col min="6" max="6" style="1666" width="1.7109375" hidden="1" customWidth="1"/>
    <col min="7" max="8" style="1666" width="35.7109375" customWidth="1"/>
    <col min="9" max="9" style="1666" width="91.57421875" customWidth="1"/>
    <col min="10" max="10" style="1666" width="68.8515625" customWidth="1"/>
    <col min="11" max="12" style="1655" width="10.57421875"/>
  </cols>
  <sheetData>
    <row customHeight="1" ht="14.25" hidden="1"/>
    <row s="1666" customFormat="1" customHeight="1" ht="18.75" hidden="1">
      <c r="A2" s="1714"/>
      <c r="B2" s="1161"/>
      <c r="C2" s="1760" t="s">
        <v>120</v>
      </c>
      <c r="D2" s="1704"/>
      <c r="E2" s="178"/>
      <c r="F2" s="1701"/>
      <c r="G2" s="1701" t="s">
        <v>296</v>
      </c>
      <c r="H2" s="1162"/>
      <c r="K2" s="1655"/>
      <c r="L2" s="1655"/>
    </row>
    <row s="1666" customFormat="1" customHeight="1" ht="14.25" hidden="1">
      <c r="A3" s="1385"/>
      <c r="B3" s="1161"/>
      <c r="C3" s="332"/>
      <c r="K3" s="1655"/>
      <c r="L3" s="1655"/>
    </row>
    <row s="1666" customFormat="1" customHeight="1" ht="18.75" hidden="1">
      <c r="A4" s="1714"/>
      <c r="B4" s="1161"/>
      <c r="C4" s="1760" t="s">
        <v>120</v>
      </c>
      <c r="D4" s="1704"/>
      <c r="E4" s="184" t="s">
        <v>1594</v>
      </c>
      <c r="F4" s="1701"/>
      <c r="G4" s="236"/>
      <c r="H4" s="1701" t="s">
        <v>296</v>
      </c>
      <c r="K4" s="1655"/>
      <c r="L4" s="1655"/>
    </row>
    <row s="1666" customFormat="1" customHeight="1" ht="14.25" hidden="1">
      <c r="A5" s="1385"/>
      <c r="B5" s="1161"/>
      <c r="C5" s="332"/>
      <c r="K5" s="1655"/>
      <c r="L5" s="1655"/>
    </row>
    <row s="1666" customFormat="1" customHeight="1" ht="18.75" hidden="1">
      <c r="A6" s="1714"/>
      <c r="B6" s="1161"/>
      <c r="C6" s="1760" t="s">
        <v>120</v>
      </c>
      <c r="D6" s="1704"/>
      <c r="E6" s="185" t="s">
        <v>1595</v>
      </c>
      <c r="F6" s="1701"/>
      <c r="G6" s="236"/>
      <c r="H6" s="1701" t="s">
        <v>296</v>
      </c>
      <c r="K6" s="1655"/>
      <c r="L6" s="1655"/>
    </row>
    <row s="1666" customFormat="1" customHeight="1" ht="14.25" hidden="1">
      <c r="A7" s="1385"/>
      <c r="B7" s="1161"/>
      <c r="C7" s="332"/>
      <c r="K7" s="1655"/>
      <c r="L7" s="1655"/>
    </row>
    <row s="1666" customFormat="1" customHeight="1" ht="18.75" hidden="1">
      <c r="A8" s="1714"/>
      <c r="B8" s="1161"/>
      <c r="C8" s="1760" t="s">
        <v>120</v>
      </c>
      <c r="D8" s="1704"/>
      <c r="E8" s="185" t="s">
        <v>1596</v>
      </c>
      <c r="F8" s="1701"/>
      <c r="G8" s="236"/>
      <c r="H8" s="1701" t="s">
        <v>296</v>
      </c>
      <c r="K8" s="1655"/>
      <c r="L8" s="1655"/>
    </row>
    <row s="1666" customFormat="1" customHeight="1" ht="14.25" hidden="1">
      <c r="A9" s="1385"/>
      <c r="B9" s="1161"/>
      <c r="C9" s="332"/>
      <c r="K9" s="1655"/>
      <c r="L9" s="1655"/>
    </row>
    <row s="1666" customFormat="1" customHeight="1" ht="18.75" hidden="1">
      <c r="A10" s="1714"/>
      <c r="B10" s="1161"/>
      <c r="C10" s="1760" t="s">
        <v>120</v>
      </c>
      <c r="D10" s="1704"/>
      <c r="E10" s="185" t="s">
        <v>1597</v>
      </c>
      <c r="F10" s="1701"/>
      <c r="G10" s="1705"/>
      <c r="H10" s="1701" t="s">
        <v>296</v>
      </c>
      <c r="K10" s="1655"/>
      <c r="L10" s="1655" t="s">
        <v>1598</v>
      </c>
    </row>
    <row customHeight="1" ht="14.25" hidden="1"/>
    <row customHeight="1" ht="14.25" hidden="1"/>
    <row customHeight="1" ht="14.25">
      <c r="C13" s="76"/>
      <c r="D13" s="65"/>
      <c r="E13" s="65"/>
      <c r="F13" s="65"/>
      <c r="G13" s="65"/>
      <c r="H13" s="66"/>
      <c r="I13" s="66"/>
    </row>
    <row customHeight="1" ht="30">
      <c r="C14" s="76"/>
      <c r="D14" s="2150" t="str">
        <f>PROCEDURE_TC_NAME_FORM</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E14" s="2151"/>
      <c r="F14" s="2151"/>
      <c r="G14" s="2151"/>
      <c r="H14" s="2152"/>
      <c r="J14" s="1662"/>
    </row>
    <row s="1666" customFormat="1" customHeight="1" ht="14.25">
      <c r="A15" s="1385"/>
      <c r="B15" s="1161"/>
      <c r="C15" s="368"/>
      <c r="D15" s="2153" t="str">
        <f>IF(org=0,"Не определено",org)</f>
        <v>ПАО "ТГК-2"</v>
      </c>
      <c r="E15" s="2154"/>
      <c r="F15" s="2154"/>
      <c r="G15" s="2154"/>
      <c r="H15" s="2155"/>
      <c r="J15" s="850"/>
      <c r="K15" s="1655"/>
      <c r="L15" s="1655"/>
    </row>
    <row customHeight="1" ht="14.25">
      <c r="C16" s="76"/>
      <c r="D16" s="65"/>
      <c r="E16" s="75"/>
      <c r="F16" s="75"/>
      <c r="G16" s="75"/>
      <c r="H16" s="751"/>
      <c r="I16" s="172"/>
    </row>
    <row s="1666" customFormat="1" customHeight="1" ht="14.25" hidden="1">
      <c r="A17" s="1385"/>
      <c r="B17" s="1161"/>
      <c r="C17" s="368"/>
      <c r="D17" s="353"/>
      <c r="E17" s="386"/>
      <c r="F17" s="386"/>
      <c r="G17" s="386"/>
      <c r="H17" s="751"/>
      <c r="I17" s="172"/>
      <c r="K17" s="1655"/>
      <c r="L17" s="1655"/>
    </row>
    <row customHeight="1" ht="21">
      <c r="C18" s="76"/>
      <c r="D18" s="2029" t="s">
        <v>290</v>
      </c>
      <c r="E18" s="2029"/>
      <c r="F18" s="2029"/>
      <c r="G18" s="2029"/>
      <c r="H18" s="2029"/>
      <c r="I18" s="2156" t="s">
        <v>291</v>
      </c>
    </row>
    <row customHeight="1" ht="21">
      <c r="C19" s="76"/>
      <c r="D19" s="85" t="s">
        <v>87</v>
      </c>
      <c r="E19" s="88" t="s">
        <v>292</v>
      </c>
      <c r="F19" s="88"/>
      <c r="G19" s="88" t="s">
        <v>293</v>
      </c>
      <c r="H19" s="88" t="s">
        <v>382</v>
      </c>
      <c r="I19" s="2156"/>
    </row>
    <row customHeight="1" ht="12">
      <c r="C20" s="76"/>
      <c r="D20" s="68" t="s">
        <v>108</v>
      </c>
      <c r="E20" s="68" t="s">
        <v>109</v>
      </c>
      <c r="F20" s="68"/>
      <c r="G20" s="68" t="s">
        <v>89</v>
      </c>
      <c r="H20" s="68" t="s">
        <v>90</v>
      </c>
      <c r="I20" s="68" t="s">
        <v>110</v>
      </c>
    </row>
    <row customHeight="1" ht="14.25">
      <c r="A21" s="1714"/>
      <c r="C21" s="76"/>
      <c r="D21" s="127">
        <v>1</v>
      </c>
      <c r="E21" s="2286" t="s">
        <v>1599</v>
      </c>
      <c r="F21" s="2286"/>
      <c r="G21" s="2286"/>
      <c r="H21" s="2286"/>
      <c r="I21" s="187"/>
    </row>
    <row customHeight="1" ht="20.25">
      <c r="A22" s="1714"/>
      <c r="C22" s="76"/>
      <c r="D22" s="127" t="s">
        <v>428</v>
      </c>
      <c r="E22" s="173" t="s">
        <v>1600</v>
      </c>
      <c r="F22" s="177"/>
      <c r="G22" s="1767"/>
      <c r="H22" s="177" t="s">
        <v>296</v>
      </c>
      <c r="I22" s="131" t="s">
        <v>1601</v>
      </c>
    </row>
    <row customHeight="1" ht="45">
      <c r="A23" s="1714"/>
      <c r="C23" s="76"/>
      <c r="D23" s="127" t="s">
        <v>443</v>
      </c>
      <c r="E23" s="173" t="s">
        <v>1602</v>
      </c>
      <c r="F23" s="177"/>
      <c r="G23" s="236"/>
      <c r="H23" s="192"/>
      <c r="I23" s="237" t="s">
        <v>1603</v>
      </c>
    </row>
    <row customHeight="1" ht="14.25">
      <c r="A24" s="1714"/>
      <c r="B24" s="126">
        <v>3</v>
      </c>
      <c r="C24" s="76"/>
      <c r="D24" s="127">
        <v>2</v>
      </c>
      <c r="E24" s="20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77"/>
      <c r="G24" s="177" t="s">
        <v>296</v>
      </c>
      <c r="H24" s="192"/>
      <c r="I24" s="238" t="s">
        <v>1559</v>
      </c>
    </row>
    <row customHeight="1" ht="46.5">
      <c r="A25" s="1714"/>
      <c r="C25" s="76"/>
      <c r="D25" s="127">
        <v>3</v>
      </c>
      <c r="E25" s="22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85"/>
      <c r="G25" s="2285"/>
      <c r="H25" s="2285"/>
      <c r="I25" s="235"/>
    </row>
    <row customHeight="1" ht="14.25">
      <c r="A26" s="1714"/>
      <c r="C26" s="76"/>
      <c r="D26" s="127" t="s">
        <v>316</v>
      </c>
      <c r="E26" s="178"/>
      <c r="F26" s="177"/>
      <c r="G26" s="177" t="s">
        <v>296</v>
      </c>
      <c r="H26" s="192"/>
      <c r="I26" s="1988" t="s">
        <v>1604</v>
      </c>
    </row>
    <row customHeight="1" ht="15">
      <c r="A27" s="1714" t="s">
        <v>108</v>
      </c>
      <c r="C27" s="76"/>
      <c r="D27" s="89"/>
      <c r="E27" s="182" t="s">
        <v>451</v>
      </c>
      <c r="F27" s="183"/>
      <c r="G27" s="183"/>
      <c r="H27" s="180"/>
      <c r="I27" s="1990"/>
    </row>
    <row customHeight="1" ht="38.25">
      <c r="A28" s="1714"/>
      <c r="B28" s="126">
        <v>3</v>
      </c>
      <c r="C28" s="76"/>
      <c r="D28" s="127">
        <v>4</v>
      </c>
      <c r="E28" s="22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285"/>
      <c r="G28" s="2285"/>
      <c r="H28" s="2285"/>
      <c r="I28" s="235"/>
    </row>
    <row customHeight="1" ht="20.25">
      <c r="A29" s="1714"/>
      <c r="C29" s="76"/>
      <c r="D29" s="127" t="s">
        <v>1464</v>
      </c>
      <c r="E29" s="184" t="s">
        <v>1594</v>
      </c>
      <c r="F29" s="177"/>
      <c r="G29" s="236"/>
      <c r="H29" s="177" t="s">
        <v>296</v>
      </c>
      <c r="I29" s="1988" t="s">
        <v>1605</v>
      </c>
    </row>
    <row customHeight="1" ht="15">
      <c r="A30" s="1714" t="s">
        <v>109</v>
      </c>
      <c r="C30" s="76"/>
      <c r="D30" s="89"/>
      <c r="E30" s="182" t="s">
        <v>451</v>
      </c>
      <c r="F30" s="183"/>
      <c r="G30" s="183"/>
      <c r="H30" s="180"/>
      <c r="I30" s="1990"/>
    </row>
    <row customHeight="1" ht="30">
      <c r="A31" s="1714"/>
      <c r="B31" s="126">
        <v>3</v>
      </c>
      <c r="C31" s="76"/>
      <c r="D31" s="127">
        <v>5</v>
      </c>
      <c r="E31" s="22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285"/>
      <c r="G31" s="2285"/>
      <c r="H31" s="2285"/>
      <c r="I31" s="235"/>
    </row>
    <row customHeight="1" ht="26.25">
      <c r="A32" s="1714"/>
      <c r="C32" s="76"/>
      <c r="D32" s="127" t="s">
        <v>305</v>
      </c>
      <c r="E32" s="228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84"/>
      <c r="G32" s="2284"/>
      <c r="H32" s="2284"/>
      <c r="I32" s="235"/>
    </row>
    <row customHeight="1" ht="14.25">
      <c r="A33" s="1714"/>
      <c r="C33" s="76"/>
      <c r="D33" s="127" t="s">
        <v>1471</v>
      </c>
      <c r="E33" s="185" t="s">
        <v>1595</v>
      </c>
      <c r="F33" s="177"/>
      <c r="G33" s="236"/>
      <c r="H33" s="177" t="s">
        <v>296</v>
      </c>
      <c r="I33" s="1988" t="s">
        <v>1606</v>
      </c>
    </row>
    <row customHeight="1" ht="15">
      <c r="A34" s="1714" t="s">
        <v>89</v>
      </c>
      <c r="C34" s="76"/>
      <c r="D34" s="89"/>
      <c r="E34" s="183" t="s">
        <v>451</v>
      </c>
      <c r="F34" s="179"/>
      <c r="G34" s="179"/>
      <c r="H34" s="180"/>
      <c r="I34" s="1990"/>
    </row>
    <row customHeight="1" ht="24">
      <c r="A35" s="1714"/>
      <c r="C35" s="76"/>
      <c r="D35" s="127" t="s">
        <v>307</v>
      </c>
      <c r="E35" s="228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84"/>
      <c r="G35" s="2284"/>
      <c r="H35" s="2284"/>
      <c r="I35" s="235"/>
    </row>
    <row customHeight="1" ht="14.25">
      <c r="A36" s="1714"/>
      <c r="C36" s="76"/>
      <c r="D36" s="127" t="s">
        <v>1607</v>
      </c>
      <c r="E36" s="185" t="s">
        <v>1596</v>
      </c>
      <c r="F36" s="177"/>
      <c r="G36" s="236"/>
      <c r="H36" s="177" t="s">
        <v>296</v>
      </c>
      <c r="I36" s="1964" t="s">
        <v>1608</v>
      </c>
    </row>
    <row customHeight="1" ht="15">
      <c r="A37" s="1714" t="s">
        <v>90</v>
      </c>
      <c r="C37" s="76"/>
      <c r="D37" s="89"/>
      <c r="E37" s="183" t="s">
        <v>451</v>
      </c>
      <c r="F37" s="179"/>
      <c r="G37" s="179"/>
      <c r="H37" s="180"/>
      <c r="I37" s="1964"/>
    </row>
    <row customHeight="1" ht="26.25">
      <c r="A38" s="1714"/>
      <c r="C38" s="76"/>
      <c r="D38" s="127" t="s">
        <v>310</v>
      </c>
      <c r="E38" s="228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84"/>
      <c r="G38" s="2284"/>
      <c r="H38" s="2284"/>
      <c r="I38" s="235"/>
    </row>
    <row customHeight="1" ht="14.25">
      <c r="A39" s="1714"/>
      <c r="C39" s="76"/>
      <c r="D39" s="127" t="s">
        <v>1609</v>
      </c>
      <c r="E39" s="185" t="s">
        <v>1597</v>
      </c>
      <c r="F39" s="177"/>
      <c r="G39" s="186"/>
      <c r="H39" s="177" t="s">
        <v>296</v>
      </c>
      <c r="I39" s="1988" t="s">
        <v>1610</v>
      </c>
      <c r="L39" s="135" t="s">
        <v>1598</v>
      </c>
    </row>
    <row customHeight="1" ht="15">
      <c r="A40" s="1714" t="s">
        <v>110</v>
      </c>
      <c r="C40" s="76"/>
      <c r="D40" s="89"/>
      <c r="E40" s="183" t="s">
        <v>451</v>
      </c>
      <c r="F40" s="179"/>
      <c r="G40" s="179"/>
      <c r="H40" s="180"/>
      <c r="I40" s="1990"/>
    </row>
    <row s="1858" customFormat="1" customHeight="1" ht="3">
      <c r="A41" s="1714"/>
      <c r="K41" s="175"/>
      <c r="L41" s="175"/>
    </row>
    <row customHeight="1" ht="24.75">
      <c r="D42" s="1712" t="s">
        <v>507</v>
      </c>
      <c r="E42" s="220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0"/>
      <c r="G42" s="2200"/>
      <c r="H42" s="2200"/>
      <c r="I42" s="2200"/>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37DA2-325F-6418-910D-23B40D52D7B7}"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2295" width="9.140625" hidden="1" customWidth="1"/>
    <col min="2" max="2" style="1389" width="9.140625" hidden="1" customWidth="1"/>
    <col min="3" max="3" style="332" width="3.7109375" customWidth="1"/>
    <col min="4" max="4" style="1666" width="6.28125" customWidth="1"/>
    <col min="5" max="5" style="1666" width="38.140625" customWidth="1"/>
    <col min="6" max="7" style="1666" width="35.7109375" customWidth="1"/>
    <col min="8" max="8" style="1666" width="89.57421875" customWidth="1"/>
    <col min="9" max="9" style="1666" width="10.57421875"/>
    <col min="10" max="11" style="1655" width="10.57421875"/>
    <col min="12" max="17" style="1666" width="10.57421875"/>
  </cols>
  <sheetData>
    <row customHeight="1" ht="14.25" hidden="1">
      <c r="N1" s="234"/>
      <c r="O1" s="234"/>
      <c r="Q1" s="234"/>
    </row>
    <row s="1666" customFormat="1" customHeight="1" ht="18.75" hidden="1">
      <c r="A2" s="82"/>
      <c r="B2" s="1161"/>
      <c r="C2" s="1760" t="s">
        <v>120</v>
      </c>
      <c r="D2" s="1704"/>
      <c r="E2" s="1713"/>
      <c r="F2" s="236"/>
      <c r="G2" s="1162"/>
      <c r="H2" s="365"/>
      <c r="I2" s="1655"/>
      <c r="J2" s="1655"/>
    </row>
    <row customHeight="1" ht="14.25" hidden="1"/>
    <row customHeight="1" ht="6">
      <c r="C4" s="368"/>
      <c r="D4" s="353"/>
      <c r="E4" s="353"/>
      <c r="F4" s="353"/>
      <c r="G4" s="66"/>
      <c r="H4" s="66"/>
    </row>
    <row customHeight="1" ht="54.75">
      <c r="C5" s="368"/>
      <c r="D5" s="2150" t="str">
        <f>PURCH_NAME_FORM</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E5" s="2151"/>
      <c r="F5" s="2151"/>
      <c r="G5" s="2152"/>
      <c r="H5" s="245"/>
    </row>
    <row s="1666" customFormat="1" customHeight="1" ht="17.25">
      <c r="A6" s="1700"/>
      <c r="B6" s="1161"/>
      <c r="C6" s="368"/>
      <c r="D6" s="2153" t="str">
        <f>IF(org=0,"Не определено",org)</f>
        <v>ПАО "ТГК-2"</v>
      </c>
      <c r="E6" s="2154"/>
      <c r="F6" s="2154"/>
      <c r="G6" s="2155"/>
      <c r="H6" s="245"/>
      <c r="J6" s="1655"/>
      <c r="K6" s="1655"/>
    </row>
    <row customHeight="1" ht="14.25">
      <c r="C7" s="368"/>
      <c r="D7" s="353"/>
      <c r="E7" s="386"/>
      <c r="F7" s="386"/>
      <c r="G7" s="751"/>
      <c r="H7" s="172"/>
    </row>
    <row customHeight="1" ht="14.25">
      <c r="C8" s="368"/>
      <c r="D8" s="2029" t="s">
        <v>290</v>
      </c>
      <c r="E8" s="2029"/>
      <c r="F8" s="2029"/>
      <c r="G8" s="2029"/>
      <c r="H8" s="2156" t="s">
        <v>291</v>
      </c>
    </row>
    <row customHeight="1" ht="14.25">
      <c r="C9" s="368"/>
      <c r="D9" s="383" t="s">
        <v>87</v>
      </c>
      <c r="E9" s="88" t="s">
        <v>292</v>
      </c>
      <c r="F9" s="88" t="s">
        <v>293</v>
      </c>
      <c r="G9" s="88" t="s">
        <v>382</v>
      </c>
      <c r="H9" s="2156"/>
    </row>
    <row customHeight="1" ht="14.25">
      <c r="A10" s="331"/>
      <c r="C10" s="368"/>
      <c r="D10" s="127" t="s">
        <v>108</v>
      </c>
      <c r="E10" s="38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36"/>
      <c r="G10" s="192"/>
      <c r="H10" s="1988" t="s">
        <v>1611</v>
      </c>
    </row>
    <row customHeight="1" ht="14.25">
      <c r="A11" s="331"/>
      <c r="C11" s="368"/>
      <c r="D11" s="127" t="s">
        <v>109</v>
      </c>
      <c r="E11" s="38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36"/>
      <c r="G11" s="192"/>
      <c r="H11" s="1989"/>
    </row>
    <row customHeight="1" ht="22.5">
      <c r="A12" s="82"/>
      <c r="C12" s="384"/>
      <c r="D12" s="127" t="s">
        <v>89</v>
      </c>
      <c r="E12" s="385" t="str">
        <f>"Сведения о планировании закупочных процедур"&amp;IF(TEMPLATE_SPHERE="TKO"," &lt;1&gt;","")</f>
        <v>Сведения о планировании закупочных процедур</v>
      </c>
      <c r="F12" s="236"/>
      <c r="G12" s="192"/>
      <c r="H12" s="19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38"/>
      <c r="K12" s="365"/>
    </row>
    <row customHeight="1" ht="22.5">
      <c r="A13" s="82"/>
      <c r="C13" s="384"/>
      <c r="D13" s="127" t="s">
        <v>90</v>
      </c>
      <c r="E13" s="385" t="str">
        <f>"Сведения о результатах проведения закупочных процедур"&amp;IF(TEMPLATE_SPHERE="TKO"," &lt;1&gt;","")</f>
        <v>Сведения о результатах проведения закупочных процедур</v>
      </c>
      <c r="F13" s="236"/>
      <c r="G13" s="192"/>
      <c r="H13" s="1989"/>
      <c r="I13" s="338"/>
      <c r="K13" s="365"/>
    </row>
    <row customHeight="1" ht="14.25">
      <c r="A14" s="331"/>
      <c r="C14" s="368"/>
      <c r="D14" s="335"/>
      <c r="E14" s="392" t="s">
        <v>451</v>
      </c>
      <c r="F14" s="337"/>
      <c r="G14" s="180"/>
      <c r="H14" s="1990"/>
    </row>
    <row s="1666" customFormat="1" customHeight="1" ht="14.25">
      <c r="A15" s="331"/>
      <c r="B15" s="1161"/>
      <c r="C15" s="368"/>
      <c r="D15" s="393"/>
      <c r="E15" s="1708"/>
      <c r="F15" s="1709"/>
      <c r="G15" s="1710"/>
      <c r="H15" s="1711"/>
      <c r="J15" s="1655"/>
      <c r="K15" s="1655"/>
    </row>
    <row customHeight="1" ht="21.75">
      <c r="D16" s="1712" t="s">
        <v>507</v>
      </c>
      <c r="E16" s="2287" t="s">
        <v>1612</v>
      </c>
      <c r="F16" s="2287"/>
      <c r="G16" s="2287"/>
      <c r="H16" s="2287"/>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16AA8-7494-D23E-B34A-8747E087DB25}"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1666" width="8.00390625" hidden="1" customWidth="1"/>
    <col min="2" max="2" style="1389" width="6.00390625" hidden="1" customWidth="1"/>
    <col min="3" max="3" style="1666" width="3.7109375" customWidth="1"/>
    <col min="4" max="4" style="1877" width="3.7109375" customWidth="1"/>
    <col min="5" max="5" style="1666" width="6.28125" customWidth="1"/>
    <col min="6" max="6" style="1666" width="2.7109375" hidden="1" customWidth="1"/>
    <col min="7" max="7" style="1666" width="46.7109375" customWidth="1"/>
    <col min="8" max="8" style="1666" width="43.140625" customWidth="1"/>
    <col min="9" max="9" style="1666" width="14.8515625" customWidth="1"/>
    <col min="10" max="10" style="1655" width="3.7109375" customWidth="1"/>
    <col min="11" max="13" style="1655" width="9.140625" hidden="1"/>
    <col min="14" max="14" style="1655" width="25.7109375" hidden="1" customWidth="1"/>
    <col min="15" max="15" style="1655" width="14.421875" hidden="1" customWidth="1"/>
    <col min="16" max="19" style="204" width="9.140625" hidden="1"/>
    <col min="20" max="27" style="1666" width="9.140625" hidden="1"/>
    <col min="28" max="28" style="1666" width="9.140625"/>
  </cols>
  <sheetData>
    <row s="1673" customFormat="1" customHeight="1" ht="5.25" hidden="1">
      <c r="A1" s="494"/>
      <c r="B1" s="509"/>
      <c r="C1" s="509"/>
      <c r="D1" s="200"/>
      <c r="F1" s="509"/>
      <c r="G1" s="226" t="s">
        <v>82</v>
      </c>
      <c r="H1" s="492" t="s">
        <v>83</v>
      </c>
      <c r="I1" s="206" t="s">
        <v>84</v>
      </c>
      <c r="J1" s="226" t="s">
        <v>82</v>
      </c>
      <c r="K1" s="226"/>
      <c r="L1" s="226"/>
      <c r="M1" s="226"/>
      <c r="N1" s="227"/>
      <c r="O1" s="226"/>
      <c r="P1" s="226"/>
      <c r="Q1" s="226"/>
      <c r="R1" s="226"/>
      <c r="S1" s="226"/>
      <c r="T1" s="206"/>
      <c r="U1" s="206"/>
      <c r="V1" s="206"/>
      <c r="W1" s="206"/>
      <c r="X1" s="206"/>
      <c r="Y1" s="206"/>
      <c r="Z1" s="206"/>
      <c r="AA1" s="206"/>
      <c r="AB1" s="206"/>
    </row>
    <row s="1435" customFormat="1" customHeight="1" ht="11.25">
      <c r="A2" s="829"/>
      <c r="B2" s="207"/>
      <c r="C2" s="207"/>
      <c r="D2" s="208"/>
      <c r="E2" s="207"/>
      <c r="F2" s="207"/>
      <c r="G2" s="207"/>
      <c r="H2" s="207"/>
      <c r="I2" s="207"/>
      <c r="J2" s="226"/>
      <c r="K2" s="226"/>
      <c r="L2" s="226"/>
      <c r="M2" s="226"/>
      <c r="N2" s="227"/>
      <c r="O2" s="226"/>
      <c r="P2" s="209"/>
      <c r="Q2" s="209"/>
      <c r="R2" s="209"/>
      <c r="S2" s="209"/>
      <c r="T2" s="208"/>
      <c r="U2" s="208"/>
      <c r="V2" s="208"/>
      <c r="W2" s="208"/>
      <c r="X2" s="208"/>
      <c r="Y2" s="208"/>
      <c r="Z2" s="208"/>
      <c r="AA2" s="208"/>
      <c r="AB2" s="208"/>
    </row>
    <row s="1854" customFormat="1" customHeight="1" ht="3">
      <c r="A3" s="757"/>
      <c r="B3" s="415"/>
      <c r="C3" s="757"/>
      <c r="D3" s="144"/>
      <c r="E3" s="83"/>
      <c r="F3" s="507"/>
      <c r="G3" s="83"/>
      <c r="H3" s="83"/>
      <c r="I3" s="146"/>
      <c r="J3" s="226"/>
      <c r="K3" s="135"/>
      <c r="L3" s="135"/>
      <c r="M3" s="135"/>
      <c r="N3" s="205"/>
      <c r="O3" s="135"/>
      <c r="P3" s="204"/>
      <c r="Q3" s="204"/>
      <c r="R3" s="204"/>
      <c r="S3" s="204"/>
    </row>
    <row s="1854" customFormat="1" customHeight="1" ht="25.5">
      <c r="A4" s="757"/>
      <c r="B4" s="415"/>
      <c r="C4" s="757"/>
      <c r="D4" s="144"/>
      <c r="E4" s="1921" t="str">
        <f>NameTemplatesInListMO</f>
        <v>Перечень муниципальных районов и муниципальных образований (территорий оказания услуг)</v>
      </c>
      <c r="F4" s="1921"/>
      <c r="G4" s="1921"/>
      <c r="H4" s="1921"/>
      <c r="I4" s="1921"/>
      <c r="J4" s="226"/>
      <c r="K4" s="135"/>
      <c r="L4" s="135"/>
      <c r="M4" s="135"/>
      <c r="N4" s="205"/>
      <c r="O4" s="135"/>
      <c r="P4" s="204"/>
      <c r="Q4" s="204"/>
      <c r="R4" s="204"/>
      <c r="S4" s="204"/>
    </row>
    <row s="1854" customFormat="1" customHeight="1" ht="3">
      <c r="A5" s="757"/>
      <c r="B5" s="415"/>
      <c r="C5" s="757"/>
      <c r="D5" s="144"/>
      <c r="E5" s="83"/>
      <c r="F5" s="507"/>
      <c r="G5" s="147"/>
      <c r="H5" s="147"/>
      <c r="I5" s="148"/>
      <c r="J5" s="135"/>
      <c r="K5" s="135"/>
      <c r="L5" s="135"/>
      <c r="M5" s="135"/>
      <c r="N5" s="205"/>
      <c r="O5" s="135"/>
      <c r="P5" s="204"/>
      <c r="Q5" s="204"/>
      <c r="R5" s="204"/>
      <c r="S5" s="204"/>
    </row>
    <row s="1854" customFormat="1" customHeight="1" ht="20.25" hidden="1">
      <c r="A6" s="835"/>
      <c r="B6" s="831"/>
      <c r="C6" s="149"/>
      <c r="D6" s="144"/>
      <c r="E6" s="777"/>
      <c r="F6" s="777"/>
      <c r="G6" s="147"/>
      <c r="H6" s="150"/>
      <c r="I6" s="150"/>
      <c r="J6" s="135"/>
      <c r="K6" s="135"/>
      <c r="L6" s="135"/>
      <c r="M6" s="135"/>
      <c r="N6" s="205"/>
      <c r="O6" s="135"/>
      <c r="P6" s="204"/>
      <c r="Q6" s="204"/>
      <c r="R6" s="204"/>
      <c r="S6" s="204"/>
    </row>
    <row customHeight="1" ht="25.5" hidden="1"/>
    <row s="1854" customFormat="1" customHeight="1" ht="14.25">
      <c r="A8" s="757"/>
      <c r="B8" s="415"/>
      <c r="C8" s="757"/>
      <c r="D8" s="144"/>
      <c r="E8" s="1922" t="s">
        <v>85</v>
      </c>
      <c r="F8" s="1923"/>
      <c r="G8" s="1924"/>
      <c r="H8" s="1925" t="s">
        <v>86</v>
      </c>
      <c r="I8" s="1925"/>
      <c r="J8" s="135"/>
      <c r="K8" s="135"/>
      <c r="L8" s="135"/>
      <c r="M8" s="135"/>
      <c r="N8" s="205"/>
      <c r="O8" s="135"/>
      <c r="P8" s="204"/>
      <c r="Q8" s="204"/>
      <c r="R8" s="204"/>
      <c r="S8" s="204"/>
    </row>
    <row s="1854" customFormat="1" customHeight="1" ht="20.25">
      <c r="A9" s="757"/>
      <c r="B9" s="415"/>
      <c r="C9" s="757"/>
      <c r="D9" s="144"/>
      <c r="E9" s="775" t="s">
        <v>87</v>
      </c>
      <c r="F9" s="775"/>
      <c r="G9" s="152" t="s">
        <v>88</v>
      </c>
      <c r="H9" s="152" t="s">
        <v>88</v>
      </c>
      <c r="I9" s="152" t="s">
        <v>84</v>
      </c>
      <c r="J9" s="135"/>
      <c r="K9" s="135"/>
      <c r="L9" s="135"/>
      <c r="M9" s="135"/>
      <c r="N9" s="205"/>
      <c r="O9" s="135"/>
      <c r="P9" s="204"/>
      <c r="Q9" s="204"/>
      <c r="R9" s="204"/>
      <c r="S9" s="204"/>
    </row>
    <row customHeight="1" ht="11.25">
      <c r="D10" s="156"/>
      <c r="E10" s="776" t="s">
        <v>89</v>
      </c>
      <c r="F10" s="776"/>
      <c r="G10" s="202" t="s">
        <v>90</v>
      </c>
      <c r="H10" s="202" t="s">
        <v>91</v>
      </c>
      <c r="I10" s="202" t="s">
        <v>92</v>
      </c>
      <c r="J10" s="166"/>
      <c r="K10" s="166"/>
      <c r="L10" s="166"/>
      <c r="M10" s="166"/>
      <c r="N10" s="151"/>
      <c r="O10" s="166"/>
      <c r="P10" s="203"/>
      <c r="Q10" s="203"/>
      <c r="R10" s="203"/>
      <c r="S10" s="203"/>
    </row>
    <row s="1854" customFormat="1" customHeight="1" ht="0.75">
      <c r="A11" s="757"/>
      <c r="B11" s="415"/>
      <c r="C11" s="757"/>
      <c r="D11" s="144"/>
      <c r="E11" s="788"/>
      <c r="F11" s="788"/>
      <c r="G11" s="153"/>
      <c r="H11" s="153"/>
      <c r="I11" s="155"/>
      <c r="J11" s="228" t="s">
        <v>93</v>
      </c>
      <c r="K11" s="135"/>
      <c r="L11" s="135"/>
      <c r="M11" s="135" t="s">
        <v>94</v>
      </c>
      <c r="N11" s="205" t="s">
        <v>95</v>
      </c>
      <c r="O11" s="135" t="s">
        <v>96</v>
      </c>
      <c r="P11" s="204"/>
      <c r="Q11" s="204"/>
      <c r="R11" s="204"/>
      <c r="S11" s="204"/>
    </row>
    <row s="1854" customFormat="1" customHeight="1" ht="14.25">
      <c r="A12" s="1920">
        <v>1</v>
      </c>
      <c r="B12" s="415"/>
      <c r="C12" s="757"/>
      <c r="D12" s="780"/>
      <c r="E12" s="198">
        <f>A12</f>
        <v>1</v>
      </c>
      <c r="F12" s="800" t="s">
        <v>97</v>
      </c>
      <c r="G12" s="538" t="s">
        <v>98</v>
      </c>
      <c r="H12" s="790"/>
      <c r="I12" s="790"/>
      <c r="J12" s="787"/>
      <c r="K12" s="498"/>
      <c r="L12" s="498"/>
      <c r="M12" s="498"/>
      <c r="N12" s="205"/>
      <c r="O12" s="498"/>
      <c r="P12" s="204"/>
      <c r="Q12" s="204"/>
      <c r="R12" s="204"/>
      <c r="S12" s="204"/>
    </row>
    <row s="2412" customFormat="1" customHeight="1" ht="15">
      <c r="A13" s="1920"/>
      <c r="B13" s="415">
        <v>1</v>
      </c>
      <c r="C13" s="415"/>
      <c r="D13" s="798"/>
      <c r="E13" s="778" t="str">
        <f>A12&amp;"."&amp;B13</f>
        <v>1.1</v>
      </c>
      <c r="F13" s="793" t="s">
        <v>99</v>
      </c>
      <c r="G13" s="791" t="s">
        <v>98</v>
      </c>
      <c r="H13" s="791" t="s">
        <v>98</v>
      </c>
      <c r="I13" s="789" t="s">
        <v>100</v>
      </c>
      <c r="J13" s="498">
        <f>MERGEVALUE(G13)</f>
      </c>
      <c r="K13" s="509"/>
      <c r="L13" s="509"/>
      <c r="M13" s="498" t="str">
        <f t="array" ref="M13:M13">IF(ISERROR(MATCH(MID(N13,1,250),MID(note_ter,1,250),0)),"n","y")</f>
        <v>n</v>
      </c>
      <c r="N13" s="509"/>
      <c r="O13" s="498" t="str">
        <f>H13&amp;"("&amp;I13&amp;")"</f>
        <v>городской округ город Кострома(34701000)</v>
      </c>
      <c r="P13" s="415"/>
      <c r="Q13" s="415"/>
      <c r="R13" s="418"/>
      <c r="S13" s="415"/>
      <c r="T13" s="415"/>
      <c r="U13" s="415"/>
      <c r="V13" s="420"/>
      <c r="W13" s="420"/>
      <c r="X13" s="417"/>
      <c r="Y13" s="417"/>
      <c r="Z13" s="417"/>
      <c r="AA13" s="417"/>
      <c r="AB13" s="417"/>
    </row>
    <row s="2412" customFormat="1" customHeight="1" ht="15">
      <c r="A14" s="1920"/>
      <c r="B14" s="415"/>
      <c r="C14" s="410"/>
      <c r="D14" s="799"/>
      <c r="E14" s="419"/>
      <c r="F14" s="157"/>
      <c r="G14" s="413" t="s">
        <v>101</v>
      </c>
      <c r="H14" s="167"/>
      <c r="I14" s="421"/>
      <c r="J14" s="509"/>
      <c r="K14" s="509"/>
      <c r="L14" s="509"/>
      <c r="M14" s="509"/>
      <c r="N14" s="498"/>
      <c r="O14" s="509"/>
      <c r="P14" s="415"/>
      <c r="Q14" s="415"/>
      <c r="R14" s="418"/>
      <c r="S14" s="415"/>
      <c r="T14" s="415"/>
      <c r="U14" s="415"/>
      <c r="V14" s="420"/>
      <c r="W14" s="420"/>
      <c r="X14" s="417"/>
      <c r="Y14" s="417"/>
      <c r="Z14" s="417"/>
      <c r="AA14" s="417"/>
      <c r="AB14" s="417"/>
    </row>
    <row s="1854" customFormat="1" customHeight="1" ht="14.25">
      <c r="A15" s="757"/>
      <c r="B15" s="415"/>
      <c r="C15" s="757"/>
      <c r="D15" s="780"/>
      <c r="E15" s="792"/>
      <c r="F15" s="158"/>
      <c r="G15" s="414" t="s">
        <v>102</v>
      </c>
      <c r="H15" s="158"/>
      <c r="I15" s="159"/>
      <c r="J15" s="228"/>
      <c r="K15" s="135"/>
      <c r="L15" s="135"/>
      <c r="M15" s="135"/>
      <c r="N15" s="205" t="s">
        <v>103</v>
      </c>
      <c r="O15" s="135"/>
      <c r="P15" s="204"/>
      <c r="Q15" s="204"/>
      <c r="R15" s="204"/>
      <c r="S15" s="204"/>
    </row>
    <row s="1854" customFormat="1" customHeight="1" ht="21">
      <c r="A16" s="757"/>
      <c r="B16" s="415"/>
      <c r="C16" s="757"/>
      <c r="D16" s="145"/>
      <c r="E16" s="160"/>
      <c r="F16" s="160"/>
      <c r="G16" s="160"/>
      <c r="H16" s="160"/>
      <c r="I16" s="160"/>
      <c r="J16" s="135"/>
      <c r="K16" s="135"/>
      <c r="L16" s="135"/>
      <c r="M16" s="135"/>
      <c r="N16" s="205"/>
      <c r="O16" s="135"/>
      <c r="P16" s="204"/>
      <c r="Q16" s="204"/>
      <c r="R16" s="204"/>
      <c r="S16" s="204"/>
    </row>
    <row s="1854" customFormat="1" customHeight="1" ht="14.25">
      <c r="A17" s="757"/>
      <c r="B17" s="415"/>
      <c r="C17" s="757"/>
      <c r="D17" s="145"/>
      <c r="E17" s="64"/>
      <c r="F17" s="757"/>
      <c r="G17" s="64"/>
      <c r="H17" s="64"/>
      <c r="I17" s="64"/>
      <c r="J17" s="135"/>
      <c r="K17" s="135"/>
      <c r="L17" s="135"/>
      <c r="M17" s="135"/>
      <c r="N17" s="205"/>
      <c r="O17" s="135"/>
      <c r="P17" s="204"/>
      <c r="Q17" s="204"/>
      <c r="R17" s="204"/>
      <c r="S17" s="204"/>
    </row>
    <row s="1854" customFormat="1" customHeight="1" ht="0.75">
      <c r="A18" s="757"/>
      <c r="B18" s="415"/>
      <c r="C18" s="757"/>
      <c r="D18" s="145"/>
      <c r="E18" s="64"/>
      <c r="F18" s="757"/>
      <c r="G18" s="64"/>
      <c r="H18" s="64"/>
      <c r="I18" s="64"/>
      <c r="J18" s="135"/>
      <c r="K18" s="135"/>
      <c r="L18" s="135"/>
      <c r="M18" s="135"/>
      <c r="N18" s="205"/>
      <c r="O18" s="135"/>
      <c r="P18" s="204"/>
      <c r="Q18" s="204"/>
      <c r="R18" s="204"/>
      <c r="S18" s="204"/>
    </row>
    <row s="1065" customFormat="1" customHeight="1" ht="10.5">
      <c r="B19" s="832"/>
      <c r="D19" s="162"/>
      <c r="J19" s="135"/>
      <c r="K19" s="135"/>
      <c r="L19" s="135"/>
      <c r="M19" s="135"/>
      <c r="N19" s="205"/>
      <c r="O19" s="135"/>
      <c r="P19" s="204"/>
      <c r="Q19" s="204"/>
      <c r="R19" s="204"/>
      <c r="S19" s="204"/>
    </row>
    <row s="1065" customFormat="1" customHeight="1" ht="10.5">
      <c r="B20" s="832"/>
      <c r="D20" s="162"/>
      <c r="J20" s="135"/>
      <c r="K20" s="135"/>
      <c r="L20" s="135"/>
      <c r="M20" s="135"/>
      <c r="N20" s="205"/>
      <c r="O20" s="135"/>
      <c r="P20" s="204"/>
      <c r="Q20" s="204"/>
      <c r="R20" s="204"/>
      <c r="S20" s="204"/>
    </row>
    <row r="24" customHeight="1" ht="14.25">
      <c r="H24" s="0"/>
    </row>
    <row r="28" customHeight="1" ht="14.25">
      <c r="J28" s="64"/>
      <c r="K28" s="64"/>
      <c r="L28" s="6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2ECBA-3D32-A7D6-E125-268F818D8A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441E2-7C89-B4C2-CA6C-5A4FC73406AB}" mc:Ignorable="x14ac xr xr2 xr3">
  <sheetPr>
    <tabColor theme="2" tint="-0.1"/>
  </sheetPr>
  <dimension ref="A1:W29"/>
  <sheetViews>
    <sheetView topLeftCell="K8" showGridLines="0" zoomScale="90" workbookViewId="0">
      <selection activeCell="K8" sqref="K8"/>
    </sheetView>
  </sheetViews>
  <sheetFormatPr defaultColWidth="10.57421875" customHeight="1" defaultRowHeight="15"/>
  <cols>
    <col min="1" max="1" style="1663" width="9.140625" hidden="1" customWidth="1"/>
    <col min="2" max="2" style="1666" width="9.140625" hidden="1" customWidth="1"/>
    <col min="3" max="3" style="680" width="4.7109375" customWidth="1"/>
    <col min="4" max="4" style="1666" width="6.28125" customWidth="1"/>
    <col min="5" max="5" style="1666" width="47.8515625" customWidth="1"/>
    <col min="6" max="6" style="1666" width="9.57421875" customWidth="1"/>
    <col min="7" max="7" style="1666" width="25.7109375" hidden="1" customWidth="1"/>
    <col min="8" max="8" style="1666" width="34.00390625" hidden="1" customWidth="1"/>
    <col min="9" max="9" style="1666" width="25.7109375" customWidth="1"/>
    <col min="10" max="10" style="1666" width="34.00390625" customWidth="1"/>
    <col min="11" max="11" style="1666" width="25.7109375" customWidth="1"/>
    <col min="12" max="12" style="1666" width="34.00390625" customWidth="1"/>
    <col min="13" max="13" style="1389" width="50.8515625" customWidth="1"/>
    <col min="14" max="22" style="1666" width="10.57421875"/>
    <col min="23" max="23" style="672" width="10.57421875"/>
  </cols>
  <sheetData>
    <row s="1389" customFormat="1" customHeight="1" ht="15" hidden="1">
      <c r="C1" s="669"/>
      <c r="G1" s="415">
        <v>4</v>
      </c>
      <c r="I1" s="415">
        <v>4</v>
      </c>
      <c r="K1" s="1389">
        <v>4</v>
      </c>
      <c r="L1" s="1389"/>
      <c r="W1" s="418"/>
    </row>
    <row s="1666" customFormat="1" customHeight="1" ht="15" hidden="1">
      <c r="A2" s="352"/>
      <c r="C2" s="156"/>
      <c r="D2" s="334"/>
      <c r="E2" s="670"/>
      <c r="F2" s="520"/>
      <c r="G2" s="614"/>
      <c r="H2" s="614"/>
      <c r="I2" s="614"/>
      <c r="J2" s="614"/>
      <c r="K2" s="614"/>
      <c r="L2" s="614"/>
      <c r="W2" s="671"/>
    </row>
    <row s="1389" customFormat="1" customHeight="1" ht="15" hidden="1">
      <c r="C3" s="669"/>
      <c r="K3" s="1389"/>
      <c r="L3" s="1389"/>
      <c r="W3" s="418"/>
    </row>
    <row customHeight="1" ht="15">
      <c r="C4" s="156"/>
      <c r="D4" s="507"/>
      <c r="E4" s="507"/>
      <c r="F4" s="507"/>
      <c r="G4" s="507"/>
      <c r="H4" s="507"/>
      <c r="I4" s="507"/>
      <c r="J4" s="507"/>
      <c r="K4" s="1666"/>
      <c r="L4" s="1666"/>
    </row>
    <row customHeight="1" ht="63">
      <c r="C5" s="156"/>
      <c r="D5" s="1978" t="s">
        <v>1613</v>
      </c>
      <c r="E5" s="1979"/>
      <c r="F5" s="1979"/>
      <c r="G5" s="1979"/>
      <c r="H5" s="1979"/>
      <c r="I5" s="1979"/>
      <c r="J5" s="1980"/>
      <c r="K5" s="2151"/>
      <c r="L5" s="2151"/>
    </row>
    <row customHeight="1" ht="15">
      <c r="C6" s="156"/>
      <c r="D6" s="2035" t="str">
        <f>IF(org=0,"Не определено",org)</f>
        <v>ПАО "ТГК-2"</v>
      </c>
      <c r="E6" s="2036"/>
      <c r="F6" s="2036"/>
      <c r="G6" s="2036"/>
      <c r="H6" s="2036"/>
      <c r="I6" s="2036"/>
      <c r="J6" s="2037"/>
      <c r="K6" s="2154"/>
      <c r="L6" s="2154"/>
      <c r="M6" s="535"/>
    </row>
    <row customHeight="1" ht="15">
      <c r="C7" s="156"/>
      <c r="D7" s="751"/>
      <c r="E7" s="507"/>
      <c r="F7" s="507"/>
      <c r="G7" s="535">
        <v>22</v>
      </c>
      <c r="I7" s="535">
        <v>1</v>
      </c>
      <c r="J7" s="751"/>
      <c r="K7" s="1389" t="s">
        <v>18</v>
      </c>
      <c r="L7" s="1666"/>
    </row>
    <row s="1666" customFormat="1" customHeight="1" ht="0.75">
      <c r="A8" s="758"/>
      <c r="C8" s="156"/>
      <c r="D8" s="507"/>
      <c r="E8" s="507"/>
      <c r="F8" s="507"/>
      <c r="G8" s="535"/>
      <c r="H8" s="751"/>
      <c r="I8" s="535" t="s">
        <v>117</v>
      </c>
      <c r="J8" s="751"/>
      <c r="K8" s="1389" t="s">
        <v>122</v>
      </c>
      <c r="L8" s="751"/>
      <c r="M8" s="415"/>
      <c r="W8" s="672"/>
    </row>
    <row customHeight="1" ht="15">
      <c r="C9" s="156"/>
      <c r="D9" s="708"/>
      <c r="E9" s="2290" t="s">
        <v>104</v>
      </c>
      <c r="F9" s="2291"/>
      <c r="G9" s="2288" t="str">
        <f>IF(G8="","",INDEX(DIFFERENTIATION_UNMERGE_VD,MATCH(G8,DIFFERENTIATION_ID_DIFF,0)))</f>
        <v/>
      </c>
      <c r="H9" s="2289"/>
      <c r="I9" s="2288" t="str">
        <f>IF(I8="","",INDEX(DIFFERENTIATION_UNMERGE_VD,MATCH(I8,DIFFERENTIATION_ID_DIFF,0)))</f>
        <v>Холодное водоснабжение. Техническая вода</v>
      </c>
      <c r="J9" s="2289"/>
      <c r="K9" s="2288" t="str">
        <f>IF(K8="","",INDEX(DIFFERENTIATION_UNMERGE_VD,MATCH(K8,DIFFERENTIATION_ID_DIFF,0)))</f>
        <v>Холодное водоснабжение. Техническая вода</v>
      </c>
      <c r="L9" s="2289"/>
      <c r="M9" s="1994" t="s">
        <v>291</v>
      </c>
    </row>
    <row s="1666" customFormat="1" customHeight="1" ht="15">
      <c r="A10" s="758"/>
      <c r="C10" s="156"/>
      <c r="D10" s="708"/>
      <c r="E10" s="2290" t="s">
        <v>415</v>
      </c>
      <c r="F10" s="2291"/>
      <c r="G10" s="2288" t="str">
        <f>IF(G8="","",INDEX(DIFFERENTIATION_UNMERGE_AREA,MATCH(G8,DIFFERENTIATION_ID_DIFF,0)))</f>
        <v/>
      </c>
      <c r="H10" s="2289"/>
      <c r="I10" s="2288" t="str">
        <f>IF(I8="","",INDEX(DIFFERENTIATION_UNMERGE_AREA,MATCH(I8,DIFFERENTIATION_ID_DIFF,0)))</f>
        <v>городской округ город Кострома</v>
      </c>
      <c r="J10" s="2289"/>
      <c r="K10" s="2288" t="str">
        <f>IF(K8="","",INDEX(DIFFERENTIATION_UNMERGE_AREA,MATCH(K8,DIFFERENTIATION_ID_DIFF,0)))</f>
        <v>городской округ город Кострома</v>
      </c>
      <c r="L10" s="2289"/>
      <c r="M10" s="2018"/>
      <c r="W10" s="672"/>
    </row>
    <row s="1666" customFormat="1" customHeight="1" ht="15">
      <c r="A11" s="758"/>
      <c r="C11" s="156"/>
      <c r="D11" s="708"/>
      <c r="E11" s="2290" t="s">
        <v>416</v>
      </c>
      <c r="F11" s="2291"/>
      <c r="G11" s="2288" t="str">
        <f>IF(G8="","",INDEX(DIFFERENTIATION_UNMERGE_SYSTEM,MATCH(G8,DIFFERENTIATION_ID_DIFF,0)))</f>
        <v/>
      </c>
      <c r="H11" s="2289"/>
      <c r="I11" s="2288" t="str">
        <f>IF(I8="","",INDEX(DIFFERENTIATION_UNMERGE_SYSTEM,MATCH(I8,DIFFERENTIATION_ID_DIFF,0)))</f>
        <v>система холодного водоснабжения Костромской ТЭЦ-1</v>
      </c>
      <c r="J11" s="2289"/>
      <c r="K11" s="2288" t="str">
        <f>IF(K8="","",INDEX(DIFFERENTIATION_UNMERGE_SYSTEM,MATCH(K8,DIFFERENTIATION_ID_DIFF,0)))</f>
        <v>система холодного водоснабжения Костромской ТЭЦ-2</v>
      </c>
      <c r="L11" s="2289"/>
      <c r="M11" s="2018"/>
      <c r="W11" s="672"/>
    </row>
    <row s="1666" customFormat="1" customHeight="1" ht="15">
      <c r="A12" s="758"/>
      <c r="C12" s="156"/>
      <c r="D12" s="2292" t="s">
        <v>290</v>
      </c>
      <c r="E12" s="2293"/>
      <c r="F12" s="2293"/>
      <c r="G12" s="886"/>
      <c r="H12" s="886"/>
      <c r="I12" s="886"/>
      <c r="J12" s="886"/>
      <c r="K12" s="2290"/>
      <c r="L12" s="2290"/>
      <c r="M12" s="2018"/>
      <c r="W12" s="672"/>
    </row>
    <row customHeight="1" ht="33.75">
      <c r="C13" s="156"/>
      <c r="D13" s="803" t="s">
        <v>87</v>
      </c>
      <c r="E13" s="805" t="s">
        <v>292</v>
      </c>
      <c r="F13" s="805" t="s">
        <v>1614</v>
      </c>
      <c r="G13" s="806" t="s">
        <v>293</v>
      </c>
      <c r="H13" s="805" t="s">
        <v>382</v>
      </c>
      <c r="I13" s="806" t="s">
        <v>293</v>
      </c>
      <c r="J13" s="805" t="s">
        <v>382</v>
      </c>
      <c r="K13" s="1922" t="s">
        <v>293</v>
      </c>
      <c r="L13" s="2017" t="s">
        <v>382</v>
      </c>
      <c r="M13" s="2053"/>
    </row>
    <row customHeight="1" ht="15" hidden="1">
      <c r="C14" s="156"/>
      <c r="D14" s="591" t="s">
        <v>108</v>
      </c>
      <c r="E14" s="591" t="s">
        <v>109</v>
      </c>
      <c r="F14" s="591" t="s">
        <v>89</v>
      </c>
      <c r="G14" s="656" t="str">
        <f>G1&amp;".1"</f>
        <v>4.1</v>
      </c>
      <c r="H14" s="656"/>
      <c r="I14" s="656" t="str">
        <f>I1&amp;".1"</f>
        <v>4.1</v>
      </c>
      <c r="J14" s="656"/>
      <c r="K14" s="680" t="str">
        <f>K1&amp;".1"</f>
        <v>4.1</v>
      </c>
      <c r="L14" s="680"/>
      <c r="M14" s="270"/>
    </row>
    <row customHeight="1" ht="22.5" hidden="1">
      <c r="A15" s="503"/>
      <c r="C15" s="524"/>
      <c r="D15" s="519">
        <v>1</v>
      </c>
      <c r="E15" s="674" t="s">
        <v>1615</v>
      </c>
      <c r="F15" s="519" t="s">
        <v>1616</v>
      </c>
      <c r="G15" s="675"/>
      <c r="H15" s="675"/>
      <c r="I15" s="675"/>
      <c r="J15" s="675"/>
      <c r="K15" s="675"/>
      <c r="L15" s="675"/>
      <c r="M15" s="270" t="s">
        <v>1617</v>
      </c>
    </row>
    <row customHeight="1" ht="22.5" hidden="1">
      <c r="A16" s="503"/>
      <c r="C16" s="524"/>
      <c r="D16" s="519">
        <v>2</v>
      </c>
      <c r="E16" s="260" t="s">
        <v>1618</v>
      </c>
      <c r="F16" s="519" t="s">
        <v>1619</v>
      </c>
      <c r="G16" s="675"/>
      <c r="H16" s="675"/>
      <c r="I16" s="675"/>
      <c r="J16" s="675"/>
      <c r="K16" s="675"/>
      <c r="L16" s="675"/>
      <c r="M16" s="270" t="s">
        <v>1620</v>
      </c>
    </row>
    <row customHeight="1" ht="123.75" hidden="1">
      <c r="A17" s="503"/>
      <c r="C17" s="524"/>
      <c r="D17" s="519">
        <v>3</v>
      </c>
      <c r="E17" s="260" t="s">
        <v>1621</v>
      </c>
      <c r="F17" s="519" t="s">
        <v>296</v>
      </c>
      <c r="G17" s="675"/>
      <c r="H17" s="675"/>
      <c r="I17" s="675"/>
      <c r="J17" s="675"/>
      <c r="K17" s="675"/>
      <c r="L17" s="675"/>
      <c r="M17" s="270" t="s">
        <v>1622</v>
      </c>
    </row>
    <row customHeight="1" ht="45">
      <c r="A18" s="503"/>
      <c r="C18" s="524"/>
      <c r="D18" s="519">
        <v>4</v>
      </c>
      <c r="E18" s="260" t="s">
        <v>1623</v>
      </c>
      <c r="F18" s="519" t="s">
        <v>296</v>
      </c>
      <c r="G18" s="807" t="s">
        <v>296</v>
      </c>
      <c r="H18" s="808" t="s">
        <v>296</v>
      </c>
      <c r="I18" s="519" t="s">
        <v>296</v>
      </c>
      <c r="J18" s="576" t="s">
        <v>296</v>
      </c>
      <c r="K18" s="2017" t="s">
        <v>296</v>
      </c>
      <c r="L18" s="2015" t="s">
        <v>296</v>
      </c>
      <c r="M18" s="270" t="s">
        <v>1624</v>
      </c>
    </row>
    <row customHeight="1" ht="33.75">
      <c r="A19" s="503"/>
      <c r="C19" s="524"/>
      <c r="D19" s="537" t="s">
        <v>1464</v>
      </c>
      <c r="E19" s="557" t="s">
        <v>1625</v>
      </c>
      <c r="F19" s="519" t="s">
        <v>1626</v>
      </c>
      <c r="G19" s="815"/>
      <c r="H19" s="86"/>
      <c r="I19" s="815"/>
      <c r="J19" s="816"/>
      <c r="K19" s="815"/>
      <c r="L19" s="2061"/>
      <c r="M19" s="676"/>
    </row>
    <row customHeight="1" ht="33.75">
      <c r="A20" s="503"/>
      <c r="C20" s="524"/>
      <c r="D20" s="537" t="s">
        <v>1481</v>
      </c>
      <c r="E20" s="557" t="s">
        <v>1627</v>
      </c>
      <c r="F20" s="519" t="s">
        <v>1628</v>
      </c>
      <c r="G20" s="815"/>
      <c r="H20" s="86"/>
      <c r="I20" s="815"/>
      <c r="J20" s="86"/>
      <c r="K20" s="815"/>
      <c r="L20" s="2061"/>
      <c r="M20" s="676"/>
    </row>
    <row customHeight="1" ht="45">
      <c r="A21" s="503"/>
      <c r="C21" s="524"/>
      <c r="D21" s="537" t="s">
        <v>1629</v>
      </c>
      <c r="E21" s="557" t="s">
        <v>1630</v>
      </c>
      <c r="F21" s="519" t="s">
        <v>1243</v>
      </c>
      <c r="G21" s="677"/>
      <c r="H21" s="86"/>
      <c r="I21" s="677"/>
      <c r="J21" s="86"/>
      <c r="K21" s="677"/>
      <c r="L21" s="2061"/>
      <c r="M21" s="676"/>
    </row>
    <row customHeight="1" ht="67.5" hidden="1">
      <c r="A22" s="503"/>
      <c r="C22" s="524"/>
      <c r="D22" s="519">
        <v>5</v>
      </c>
      <c r="E22" s="260" t="s">
        <v>1631</v>
      </c>
      <c r="F22" s="519" t="s">
        <v>1632</v>
      </c>
      <c r="G22" s="678"/>
      <c r="H22" s="679"/>
      <c r="I22" s="678"/>
      <c r="J22" s="679"/>
      <c r="K22" s="678"/>
      <c r="L22" s="1462"/>
      <c r="M22" s="270" t="s">
        <v>1633</v>
      </c>
    </row>
    <row customHeight="1" ht="33.75" hidden="1">
      <c r="C23" s="449"/>
      <c r="D23" s="519">
        <v>6</v>
      </c>
      <c r="E23" s="260" t="s">
        <v>1634</v>
      </c>
      <c r="F23" s="519" t="s">
        <v>1635</v>
      </c>
      <c r="G23" s="678"/>
      <c r="H23" s="678"/>
      <c r="I23" s="678"/>
      <c r="J23" s="678"/>
      <c r="K23" s="678"/>
      <c r="L23" s="678"/>
      <c r="M23" s="270" t="s">
        <v>1636</v>
      </c>
    </row>
    <row customHeight="1" ht="15">
      <c r="K24" s="1666"/>
      <c r="L24" s="1666"/>
    </row>
    <row customHeight="1" ht="15">
      <c r="K25" s="1666"/>
      <c r="L25" s="1666"/>
    </row>
    <row customHeight="1" ht="15">
      <c r="K26" s="1666"/>
      <c r="L26" s="1666"/>
    </row>
    <row customHeight="1" ht="15">
      <c r="K27" s="1666"/>
      <c r="L27" s="1666"/>
    </row>
    <row customHeight="1" ht="15">
      <c r="K28" s="1666"/>
      <c r="L28" s="1666"/>
    </row>
    <row customHeight="1" ht="15">
      <c r="J29" s="817"/>
      <c r="K29" s="1666"/>
      <c r="L29" s="1666"/>
    </row>
  </sheetData>
  <sheetProtection formatColumns="0" formatRows="0" autoFilter="0" sort="0" insertRows="0" insertColumns="1" deleteRows="0" deleteColumns="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8E81B-CF4B-9CE8-87D1-9B06C765175E}" mc:Ignorable="x14ac xr xr2 xr3">
  <sheetPr>
    <tabColor theme="2" tint="-0.1"/>
  </sheetPr>
  <dimension ref="A1:S22"/>
  <sheetViews>
    <sheetView topLeftCell="I8" showGridLines="0" zoomScale="90" workbookViewId="0">
      <selection activeCell="I8" sqref="I8"/>
    </sheetView>
  </sheetViews>
  <sheetFormatPr defaultColWidth="10.57421875" customHeight="1" defaultRowHeight="15"/>
  <cols>
    <col min="1" max="1" style="1663" width="9.140625" hidden="1" customWidth="1"/>
    <col min="2" max="2" style="1666" width="9.140625" hidden="1" customWidth="1"/>
    <col min="3" max="3" style="680" width="4.7109375" customWidth="1"/>
    <col min="4" max="4" style="1666" width="6.28125" customWidth="1"/>
    <col min="5" max="5" style="1666" width="36.7109375" customWidth="1"/>
    <col min="6" max="6" style="1666" width="9.57421875" customWidth="1"/>
    <col min="7" max="7" style="1666" width="42.421875" hidden="1" customWidth="1"/>
    <col min="8" max="8" style="1666" width="40.7109375" customWidth="1"/>
    <col min="9" max="9" style="1666" width="42.421875" customWidth="1"/>
    <col min="10" max="10" style="1389" width="93.421875" customWidth="1"/>
    <col min="11" max="18" style="1666" width="10.57421875"/>
    <col min="19" max="19" style="672" width="10.57421875"/>
  </cols>
  <sheetData>
    <row s="1389" customFormat="1" customHeight="1" ht="15" hidden="1">
      <c r="C1" s="669"/>
      <c r="H1" s="415">
        <v>4</v>
      </c>
      <c r="I1" s="1389"/>
      <c r="S1" s="418"/>
    </row>
    <row customHeight="1" ht="22.5" hidden="1">
      <c r="D2" s="537"/>
      <c r="E2" s="660"/>
      <c r="F2" s="1791" t="str">
        <f>IF(TEMPLATE_SPHERE="HEAT","Гкал/час","тыс. куб. м/сутки")</f>
        <v>тыс. куб. м/сутки</v>
      </c>
      <c r="G2" s="677"/>
      <c r="H2" s="677"/>
      <c r="I2" s="677"/>
      <c r="J2" s="270"/>
    </row>
    <row s="1389" customFormat="1" customHeight="1" ht="15" hidden="1">
      <c r="C3" s="669"/>
      <c r="I3" s="1389"/>
      <c r="S3" s="418"/>
    </row>
    <row customHeight="1" ht="15">
      <c r="C4" s="156"/>
      <c r="D4" s="507"/>
      <c r="E4" s="507"/>
      <c r="F4" s="507"/>
      <c r="G4" s="507"/>
      <c r="H4" s="507"/>
      <c r="I4" s="1666"/>
    </row>
    <row customHeight="1" ht="47.25">
      <c r="C5" s="156"/>
      <c r="D5" s="2294" t="str">
        <f>TP_NAME_FORM</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94"/>
      <c r="F5" s="2294"/>
      <c r="G5" s="2294"/>
      <c r="H5" s="2294"/>
      <c r="I5" s="2294"/>
      <c r="J5" s="535"/>
    </row>
    <row customHeight="1" ht="15">
      <c r="C6" s="156"/>
      <c r="D6" s="2031" t="str">
        <f>IF(org=0,"Не определено",org)</f>
        <v>ПАО "ТГК-2"</v>
      </c>
      <c r="E6" s="2031"/>
      <c r="F6" s="2031"/>
      <c r="G6" s="2031"/>
      <c r="H6" s="2031"/>
      <c r="I6" s="2164"/>
      <c r="J6" s="535"/>
    </row>
    <row s="1666" customFormat="1" customHeight="1" ht="15">
      <c r="A7" s="758"/>
      <c r="C7" s="156"/>
      <c r="D7" s="673"/>
      <c r="E7" s="673"/>
      <c r="F7" s="673"/>
      <c r="G7" s="673"/>
      <c r="H7" s="751"/>
      <c r="I7" s="2337" t="s">
        <v>18</v>
      </c>
      <c r="J7" s="535"/>
      <c r="S7" s="672"/>
    </row>
    <row customHeight="1" ht="0.75">
      <c r="C8" s="156"/>
      <c r="D8" s="507"/>
      <c r="E8" s="507"/>
      <c r="F8" s="507"/>
      <c r="G8" s="507"/>
      <c r="H8" s="535" t="s">
        <v>117</v>
      </c>
      <c r="I8" s="1666" t="s">
        <v>122</v>
      </c>
    </row>
    <row customHeight="1" ht="15">
      <c r="C9" s="156"/>
      <c r="D9" s="708"/>
      <c r="E9" s="2290" t="s">
        <v>104</v>
      </c>
      <c r="F9" s="2291"/>
      <c r="G9" s="814" t="str">
        <f>IF(G8="","",INDEX(DIFFERENTIATION_UNMERGE_VD,MATCH(G8,DIFFERENTIATION_ID_DIFF,0)))</f>
        <v/>
      </c>
      <c r="H9" s="814" t="str">
        <f>IF(H8="","",INDEX(DIFFERENTIATION_UNMERGE_VD,MATCH(H8,DIFFERENTIATION_ID_DIFF,0)))</f>
        <v>Холодное водоснабжение. Техническая вода</v>
      </c>
      <c r="I9" s="2288" t="str">
        <f>IF(I8="","",INDEX(DIFFERENTIATION_UNMERGE_VD,MATCH(I8,DIFFERENTIATION_ID_DIFF,0)))</f>
        <v>Холодное водоснабжение. Техническая вода</v>
      </c>
      <c r="J9" s="1948" t="s">
        <v>291</v>
      </c>
    </row>
    <row s="1666" customFormat="1" customHeight="1" ht="15">
      <c r="A10" s="758"/>
      <c r="C10" s="156"/>
      <c r="D10" s="708"/>
      <c r="E10" s="2290" t="s">
        <v>415</v>
      </c>
      <c r="F10" s="2291"/>
      <c r="G10" s="814" t="str">
        <f>IF(G8="","",INDEX(DIFFERENTIATION_UNMERGE_AREA,MATCH(G8,DIFFERENTIATION_ID_DIFF,0)))</f>
        <v/>
      </c>
      <c r="H10" s="814" t="str">
        <f>IF(H8="","",INDEX(DIFFERENTIATION_UNMERGE_AREA,MATCH(H8,DIFFERENTIATION_ID_DIFF,0)))</f>
        <v>городской округ город Кострома</v>
      </c>
      <c r="I10" s="2288" t="str">
        <f>IF(I8="","",INDEX(DIFFERENTIATION_UNMERGE_AREA,MATCH(I8,DIFFERENTIATION_ID_DIFF,0)))</f>
        <v>городской округ город Кострома</v>
      </c>
      <c r="J10" s="1948"/>
      <c r="S10" s="672"/>
    </row>
    <row s="1666" customFormat="1" customHeight="1" ht="15">
      <c r="A11" s="758"/>
      <c r="C11" s="156"/>
      <c r="D11" s="708"/>
      <c r="E11" s="2290" t="s">
        <v>416</v>
      </c>
      <c r="F11" s="2291"/>
      <c r="G11" s="814" t="str">
        <f>IF(G8="","",INDEX(DIFFERENTIATION_UNMERGE_SYSTEM,MATCH(G8,DIFFERENTIATION_ID_DIFF,0)))</f>
        <v/>
      </c>
      <c r="H11" s="814" t="str">
        <f>IF(H8="","",INDEX(DIFFERENTIATION_UNMERGE_SYSTEM,MATCH(H8,DIFFERENTIATION_ID_DIFF,0)))</f>
        <v>система холодного водоснабжения Костромской ТЭЦ-1</v>
      </c>
      <c r="I11" s="2288" t="str">
        <f>IF(I8="","",INDEX(DIFFERENTIATION_UNMERGE_SYSTEM,MATCH(I8,DIFFERENTIATION_ID_DIFF,0)))</f>
        <v>система холодного водоснабжения Костромской ТЭЦ-2</v>
      </c>
      <c r="J11" s="1948"/>
      <c r="S11" s="672"/>
    </row>
    <row s="1666" customFormat="1" customHeight="1" ht="15">
      <c r="A12" s="758"/>
      <c r="C12" s="156"/>
      <c r="D12" s="2292" t="s">
        <v>290</v>
      </c>
      <c r="E12" s="2293"/>
      <c r="F12" s="2293"/>
      <c r="G12" s="886"/>
      <c r="H12" s="886"/>
      <c r="I12" s="2290"/>
      <c r="J12" s="1948"/>
      <c r="S12" s="672"/>
    </row>
    <row customHeight="1" ht="33.75">
      <c r="C13" s="156"/>
      <c r="D13" s="760" t="s">
        <v>87</v>
      </c>
      <c r="E13" s="759" t="s">
        <v>292</v>
      </c>
      <c r="F13" s="759" t="s">
        <v>1614</v>
      </c>
      <c r="G13" s="806" t="s">
        <v>293</v>
      </c>
      <c r="H13" s="753" t="s">
        <v>293</v>
      </c>
      <c r="I13" s="1922" t="s">
        <v>293</v>
      </c>
      <c r="J13" s="1948"/>
    </row>
    <row customHeight="1" ht="15" hidden="1">
      <c r="C14" s="156"/>
      <c r="D14" s="591" t="s">
        <v>108</v>
      </c>
      <c r="E14" s="591" t="s">
        <v>109</v>
      </c>
      <c r="F14" s="591" t="s">
        <v>89</v>
      </c>
      <c r="G14" s="656" t="str">
        <f>G1&amp;".1"</f>
        <v>.1</v>
      </c>
      <c r="H14" s="656" t="str">
        <f>H1&amp;".1"</f>
        <v>4.1</v>
      </c>
      <c r="I14" s="680" t="str">
        <f>I1&amp;".1"</f>
        <v>.1</v>
      </c>
      <c r="J14" s="270"/>
    </row>
    <row customHeight="1" ht="15">
      <c r="A15" s="503"/>
      <c r="C15" s="524"/>
      <c r="D15" s="519">
        <v>1</v>
      </c>
      <c r="E15" s="674" t="str">
        <f>TP_P_A</f>
        <v>Количество поданных заявлений </v>
      </c>
      <c r="F15" s="519" t="s">
        <v>1637</v>
      </c>
      <c r="G15" s="682"/>
      <c r="H15" s="682"/>
      <c r="I15" s="682"/>
      <c r="J15" s="18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503"/>
      <c r="C16" s="524"/>
      <c r="D16" s="519">
        <v>2</v>
      </c>
      <c r="E16" s="260" t="str">
        <f>TP_P_B</f>
        <v>Количество исполненных заявлений </v>
      </c>
      <c r="F16" s="519" t="s">
        <v>1637</v>
      </c>
      <c r="G16" s="682"/>
      <c r="H16" s="682"/>
      <c r="I16" s="682"/>
      <c r="J16" s="18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33.75">
      <c r="A17" s="503"/>
      <c r="C17" s="524"/>
      <c r="D17" s="519">
        <v>3</v>
      </c>
      <c r="E17" s="260" t="str">
        <f>TP_P_V</f>
        <v>Количество заявлений о заключении договоров о подключении (технологическом присоединении)</v>
      </c>
      <c r="F17" s="519" t="s">
        <v>1637</v>
      </c>
      <c r="G17" s="682"/>
      <c r="H17" s="682"/>
      <c r="I17" s="682"/>
      <c r="J17" s="187"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22.5">
      <c r="A18" s="503"/>
      <c r="C18" s="524"/>
      <c r="D18" s="519">
        <v>4</v>
      </c>
      <c r="E18" s="26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19" t="s">
        <v>296</v>
      </c>
      <c r="G18" s="683"/>
      <c r="H18" s="683"/>
      <c r="I18" s="2307"/>
      <c r="J18" s="83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22.5">
      <c r="A19" s="503"/>
      <c r="C19" s="524"/>
      <c r="D19" s="519">
        <v>5</v>
      </c>
      <c r="E19" s="26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19" t="str">
        <f>IF(TEMPLATE_SPHERE="HEAT","Гкал/час","тыс. куб. м/сутки")</f>
        <v>тыс. куб. м/сутки</v>
      </c>
      <c r="G19" s="684">
        <f>SUM(G20:G22)</f>
        <v>0</v>
      </c>
      <c r="H19" s="684">
        <f>SUM(H20:H22)</f>
        <v>0</v>
      </c>
      <c r="I19" s="684">
        <f>SUM(I20:I22)</f>
        <v>0</v>
      </c>
      <c r="J19" s="187"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507" t="s">
        <v>1638</v>
      </c>
      <c r="E20" s="685"/>
      <c r="F20" s="507"/>
      <c r="G20" s="507"/>
      <c r="H20" s="507"/>
      <c r="I20" s="1666"/>
      <c r="J20" s="1793"/>
    </row>
    <row customHeight="1" ht="27.75">
      <c r="C21" s="449"/>
      <c r="D21" s="537" t="s">
        <v>305</v>
      </c>
      <c r="E21" s="667"/>
      <c r="F21" s="1791" t="str">
        <f>IF(TEMPLATE_SPHERE="HEAT","Гкал/час","тыс. куб. м/сутки")</f>
        <v>тыс. куб. м/сутки</v>
      </c>
      <c r="G21" s="677"/>
      <c r="H21" s="677"/>
      <c r="I21" s="677"/>
      <c r="J21" s="198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503"/>
      <c r="C22" s="503"/>
      <c r="D22" s="335"/>
      <c r="E22" s="578" t="s">
        <v>1639</v>
      </c>
      <c r="F22" s="570"/>
      <c r="G22" s="570"/>
      <c r="H22" s="570"/>
      <c r="I22" s="2425"/>
      <c r="J22" s="1990"/>
      <c r="S22" s="503"/>
    </row>
  </sheetData>
  <sheetProtection formatColumns="0" formatRows="0" autoFilter="0" sort="0" insertRows="0" insertColumns="1" deleteRows="0" deleteColumns="0"/>
  <mergeCells count="8">
    <mergeCell ref="J21:J22"/>
    <mergeCell ref="J9:J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неотрицательных чисел!" sqref="G21:I21 G2:I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DB8A8-1A8D-D19B-DC49-0DC7E724294A}" mc:Ignorable="x14ac xr xr2 xr3">
  <sheetPr>
    <tabColor rgb="FFDDD9C4"/>
  </sheetPr>
  <dimension ref="A1:W39"/>
  <sheetViews>
    <sheetView topLeftCell="K25" showGridLines="0" zoomScale="90" workbookViewId="0">
      <selection activeCell="K25" sqref="K25"/>
    </sheetView>
  </sheetViews>
  <sheetFormatPr defaultColWidth="10.57421875" customHeight="1" defaultRowHeight="15"/>
  <cols>
    <col min="1" max="1" style="1663" width="9.140625" hidden="1" customWidth="1"/>
    <col min="2" max="2" style="1666" width="9.140625" hidden="1" customWidth="1"/>
    <col min="3" max="3" style="680" width="4.7109375" customWidth="1"/>
    <col min="4" max="4" style="1666" width="6.28125" customWidth="1"/>
    <col min="5" max="5" style="1666" width="36.7109375" customWidth="1"/>
    <col min="6" max="6" style="1666" width="9.57421875" customWidth="1"/>
    <col min="7" max="7" style="1666" width="25.7109375" hidden="1" customWidth="1"/>
    <col min="8" max="8" style="1666" width="33.7109375" hidden="1" customWidth="1"/>
    <col min="9" max="9" style="1666" width="25.7109375" customWidth="1"/>
    <col min="10" max="10" style="1666" width="33.7109375" customWidth="1"/>
    <col min="11" max="11" style="1666" width="25.7109375" customWidth="1"/>
    <col min="12" max="12" style="1666" width="33.7109375" customWidth="1"/>
    <col min="13" max="13" style="1389" width="93.421875" customWidth="1"/>
    <col min="14" max="22" style="1666" width="10.57421875"/>
    <col min="23" max="23" style="672" width="10.57421875"/>
  </cols>
  <sheetData>
    <row s="1389" customFormat="1" customHeight="1" ht="15" hidden="1">
      <c r="C1" s="669"/>
      <c r="G1" s="415">
        <v>4</v>
      </c>
      <c r="I1" s="415">
        <v>4</v>
      </c>
      <c r="K1" s="1389">
        <v>4</v>
      </c>
      <c r="L1" s="1389"/>
      <c r="W1" s="418"/>
    </row>
    <row s="1389" customFormat="1" customHeight="1" ht="15" hidden="1">
      <c r="C2" s="669"/>
      <c r="K2" s="1389"/>
      <c r="L2" s="1389"/>
      <c r="W2" s="418"/>
    </row>
    <row customHeight="1" ht="22.5" hidden="1">
      <c r="A3" s="503"/>
      <c r="B3" s="2295"/>
      <c r="C3" s="2296"/>
      <c r="D3" s="686" t="str">
        <f>B3&amp;".1"</f>
        <v>.1</v>
      </c>
      <c r="E3" s="687" t="s">
        <v>1640</v>
      </c>
      <c r="F3" s="688" t="s">
        <v>296</v>
      </c>
      <c r="G3" s="683"/>
      <c r="H3" s="399"/>
      <c r="I3" s="683"/>
      <c r="J3" s="399"/>
      <c r="K3" s="2307"/>
      <c r="L3" s="816"/>
      <c r="M3" s="270" t="s">
        <v>1641</v>
      </c>
    </row>
    <row customHeight="1" ht="15" hidden="1">
      <c r="A4" s="503"/>
      <c r="B4" s="2295"/>
      <c r="C4" s="2296"/>
      <c r="D4" s="686" t="str">
        <f>B3&amp;".2"</f>
        <v>.2</v>
      </c>
      <c r="E4" s="687" t="s">
        <v>1642</v>
      </c>
      <c r="F4" s="688" t="s">
        <v>296</v>
      </c>
      <c r="G4" s="1768" t="s">
        <v>18</v>
      </c>
      <c r="H4" s="399"/>
      <c r="I4" s="1768" t="s">
        <v>18</v>
      </c>
      <c r="J4" s="399"/>
      <c r="K4" s="1768" t="s">
        <v>18</v>
      </c>
      <c r="L4" s="816"/>
      <c r="M4" s="270" t="s">
        <v>1643</v>
      </c>
    </row>
    <row s="1389" customFormat="1" customHeight="1" ht="15" hidden="1">
      <c r="C5" s="669"/>
      <c r="K5" s="1389"/>
      <c r="L5" s="1389"/>
      <c r="W5" s="418"/>
    </row>
    <row customHeight="1" ht="22.5" hidden="1">
      <c r="A6" s="503"/>
      <c r="B6" s="2295"/>
      <c r="C6" s="2296"/>
      <c r="D6" s="686" t="str">
        <f>B6&amp;".1"</f>
        <v>.1</v>
      </c>
      <c r="E6" s="687" t="s">
        <v>1644</v>
      </c>
      <c r="F6" s="688" t="s">
        <v>296</v>
      </c>
      <c r="G6" s="683"/>
      <c r="H6" s="399"/>
      <c r="I6" s="683"/>
      <c r="J6" s="399"/>
      <c r="K6" s="2307"/>
      <c r="L6" s="816"/>
      <c r="M6" s="270" t="s">
        <v>1645</v>
      </c>
    </row>
    <row customHeight="1" ht="15" hidden="1">
      <c r="A7" s="503"/>
      <c r="B7" s="2295"/>
      <c r="C7" s="2296"/>
      <c r="D7" s="686" t="str">
        <f>B6&amp;".2"</f>
        <v>.2</v>
      </c>
      <c r="E7" s="687" t="s">
        <v>1642</v>
      </c>
      <c r="F7" s="688" t="s">
        <v>296</v>
      </c>
      <c r="G7" s="1768" t="s">
        <v>18</v>
      </c>
      <c r="H7" s="399"/>
      <c r="I7" s="1768" t="s">
        <v>18</v>
      </c>
      <c r="J7" s="399"/>
      <c r="K7" s="1768" t="s">
        <v>18</v>
      </c>
      <c r="L7" s="816"/>
      <c r="M7" s="270" t="s">
        <v>1643</v>
      </c>
    </row>
    <row s="1389" customFormat="1" customHeight="1" ht="15" hidden="1">
      <c r="C8" s="669"/>
      <c r="K8" s="1389"/>
      <c r="L8" s="1389"/>
      <c r="W8" s="418"/>
    </row>
    <row customHeight="1" ht="22.5" hidden="1">
      <c r="A9" s="503"/>
      <c r="B9" s="2295"/>
      <c r="C9" s="2296"/>
      <c r="D9" s="686" t="str">
        <f>B9&amp;".1"</f>
        <v>.1</v>
      </c>
      <c r="E9" s="687" t="s">
        <v>1646</v>
      </c>
      <c r="F9" s="688" t="s">
        <v>296</v>
      </c>
      <c r="G9" s="694" t="s">
        <v>18</v>
      </c>
      <c r="H9" s="399" t="s">
        <v>18</v>
      </c>
      <c r="I9" s="694" t="s">
        <v>18</v>
      </c>
      <c r="J9" s="399" t="s">
        <v>18</v>
      </c>
      <c r="K9" s="859" t="s">
        <v>18</v>
      </c>
      <c r="L9" s="816" t="s">
        <v>18</v>
      </c>
      <c r="M9" s="270"/>
    </row>
    <row customHeight="1" ht="15" hidden="1">
      <c r="A10" s="503"/>
      <c r="B10" s="2295"/>
      <c r="C10" s="2296"/>
      <c r="D10" s="686" t="str">
        <f>B9&amp;".2"</f>
        <v>.2</v>
      </c>
      <c r="E10" s="687" t="s">
        <v>1647</v>
      </c>
      <c r="F10" s="688" t="s">
        <v>296</v>
      </c>
      <c r="G10" s="1762" t="s">
        <v>18</v>
      </c>
      <c r="H10" s="399" t="s">
        <v>18</v>
      </c>
      <c r="I10" s="1762" t="s">
        <v>18</v>
      </c>
      <c r="J10" s="399" t="s">
        <v>18</v>
      </c>
      <c r="K10" s="1762" t="s">
        <v>18</v>
      </c>
      <c r="L10" s="816" t="s">
        <v>18</v>
      </c>
      <c r="M10" s="270" t="s">
        <v>1648</v>
      </c>
    </row>
    <row customHeight="1" ht="15" hidden="1">
      <c r="A11" s="503"/>
      <c r="B11" s="2295"/>
      <c r="C11" s="2296"/>
      <c r="D11" s="686" t="str">
        <f>B9&amp;".3"</f>
        <v>.3</v>
      </c>
      <c r="E11" s="687" t="s">
        <v>1649</v>
      </c>
      <c r="F11" s="688" t="s">
        <v>296</v>
      </c>
      <c r="G11" s="1762" t="s">
        <v>18</v>
      </c>
      <c r="H11" s="399" t="s">
        <v>18</v>
      </c>
      <c r="I11" s="1762" t="s">
        <v>18</v>
      </c>
      <c r="J11" s="399" t="s">
        <v>18</v>
      </c>
      <c r="K11" s="1762" t="s">
        <v>18</v>
      </c>
      <c r="L11" s="816" t="s">
        <v>18</v>
      </c>
      <c r="M11" s="270" t="s">
        <v>1650</v>
      </c>
    </row>
    <row s="1389" customFormat="1" customHeight="1" ht="15" hidden="1">
      <c r="C12" s="669"/>
      <c r="K12" s="1389"/>
      <c r="L12" s="1389"/>
      <c r="W12" s="418"/>
    </row>
    <row customHeight="1" ht="33.75" hidden="1">
      <c r="A13" s="503"/>
      <c r="B13" s="2295"/>
      <c r="C13" s="2296"/>
      <c r="D13" s="686" t="str">
        <f>B13&amp;".1"</f>
        <v>.1</v>
      </c>
      <c r="E13" s="687" t="s">
        <v>1651</v>
      </c>
      <c r="F13" s="688" t="s">
        <v>296</v>
      </c>
      <c r="G13" s="694" t="s">
        <v>18</v>
      </c>
      <c r="H13" s="399" t="s">
        <v>18</v>
      </c>
      <c r="I13" s="694" t="s">
        <v>18</v>
      </c>
      <c r="J13" s="399" t="s">
        <v>18</v>
      </c>
      <c r="K13" s="859" t="s">
        <v>18</v>
      </c>
      <c r="L13" s="816" t="s">
        <v>18</v>
      </c>
      <c r="M13" s="270" t="s">
        <v>1652</v>
      </c>
    </row>
    <row customHeight="1" ht="15" hidden="1">
      <c r="B14" s="2295"/>
      <c r="C14" s="2296"/>
      <c r="D14" s="686" t="str">
        <f>B13&amp;".2"</f>
        <v>.2</v>
      </c>
      <c r="E14" s="687" t="s">
        <v>1653</v>
      </c>
      <c r="F14" s="688" t="s">
        <v>296</v>
      </c>
      <c r="G14" s="1762" t="s">
        <v>18</v>
      </c>
      <c r="H14" s="399" t="s">
        <v>18</v>
      </c>
      <c r="I14" s="1762" t="s">
        <v>18</v>
      </c>
      <c r="J14" s="399" t="s">
        <v>18</v>
      </c>
      <c r="K14" s="1762" t="s">
        <v>18</v>
      </c>
      <c r="L14" s="816" t="s">
        <v>18</v>
      </c>
      <c r="M14" s="270" t="s">
        <v>1654</v>
      </c>
    </row>
    <row s="1389" customFormat="1" customHeight="1" ht="15" hidden="1">
      <c r="C15" s="669"/>
      <c r="K15" s="1389"/>
      <c r="L15" s="1389"/>
      <c r="W15" s="418"/>
    </row>
    <row s="1389" customFormat="1" customHeight="1" ht="15" hidden="1">
      <c r="C16" s="669"/>
      <c r="K16" s="1389"/>
      <c r="L16" s="1389"/>
      <c r="W16" s="418"/>
    </row>
    <row s="1389" customFormat="1" customHeight="1" ht="15" hidden="1">
      <c r="C17" s="669"/>
      <c r="K17" s="1389"/>
      <c r="L17" s="1389"/>
      <c r="W17" s="418"/>
    </row>
    <row s="1389" customFormat="1" customHeight="1" ht="15" hidden="1">
      <c r="C18" s="669"/>
      <c r="K18" s="1389"/>
      <c r="L18" s="1389"/>
      <c r="W18" s="418"/>
    </row>
    <row s="1389" customFormat="1" customHeight="1" ht="15" hidden="1">
      <c r="C19" s="669"/>
      <c r="K19" s="1389"/>
      <c r="L19" s="1389"/>
      <c r="W19" s="418"/>
    </row>
    <row s="1389" customFormat="1" customHeight="1" ht="15" hidden="1">
      <c r="C20" s="669"/>
      <c r="K20" s="1389"/>
      <c r="L20" s="1389"/>
      <c r="W20" s="418"/>
    </row>
    <row customHeight="1" ht="15">
      <c r="C21" s="156"/>
      <c r="D21" s="507"/>
      <c r="E21" s="507"/>
      <c r="F21" s="507"/>
      <c r="G21" s="507"/>
      <c r="H21" s="507"/>
      <c r="I21" s="507"/>
      <c r="J21" s="507"/>
      <c r="K21" s="1666"/>
      <c r="L21" s="1666"/>
    </row>
    <row customHeight="1" ht="27.75">
      <c r="C22" s="156"/>
      <c r="D22" s="2294" t="s">
        <v>1655</v>
      </c>
      <c r="E22" s="2294"/>
      <c r="F22" s="2294"/>
      <c r="G22" s="2294"/>
      <c r="H22" s="2294"/>
      <c r="I22" s="2294"/>
      <c r="J22" s="673"/>
      <c r="K22" s="2294"/>
      <c r="L22" s="2294"/>
      <c r="M22" s="535"/>
    </row>
    <row customHeight="1" ht="15">
      <c r="C23" s="156"/>
      <c r="D23" s="2031" t="str">
        <f>IF(org=0,"Не определено",org)</f>
        <v>ПАО "ТГК-2"</v>
      </c>
      <c r="E23" s="2031"/>
      <c r="F23" s="2031"/>
      <c r="G23" s="2031"/>
      <c r="H23" s="2031"/>
      <c r="I23" s="2031"/>
      <c r="J23" s="673"/>
      <c r="K23" s="2164"/>
      <c r="L23" s="2164"/>
      <c r="M23" s="535"/>
    </row>
    <row customHeight="1" ht="15">
      <c r="C24" s="156"/>
      <c r="D24" s="507"/>
      <c r="E24" s="507"/>
      <c r="F24" s="507"/>
      <c r="G24" s="535">
        <v>22</v>
      </c>
      <c r="H24" s="751"/>
      <c r="I24" s="535">
        <v>22</v>
      </c>
      <c r="J24" s="751"/>
      <c r="K24" s="1389" t="s">
        <v>18</v>
      </c>
      <c r="L24" s="751"/>
    </row>
    <row s="1666" customFormat="1" customHeight="1" ht="0.75">
      <c r="A25" s="758"/>
      <c r="C25" s="156"/>
      <c r="D25" s="507"/>
      <c r="E25" s="507"/>
      <c r="F25" s="507"/>
      <c r="G25" s="535"/>
      <c r="H25" s="751"/>
      <c r="I25" s="535" t="s">
        <v>117</v>
      </c>
      <c r="J25" s="751"/>
      <c r="K25" s="1389" t="s">
        <v>122</v>
      </c>
      <c r="L25" s="751"/>
      <c r="M25" s="415"/>
      <c r="W25" s="672"/>
    </row>
    <row customHeight="1" ht="15">
      <c r="C26" s="156"/>
      <c r="D26" s="708"/>
      <c r="E26" s="2290" t="s">
        <v>104</v>
      </c>
      <c r="F26" s="2291"/>
      <c r="G26" s="2288" t="str">
        <f>IF(G25="","",INDEX(DIFFERENTIATION_UNMERGE_VD,MATCH(G25,DIFFERENTIATION_ID_DIFF,0)))</f>
        <v/>
      </c>
      <c r="H26" s="2289"/>
      <c r="I26" s="2288" t="str">
        <f>IF(I25="","",INDEX(DIFFERENTIATION_UNMERGE_VD,MATCH(I25,DIFFERENTIATION_ID_DIFF,0)))</f>
        <v>Холодное водоснабжение. Техническая вода</v>
      </c>
      <c r="J26" s="2289"/>
      <c r="K26" s="2288" t="str">
        <f>IF(K25="","",INDEX(DIFFERENTIATION_UNMERGE_VD,MATCH(K25,DIFFERENTIATION_ID_DIFF,0)))</f>
        <v>Холодное водоснабжение. Техническая вода</v>
      </c>
      <c r="L26" s="2289"/>
      <c r="M26" s="1994" t="s">
        <v>291</v>
      </c>
    </row>
    <row s="1666" customFormat="1" customHeight="1" ht="15">
      <c r="A27" s="758"/>
      <c r="C27" s="156"/>
      <c r="D27" s="708"/>
      <c r="E27" s="2290" t="s">
        <v>415</v>
      </c>
      <c r="F27" s="2291"/>
      <c r="G27" s="2288" t="str">
        <f>IF(G25="","",INDEX(DIFFERENTIATION_UNMERGE_AREA,MATCH(G25,DIFFERENTIATION_ID_DIFF,0)))</f>
        <v/>
      </c>
      <c r="H27" s="2289"/>
      <c r="I27" s="2288" t="str">
        <f>IF(I25="","",INDEX(DIFFERENTIATION_UNMERGE_AREA,MATCH(I25,DIFFERENTIATION_ID_DIFF,0)))</f>
        <v>городской округ город Кострома</v>
      </c>
      <c r="J27" s="2289"/>
      <c r="K27" s="2288" t="str">
        <f>IF(K25="","",INDEX(DIFFERENTIATION_UNMERGE_AREA,MATCH(K25,DIFFERENTIATION_ID_DIFF,0)))</f>
        <v>городской округ город Кострома</v>
      </c>
      <c r="L27" s="2289"/>
      <c r="M27" s="2014"/>
      <c r="W27" s="672"/>
    </row>
    <row s="1666" customFormat="1" customHeight="1" ht="15">
      <c r="A28" s="758"/>
      <c r="C28" s="156"/>
      <c r="D28" s="708"/>
      <c r="E28" s="2290" t="s">
        <v>416</v>
      </c>
      <c r="F28" s="2291"/>
      <c r="G28" s="2288" t="str">
        <f>IF(G25="","",INDEX(DIFFERENTIATION_UNMERGE_SYSTEM,MATCH(G25,DIFFERENTIATION_ID_DIFF,0)))</f>
        <v/>
      </c>
      <c r="H28" s="2289"/>
      <c r="I28" s="2288" t="str">
        <f>IF(I25="","",INDEX(DIFFERENTIATION_UNMERGE_SYSTEM,MATCH(I25,DIFFERENTIATION_ID_DIFF,0)))</f>
        <v>система холодного водоснабжения Костромской ТЭЦ-1</v>
      </c>
      <c r="J28" s="2289"/>
      <c r="K28" s="2288" t="str">
        <f>IF(K25="","",INDEX(DIFFERENTIATION_UNMERGE_SYSTEM,MATCH(K25,DIFFERENTIATION_ID_DIFF,0)))</f>
        <v>система холодного водоснабжения Костромской ТЭЦ-2</v>
      </c>
      <c r="L28" s="2289"/>
      <c r="M28" s="2014"/>
      <c r="W28" s="672"/>
    </row>
    <row s="1666" customFormat="1" customHeight="1" ht="15">
      <c r="A29" s="758"/>
      <c r="C29" s="156"/>
      <c r="D29" s="2292" t="s">
        <v>290</v>
      </c>
      <c r="E29" s="2293"/>
      <c r="F29" s="2293"/>
      <c r="G29" s="886"/>
      <c r="H29" s="886"/>
      <c r="I29" s="886"/>
      <c r="J29" s="887"/>
      <c r="K29" s="2290"/>
      <c r="L29" s="2290"/>
      <c r="M29" s="2014"/>
      <c r="W29" s="672"/>
    </row>
    <row customHeight="1" ht="33.75">
      <c r="C30" s="156"/>
      <c r="D30" s="760" t="s">
        <v>87</v>
      </c>
      <c r="E30" s="759" t="s">
        <v>292</v>
      </c>
      <c r="F30" s="759" t="s">
        <v>1614</v>
      </c>
      <c r="G30" s="806" t="s">
        <v>293</v>
      </c>
      <c r="H30" s="805" t="s">
        <v>382</v>
      </c>
      <c r="I30" s="681" t="s">
        <v>293</v>
      </c>
      <c r="J30" s="463" t="s">
        <v>382</v>
      </c>
      <c r="K30" s="1922" t="s">
        <v>293</v>
      </c>
      <c r="L30" s="2017" t="s">
        <v>382</v>
      </c>
      <c r="M30" s="2020"/>
    </row>
    <row customHeight="1" ht="15" hidden="1">
      <c r="C31" s="156"/>
      <c r="D31" s="591"/>
      <c r="E31" s="591"/>
      <c r="F31" s="591"/>
      <c r="G31" s="656"/>
      <c r="H31" s="656"/>
      <c r="I31" s="656"/>
      <c r="J31" s="656"/>
      <c r="K31" s="680"/>
      <c r="L31" s="680"/>
      <c r="M31" s="270"/>
    </row>
    <row customHeight="1" ht="22.5">
      <c r="A32" s="503"/>
      <c r="B32" s="503" t="s">
        <v>1656</v>
      </c>
      <c r="C32" s="524"/>
      <c r="D32" s="689">
        <v>1</v>
      </c>
      <c r="E32" s="690" t="s">
        <v>1657</v>
      </c>
      <c r="F32" s="688" t="s">
        <v>296</v>
      </c>
      <c r="G32" s="811" t="s">
        <v>296</v>
      </c>
      <c r="H32" s="811" t="s">
        <v>296</v>
      </c>
      <c r="I32" s="688" t="s">
        <v>296</v>
      </c>
      <c r="J32" s="688" t="s">
        <v>296</v>
      </c>
      <c r="K32" s="1924" t="s">
        <v>296</v>
      </c>
      <c r="L32" s="1924" t="s">
        <v>296</v>
      </c>
      <c r="M32" s="270"/>
    </row>
    <row customHeight="1" ht="11.25">
      <c r="A33" s="503"/>
      <c r="C33" s="503"/>
      <c r="D33" s="335"/>
      <c r="E33" s="578" t="s">
        <v>1571</v>
      </c>
      <c r="F33" s="570"/>
      <c r="G33" s="570"/>
      <c r="H33" s="570"/>
      <c r="I33" s="570"/>
      <c r="J33" s="570"/>
      <c r="K33" s="2426"/>
      <c r="L33" s="2427"/>
      <c r="M33" s="571"/>
      <c r="W33" s="503"/>
    </row>
    <row customHeight="1" ht="22.5">
      <c r="A34" s="503"/>
      <c r="B34" s="579" t="s">
        <v>450</v>
      </c>
      <c r="C34" s="524"/>
      <c r="D34" s="689">
        <v>2</v>
      </c>
      <c r="E34" s="690" t="s">
        <v>1658</v>
      </c>
      <c r="F34" s="818" t="s">
        <v>296</v>
      </c>
      <c r="G34" s="818" t="s">
        <v>296</v>
      </c>
      <c r="H34" s="818" t="s">
        <v>296</v>
      </c>
      <c r="I34" s="688"/>
      <c r="J34" s="688"/>
      <c r="K34" s="1924" t="s">
        <v>296</v>
      </c>
      <c r="L34" s="1924" t="s">
        <v>296</v>
      </c>
      <c r="M34" s="270"/>
    </row>
    <row customHeight="1" ht="11.25">
      <c r="A35" s="503"/>
      <c r="C35" s="503"/>
      <c r="D35" s="335"/>
      <c r="E35" s="578" t="s">
        <v>1659</v>
      </c>
      <c r="F35" s="570"/>
      <c r="G35" s="691"/>
      <c r="H35" s="570"/>
      <c r="I35" s="691"/>
      <c r="J35" s="570"/>
      <c r="K35" s="2428"/>
      <c r="L35" s="2429"/>
      <c r="M35" s="571"/>
      <c r="W35" s="503"/>
    </row>
    <row customHeight="1" ht="67.5">
      <c r="A36" s="503"/>
      <c r="B36" s="503" t="s">
        <v>1660</v>
      </c>
      <c r="C36" s="524"/>
      <c r="D36" s="689">
        <v>3</v>
      </c>
      <c r="E36" s="690" t="s">
        <v>1661</v>
      </c>
      <c r="F36" s="692" t="s">
        <v>296</v>
      </c>
      <c r="G36" s="812" t="s">
        <v>1662</v>
      </c>
      <c r="H36" s="811" t="s">
        <v>296</v>
      </c>
      <c r="I36" s="522" t="s">
        <v>1662</v>
      </c>
      <c r="J36" s="688" t="s">
        <v>296</v>
      </c>
      <c r="K36" s="1928" t="s">
        <v>1662</v>
      </c>
      <c r="L36" s="1924" t="s">
        <v>296</v>
      </c>
      <c r="M36" s="270" t="s">
        <v>1663</v>
      </c>
    </row>
    <row customHeight="1" ht="11.25">
      <c r="A37" s="503"/>
      <c r="C37" s="503"/>
      <c r="D37" s="335"/>
      <c r="E37" s="578" t="s">
        <v>1664</v>
      </c>
      <c r="F37" s="570"/>
      <c r="G37" s="691"/>
      <c r="H37" s="691"/>
      <c r="I37" s="691"/>
      <c r="J37" s="691"/>
      <c r="K37" s="2430"/>
      <c r="L37" s="2431"/>
      <c r="M37" s="571"/>
      <c r="W37" s="503"/>
    </row>
    <row customHeight="1" ht="67.5">
      <c r="A38" s="503"/>
      <c r="B38" s="503" t="s">
        <v>1665</v>
      </c>
      <c r="C38" s="524"/>
      <c r="D38" s="689">
        <v>4</v>
      </c>
      <c r="E38" s="690" t="s">
        <v>1666</v>
      </c>
      <c r="F38" s="692" t="s">
        <v>296</v>
      </c>
      <c r="G38" s="812" t="s">
        <v>1662</v>
      </c>
      <c r="H38" s="813" t="s">
        <v>296</v>
      </c>
      <c r="I38" s="522" t="s">
        <v>1662</v>
      </c>
      <c r="J38" s="519" t="s">
        <v>296</v>
      </c>
      <c r="K38" s="1928" t="s">
        <v>1662</v>
      </c>
      <c r="L38" s="2017" t="s">
        <v>296</v>
      </c>
      <c r="M38" s="676" t="s">
        <v>1667</v>
      </c>
    </row>
    <row customHeight="1" ht="11.25">
      <c r="A39" s="503"/>
      <c r="C39" s="503"/>
      <c r="D39" s="335"/>
      <c r="E39" s="578" t="s">
        <v>1668</v>
      </c>
      <c r="F39" s="570"/>
      <c r="G39" s="570"/>
      <c r="H39" s="693"/>
      <c r="I39" s="570"/>
      <c r="J39" s="693"/>
      <c r="K39" s="2432"/>
      <c r="L39" s="2433"/>
      <c r="M39" s="571"/>
      <c r="W39" s="503"/>
    </row>
  </sheetData>
  <sheetProtection formatColumns="0" formatRows="0" autoFilter="0" sort="0" insertRows="0" insertColumns="1" deleteRows="0" deleteColumns="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J3:J4 L3:L4 J6:J7 L6:L7 H3:H4 H6:H7 H9:H11 H13:H14 J9:J11 L9:L11">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19383-37A4-2CAC-45B8-06213101C367}" mc:Ignorable="x14ac xr xr2 xr3">
  <sheetPr>
    <tabColor theme="6" tint="0.4"/>
  </sheetPr>
  <dimension ref="A1:AF216"/>
  <sheetViews>
    <sheetView topLeftCell="C7" showGridLines="0" zoomScale="86" workbookViewId="0">
      <selection activeCell="A1" sqref="A1"/>
    </sheetView>
  </sheetViews>
  <sheetFormatPr defaultColWidth="10.57421875" customHeight="1" defaultRowHeight="14.25"/>
  <cols>
    <col min="1" max="1" style="1813" width="25.140625" hidden="1" customWidth="1"/>
    <col min="2" max="2" style="1718" width="9.140625" hidden="1" customWidth="1"/>
    <col min="3" max="3" style="332" width="3.7109375" customWidth="1"/>
    <col min="4" max="4" style="1666" width="6.28125" customWidth="1"/>
    <col min="5" max="5" style="1666" width="46.7109375" customWidth="1"/>
    <col min="6" max="6" style="1666" width="35.7109375" customWidth="1"/>
    <col min="7" max="7" style="1666" width="3.7109375" customWidth="1"/>
    <col min="8" max="9" style="1666" width="11.7109375" customWidth="1"/>
    <col min="10" max="11" style="1666" width="35.7109375" customWidth="1"/>
    <col min="12" max="12" style="1666" width="84.8515625" customWidth="1"/>
    <col min="13" max="13" style="1666" width="10.57421875"/>
    <col min="14" max="15" style="1655" width="10.57421875"/>
    <col min="16" max="32" style="1666" width="10.57421875"/>
  </cols>
  <sheetData>
    <row s="1666" customFormat="1" customHeight="1" ht="14.25" hidden="1">
      <c r="A1" s="1813"/>
      <c r="B1" s="361"/>
      <c r="C1" s="332"/>
      <c r="N1" s="1655"/>
      <c r="O1" s="1655"/>
      <c r="S1" s="829"/>
      <c r="AF1" s="234"/>
    </row>
    <row s="1666" customFormat="1" customHeight="1" ht="56.25" hidden="1">
      <c r="A2" s="1814"/>
      <c r="B2" s="361"/>
      <c r="C2" s="332"/>
      <c r="D2" s="1032"/>
      <c r="E2" s="1032"/>
      <c r="F2" s="1032"/>
      <c r="G2" s="1804"/>
      <c r="H2" s="1769"/>
      <c r="I2" s="1807"/>
      <c r="J2" s="1806"/>
      <c r="K2" s="1804" t="s">
        <v>296</v>
      </c>
      <c r="M2" s="322"/>
      <c r="N2" s="1655"/>
      <c r="O2" s="1655"/>
    </row>
    <row customHeight="1" ht="14.25" hidden="1">
      <c r="S3" s="394"/>
      <c r="AF3" s="234"/>
    </row>
    <row s="1666" customFormat="1" customHeight="1" ht="56.25" hidden="1">
      <c r="A4" s="1814"/>
      <c r="B4" s="361"/>
      <c r="C4" s="332"/>
      <c r="D4" s="1032"/>
      <c r="E4" s="1032"/>
      <c r="F4" s="1032"/>
      <c r="G4" s="1803"/>
      <c r="H4" s="1769"/>
      <c r="I4" s="1807"/>
      <c r="J4" s="1812"/>
      <c r="K4" s="1804" t="s">
        <v>296</v>
      </c>
      <c r="M4" s="322"/>
      <c r="N4" s="1655"/>
      <c r="O4" s="1655"/>
    </row>
    <row customHeight="1" ht="14.25" hidden="1"/>
    <row customHeight="1" ht="14.25" hidden="1"/>
    <row customHeight="1" ht="6">
      <c r="C7" s="368"/>
      <c r="D7" s="353"/>
      <c r="E7" s="353"/>
      <c r="F7" s="353"/>
      <c r="G7" s="353"/>
      <c r="H7" s="353"/>
      <c r="I7" s="353"/>
      <c r="J7" s="353"/>
      <c r="K7" s="66"/>
      <c r="L7" s="66"/>
    </row>
    <row customHeight="1" ht="26.25">
      <c r="C8" s="368"/>
      <c r="D8" s="22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 ")&amp;" в сфере "&amp;TEMPLATE_SPHERE_RUS&amp;" на очередной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E8" s="2275"/>
      <c r="F8" s="2275"/>
      <c r="G8" s="2275"/>
      <c r="H8" s="2275"/>
      <c r="I8" s="2275"/>
      <c r="J8" s="2275"/>
      <c r="K8" s="2275"/>
      <c r="L8" s="199"/>
    </row>
    <row customHeight="1" ht="6">
      <c r="C9" s="368"/>
      <c r="D9" s="353"/>
      <c r="E9" s="386"/>
      <c r="F9" s="386"/>
      <c r="G9" s="386"/>
      <c r="H9" s="386"/>
      <c r="I9" s="386"/>
      <c r="J9" s="386"/>
      <c r="K9" s="308"/>
      <c r="L9" s="172"/>
    </row>
    <row customHeight="1" ht="18.75">
      <c r="C10" s="368"/>
      <c r="D10" s="353"/>
      <c r="E10" s="286" t="str">
        <f>"Дата подачи заявления об "&amp;IF(TITLE_DATE_PR_CHANGE="","утверждении","изменении")&amp;" тарифов"</f>
        <v>Дата подачи заявления об утверждении тарифов</v>
      </c>
      <c r="F10" s="2166" t="str">
        <f>IF(TITLE_DATE_CHANGE_PERIOD="",IF(TITLE_DATE_PR="","",TITLE_DATE_PR),TITLE_DATE_CHANGE_PERIOD)</f>
        <v/>
      </c>
      <c r="G10" s="2166"/>
      <c r="H10" s="2166"/>
      <c r="I10" s="2166"/>
      <c r="J10" s="2166"/>
      <c r="K10" s="2166"/>
      <c r="L10" s="395"/>
      <c r="M10" s="314"/>
    </row>
    <row customHeight="1" ht="18.75">
      <c r="C11" s="368"/>
      <c r="D11" s="353"/>
      <c r="E11" s="286" t="str">
        <f>"Номер подачи заявления об "&amp;IF(TITLE_DATE_PR_CHANGE="","утверждении","изменении")&amp;" тарифов"</f>
        <v>Номер подачи заявления об утверждении тарифов</v>
      </c>
      <c r="F11" s="2166" t="str">
        <f>IF(TITLE_NUMBER_PR_CHANGE="",IF(TITLE_NUMBER_PR="","",TITLE_NUMBER_PR),TITLE_NUMBER_PR_CHANGE)</f>
        <v/>
      </c>
      <c r="G11" s="2166"/>
      <c r="H11" s="2166"/>
      <c r="I11" s="2166"/>
      <c r="J11" s="2166"/>
      <c r="K11" s="2166"/>
      <c r="L11" s="395"/>
      <c r="M11" s="314"/>
    </row>
    <row customHeight="1" ht="14.25">
      <c r="C12" s="368"/>
      <c r="D12" s="353"/>
      <c r="E12" s="386"/>
      <c r="F12" s="386"/>
      <c r="G12" s="386"/>
      <c r="H12" s="386"/>
      <c r="I12" s="386"/>
      <c r="J12" s="386"/>
      <c r="K12" s="751"/>
      <c r="L12" s="172"/>
    </row>
    <row customHeight="1" ht="21">
      <c r="C13" s="368"/>
      <c r="D13" s="2029" t="s">
        <v>290</v>
      </c>
      <c r="E13" s="2029"/>
      <c r="F13" s="2029"/>
      <c r="G13" s="2029"/>
      <c r="H13" s="2029"/>
      <c r="I13" s="2029"/>
      <c r="J13" s="2029"/>
      <c r="K13" s="2029"/>
      <c r="L13" s="2156" t="s">
        <v>291</v>
      </c>
    </row>
    <row customHeight="1" ht="21">
      <c r="C14" s="368"/>
      <c r="D14" s="2192" t="s">
        <v>87</v>
      </c>
      <c r="E14" s="2045" t="s">
        <v>126</v>
      </c>
      <c r="F14" s="2045" t="s">
        <v>127</v>
      </c>
      <c r="G14" s="2299" t="s">
        <v>1669</v>
      </c>
      <c r="H14" s="2300"/>
      <c r="I14" s="2301"/>
      <c r="J14" s="2045" t="s">
        <v>293</v>
      </c>
      <c r="K14" s="2045" t="s">
        <v>382</v>
      </c>
      <c r="L14" s="2156"/>
    </row>
    <row customHeight="1" ht="21">
      <c r="C15" s="368"/>
      <c r="D15" s="2194"/>
      <c r="E15" s="2046"/>
      <c r="F15" s="2046"/>
      <c r="G15" s="2039" t="s">
        <v>1549</v>
      </c>
      <c r="H15" s="2041"/>
      <c r="I15" s="88" t="s">
        <v>1670</v>
      </c>
      <c r="J15" s="2046"/>
      <c r="K15" s="2046"/>
      <c r="L15" s="2156"/>
    </row>
    <row customHeight="1" ht="12" hidden="1">
      <c r="C16" s="368"/>
      <c r="D16" s="262"/>
      <c r="E16" s="262"/>
      <c r="F16" s="262"/>
      <c r="G16" s="2302"/>
      <c r="H16" s="2302"/>
      <c r="I16" s="262"/>
      <c r="J16" s="262"/>
      <c r="K16" s="262"/>
      <c r="L16" s="262"/>
    </row>
    <row customHeight="1" ht="18.75">
      <c r="A17" s="1814"/>
      <c r="C17" s="368"/>
      <c r="D17" s="1802" t="s">
        <v>108</v>
      </c>
      <c r="E17" s="2285" t="str">
        <f>"Предлагаемый метод регулирования"&amp;IF(TEMPLATE_SPHERE="HEAT"," в сфере "&amp;TEMPLATE_SPHERE_RUS,"")</f>
        <v>Предлагаемый метод регулирования</v>
      </c>
      <c r="F17" s="2286"/>
      <c r="G17" s="2286"/>
      <c r="H17" s="2286"/>
      <c r="I17" s="2286"/>
      <c r="J17" s="2298" t="s">
        <v>296</v>
      </c>
      <c r="K17" s="2286"/>
      <c r="L17" s="1801"/>
      <c r="M17" s="322"/>
    </row>
    <row customHeight="1" ht="56.25" hidden="1">
      <c r="A18" s="1814" t="s">
        <v>159</v>
      </c>
      <c r="C18" s="2297"/>
      <c r="D18" s="2023"/>
      <c r="E18" s="2127" t="str">
        <f>INDEX(PT_DIFFERENTIATION_VTAR,MATCH(A18,PT_DIFFERENTIATION_VTAR_ID,0))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8" s="2127" t="str">
        <f>INDEX(PT_DIFFERENTIATION_VDET,MATCH(A18,PT_DIFFERENTIATION_VTAR_ID,0))</f>
        <v/>
      </c>
      <c r="G18" s="177"/>
      <c r="H18" s="1769"/>
      <c r="I18" s="1807"/>
      <c r="J18" s="1806"/>
      <c r="K18" s="1799" t="s">
        <v>296</v>
      </c>
      <c r="L18"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M18" s="322"/>
    </row>
    <row customHeight="1" ht="18.75" hidden="1">
      <c r="A19" s="1814"/>
      <c r="B19" s="361" t="s">
        <v>1671</v>
      </c>
      <c r="C19" s="2297"/>
      <c r="D19" s="2023"/>
      <c r="E19" s="2127"/>
      <c r="F19" s="2127"/>
      <c r="G19" s="397"/>
      <c r="H19" s="392" t="s">
        <v>1570</v>
      </c>
      <c r="I19" s="337"/>
      <c r="J19" s="398"/>
      <c r="K19" s="180"/>
      <c r="L19" s="1989"/>
      <c r="M19" s="322"/>
    </row>
    <row s="1666" customFormat="1" customHeight="1" ht="26.25" hidden="1">
      <c r="A20" s="1814" t="s">
        <v>165</v>
      </c>
      <c r="B20" s="361"/>
      <c r="C20" s="2297"/>
      <c r="D20" s="2023"/>
      <c r="E20" s="2127" t="str">
        <f>INDEX(PT_DIFFERENTIATION_VTAR,MATCH(A20,PT_DIFFERENTIATION_VTAR_ID,0))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20" s="2127" t="str">
        <f>INDEX(PT_DIFFERENTIATION_VDET,MATCH(A20,PT_DIFFERENTIATION_VTAR_ID,0))</f>
        <v/>
      </c>
      <c r="G20" s="1800"/>
      <c r="H20" s="1769"/>
      <c r="I20" s="1807"/>
      <c r="J20" s="1806"/>
      <c r="K20" s="1799" t="s">
        <v>296</v>
      </c>
      <c r="L20" s="1989"/>
      <c r="M20" s="322"/>
      <c r="N20" s="1655"/>
      <c r="O20" s="1655"/>
    </row>
    <row s="1666" customFormat="1" customHeight="1" ht="18.75" hidden="1">
      <c r="A21" s="1814"/>
      <c r="B21" s="361" t="s">
        <v>1671</v>
      </c>
      <c r="C21" s="2297"/>
      <c r="D21" s="2023"/>
      <c r="E21" s="2127"/>
      <c r="F21" s="2127"/>
      <c r="G21" s="397"/>
      <c r="H21" s="392" t="s">
        <v>1570</v>
      </c>
      <c r="I21" s="337"/>
      <c r="J21" s="398"/>
      <c r="K21" s="180"/>
      <c r="L21" s="1989"/>
      <c r="M21" s="322"/>
      <c r="N21" s="1655"/>
      <c r="O21" s="1655"/>
    </row>
    <row s="1666" customFormat="1" customHeight="1" ht="18.75" hidden="1">
      <c r="A22" s="1814" t="s">
        <v>171</v>
      </c>
      <c r="B22" s="361"/>
      <c r="C22" s="2297"/>
      <c r="D22" s="2023"/>
      <c r="E22" s="2127" t="str">
        <f>INDEX(PT_DIFFERENTIATION_VTAR,MATCH(A22,PT_DIFFERENTIATION_VTAR_ID,0))</f>
        <v>Тарифы на теплоноситель, поставляемый теплоснабжающими организациями потребителям, другим теплоснабжающим организациям</v>
      </c>
      <c r="F22" s="2127" t="str">
        <f>INDEX(PT_DIFFERENTIATION_VDET,MATCH(A22,PT_DIFFERENTIATION_VTAR_ID,0))</f>
        <v/>
      </c>
      <c r="G22" s="1800"/>
      <c r="H22" s="1769"/>
      <c r="I22" s="1807"/>
      <c r="J22" s="1806"/>
      <c r="K22" s="1799" t="s">
        <v>296</v>
      </c>
      <c r="L22" s="1989"/>
      <c r="M22" s="322"/>
      <c r="N22" s="1655"/>
      <c r="O22" s="1655"/>
    </row>
    <row s="1666" customFormat="1" customHeight="1" ht="18.75" hidden="1">
      <c r="A23" s="1814"/>
      <c r="B23" s="361" t="s">
        <v>1671</v>
      </c>
      <c r="C23" s="2297"/>
      <c r="D23" s="2023"/>
      <c r="E23" s="2127"/>
      <c r="F23" s="2127"/>
      <c r="G23" s="397"/>
      <c r="H23" s="392" t="s">
        <v>1570</v>
      </c>
      <c r="I23" s="337"/>
      <c r="J23" s="398"/>
      <c r="K23" s="180"/>
      <c r="L23" s="1989"/>
      <c r="M23" s="322"/>
      <c r="N23" s="1655"/>
      <c r="O23" s="1655"/>
    </row>
    <row s="1666" customFormat="1" customHeight="1" ht="41.25" hidden="1">
      <c r="A24" s="1814" t="s">
        <v>177</v>
      </c>
      <c r="B24" s="361"/>
      <c r="C24" s="2297"/>
      <c r="D24" s="2023"/>
      <c r="E24" s="2127" t="str">
        <f>INDEX(PT_DIFFERENTIATION_VTAR,MATCH(A24,PT_DIFFERENTIATION_VTAR_ID,0))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24" s="2127" t="str">
        <f>INDEX(PT_DIFFERENTIATION_VDET,MATCH(A24,PT_DIFFERENTIATION_VTAR_ID,0))</f>
        <v/>
      </c>
      <c r="G24" s="1800"/>
      <c r="H24" s="1769"/>
      <c r="I24" s="1807"/>
      <c r="J24" s="1806"/>
      <c r="K24" s="1799" t="s">
        <v>296</v>
      </c>
      <c r="L24" s="1989"/>
      <c r="M24" s="322"/>
      <c r="N24" s="1655"/>
      <c r="O24" s="1655"/>
    </row>
    <row s="1666" customFormat="1" customHeight="1" ht="18.75" hidden="1">
      <c r="A25" s="1814"/>
      <c r="B25" s="361" t="s">
        <v>1671</v>
      </c>
      <c r="C25" s="2297"/>
      <c r="D25" s="2023"/>
      <c r="E25" s="2127"/>
      <c r="F25" s="2127"/>
      <c r="G25" s="397"/>
      <c r="H25" s="392" t="s">
        <v>1570</v>
      </c>
      <c r="I25" s="337"/>
      <c r="J25" s="398"/>
      <c r="K25" s="180"/>
      <c r="L25" s="1989"/>
      <c r="M25" s="322"/>
      <c r="N25" s="1655"/>
      <c r="O25" s="1655"/>
    </row>
    <row s="1666" customFormat="1" customHeight="1" ht="18.75" hidden="1">
      <c r="A26" s="1814" t="s">
        <v>183</v>
      </c>
      <c r="B26" s="361"/>
      <c r="C26" s="2297"/>
      <c r="D26" s="2023"/>
      <c r="E26" s="2127" t="str">
        <f>INDEX(PT_DIFFERENTIATION_VTAR,MATCH(A26,PT_DIFFERENTIATION_VTAR_ID,0))</f>
        <v>Тарифы на услуги по передаче тепловой энергии</v>
      </c>
      <c r="F26" s="2127" t="str">
        <f>INDEX(PT_DIFFERENTIATION_VDET,MATCH(A26,PT_DIFFERENTIATION_VTAR_ID,0))</f>
        <v/>
      </c>
      <c r="G26" s="1800"/>
      <c r="H26" s="1769"/>
      <c r="I26" s="1807"/>
      <c r="J26" s="1806"/>
      <c r="K26" s="1799" t="s">
        <v>296</v>
      </c>
      <c r="L26" s="1989"/>
      <c r="M26" s="322"/>
      <c r="N26" s="1655"/>
      <c r="O26" s="1655"/>
    </row>
    <row s="1666" customFormat="1" customHeight="1" ht="18.75" hidden="1">
      <c r="A27" s="1814"/>
      <c r="B27" s="361" t="s">
        <v>1671</v>
      </c>
      <c r="C27" s="2297"/>
      <c r="D27" s="2023"/>
      <c r="E27" s="2127"/>
      <c r="F27" s="2127"/>
      <c r="G27" s="397"/>
      <c r="H27" s="392" t="s">
        <v>1570</v>
      </c>
      <c r="I27" s="337"/>
      <c r="J27" s="398"/>
      <c r="K27" s="180"/>
      <c r="L27" s="1989"/>
      <c r="M27" s="322"/>
      <c r="N27" s="1655"/>
      <c r="O27" s="1655"/>
    </row>
    <row s="1666" customFormat="1" customHeight="1" ht="18.75" hidden="1">
      <c r="A28" s="1814" t="s">
        <v>189</v>
      </c>
      <c r="B28" s="361"/>
      <c r="C28" s="2297"/>
      <c r="D28" s="2023"/>
      <c r="E28" s="2127" t="str">
        <f>INDEX(PT_DIFFERENTIATION_VTAR,MATCH(A28,PT_DIFFERENTIATION_VTAR_ID,0))</f>
        <v>Тарифы на услуги по передаче теплоносителя</v>
      </c>
      <c r="F28" s="2127" t="str">
        <f>INDEX(PT_DIFFERENTIATION_VDET,MATCH(A28,PT_DIFFERENTIATION_VTAR_ID,0))</f>
        <v/>
      </c>
      <c r="G28" s="1800"/>
      <c r="H28" s="1769"/>
      <c r="I28" s="1807"/>
      <c r="J28" s="1806"/>
      <c r="K28" s="1799" t="s">
        <v>296</v>
      </c>
      <c r="L28" s="1989"/>
      <c r="M28" s="322"/>
      <c r="N28" s="1655"/>
      <c r="O28" s="1655"/>
    </row>
    <row s="1666" customFormat="1" customHeight="1" ht="18.75" hidden="1">
      <c r="A29" s="1814"/>
      <c r="B29" s="361" t="s">
        <v>1671</v>
      </c>
      <c r="C29" s="2297"/>
      <c r="D29" s="2023"/>
      <c r="E29" s="2127"/>
      <c r="F29" s="2127"/>
      <c r="G29" s="397"/>
      <c r="H29" s="392" t="s">
        <v>1570</v>
      </c>
      <c r="I29" s="337"/>
      <c r="J29" s="398"/>
      <c r="K29" s="180"/>
      <c r="L29" s="1989"/>
      <c r="M29" s="322"/>
      <c r="N29" s="1655"/>
      <c r="O29" s="1655"/>
    </row>
    <row s="1666" customFormat="1" customHeight="1" ht="18.75" hidden="1">
      <c r="A30" s="1814" t="s">
        <v>195</v>
      </c>
      <c r="B30" s="361"/>
      <c r="C30" s="2297"/>
      <c r="D30" s="2023"/>
      <c r="E30" s="2127" t="str">
        <f>INDEX(PT_DIFFERENTIATION_VTAR,MATCH(A30,PT_DIFFERENTIATION_VTAR_ID,0))</f>
        <v>Плата за услуги по поддержанию резервной тепловой мощности при отсутствии потребления тепловой энергии</v>
      </c>
      <c r="F30" s="2127" t="str">
        <f>INDEX(PT_DIFFERENTIATION_VDET,MATCH(A30,PT_DIFFERENTIATION_VTAR_ID,0))</f>
        <v/>
      </c>
      <c r="G30" s="1800"/>
      <c r="H30" s="1769"/>
      <c r="I30" s="1807"/>
      <c r="J30" s="1806"/>
      <c r="K30" s="1799" t="s">
        <v>296</v>
      </c>
      <c r="L30" s="1989"/>
      <c r="M30" s="322"/>
      <c r="N30" s="1655"/>
      <c r="O30" s="1655"/>
    </row>
    <row s="1666" customFormat="1" customHeight="1" ht="18.75" hidden="1">
      <c r="A31" s="1814"/>
      <c r="B31" s="361" t="s">
        <v>1671</v>
      </c>
      <c r="C31" s="2297"/>
      <c r="D31" s="2023"/>
      <c r="E31" s="2127"/>
      <c r="F31" s="2127"/>
      <c r="G31" s="397"/>
      <c r="H31" s="392" t="s">
        <v>1570</v>
      </c>
      <c r="I31" s="337"/>
      <c r="J31" s="398"/>
      <c r="K31" s="180"/>
      <c r="L31" s="1989"/>
      <c r="M31" s="322"/>
      <c r="N31" s="1655"/>
      <c r="O31" s="1655"/>
    </row>
    <row s="1666" customFormat="1" customHeight="1" ht="18.75" hidden="1">
      <c r="A32" s="1814" t="s">
        <v>201</v>
      </c>
      <c r="B32" s="361"/>
      <c r="C32" s="2297"/>
      <c r="D32" s="2023"/>
      <c r="E32" s="2127" t="str">
        <f>INDEX(PT_DIFFERENTIATION_VTAR,MATCH(A32,PT_DIFFERENTIATION_VTAR_ID,0))</f>
        <v>Плата за подключение (технологическое присоединение) к системе теплоснабжения</v>
      </c>
      <c r="F32" s="2127" t="str">
        <f>INDEX(PT_DIFFERENTIATION_VDET,MATCH(A32,PT_DIFFERENTIATION_VTAR_ID,0))</f>
        <v/>
      </c>
      <c r="G32" s="1800"/>
      <c r="H32" s="1769"/>
      <c r="I32" s="1807"/>
      <c r="J32" s="1806"/>
      <c r="K32" s="1799" t="s">
        <v>296</v>
      </c>
      <c r="L32" s="1989"/>
      <c r="M32" s="322"/>
      <c r="N32" s="1655"/>
      <c r="O32" s="1655"/>
    </row>
    <row s="1666" customFormat="1" customHeight="1" ht="18.75" hidden="1">
      <c r="A33" s="1814"/>
      <c r="B33" s="361" t="s">
        <v>1671</v>
      </c>
      <c r="C33" s="2297"/>
      <c r="D33" s="2023"/>
      <c r="E33" s="2127"/>
      <c r="F33" s="2127"/>
      <c r="G33" s="397"/>
      <c r="H33" s="392" t="s">
        <v>1570</v>
      </c>
      <c r="I33" s="337"/>
      <c r="J33" s="398"/>
      <c r="K33" s="180"/>
      <c r="L33" s="1989"/>
      <c r="M33" s="322"/>
      <c r="N33" s="1655"/>
      <c r="O33" s="1655"/>
    </row>
    <row s="1666" customFormat="1" customHeight="1" ht="18.75" hidden="1">
      <c r="A34" s="1814" t="s">
        <v>215</v>
      </c>
      <c r="B34" s="361"/>
      <c r="C34" s="2297"/>
      <c r="D34" s="2023"/>
      <c r="E34" s="2127" t="str">
        <f>INDEX(PT_DIFFERENTIATION_VTAR,MATCH(A34,PT_DIFFERENTIATION_VTAR_ID,0))</f>
        <v>Тариф на питьевую воду (питьевое водоснабжение)</v>
      </c>
      <c r="F34" s="2127" t="str">
        <f>INDEX(PT_DIFFERENTIATION_VDET,MATCH(A34,PT_DIFFERENTIATION_VTAR_ID,0))</f>
        <v/>
      </c>
      <c r="G34" s="1800"/>
      <c r="H34" s="1769"/>
      <c r="I34" s="1807"/>
      <c r="J34" s="1806"/>
      <c r="K34" s="1799" t="s">
        <v>296</v>
      </c>
      <c r="L34" s="1989"/>
      <c r="M34" s="322"/>
      <c r="N34" s="1655"/>
      <c r="O34" s="1655"/>
    </row>
    <row s="1666" customFormat="1" customHeight="1" ht="18.75" hidden="1">
      <c r="A35" s="1814"/>
      <c r="B35" s="361" t="s">
        <v>1671</v>
      </c>
      <c r="C35" s="2297"/>
      <c r="D35" s="2023"/>
      <c r="E35" s="2127"/>
      <c r="F35" s="2127"/>
      <c r="G35" s="397"/>
      <c r="H35" s="392" t="s">
        <v>1570</v>
      </c>
      <c r="I35" s="337"/>
      <c r="J35" s="398"/>
      <c r="K35" s="180"/>
      <c r="L35" s="1989"/>
      <c r="M35" s="322"/>
      <c r="N35" s="1655"/>
      <c r="O35" s="1655"/>
    </row>
    <row s="1666" customFormat="1" customHeight="1" ht="18.75" hidden="1">
      <c r="A36" s="1814" t="s">
        <v>220</v>
      </c>
      <c r="B36" s="361"/>
      <c r="C36" s="2297"/>
      <c r="D36" s="2023"/>
      <c r="E36" s="2127" t="str">
        <f>INDEX(PT_DIFFERENTIATION_VTAR,MATCH(A36,PT_DIFFERENTIATION_VTAR_ID,0))</f>
        <v>Тариф на техническую воду</v>
      </c>
      <c r="F36" s="2127" t="str">
        <f>INDEX(PT_DIFFERENTIATION_VDET,MATCH(A36,PT_DIFFERENTIATION_VTAR_ID,0))</f>
        <v/>
      </c>
      <c r="G36" s="1800"/>
      <c r="H36" s="1769"/>
      <c r="I36" s="1807"/>
      <c r="J36" s="1806"/>
      <c r="K36" s="1799" t="s">
        <v>296</v>
      </c>
      <c r="L36" s="1989"/>
      <c r="M36" s="322"/>
      <c r="N36" s="1655"/>
      <c r="O36" s="1655"/>
    </row>
    <row s="1666" customFormat="1" customHeight="1" ht="18.75" hidden="1">
      <c r="A37" s="1814"/>
      <c r="B37" s="361" t="s">
        <v>1671</v>
      </c>
      <c r="C37" s="2297"/>
      <c r="D37" s="2023"/>
      <c r="E37" s="2127"/>
      <c r="F37" s="2127"/>
      <c r="G37" s="397"/>
      <c r="H37" s="392" t="s">
        <v>1570</v>
      </c>
      <c r="I37" s="337"/>
      <c r="J37" s="398"/>
      <c r="K37" s="180"/>
      <c r="L37" s="1989"/>
      <c r="M37" s="322"/>
      <c r="N37" s="1655"/>
      <c r="O37" s="1655"/>
    </row>
    <row s="1666" customFormat="1" customHeight="1" ht="18.75" hidden="1">
      <c r="A38" s="1814" t="s">
        <v>225</v>
      </c>
      <c r="B38" s="361"/>
      <c r="C38" s="2297"/>
      <c r="D38" s="2023"/>
      <c r="E38" s="2127" t="str">
        <f>INDEX(PT_DIFFERENTIATION_VTAR,MATCH(A38,PT_DIFFERENTIATION_VTAR_ID,0))</f>
        <v>Тариф на транспортировку воды</v>
      </c>
      <c r="F38" s="2127" t="str">
        <f>INDEX(PT_DIFFERENTIATION_VDET,MATCH(A38,PT_DIFFERENTIATION_VTAR_ID,0))</f>
        <v/>
      </c>
      <c r="G38" s="1800"/>
      <c r="H38" s="1769"/>
      <c r="I38" s="1807"/>
      <c r="J38" s="1806"/>
      <c r="K38" s="1799" t="s">
        <v>296</v>
      </c>
      <c r="L38" s="1989"/>
      <c r="M38" s="322"/>
      <c r="N38" s="1655"/>
      <c r="O38" s="1655"/>
    </row>
    <row s="1666" customFormat="1" customHeight="1" ht="18.75" hidden="1">
      <c r="A39" s="1814"/>
      <c r="B39" s="361" t="s">
        <v>1671</v>
      </c>
      <c r="C39" s="2297"/>
      <c r="D39" s="2023"/>
      <c r="E39" s="2127"/>
      <c r="F39" s="2127"/>
      <c r="G39" s="397"/>
      <c r="H39" s="392" t="s">
        <v>1570</v>
      </c>
      <c r="I39" s="337"/>
      <c r="J39" s="398"/>
      <c r="K39" s="180"/>
      <c r="L39" s="1989"/>
      <c r="M39" s="322"/>
      <c r="N39" s="1655"/>
      <c r="O39" s="1655"/>
    </row>
    <row s="1666" customFormat="1" customHeight="1" ht="18.75" hidden="1">
      <c r="A40" s="1814" t="s">
        <v>230</v>
      </c>
      <c r="B40" s="361"/>
      <c r="C40" s="2297"/>
      <c r="D40" s="2023"/>
      <c r="E40" s="2127" t="str">
        <f>INDEX(PT_DIFFERENTIATION_VTAR,MATCH(A40,PT_DIFFERENTIATION_VTAR_ID,0))</f>
        <v>Тариф на подвоз воды</v>
      </c>
      <c r="F40" s="2127" t="str">
        <f>INDEX(PT_DIFFERENTIATION_VDET,MATCH(A40,PT_DIFFERENTIATION_VTAR_ID,0))</f>
        <v/>
      </c>
      <c r="G40" s="1800"/>
      <c r="H40" s="1769"/>
      <c r="I40" s="1807"/>
      <c r="J40" s="1806"/>
      <c r="K40" s="1799" t="s">
        <v>296</v>
      </c>
      <c r="L40" s="1989"/>
      <c r="M40" s="322"/>
      <c r="N40" s="1655"/>
      <c r="O40" s="1655"/>
    </row>
    <row s="1666" customFormat="1" customHeight="1" ht="18.75" hidden="1">
      <c r="A41" s="1814"/>
      <c r="B41" s="361" t="s">
        <v>1671</v>
      </c>
      <c r="C41" s="2297"/>
      <c r="D41" s="2023"/>
      <c r="E41" s="2127"/>
      <c r="F41" s="2127"/>
      <c r="G41" s="397"/>
      <c r="H41" s="392" t="s">
        <v>1570</v>
      </c>
      <c r="I41" s="337"/>
      <c r="J41" s="398"/>
      <c r="K41" s="180"/>
      <c r="L41" s="1989"/>
      <c r="M41" s="322"/>
      <c r="N41" s="1655"/>
      <c r="O41" s="1655"/>
    </row>
    <row s="1666" customFormat="1" customHeight="1" ht="18.75" hidden="1">
      <c r="A42" s="1814" t="s">
        <v>235</v>
      </c>
      <c r="B42" s="361"/>
      <c r="C42" s="2297"/>
      <c r="D42" s="2023"/>
      <c r="E42" s="2127" t="str">
        <f>INDEX(PT_DIFFERENTIATION_VTAR,MATCH(A42,PT_DIFFERENTIATION_VTAR_ID,0))</f>
        <v>Тариф на подключение (технологическое присоединение) к централизованной системе холодного водоснабжения</v>
      </c>
      <c r="F42" s="2127" t="str">
        <f>INDEX(PT_DIFFERENTIATION_VDET,MATCH(A42,PT_DIFFERENTIATION_VTAR_ID,0))</f>
        <v/>
      </c>
      <c r="G42" s="1800"/>
      <c r="H42" s="1769"/>
      <c r="I42" s="1807"/>
      <c r="J42" s="1806"/>
      <c r="K42" s="1799" t="s">
        <v>296</v>
      </c>
      <c r="L42" s="1989"/>
      <c r="M42" s="322"/>
      <c r="N42" s="1655"/>
      <c r="O42" s="1655"/>
    </row>
    <row s="1666" customFormat="1" customHeight="1" ht="18.75" hidden="1">
      <c r="A43" s="1814"/>
      <c r="B43" s="361" t="s">
        <v>1671</v>
      </c>
      <c r="C43" s="2297"/>
      <c r="D43" s="2023"/>
      <c r="E43" s="2127"/>
      <c r="F43" s="2127"/>
      <c r="G43" s="397"/>
      <c r="H43" s="392" t="s">
        <v>1570</v>
      </c>
      <c r="I43" s="337"/>
      <c r="J43" s="398"/>
      <c r="K43" s="180"/>
      <c r="L43" s="1989"/>
      <c r="M43" s="322"/>
      <c r="N43" s="1655"/>
      <c r="O43" s="1655"/>
    </row>
    <row s="1666" customFormat="1" customHeight="1" ht="18.75" hidden="1">
      <c r="A44" s="1814" t="s">
        <v>240</v>
      </c>
      <c r="B44" s="361"/>
      <c r="C44" s="2297"/>
      <c r="D44" s="2023"/>
      <c r="E44" s="2127" t="str">
        <f>INDEX(PT_DIFFERENTIATION_VTAR,MATCH(A44,PT_DIFFERENTIATION_VTAR_ID,0))</f>
        <v>Тариф на горячую воду (горячее водоснабжение)</v>
      </c>
      <c r="F44" s="2127" t="str">
        <f>INDEX(PT_DIFFERENTIATION_VDET,MATCH(A44,PT_DIFFERENTIATION_VTAR_ID,0))</f>
        <v/>
      </c>
      <c r="G44" s="1800"/>
      <c r="H44" s="1769"/>
      <c r="I44" s="1807"/>
      <c r="J44" s="1806"/>
      <c r="K44" s="1799" t="s">
        <v>296</v>
      </c>
      <c r="L44" s="1989"/>
      <c r="M44" s="322"/>
      <c r="N44" s="1655"/>
      <c r="O44" s="1655"/>
    </row>
    <row s="1666" customFormat="1" customHeight="1" ht="18.75" hidden="1">
      <c r="A45" s="1814"/>
      <c r="B45" s="361" t="s">
        <v>1671</v>
      </c>
      <c r="C45" s="2297"/>
      <c r="D45" s="2023"/>
      <c r="E45" s="2127"/>
      <c r="F45" s="2127"/>
      <c r="G45" s="397"/>
      <c r="H45" s="392" t="s">
        <v>1570</v>
      </c>
      <c r="I45" s="337"/>
      <c r="J45" s="398"/>
      <c r="K45" s="180"/>
      <c r="L45" s="1989"/>
      <c r="M45" s="322"/>
      <c r="N45" s="1655"/>
      <c r="O45" s="1655"/>
    </row>
    <row s="1666" customFormat="1" customHeight="1" ht="18.75" hidden="1">
      <c r="A46" s="1814" t="s">
        <v>245</v>
      </c>
      <c r="B46" s="361"/>
      <c r="C46" s="2297"/>
      <c r="D46" s="2023"/>
      <c r="E46" s="2127" t="str">
        <f>INDEX(PT_DIFFERENTIATION_VTAR,MATCH(A46,PT_DIFFERENTIATION_VTAR_ID,0))</f>
        <v>Тариф на транспортировку горячей воды</v>
      </c>
      <c r="F46" s="2127" t="str">
        <f>INDEX(PT_DIFFERENTIATION_VDET,MATCH(A46,PT_DIFFERENTIATION_VTAR_ID,0))</f>
        <v/>
      </c>
      <c r="G46" s="1800"/>
      <c r="H46" s="1769"/>
      <c r="I46" s="1807"/>
      <c r="J46" s="1806"/>
      <c r="K46" s="1799" t="s">
        <v>296</v>
      </c>
      <c r="L46" s="1989"/>
      <c r="M46" s="322"/>
      <c r="N46" s="1655"/>
      <c r="O46" s="1655"/>
    </row>
    <row s="1666" customFormat="1" customHeight="1" ht="18.75" hidden="1">
      <c r="A47" s="1814"/>
      <c r="B47" s="361" t="s">
        <v>1671</v>
      </c>
      <c r="C47" s="2297"/>
      <c r="D47" s="2023"/>
      <c r="E47" s="2127"/>
      <c r="F47" s="2127"/>
      <c r="G47" s="397"/>
      <c r="H47" s="392" t="s">
        <v>1570</v>
      </c>
      <c r="I47" s="337"/>
      <c r="J47" s="398"/>
      <c r="K47" s="180"/>
      <c r="L47" s="1989"/>
      <c r="M47" s="322"/>
      <c r="N47" s="1655"/>
      <c r="O47" s="1655"/>
    </row>
    <row s="1666" customFormat="1" customHeight="1" ht="18.75" hidden="1">
      <c r="A48" s="1814" t="s">
        <v>250</v>
      </c>
      <c r="B48" s="361"/>
      <c r="C48" s="2297"/>
      <c r="D48" s="2023"/>
      <c r="E48" s="2127" t="str">
        <f>INDEX(PT_DIFFERENTIATION_VTAR,MATCH(A48,PT_DIFFERENTIATION_VTAR_ID,0))</f>
        <v>Тариф на подключение (технологическое присоединение) к централизованной системе горячего водоснабжения</v>
      </c>
      <c r="F48" s="2127" t="str">
        <f>INDEX(PT_DIFFERENTIATION_VDET,MATCH(A48,PT_DIFFERENTIATION_VTAR_ID,0))</f>
        <v/>
      </c>
      <c r="G48" s="1800"/>
      <c r="H48" s="1769"/>
      <c r="I48" s="1807"/>
      <c r="J48" s="1806"/>
      <c r="K48" s="1799" t="s">
        <v>296</v>
      </c>
      <c r="L48" s="1989"/>
      <c r="M48" s="322"/>
      <c r="N48" s="1655"/>
      <c r="O48" s="1655"/>
    </row>
    <row s="1666" customFormat="1" customHeight="1" ht="18.75" hidden="1">
      <c r="A49" s="1814"/>
      <c r="B49" s="361" t="s">
        <v>1671</v>
      </c>
      <c r="C49" s="2297"/>
      <c r="D49" s="2023"/>
      <c r="E49" s="2127"/>
      <c r="F49" s="2127"/>
      <c r="G49" s="397"/>
      <c r="H49" s="392" t="s">
        <v>1570</v>
      </c>
      <c r="I49" s="337"/>
      <c r="J49" s="398"/>
      <c r="K49" s="180"/>
      <c r="L49" s="1989"/>
      <c r="M49" s="322"/>
      <c r="N49" s="1655"/>
      <c r="O49" s="1655"/>
    </row>
    <row s="1666" customFormat="1" customHeight="1" ht="18.75" hidden="1">
      <c r="A50" s="1814" t="s">
        <v>255</v>
      </c>
      <c r="B50" s="361"/>
      <c r="C50" s="2297"/>
      <c r="D50" s="2023"/>
      <c r="E50" s="2127" t="str">
        <f>INDEX(PT_DIFFERENTIATION_VTAR,MATCH(A50,PT_DIFFERENTIATION_VTAR_ID,0))</f>
        <v>Тариф на водоотведение</v>
      </c>
      <c r="F50" s="2127" t="str">
        <f>INDEX(PT_DIFFERENTIATION_VDET,MATCH(A50,PT_DIFFERENTIATION_VTAR_ID,0))</f>
        <v/>
      </c>
      <c r="G50" s="1800"/>
      <c r="H50" s="1769"/>
      <c r="I50" s="1807"/>
      <c r="J50" s="1806"/>
      <c r="K50" s="1799" t="s">
        <v>296</v>
      </c>
      <c r="L50" s="1989"/>
      <c r="M50" s="322"/>
      <c r="N50" s="1655"/>
      <c r="O50" s="1655"/>
    </row>
    <row s="1666" customFormat="1" customHeight="1" ht="18.75" hidden="1">
      <c r="A51" s="1814"/>
      <c r="B51" s="361" t="s">
        <v>1671</v>
      </c>
      <c r="C51" s="2297"/>
      <c r="D51" s="2023"/>
      <c r="E51" s="2127"/>
      <c r="F51" s="2127"/>
      <c r="G51" s="397"/>
      <c r="H51" s="392" t="s">
        <v>1570</v>
      </c>
      <c r="I51" s="337"/>
      <c r="J51" s="398"/>
      <c r="K51" s="180"/>
      <c r="L51" s="1989"/>
      <c r="M51" s="322"/>
      <c r="N51" s="1655"/>
      <c r="O51" s="1655"/>
    </row>
    <row s="1666" customFormat="1" customHeight="1" ht="18.75" hidden="1">
      <c r="A52" s="1814" t="s">
        <v>260</v>
      </c>
      <c r="B52" s="361"/>
      <c r="C52" s="2297"/>
      <c r="D52" s="2023"/>
      <c r="E52" s="2127" t="str">
        <f>INDEX(PT_DIFFERENTIATION_VTAR,MATCH(A52,PT_DIFFERENTIATION_VTAR_ID,0))</f>
        <v>Тариф на транспортировку сточных вод</v>
      </c>
      <c r="F52" s="2127" t="str">
        <f>INDEX(PT_DIFFERENTIATION_VDET,MATCH(A52,PT_DIFFERENTIATION_VTAR_ID,0))</f>
        <v/>
      </c>
      <c r="G52" s="1800"/>
      <c r="H52" s="1769"/>
      <c r="I52" s="1807"/>
      <c r="J52" s="1806"/>
      <c r="K52" s="1799" t="s">
        <v>296</v>
      </c>
      <c r="L52" s="1989"/>
      <c r="M52" s="322"/>
      <c r="N52" s="1655"/>
      <c r="O52" s="1655"/>
    </row>
    <row s="1666" customFormat="1" customHeight="1" ht="18.75" hidden="1">
      <c r="A53" s="1814"/>
      <c r="B53" s="361" t="s">
        <v>1671</v>
      </c>
      <c r="C53" s="2297"/>
      <c r="D53" s="2023"/>
      <c r="E53" s="2127"/>
      <c r="F53" s="2127"/>
      <c r="G53" s="397"/>
      <c r="H53" s="392" t="s">
        <v>1570</v>
      </c>
      <c r="I53" s="337"/>
      <c r="J53" s="398"/>
      <c r="K53" s="180"/>
      <c r="L53" s="1989"/>
      <c r="M53" s="322"/>
      <c r="N53" s="1655"/>
      <c r="O53" s="1655"/>
    </row>
    <row s="1666" customFormat="1" customHeight="1" ht="18.75" hidden="1">
      <c r="A54" s="1814" t="s">
        <v>265</v>
      </c>
      <c r="B54" s="361"/>
      <c r="C54" s="2297"/>
      <c r="D54" s="2023"/>
      <c r="E54" s="2127" t="str">
        <f>INDEX(PT_DIFFERENTIATION_VTAR,MATCH(A54,PT_DIFFERENTIATION_VTAR_ID,0))</f>
        <v>Тариф на подключение (технологическое присоединение) к централизованной системе водоотведения</v>
      </c>
      <c r="F54" s="2127" t="str">
        <f>INDEX(PT_DIFFERENTIATION_VDET,MATCH(A54,PT_DIFFERENTIATION_VTAR_ID,0))</f>
        <v/>
      </c>
      <c r="G54" s="1800"/>
      <c r="H54" s="1769"/>
      <c r="I54" s="1807"/>
      <c r="J54" s="1806"/>
      <c r="K54" s="1799" t="s">
        <v>296</v>
      </c>
      <c r="L54" s="1989"/>
      <c r="M54" s="322"/>
      <c r="N54" s="1655"/>
      <c r="O54" s="1655"/>
    </row>
    <row s="1666" customFormat="1" customHeight="1" ht="18.75" hidden="1">
      <c r="A55" s="1814"/>
      <c r="B55" s="361" t="s">
        <v>1671</v>
      </c>
      <c r="C55" s="2297"/>
      <c r="D55" s="2023"/>
      <c r="E55" s="2127"/>
      <c r="F55" s="2127"/>
      <c r="G55" s="397"/>
      <c r="H55" s="392" t="s">
        <v>1570</v>
      </c>
      <c r="I55" s="337"/>
      <c r="J55" s="398"/>
      <c r="K55" s="180"/>
      <c r="L55" s="1989"/>
      <c r="M55" s="322"/>
      <c r="N55" s="1655"/>
      <c r="O55" s="1655"/>
    </row>
    <row customHeight="1" ht="18.75">
      <c r="A56" s="1814"/>
      <c r="C56" s="368"/>
      <c r="D56" s="127" t="s">
        <v>109</v>
      </c>
      <c r="E56" s="22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F56" s="2285"/>
      <c r="G56" s="2285"/>
      <c r="H56" s="2285"/>
      <c r="I56" s="2285"/>
      <c r="J56" s="2285"/>
      <c r="K56" s="2285"/>
      <c r="L56" s="277"/>
      <c r="M56" s="322"/>
    </row>
    <row customHeight="1" ht="33.75">
      <c r="A57" s="1814"/>
      <c r="C57" s="368"/>
      <c r="D57" s="396"/>
      <c r="E57" s="177" t="s">
        <v>296</v>
      </c>
      <c r="F57" s="177" t="s">
        <v>296</v>
      </c>
      <c r="G57" s="2039" t="s">
        <v>296</v>
      </c>
      <c r="H57" s="2041"/>
      <c r="I57" s="177" t="s">
        <v>296</v>
      </c>
      <c r="J57" s="177" t="s">
        <v>296</v>
      </c>
      <c r="K57" s="399"/>
      <c r="L57" s="333" t="s">
        <v>1672</v>
      </c>
      <c r="M57" s="322"/>
    </row>
    <row customHeight="1" ht="18.75">
      <c r="A58" s="1814"/>
      <c r="C58" s="368"/>
      <c r="D58" s="127" t="s">
        <v>89</v>
      </c>
      <c r="E58" s="2285" t="s">
        <v>1673</v>
      </c>
      <c r="F58" s="2285"/>
      <c r="G58" s="2285"/>
      <c r="H58" s="2285"/>
      <c r="I58" s="2285"/>
      <c r="J58" s="2285"/>
      <c r="K58" s="2285"/>
      <c r="L58" s="277"/>
      <c r="M58" s="322"/>
    </row>
    <row s="1666" customFormat="1" customHeight="1" ht="56.25" hidden="1">
      <c r="A59" s="1814" t="s">
        <v>159</v>
      </c>
      <c r="B59" s="361"/>
      <c r="C59" s="2297"/>
      <c r="D59" s="2023"/>
      <c r="E59" s="2127" t="str">
        <f>INDEX(PT_DIFFERENTIATION_VTAR,MATCH(A59,PT_DIFFERENTIATION_VTAR_ID,0))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59" s="2127" t="str">
        <f>INDEX(PT_DIFFERENTIATION_VDET,MATCH(A59,PT_DIFFERENTIATION_VTAR_ID,0))</f>
        <v/>
      </c>
      <c r="G59" s="1800"/>
      <c r="H59" s="1769"/>
      <c r="I59" s="1807"/>
      <c r="J59" s="1812"/>
      <c r="K59" s="1799" t="s">
        <v>296</v>
      </c>
      <c r="L59"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M59" s="322"/>
      <c r="N59" s="1655"/>
      <c r="O59" s="1655"/>
    </row>
    <row s="1666" customFormat="1" customHeight="1" ht="18.75" hidden="1">
      <c r="A60" s="1814"/>
      <c r="B60" s="361" t="s">
        <v>1674</v>
      </c>
      <c r="C60" s="2297"/>
      <c r="D60" s="2023"/>
      <c r="E60" s="2127"/>
      <c r="F60" s="2127"/>
      <c r="G60" s="397"/>
      <c r="H60" s="392" t="s">
        <v>1570</v>
      </c>
      <c r="I60" s="337"/>
      <c r="J60" s="398"/>
      <c r="K60" s="180"/>
      <c r="L60" s="1989"/>
      <c r="M60" s="322"/>
      <c r="N60" s="1655"/>
      <c r="O60" s="1655"/>
    </row>
    <row s="1666" customFormat="1" customHeight="1" ht="26.25" hidden="1">
      <c r="A61" s="1814" t="s">
        <v>165</v>
      </c>
      <c r="B61" s="361"/>
      <c r="C61" s="2297"/>
      <c r="D61" s="2023"/>
      <c r="E61" s="2127" t="str">
        <f>INDEX(PT_DIFFERENTIATION_VTAR,MATCH(A61,PT_DIFFERENTIATION_VTAR_ID,0))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61" s="2127" t="str">
        <f>INDEX(PT_DIFFERENTIATION_VDET,MATCH(A61,PT_DIFFERENTIATION_VTAR_ID,0))</f>
        <v/>
      </c>
      <c r="G61" s="1800"/>
      <c r="H61" s="1769"/>
      <c r="I61" s="1807"/>
      <c r="J61" s="1812"/>
      <c r="K61" s="1799" t="s">
        <v>296</v>
      </c>
      <c r="L61" s="1990"/>
      <c r="M61" s="322"/>
      <c r="N61" s="1655"/>
      <c r="O61" s="1655"/>
    </row>
    <row s="1666" customFormat="1" customHeight="1" ht="18.75" hidden="1">
      <c r="A62" s="1814"/>
      <c r="B62" s="361" t="s">
        <v>1674</v>
      </c>
      <c r="C62" s="2297"/>
      <c r="D62" s="2023"/>
      <c r="E62" s="2127"/>
      <c r="F62" s="2127"/>
      <c r="G62" s="397"/>
      <c r="H62" s="392" t="s">
        <v>1570</v>
      </c>
      <c r="I62" s="337"/>
      <c r="J62" s="398"/>
      <c r="K62" s="180"/>
      <c r="L62" s="329"/>
      <c r="M62" s="322"/>
      <c r="N62" s="1655"/>
      <c r="O62" s="1655"/>
    </row>
    <row s="1666" customFormat="1" customHeight="1" ht="18.75" hidden="1">
      <c r="A63" s="1814" t="s">
        <v>171</v>
      </c>
      <c r="B63" s="361"/>
      <c r="C63" s="2297"/>
      <c r="D63" s="2023"/>
      <c r="E63" s="2127" t="str">
        <f>INDEX(PT_DIFFERENTIATION_VTAR,MATCH(A63,PT_DIFFERENTIATION_VTAR_ID,0))</f>
        <v>Тарифы на теплоноситель, поставляемый теплоснабжающими организациями потребителям, другим теплоснабжающим организациям</v>
      </c>
      <c r="F63" s="2127" t="str">
        <f>INDEX(PT_DIFFERENTIATION_VDET,MATCH(A63,PT_DIFFERENTIATION_VTAR_ID,0))</f>
        <v/>
      </c>
      <c r="G63" s="1800"/>
      <c r="H63" s="1769"/>
      <c r="I63" s="1807"/>
      <c r="J63" s="1812"/>
      <c r="K63" s="1799" t="s">
        <v>296</v>
      </c>
      <c r="L63" s="329"/>
      <c r="M63" s="322"/>
      <c r="N63" s="1655"/>
      <c r="O63" s="1655"/>
    </row>
    <row s="1666" customFormat="1" customHeight="1" ht="18.75" hidden="1">
      <c r="A64" s="1814"/>
      <c r="B64" s="361" t="s">
        <v>1674</v>
      </c>
      <c r="C64" s="2297"/>
      <c r="D64" s="2023"/>
      <c r="E64" s="2127"/>
      <c r="F64" s="2127"/>
      <c r="G64" s="397"/>
      <c r="H64" s="392" t="s">
        <v>1570</v>
      </c>
      <c r="I64" s="337"/>
      <c r="J64" s="398"/>
      <c r="K64" s="180"/>
      <c r="L64" s="329"/>
      <c r="M64" s="322"/>
      <c r="N64" s="1655"/>
      <c r="O64" s="1655"/>
    </row>
    <row s="1666" customFormat="1" customHeight="1" ht="41.25" hidden="1">
      <c r="A65" s="1814" t="s">
        <v>177</v>
      </c>
      <c r="B65" s="361"/>
      <c r="C65" s="2297"/>
      <c r="D65" s="2023"/>
      <c r="E65" s="2127" t="str">
        <f>INDEX(PT_DIFFERENTIATION_VTAR,MATCH(A65,PT_DIFFERENTIATION_VTAR_ID,0))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65" s="2127" t="str">
        <f>INDEX(PT_DIFFERENTIATION_VDET,MATCH(A65,PT_DIFFERENTIATION_VTAR_ID,0))</f>
        <v/>
      </c>
      <c r="G65" s="1800"/>
      <c r="H65" s="1769"/>
      <c r="I65" s="1807"/>
      <c r="J65" s="1812"/>
      <c r="K65" s="1799" t="s">
        <v>296</v>
      </c>
      <c r="L65" s="329"/>
      <c r="M65" s="322"/>
      <c r="N65" s="1655"/>
      <c r="O65" s="1655"/>
    </row>
    <row s="1666" customFormat="1" customHeight="1" ht="18.75" hidden="1">
      <c r="A66" s="1814"/>
      <c r="B66" s="361" t="s">
        <v>1674</v>
      </c>
      <c r="C66" s="2297"/>
      <c r="D66" s="2023"/>
      <c r="E66" s="2127"/>
      <c r="F66" s="2127"/>
      <c r="G66" s="397"/>
      <c r="H66" s="392" t="s">
        <v>1570</v>
      </c>
      <c r="I66" s="337"/>
      <c r="J66" s="398"/>
      <c r="K66" s="180"/>
      <c r="L66" s="329"/>
      <c r="M66" s="322"/>
      <c r="N66" s="1655"/>
      <c r="O66" s="1655"/>
    </row>
    <row s="1666" customFormat="1" customHeight="1" ht="18.75" hidden="1">
      <c r="A67" s="1814" t="s">
        <v>183</v>
      </c>
      <c r="B67" s="361"/>
      <c r="C67" s="2297"/>
      <c r="D67" s="2023"/>
      <c r="E67" s="2127" t="str">
        <f>INDEX(PT_DIFFERENTIATION_VTAR,MATCH(A67,PT_DIFFERENTIATION_VTAR_ID,0))</f>
        <v>Тарифы на услуги по передаче тепловой энергии</v>
      </c>
      <c r="F67" s="2127" t="str">
        <f>INDEX(PT_DIFFERENTIATION_VDET,MATCH(A67,PT_DIFFERENTIATION_VTAR_ID,0))</f>
        <v/>
      </c>
      <c r="G67" s="1800"/>
      <c r="H67" s="1769"/>
      <c r="I67" s="1807"/>
      <c r="J67" s="1812"/>
      <c r="K67" s="1799" t="s">
        <v>296</v>
      </c>
      <c r="L67" s="329"/>
      <c r="M67" s="322"/>
      <c r="N67" s="1655"/>
      <c r="O67" s="1655"/>
    </row>
    <row s="1666" customFormat="1" customHeight="1" ht="18.75" hidden="1">
      <c r="A68" s="1814"/>
      <c r="B68" s="361" t="s">
        <v>1674</v>
      </c>
      <c r="C68" s="2297"/>
      <c r="D68" s="2023"/>
      <c r="E68" s="2127"/>
      <c r="F68" s="2127"/>
      <c r="G68" s="397"/>
      <c r="H68" s="392" t="s">
        <v>1570</v>
      </c>
      <c r="I68" s="337"/>
      <c r="J68" s="398"/>
      <c r="K68" s="180"/>
      <c r="L68" s="329"/>
      <c r="M68" s="322"/>
      <c r="N68" s="1655"/>
      <c r="O68" s="1655"/>
    </row>
    <row s="1666" customFormat="1" customHeight="1" ht="18.75" hidden="1">
      <c r="A69" s="1814" t="s">
        <v>189</v>
      </c>
      <c r="B69" s="361"/>
      <c r="C69" s="2297"/>
      <c r="D69" s="2023"/>
      <c r="E69" s="2127" t="str">
        <f>INDEX(PT_DIFFERENTIATION_VTAR,MATCH(A69,PT_DIFFERENTIATION_VTAR_ID,0))</f>
        <v>Тарифы на услуги по передаче теплоносителя</v>
      </c>
      <c r="F69" s="2127" t="str">
        <f>INDEX(PT_DIFFERENTIATION_VDET,MATCH(A69,PT_DIFFERENTIATION_VTAR_ID,0))</f>
        <v/>
      </c>
      <c r="G69" s="1800"/>
      <c r="H69" s="1769"/>
      <c r="I69" s="1807"/>
      <c r="J69" s="1812"/>
      <c r="K69" s="1799" t="s">
        <v>296</v>
      </c>
      <c r="L69" s="329"/>
      <c r="M69" s="322"/>
      <c r="N69" s="1655"/>
      <c r="O69" s="1655"/>
    </row>
    <row s="1666" customFormat="1" customHeight="1" ht="18.75" hidden="1">
      <c r="A70" s="1814"/>
      <c r="B70" s="361" t="s">
        <v>1674</v>
      </c>
      <c r="C70" s="2297"/>
      <c r="D70" s="2023"/>
      <c r="E70" s="2127"/>
      <c r="F70" s="2127"/>
      <c r="G70" s="397"/>
      <c r="H70" s="392" t="s">
        <v>1570</v>
      </c>
      <c r="I70" s="337"/>
      <c r="J70" s="398"/>
      <c r="K70" s="180"/>
      <c r="L70" s="329"/>
      <c r="M70" s="322"/>
      <c r="N70" s="1655"/>
      <c r="O70" s="1655"/>
    </row>
    <row s="1666" customFormat="1" customHeight="1" ht="18.75" hidden="1">
      <c r="A71" s="1814" t="s">
        <v>195</v>
      </c>
      <c r="B71" s="361"/>
      <c r="C71" s="2297"/>
      <c r="D71" s="2023"/>
      <c r="E71" s="2127" t="str">
        <f>INDEX(PT_DIFFERENTIATION_VTAR,MATCH(A71,PT_DIFFERENTIATION_VTAR_ID,0))</f>
        <v>Плата за услуги по поддержанию резервной тепловой мощности при отсутствии потребления тепловой энергии</v>
      </c>
      <c r="F71" s="2127" t="str">
        <f>INDEX(PT_DIFFERENTIATION_VDET,MATCH(A71,PT_DIFFERENTIATION_VTAR_ID,0))</f>
        <v/>
      </c>
      <c r="G71" s="1800"/>
      <c r="H71" s="1769"/>
      <c r="I71" s="1807"/>
      <c r="J71" s="1812"/>
      <c r="K71" s="1799" t="s">
        <v>296</v>
      </c>
      <c r="L71" s="329"/>
      <c r="M71" s="322"/>
      <c r="N71" s="1655"/>
      <c r="O71" s="1655"/>
    </row>
    <row s="1666" customFormat="1" customHeight="1" ht="18.75" hidden="1">
      <c r="A72" s="1814"/>
      <c r="B72" s="361" t="s">
        <v>1674</v>
      </c>
      <c r="C72" s="2297"/>
      <c r="D72" s="2023"/>
      <c r="E72" s="2127"/>
      <c r="F72" s="2127"/>
      <c r="G72" s="397"/>
      <c r="H72" s="392" t="s">
        <v>1570</v>
      </c>
      <c r="I72" s="337"/>
      <c r="J72" s="398"/>
      <c r="K72" s="180"/>
      <c r="L72" s="329"/>
      <c r="M72" s="322"/>
      <c r="N72" s="1655"/>
      <c r="O72" s="1655"/>
    </row>
    <row s="1666" customFormat="1" customHeight="1" ht="18.75" hidden="1">
      <c r="A73" s="1814" t="s">
        <v>201</v>
      </c>
      <c r="B73" s="361"/>
      <c r="C73" s="2297"/>
      <c r="D73" s="2023"/>
      <c r="E73" s="2127" t="str">
        <f>INDEX(PT_DIFFERENTIATION_VTAR,MATCH(A73,PT_DIFFERENTIATION_VTAR_ID,0))</f>
        <v>Плата за подключение (технологическое присоединение) к системе теплоснабжения</v>
      </c>
      <c r="F73" s="2127" t="str">
        <f>INDEX(PT_DIFFERENTIATION_VDET,MATCH(A73,PT_DIFFERENTIATION_VTAR_ID,0))</f>
        <v/>
      </c>
      <c r="G73" s="1800"/>
      <c r="H73" s="1769"/>
      <c r="I73" s="1807"/>
      <c r="J73" s="1812"/>
      <c r="K73" s="1799" t="s">
        <v>296</v>
      </c>
      <c r="L73" s="329"/>
      <c r="M73" s="322"/>
      <c r="N73" s="1655"/>
      <c r="O73" s="1655"/>
    </row>
    <row s="1666" customFormat="1" customHeight="1" ht="18.75" hidden="1">
      <c r="A74" s="1814"/>
      <c r="B74" s="361" t="s">
        <v>1674</v>
      </c>
      <c r="C74" s="2297"/>
      <c r="D74" s="2023"/>
      <c r="E74" s="2127"/>
      <c r="F74" s="2127"/>
      <c r="G74" s="397"/>
      <c r="H74" s="392" t="s">
        <v>1570</v>
      </c>
      <c r="I74" s="337"/>
      <c r="J74" s="398"/>
      <c r="K74" s="180"/>
      <c r="L74" s="329"/>
      <c r="M74" s="322"/>
      <c r="N74" s="1655"/>
      <c r="O74" s="1655"/>
    </row>
    <row s="1666" customFormat="1" customHeight="1" ht="18.75" hidden="1">
      <c r="A75" s="1814" t="s">
        <v>215</v>
      </c>
      <c r="B75" s="361"/>
      <c r="C75" s="2297"/>
      <c r="D75" s="2023"/>
      <c r="E75" s="2127" t="str">
        <f>INDEX(PT_DIFFERENTIATION_VTAR,MATCH(A75,PT_DIFFERENTIATION_VTAR_ID,0))</f>
        <v>Тариф на питьевую воду (питьевое водоснабжение)</v>
      </c>
      <c r="F75" s="2127" t="str">
        <f>INDEX(PT_DIFFERENTIATION_VDET,MATCH(A75,PT_DIFFERENTIATION_VTAR_ID,0))</f>
        <v/>
      </c>
      <c r="G75" s="1800"/>
      <c r="H75" s="1769"/>
      <c r="I75" s="1807"/>
      <c r="J75" s="1812"/>
      <c r="K75" s="1799" t="s">
        <v>296</v>
      </c>
      <c r="L75" s="329"/>
      <c r="M75" s="322"/>
      <c r="N75" s="1655"/>
      <c r="O75" s="1655"/>
    </row>
    <row s="1666" customFormat="1" customHeight="1" ht="18.75" hidden="1">
      <c r="A76" s="1814"/>
      <c r="B76" s="361" t="s">
        <v>1674</v>
      </c>
      <c r="C76" s="2297"/>
      <c r="D76" s="2023"/>
      <c r="E76" s="2127"/>
      <c r="F76" s="2127"/>
      <c r="G76" s="397"/>
      <c r="H76" s="392" t="s">
        <v>1570</v>
      </c>
      <c r="I76" s="337"/>
      <c r="J76" s="398"/>
      <c r="K76" s="180"/>
      <c r="L76" s="329"/>
      <c r="M76" s="322"/>
      <c r="N76" s="1655"/>
      <c r="O76" s="1655"/>
    </row>
    <row s="1666" customFormat="1" customHeight="1" ht="18.75" hidden="1">
      <c r="A77" s="1814" t="s">
        <v>220</v>
      </c>
      <c r="B77" s="361"/>
      <c r="C77" s="2297"/>
      <c r="D77" s="2023"/>
      <c r="E77" s="2127" t="str">
        <f>INDEX(PT_DIFFERENTIATION_VTAR,MATCH(A77,PT_DIFFERENTIATION_VTAR_ID,0))</f>
        <v>Тариф на техническую воду</v>
      </c>
      <c r="F77" s="2127" t="str">
        <f>INDEX(PT_DIFFERENTIATION_VDET,MATCH(A77,PT_DIFFERENTIATION_VTAR_ID,0))</f>
        <v/>
      </c>
      <c r="G77" s="1800"/>
      <c r="H77" s="1769"/>
      <c r="I77" s="1807"/>
      <c r="J77" s="1812"/>
      <c r="K77" s="1799" t="s">
        <v>296</v>
      </c>
      <c r="L77" s="329"/>
      <c r="M77" s="322"/>
      <c r="N77" s="1655"/>
      <c r="O77" s="1655"/>
    </row>
    <row s="1666" customFormat="1" customHeight="1" ht="18.75" hidden="1">
      <c r="A78" s="1814"/>
      <c r="B78" s="361" t="s">
        <v>1674</v>
      </c>
      <c r="C78" s="2297"/>
      <c r="D78" s="2023"/>
      <c r="E78" s="2127"/>
      <c r="F78" s="2127"/>
      <c r="G78" s="397"/>
      <c r="H78" s="392" t="s">
        <v>1570</v>
      </c>
      <c r="I78" s="337"/>
      <c r="J78" s="398"/>
      <c r="K78" s="180"/>
      <c r="L78" s="329"/>
      <c r="M78" s="322"/>
      <c r="N78" s="1655"/>
      <c r="O78" s="1655"/>
    </row>
    <row s="1666" customFormat="1" customHeight="1" ht="18.75" hidden="1">
      <c r="A79" s="1814" t="s">
        <v>225</v>
      </c>
      <c r="B79" s="361"/>
      <c r="C79" s="2297"/>
      <c r="D79" s="2023"/>
      <c r="E79" s="2127" t="str">
        <f>INDEX(PT_DIFFERENTIATION_VTAR,MATCH(A79,PT_DIFFERENTIATION_VTAR_ID,0))</f>
        <v>Тариф на транспортировку воды</v>
      </c>
      <c r="F79" s="2127" t="str">
        <f>INDEX(PT_DIFFERENTIATION_VDET,MATCH(A79,PT_DIFFERENTIATION_VTAR_ID,0))</f>
        <v/>
      </c>
      <c r="G79" s="1800"/>
      <c r="H79" s="1769"/>
      <c r="I79" s="1807"/>
      <c r="J79" s="1812"/>
      <c r="K79" s="1799" t="s">
        <v>296</v>
      </c>
      <c r="L79" s="329"/>
      <c r="M79" s="322"/>
      <c r="N79" s="1655"/>
      <c r="O79" s="1655"/>
    </row>
    <row s="1666" customFormat="1" customHeight="1" ht="18.75" hidden="1">
      <c r="A80" s="1814"/>
      <c r="B80" s="361" t="s">
        <v>1674</v>
      </c>
      <c r="C80" s="2297"/>
      <c r="D80" s="2023"/>
      <c r="E80" s="2127"/>
      <c r="F80" s="2127"/>
      <c r="G80" s="397"/>
      <c r="H80" s="392" t="s">
        <v>1570</v>
      </c>
      <c r="I80" s="337"/>
      <c r="J80" s="398"/>
      <c r="K80" s="180"/>
      <c r="L80" s="329"/>
      <c r="M80" s="322"/>
      <c r="N80" s="1655"/>
      <c r="O80" s="1655"/>
    </row>
    <row s="1666" customFormat="1" customHeight="1" ht="18.75" hidden="1">
      <c r="A81" s="1814" t="s">
        <v>230</v>
      </c>
      <c r="B81" s="361"/>
      <c r="C81" s="2297"/>
      <c r="D81" s="2023"/>
      <c r="E81" s="2127" t="str">
        <f>INDEX(PT_DIFFERENTIATION_VTAR,MATCH(A81,PT_DIFFERENTIATION_VTAR_ID,0))</f>
        <v>Тариф на подвоз воды</v>
      </c>
      <c r="F81" s="2127" t="str">
        <f>INDEX(PT_DIFFERENTIATION_VDET,MATCH(A81,PT_DIFFERENTIATION_VTAR_ID,0))</f>
        <v/>
      </c>
      <c r="G81" s="1800"/>
      <c r="H81" s="1769"/>
      <c r="I81" s="1807"/>
      <c r="J81" s="1812"/>
      <c r="K81" s="1799" t="s">
        <v>296</v>
      </c>
      <c r="L81" s="329"/>
      <c r="M81" s="322"/>
      <c r="N81" s="1655"/>
      <c r="O81" s="1655"/>
    </row>
    <row s="1666" customFormat="1" customHeight="1" ht="18.75" hidden="1">
      <c r="A82" s="1814"/>
      <c r="B82" s="361" t="s">
        <v>1674</v>
      </c>
      <c r="C82" s="2297"/>
      <c r="D82" s="2023"/>
      <c r="E82" s="2127"/>
      <c r="F82" s="2127"/>
      <c r="G82" s="397"/>
      <c r="H82" s="392" t="s">
        <v>1570</v>
      </c>
      <c r="I82" s="337"/>
      <c r="J82" s="398"/>
      <c r="K82" s="180"/>
      <c r="L82" s="329"/>
      <c r="M82" s="322"/>
      <c r="N82" s="1655"/>
      <c r="O82" s="1655"/>
    </row>
    <row s="1666" customFormat="1" customHeight="1" ht="18.75" hidden="1">
      <c r="A83" s="1814" t="s">
        <v>235</v>
      </c>
      <c r="B83" s="361"/>
      <c r="C83" s="2297"/>
      <c r="D83" s="2023"/>
      <c r="E83" s="2127" t="str">
        <f>INDEX(PT_DIFFERENTIATION_VTAR,MATCH(A83,PT_DIFFERENTIATION_VTAR_ID,0))</f>
        <v>Тариф на подключение (технологическое присоединение) к централизованной системе холодного водоснабжения</v>
      </c>
      <c r="F83" s="2127" t="str">
        <f>INDEX(PT_DIFFERENTIATION_VDET,MATCH(A83,PT_DIFFERENTIATION_VTAR_ID,0))</f>
        <v/>
      </c>
      <c r="G83" s="1800"/>
      <c r="H83" s="1769"/>
      <c r="I83" s="1807"/>
      <c r="J83" s="1812"/>
      <c r="K83" s="1799" t="s">
        <v>296</v>
      </c>
      <c r="L83" s="329"/>
      <c r="M83" s="322"/>
      <c r="N83" s="1655"/>
      <c r="O83" s="1655"/>
    </row>
    <row s="1666" customFormat="1" customHeight="1" ht="18.75" hidden="1">
      <c r="A84" s="1814"/>
      <c r="B84" s="361" t="s">
        <v>1674</v>
      </c>
      <c r="C84" s="2297"/>
      <c r="D84" s="2023"/>
      <c r="E84" s="2127"/>
      <c r="F84" s="2127"/>
      <c r="G84" s="397"/>
      <c r="H84" s="392" t="s">
        <v>1570</v>
      </c>
      <c r="I84" s="337"/>
      <c r="J84" s="398"/>
      <c r="K84" s="180"/>
      <c r="L84" s="329"/>
      <c r="M84" s="322"/>
      <c r="N84" s="1655"/>
      <c r="O84" s="1655"/>
    </row>
    <row s="1666" customFormat="1" customHeight="1" ht="18.75" hidden="1">
      <c r="A85" s="1814" t="s">
        <v>240</v>
      </c>
      <c r="B85" s="361"/>
      <c r="C85" s="2297"/>
      <c r="D85" s="2023"/>
      <c r="E85" s="2127" t="str">
        <f>INDEX(PT_DIFFERENTIATION_VTAR,MATCH(A85,PT_DIFFERENTIATION_VTAR_ID,0))</f>
        <v>Тариф на горячую воду (горячее водоснабжение)</v>
      </c>
      <c r="F85" s="2127" t="str">
        <f>INDEX(PT_DIFFERENTIATION_VDET,MATCH(A85,PT_DIFFERENTIATION_VTAR_ID,0))</f>
        <v/>
      </c>
      <c r="G85" s="1800"/>
      <c r="H85" s="1769"/>
      <c r="I85" s="1807"/>
      <c r="J85" s="1812"/>
      <c r="K85" s="1799" t="s">
        <v>296</v>
      </c>
      <c r="L85" s="329"/>
      <c r="M85" s="322"/>
      <c r="N85" s="1655"/>
      <c r="O85" s="1655"/>
    </row>
    <row s="1666" customFormat="1" customHeight="1" ht="18.75" hidden="1">
      <c r="A86" s="1814"/>
      <c r="B86" s="361" t="s">
        <v>1674</v>
      </c>
      <c r="C86" s="2297"/>
      <c r="D86" s="2023"/>
      <c r="E86" s="2127"/>
      <c r="F86" s="2127"/>
      <c r="G86" s="397"/>
      <c r="H86" s="392" t="s">
        <v>1570</v>
      </c>
      <c r="I86" s="337"/>
      <c r="J86" s="398"/>
      <c r="K86" s="180"/>
      <c r="L86" s="329"/>
      <c r="M86" s="322"/>
      <c r="N86" s="1655"/>
      <c r="O86" s="1655"/>
    </row>
    <row s="1666" customFormat="1" customHeight="1" ht="18.75" hidden="1">
      <c r="A87" s="1814" t="s">
        <v>245</v>
      </c>
      <c r="B87" s="361"/>
      <c r="C87" s="2297"/>
      <c r="D87" s="2023"/>
      <c r="E87" s="2127" t="str">
        <f>INDEX(PT_DIFFERENTIATION_VTAR,MATCH(A87,PT_DIFFERENTIATION_VTAR_ID,0))</f>
        <v>Тариф на транспортировку горячей воды</v>
      </c>
      <c r="F87" s="2127" t="str">
        <f>INDEX(PT_DIFFERENTIATION_VDET,MATCH(A87,PT_DIFFERENTIATION_VTAR_ID,0))</f>
        <v/>
      </c>
      <c r="G87" s="1800"/>
      <c r="H87" s="1769"/>
      <c r="I87" s="1807"/>
      <c r="J87" s="1812"/>
      <c r="K87" s="1799" t="s">
        <v>296</v>
      </c>
      <c r="L87" s="329"/>
      <c r="M87" s="322"/>
      <c r="N87" s="1655"/>
      <c r="O87" s="1655"/>
    </row>
    <row s="1666" customFormat="1" customHeight="1" ht="18.75" hidden="1">
      <c r="A88" s="1814"/>
      <c r="B88" s="361" t="s">
        <v>1674</v>
      </c>
      <c r="C88" s="2297"/>
      <c r="D88" s="2023"/>
      <c r="E88" s="2127"/>
      <c r="F88" s="2127"/>
      <c r="G88" s="397"/>
      <c r="H88" s="392" t="s">
        <v>1570</v>
      </c>
      <c r="I88" s="337"/>
      <c r="J88" s="398"/>
      <c r="K88" s="180"/>
      <c r="L88" s="329"/>
      <c r="M88" s="322"/>
      <c r="N88" s="1655"/>
      <c r="O88" s="1655"/>
    </row>
    <row s="1666" customFormat="1" customHeight="1" ht="18.75" hidden="1">
      <c r="A89" s="1814" t="s">
        <v>250</v>
      </c>
      <c r="B89" s="361"/>
      <c r="C89" s="2297"/>
      <c r="D89" s="2023"/>
      <c r="E89" s="2127" t="str">
        <f>INDEX(PT_DIFFERENTIATION_VTAR,MATCH(A89,PT_DIFFERENTIATION_VTAR_ID,0))</f>
        <v>Тариф на подключение (технологическое присоединение) к централизованной системе горячего водоснабжения</v>
      </c>
      <c r="F89" s="2127" t="str">
        <f>INDEX(PT_DIFFERENTIATION_VDET,MATCH(A89,PT_DIFFERENTIATION_VTAR_ID,0))</f>
        <v/>
      </c>
      <c r="G89" s="1800"/>
      <c r="H89" s="1769"/>
      <c r="I89" s="1807"/>
      <c r="J89" s="1812"/>
      <c r="K89" s="1799" t="s">
        <v>296</v>
      </c>
      <c r="L89" s="329"/>
      <c r="M89" s="322"/>
      <c r="N89" s="1655"/>
      <c r="O89" s="1655"/>
    </row>
    <row s="1666" customFormat="1" customHeight="1" ht="18.75" hidden="1">
      <c r="A90" s="1814"/>
      <c r="B90" s="361" t="s">
        <v>1674</v>
      </c>
      <c r="C90" s="2297"/>
      <c r="D90" s="2023"/>
      <c r="E90" s="2127"/>
      <c r="F90" s="2127"/>
      <c r="G90" s="397"/>
      <c r="H90" s="392" t="s">
        <v>1570</v>
      </c>
      <c r="I90" s="337"/>
      <c r="J90" s="398"/>
      <c r="K90" s="180"/>
      <c r="L90" s="329"/>
      <c r="M90" s="322"/>
      <c r="N90" s="1655"/>
      <c r="O90" s="1655"/>
    </row>
    <row s="1666" customFormat="1" customHeight="1" ht="18.75" hidden="1">
      <c r="A91" s="1814" t="s">
        <v>255</v>
      </c>
      <c r="B91" s="361"/>
      <c r="C91" s="2297"/>
      <c r="D91" s="2023"/>
      <c r="E91" s="2127" t="str">
        <f>INDEX(PT_DIFFERENTIATION_VTAR,MATCH(A91,PT_DIFFERENTIATION_VTAR_ID,0))</f>
        <v>Тариф на водоотведение</v>
      </c>
      <c r="F91" s="2127" t="str">
        <f>INDEX(PT_DIFFERENTIATION_VDET,MATCH(A91,PT_DIFFERENTIATION_VTAR_ID,0))</f>
        <v/>
      </c>
      <c r="G91" s="1800"/>
      <c r="H91" s="1769"/>
      <c r="I91" s="1807"/>
      <c r="J91" s="1812"/>
      <c r="K91" s="1799" t="s">
        <v>296</v>
      </c>
      <c r="L91" s="329"/>
      <c r="M91" s="322"/>
      <c r="N91" s="1655"/>
      <c r="O91" s="1655"/>
    </row>
    <row s="1666" customFormat="1" customHeight="1" ht="18.75" hidden="1">
      <c r="A92" s="1814"/>
      <c r="B92" s="361" t="s">
        <v>1674</v>
      </c>
      <c r="C92" s="2297"/>
      <c r="D92" s="2023"/>
      <c r="E92" s="2127"/>
      <c r="F92" s="2127"/>
      <c r="G92" s="397"/>
      <c r="H92" s="392" t="s">
        <v>1570</v>
      </c>
      <c r="I92" s="337"/>
      <c r="J92" s="398"/>
      <c r="K92" s="180"/>
      <c r="L92" s="329"/>
      <c r="M92" s="322"/>
      <c r="N92" s="1655"/>
      <c r="O92" s="1655"/>
    </row>
    <row s="1666" customFormat="1" customHeight="1" ht="18.75" hidden="1">
      <c r="A93" s="1814" t="s">
        <v>260</v>
      </c>
      <c r="B93" s="361"/>
      <c r="C93" s="2297"/>
      <c r="D93" s="2023"/>
      <c r="E93" s="2127" t="str">
        <f>INDEX(PT_DIFFERENTIATION_VTAR,MATCH(A93,PT_DIFFERENTIATION_VTAR_ID,0))</f>
        <v>Тариф на транспортировку сточных вод</v>
      </c>
      <c r="F93" s="2127" t="str">
        <f>INDEX(PT_DIFFERENTIATION_VDET,MATCH(A93,PT_DIFFERENTIATION_VTAR_ID,0))</f>
        <v/>
      </c>
      <c r="G93" s="1800"/>
      <c r="H93" s="1769"/>
      <c r="I93" s="1807"/>
      <c r="J93" s="1812"/>
      <c r="K93" s="1799" t="s">
        <v>296</v>
      </c>
      <c r="L93" s="329"/>
      <c r="M93" s="322"/>
      <c r="N93" s="1655"/>
      <c r="O93" s="1655"/>
    </row>
    <row s="1666" customFormat="1" customHeight="1" ht="18.75" hidden="1">
      <c r="A94" s="1814"/>
      <c r="B94" s="361" t="s">
        <v>1674</v>
      </c>
      <c r="C94" s="2297"/>
      <c r="D94" s="2023"/>
      <c r="E94" s="2127"/>
      <c r="F94" s="2127"/>
      <c r="G94" s="397"/>
      <c r="H94" s="392" t="s">
        <v>1570</v>
      </c>
      <c r="I94" s="337"/>
      <c r="J94" s="398"/>
      <c r="K94" s="180"/>
      <c r="L94" s="329"/>
      <c r="M94" s="322"/>
      <c r="N94" s="1655"/>
      <c r="O94" s="1655"/>
    </row>
    <row s="1666" customFormat="1" customHeight="1" ht="18.75" hidden="1">
      <c r="A95" s="1814" t="s">
        <v>265</v>
      </c>
      <c r="B95" s="361"/>
      <c r="C95" s="2297"/>
      <c r="D95" s="2023"/>
      <c r="E95" s="2127" t="str">
        <f>INDEX(PT_DIFFERENTIATION_VTAR,MATCH(A95,PT_DIFFERENTIATION_VTAR_ID,0))</f>
        <v>Тариф на подключение (технологическое присоединение) к централизованной системе водоотведения</v>
      </c>
      <c r="F95" s="2127" t="str">
        <f>INDEX(PT_DIFFERENTIATION_VDET,MATCH(A95,PT_DIFFERENTIATION_VTAR_ID,0))</f>
        <v/>
      </c>
      <c r="G95" s="1800"/>
      <c r="H95" s="1769"/>
      <c r="I95" s="1807"/>
      <c r="J95" s="1812"/>
      <c r="K95" s="1799" t="s">
        <v>296</v>
      </c>
      <c r="L95" s="329"/>
      <c r="M95" s="322"/>
      <c r="N95" s="1655"/>
      <c r="O95" s="1655"/>
    </row>
    <row s="1666" customFormat="1" customHeight="1" ht="18.75" hidden="1">
      <c r="A96" s="1814"/>
      <c r="B96" s="361" t="s">
        <v>1674</v>
      </c>
      <c r="C96" s="2297"/>
      <c r="D96" s="2023"/>
      <c r="E96" s="2127"/>
      <c r="F96" s="2127"/>
      <c r="G96" s="397"/>
      <c r="H96" s="392" t="s">
        <v>1570</v>
      </c>
      <c r="I96" s="337"/>
      <c r="J96" s="398"/>
      <c r="K96" s="180"/>
      <c r="L96" s="329"/>
      <c r="M96" s="322"/>
      <c r="N96" s="1655"/>
      <c r="O96" s="1655"/>
    </row>
    <row customHeight="1" ht="18.75">
      <c r="A97" s="1814"/>
      <c r="C97" s="368"/>
      <c r="D97" s="127" t="s">
        <v>90</v>
      </c>
      <c r="E97" s="2285" t="str">
        <f>"Годовой объем "&amp;IF(TEMPLATE_SPHERE="HEAT","полезного отпуска тепловой энергии (теплоносителя)","потребителям воды")</f>
        <v>Годовой объем потребителям воды</v>
      </c>
      <c r="F97" s="2285"/>
      <c r="G97" s="2285"/>
      <c r="H97" s="2285"/>
      <c r="I97" s="2285"/>
      <c r="J97" s="2285"/>
      <c r="K97" s="2285"/>
      <c r="L97" s="277"/>
      <c r="M97" s="322"/>
    </row>
    <row s="1666" customFormat="1" customHeight="1" ht="56.25" hidden="1">
      <c r="A98" s="1814" t="s">
        <v>159</v>
      </c>
      <c r="B98" s="361"/>
      <c r="C98" s="2297"/>
      <c r="D98" s="2023"/>
      <c r="E98" s="2127" t="str">
        <f>INDEX(PT_DIFFERENTIATION_VTAR,MATCH(A98,PT_DIFFERENTIATION_VTAR_ID,0))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98" s="2127" t="str">
        <f>INDEX(PT_DIFFERENTIATION_VDET,MATCH(A98,PT_DIFFERENTIATION_VTAR_ID,0))</f>
        <v/>
      </c>
      <c r="G98" s="1800"/>
      <c r="H98" s="1769"/>
      <c r="I98" s="1807"/>
      <c r="J98" s="1812"/>
      <c r="K98" s="1799" t="s">
        <v>296</v>
      </c>
      <c r="L98"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M98" s="322"/>
      <c r="N98" s="1655"/>
      <c r="O98" s="1655"/>
    </row>
    <row s="1666" customFormat="1" customHeight="1" ht="18.75" hidden="1">
      <c r="A99" s="1814"/>
      <c r="B99" s="361" t="s">
        <v>1674</v>
      </c>
      <c r="C99" s="2297"/>
      <c r="D99" s="2023"/>
      <c r="E99" s="2127"/>
      <c r="F99" s="2127"/>
      <c r="G99" s="397"/>
      <c r="H99" s="392" t="s">
        <v>1570</v>
      </c>
      <c r="I99" s="337"/>
      <c r="J99" s="398"/>
      <c r="K99" s="180"/>
      <c r="L99" s="1989"/>
      <c r="M99" s="322"/>
      <c r="N99" s="1655"/>
      <c r="O99" s="1655"/>
    </row>
    <row s="1666" customFormat="1" customHeight="1" ht="26.25" hidden="1">
      <c r="A100" s="1814" t="s">
        <v>165</v>
      </c>
      <c r="B100" s="361"/>
      <c r="C100" s="2297"/>
      <c r="D100" s="2023"/>
      <c r="E100" s="2127" t="str">
        <f>INDEX(PT_DIFFERENTIATION_VTAR,MATCH(A100,PT_DIFFERENTIATION_VTAR_ID,0))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00" s="2127" t="str">
        <f>INDEX(PT_DIFFERENTIATION_VDET,MATCH(A100,PT_DIFFERENTIATION_VTAR_ID,0))</f>
        <v/>
      </c>
      <c r="G100" s="1800"/>
      <c r="H100" s="1769"/>
      <c r="I100" s="1807"/>
      <c r="J100" s="1812"/>
      <c r="K100" s="1799" t="s">
        <v>296</v>
      </c>
      <c r="L100" s="1990"/>
      <c r="M100" s="322"/>
      <c r="N100" s="1655"/>
      <c r="O100" s="1655"/>
    </row>
    <row s="1666" customFormat="1" customHeight="1" ht="18.75" hidden="1">
      <c r="A101" s="1814"/>
      <c r="B101" s="361" t="s">
        <v>1674</v>
      </c>
      <c r="C101" s="2297"/>
      <c r="D101" s="2023"/>
      <c r="E101" s="2127"/>
      <c r="F101" s="2127"/>
      <c r="G101" s="397"/>
      <c r="H101" s="392" t="s">
        <v>1570</v>
      </c>
      <c r="I101" s="337"/>
      <c r="J101" s="398"/>
      <c r="K101" s="180"/>
      <c r="L101" s="329"/>
      <c r="M101" s="322"/>
      <c r="N101" s="1655"/>
      <c r="O101" s="1655"/>
    </row>
    <row s="1666" customFormat="1" customHeight="1" ht="18.75" hidden="1">
      <c r="A102" s="1814" t="s">
        <v>171</v>
      </c>
      <c r="B102" s="361"/>
      <c r="C102" s="2297"/>
      <c r="D102" s="2023"/>
      <c r="E102" s="2127" t="str">
        <f>INDEX(PT_DIFFERENTIATION_VTAR,MATCH(A102,PT_DIFFERENTIATION_VTAR_ID,0))</f>
        <v>Тарифы на теплоноситель, поставляемый теплоснабжающими организациями потребителям, другим теплоснабжающим организациям</v>
      </c>
      <c r="F102" s="2127" t="str">
        <f>INDEX(PT_DIFFERENTIATION_VDET,MATCH(A102,PT_DIFFERENTIATION_VTAR_ID,0))</f>
        <v/>
      </c>
      <c r="G102" s="1800"/>
      <c r="H102" s="1769"/>
      <c r="I102" s="1807"/>
      <c r="J102" s="1812"/>
      <c r="K102" s="1799" t="s">
        <v>296</v>
      </c>
      <c r="L102" s="329"/>
      <c r="M102" s="322"/>
      <c r="N102" s="1655"/>
      <c r="O102" s="1655"/>
    </row>
    <row s="1666" customFormat="1" customHeight="1" ht="18.75" hidden="1">
      <c r="A103" s="1814"/>
      <c r="B103" s="361" t="s">
        <v>1674</v>
      </c>
      <c r="C103" s="2297"/>
      <c r="D103" s="2023"/>
      <c r="E103" s="2127"/>
      <c r="F103" s="2127"/>
      <c r="G103" s="397"/>
      <c r="H103" s="392" t="s">
        <v>1570</v>
      </c>
      <c r="I103" s="337"/>
      <c r="J103" s="398"/>
      <c r="K103" s="180"/>
      <c r="L103" s="329"/>
      <c r="M103" s="322"/>
      <c r="N103" s="1655"/>
      <c r="O103" s="1655"/>
    </row>
    <row s="1666" customFormat="1" customHeight="1" ht="41.25" hidden="1">
      <c r="A104" s="1814" t="s">
        <v>177</v>
      </c>
      <c r="B104" s="361"/>
      <c r="C104" s="2297"/>
      <c r="D104" s="2023"/>
      <c r="E104" s="2127" t="str">
        <f>INDEX(PT_DIFFERENTIATION_VTAR,MATCH(A104,PT_DIFFERENTIATION_VTAR_ID,0))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04" s="2127" t="str">
        <f>INDEX(PT_DIFFERENTIATION_VDET,MATCH(A104,PT_DIFFERENTIATION_VTAR_ID,0))</f>
        <v/>
      </c>
      <c r="G104" s="1800"/>
      <c r="H104" s="1769"/>
      <c r="I104" s="1807"/>
      <c r="J104" s="1812"/>
      <c r="K104" s="1799" t="s">
        <v>296</v>
      </c>
      <c r="L104" s="329"/>
      <c r="M104" s="322"/>
      <c r="N104" s="1655"/>
      <c r="O104" s="1655"/>
    </row>
    <row s="1666" customFormat="1" customHeight="1" ht="18.75" hidden="1">
      <c r="A105" s="1814"/>
      <c r="B105" s="361" t="s">
        <v>1674</v>
      </c>
      <c r="C105" s="2297"/>
      <c r="D105" s="2023"/>
      <c r="E105" s="2127"/>
      <c r="F105" s="2127"/>
      <c r="G105" s="397"/>
      <c r="H105" s="392" t="s">
        <v>1570</v>
      </c>
      <c r="I105" s="337"/>
      <c r="J105" s="398"/>
      <c r="K105" s="180"/>
      <c r="L105" s="329"/>
      <c r="M105" s="322"/>
      <c r="N105" s="1655"/>
      <c r="O105" s="1655"/>
    </row>
    <row s="1666" customFormat="1" customHeight="1" ht="18.75" hidden="1">
      <c r="A106" s="1814" t="s">
        <v>183</v>
      </c>
      <c r="B106" s="361"/>
      <c r="C106" s="2297"/>
      <c r="D106" s="2023"/>
      <c r="E106" s="2127" t="str">
        <f>INDEX(PT_DIFFERENTIATION_VTAR,MATCH(A106,PT_DIFFERENTIATION_VTAR_ID,0))</f>
        <v>Тарифы на услуги по передаче тепловой энергии</v>
      </c>
      <c r="F106" s="2127" t="str">
        <f>INDEX(PT_DIFFERENTIATION_VDET,MATCH(A106,PT_DIFFERENTIATION_VTAR_ID,0))</f>
        <v/>
      </c>
      <c r="G106" s="1800"/>
      <c r="H106" s="1769"/>
      <c r="I106" s="1807"/>
      <c r="J106" s="1812"/>
      <c r="K106" s="1799" t="s">
        <v>296</v>
      </c>
      <c r="L106" s="329"/>
      <c r="M106" s="322"/>
      <c r="N106" s="1655"/>
      <c r="O106" s="1655"/>
    </row>
    <row s="1666" customFormat="1" customHeight="1" ht="18.75" hidden="1">
      <c r="A107" s="1814"/>
      <c r="B107" s="361" t="s">
        <v>1674</v>
      </c>
      <c r="C107" s="2297"/>
      <c r="D107" s="2023"/>
      <c r="E107" s="2127"/>
      <c r="F107" s="2127"/>
      <c r="G107" s="397"/>
      <c r="H107" s="392" t="s">
        <v>1570</v>
      </c>
      <c r="I107" s="337"/>
      <c r="J107" s="398"/>
      <c r="K107" s="180"/>
      <c r="L107" s="329"/>
      <c r="M107" s="322"/>
      <c r="N107" s="1655"/>
      <c r="O107" s="1655"/>
    </row>
    <row s="1666" customFormat="1" customHeight="1" ht="18.75" hidden="1">
      <c r="A108" s="1814" t="s">
        <v>189</v>
      </c>
      <c r="B108" s="361"/>
      <c r="C108" s="2297"/>
      <c r="D108" s="2023"/>
      <c r="E108" s="2127" t="str">
        <f>INDEX(PT_DIFFERENTIATION_VTAR,MATCH(A108,PT_DIFFERENTIATION_VTAR_ID,0))</f>
        <v>Тарифы на услуги по передаче теплоносителя</v>
      </c>
      <c r="F108" s="2127" t="str">
        <f>INDEX(PT_DIFFERENTIATION_VDET,MATCH(A108,PT_DIFFERENTIATION_VTAR_ID,0))</f>
        <v/>
      </c>
      <c r="G108" s="1800"/>
      <c r="H108" s="1769"/>
      <c r="I108" s="1807"/>
      <c r="J108" s="1812"/>
      <c r="K108" s="1799" t="s">
        <v>296</v>
      </c>
      <c r="L108" s="329"/>
      <c r="M108" s="322"/>
      <c r="N108" s="1655"/>
      <c r="O108" s="1655"/>
    </row>
    <row s="1666" customFormat="1" customHeight="1" ht="18.75" hidden="1">
      <c r="A109" s="1814"/>
      <c r="B109" s="361" t="s">
        <v>1674</v>
      </c>
      <c r="C109" s="2297"/>
      <c r="D109" s="2023"/>
      <c r="E109" s="2127"/>
      <c r="F109" s="2127"/>
      <c r="G109" s="397"/>
      <c r="H109" s="392" t="s">
        <v>1570</v>
      </c>
      <c r="I109" s="337"/>
      <c r="J109" s="398"/>
      <c r="K109" s="180"/>
      <c r="L109" s="329"/>
      <c r="M109" s="322"/>
      <c r="N109" s="1655"/>
      <c r="O109" s="1655"/>
    </row>
    <row s="1666" customFormat="1" customHeight="1" ht="18.75" hidden="1">
      <c r="A110" s="1814" t="s">
        <v>195</v>
      </c>
      <c r="B110" s="361"/>
      <c r="C110" s="2297"/>
      <c r="D110" s="2023"/>
      <c r="E110" s="2127" t="str">
        <f>INDEX(PT_DIFFERENTIATION_VTAR,MATCH(A110,PT_DIFFERENTIATION_VTAR_ID,0))</f>
        <v>Плата за услуги по поддержанию резервной тепловой мощности при отсутствии потребления тепловой энергии</v>
      </c>
      <c r="F110" s="2127" t="str">
        <f>INDEX(PT_DIFFERENTIATION_VDET,MATCH(A110,PT_DIFFERENTIATION_VTAR_ID,0))</f>
        <v/>
      </c>
      <c r="G110" s="1800"/>
      <c r="H110" s="1769"/>
      <c r="I110" s="1807"/>
      <c r="J110" s="1812"/>
      <c r="K110" s="1799" t="s">
        <v>296</v>
      </c>
      <c r="L110" s="329"/>
      <c r="M110" s="322"/>
      <c r="N110" s="1655"/>
      <c r="O110" s="1655"/>
    </row>
    <row s="1666" customFormat="1" customHeight="1" ht="18.75" hidden="1">
      <c r="A111" s="1814"/>
      <c r="B111" s="361" t="s">
        <v>1674</v>
      </c>
      <c r="C111" s="2297"/>
      <c r="D111" s="2023"/>
      <c r="E111" s="2127"/>
      <c r="F111" s="2127"/>
      <c r="G111" s="397"/>
      <c r="H111" s="392" t="s">
        <v>1570</v>
      </c>
      <c r="I111" s="337"/>
      <c r="J111" s="398"/>
      <c r="K111" s="180"/>
      <c r="L111" s="329"/>
      <c r="M111" s="322"/>
      <c r="N111" s="1655"/>
      <c r="O111" s="1655"/>
    </row>
    <row s="1666" customFormat="1" customHeight="1" ht="18.75" hidden="1">
      <c r="A112" s="1814" t="s">
        <v>201</v>
      </c>
      <c r="B112" s="361"/>
      <c r="C112" s="2297"/>
      <c r="D112" s="2023"/>
      <c r="E112" s="2127" t="str">
        <f>INDEX(PT_DIFFERENTIATION_VTAR,MATCH(A112,PT_DIFFERENTIATION_VTAR_ID,0))</f>
        <v>Плата за подключение (технологическое присоединение) к системе теплоснабжения</v>
      </c>
      <c r="F112" s="2127" t="str">
        <f>INDEX(PT_DIFFERENTIATION_VDET,MATCH(A112,PT_DIFFERENTIATION_VTAR_ID,0))</f>
        <v/>
      </c>
      <c r="G112" s="1800"/>
      <c r="H112" s="1769"/>
      <c r="I112" s="1807"/>
      <c r="J112" s="1812"/>
      <c r="K112" s="1799" t="s">
        <v>296</v>
      </c>
      <c r="L112" s="329"/>
      <c r="M112" s="322"/>
      <c r="N112" s="1655"/>
      <c r="O112" s="1655"/>
    </row>
    <row s="1666" customFormat="1" customHeight="1" ht="18.75" hidden="1">
      <c r="A113" s="1814"/>
      <c r="B113" s="361" t="s">
        <v>1674</v>
      </c>
      <c r="C113" s="2297"/>
      <c r="D113" s="2023"/>
      <c r="E113" s="2127"/>
      <c r="F113" s="2127"/>
      <c r="G113" s="397"/>
      <c r="H113" s="392" t="s">
        <v>1570</v>
      </c>
      <c r="I113" s="337"/>
      <c r="J113" s="398"/>
      <c r="K113" s="180"/>
      <c r="L113" s="329"/>
      <c r="M113" s="322"/>
      <c r="N113" s="1655"/>
      <c r="O113" s="1655"/>
    </row>
    <row s="1666" customFormat="1" customHeight="1" ht="18.75" hidden="1">
      <c r="A114" s="1814" t="s">
        <v>215</v>
      </c>
      <c r="B114" s="361"/>
      <c r="C114" s="2297"/>
      <c r="D114" s="2023"/>
      <c r="E114" s="2127" t="str">
        <f>INDEX(PT_DIFFERENTIATION_VTAR,MATCH(A114,PT_DIFFERENTIATION_VTAR_ID,0))</f>
        <v>Тариф на питьевую воду (питьевое водоснабжение)</v>
      </c>
      <c r="F114" s="2127" t="str">
        <f>INDEX(PT_DIFFERENTIATION_VDET,MATCH(A114,PT_DIFFERENTIATION_VTAR_ID,0))</f>
        <v/>
      </c>
      <c r="G114" s="1800"/>
      <c r="H114" s="1769"/>
      <c r="I114" s="1807"/>
      <c r="J114" s="1812"/>
      <c r="K114" s="1799" t="s">
        <v>296</v>
      </c>
      <c r="L114" s="329"/>
      <c r="M114" s="322"/>
      <c r="N114" s="1655"/>
      <c r="O114" s="1655"/>
    </row>
    <row s="1666" customFormat="1" customHeight="1" ht="18.75" hidden="1">
      <c r="A115" s="1814"/>
      <c r="B115" s="361" t="s">
        <v>1674</v>
      </c>
      <c r="C115" s="2297"/>
      <c r="D115" s="2023"/>
      <c r="E115" s="2127"/>
      <c r="F115" s="2127"/>
      <c r="G115" s="397"/>
      <c r="H115" s="392" t="s">
        <v>1570</v>
      </c>
      <c r="I115" s="337"/>
      <c r="J115" s="398"/>
      <c r="K115" s="180"/>
      <c r="L115" s="329"/>
      <c r="M115" s="322"/>
      <c r="N115" s="1655"/>
      <c r="O115" s="1655"/>
    </row>
    <row s="1666" customFormat="1" customHeight="1" ht="18.75" hidden="1">
      <c r="A116" s="1814" t="s">
        <v>220</v>
      </c>
      <c r="B116" s="361"/>
      <c r="C116" s="2297"/>
      <c r="D116" s="2023"/>
      <c r="E116" s="2127" t="str">
        <f>INDEX(PT_DIFFERENTIATION_VTAR,MATCH(A116,PT_DIFFERENTIATION_VTAR_ID,0))</f>
        <v>Тариф на техническую воду</v>
      </c>
      <c r="F116" s="2127" t="str">
        <f>INDEX(PT_DIFFERENTIATION_VDET,MATCH(A116,PT_DIFFERENTIATION_VTAR_ID,0))</f>
        <v/>
      </c>
      <c r="G116" s="1800"/>
      <c r="H116" s="1769"/>
      <c r="I116" s="1807"/>
      <c r="J116" s="1812"/>
      <c r="K116" s="1799" t="s">
        <v>296</v>
      </c>
      <c r="L116" s="329"/>
      <c r="M116" s="322"/>
      <c r="N116" s="1655"/>
      <c r="O116" s="1655"/>
    </row>
    <row s="1666" customFormat="1" customHeight="1" ht="18.75" hidden="1">
      <c r="A117" s="1814"/>
      <c r="B117" s="361" t="s">
        <v>1674</v>
      </c>
      <c r="C117" s="2297"/>
      <c r="D117" s="2023"/>
      <c r="E117" s="2127"/>
      <c r="F117" s="2127"/>
      <c r="G117" s="397"/>
      <c r="H117" s="392" t="s">
        <v>1570</v>
      </c>
      <c r="I117" s="337"/>
      <c r="J117" s="398"/>
      <c r="K117" s="180"/>
      <c r="L117" s="329"/>
      <c r="M117" s="322"/>
      <c r="N117" s="1655"/>
      <c r="O117" s="1655"/>
    </row>
    <row s="1666" customFormat="1" customHeight="1" ht="18.75" hidden="1">
      <c r="A118" s="1814" t="s">
        <v>225</v>
      </c>
      <c r="B118" s="361"/>
      <c r="C118" s="2297"/>
      <c r="D118" s="2023"/>
      <c r="E118" s="2127" t="str">
        <f>INDEX(PT_DIFFERENTIATION_VTAR,MATCH(A118,PT_DIFFERENTIATION_VTAR_ID,0))</f>
        <v>Тариф на транспортировку воды</v>
      </c>
      <c r="F118" s="2127" t="str">
        <f>INDEX(PT_DIFFERENTIATION_VDET,MATCH(A118,PT_DIFFERENTIATION_VTAR_ID,0))</f>
        <v/>
      </c>
      <c r="G118" s="1800"/>
      <c r="H118" s="1769"/>
      <c r="I118" s="1807"/>
      <c r="J118" s="1812"/>
      <c r="K118" s="1799" t="s">
        <v>296</v>
      </c>
      <c r="L118" s="329"/>
      <c r="M118" s="322"/>
      <c r="N118" s="1655"/>
      <c r="O118" s="1655"/>
    </row>
    <row s="1666" customFormat="1" customHeight="1" ht="18.75" hidden="1">
      <c r="A119" s="1814"/>
      <c r="B119" s="361" t="s">
        <v>1674</v>
      </c>
      <c r="C119" s="2297"/>
      <c r="D119" s="2023"/>
      <c r="E119" s="2127"/>
      <c r="F119" s="2127"/>
      <c r="G119" s="397"/>
      <c r="H119" s="392" t="s">
        <v>1570</v>
      </c>
      <c r="I119" s="337"/>
      <c r="J119" s="398"/>
      <c r="K119" s="180"/>
      <c r="L119" s="329"/>
      <c r="M119" s="322"/>
      <c r="N119" s="1655"/>
      <c r="O119" s="1655"/>
    </row>
    <row s="1666" customFormat="1" customHeight="1" ht="18.75" hidden="1">
      <c r="A120" s="1814" t="s">
        <v>230</v>
      </c>
      <c r="B120" s="361"/>
      <c r="C120" s="2297"/>
      <c r="D120" s="2023"/>
      <c r="E120" s="2127" t="str">
        <f>INDEX(PT_DIFFERENTIATION_VTAR,MATCH(A120,PT_DIFFERENTIATION_VTAR_ID,0))</f>
        <v>Тариф на подвоз воды</v>
      </c>
      <c r="F120" s="2127" t="str">
        <f>INDEX(PT_DIFFERENTIATION_VDET,MATCH(A120,PT_DIFFERENTIATION_VTAR_ID,0))</f>
        <v/>
      </c>
      <c r="G120" s="1800"/>
      <c r="H120" s="1769"/>
      <c r="I120" s="1807"/>
      <c r="J120" s="1812"/>
      <c r="K120" s="1799" t="s">
        <v>296</v>
      </c>
      <c r="L120" s="329"/>
      <c r="M120" s="322"/>
      <c r="N120" s="1655"/>
      <c r="O120" s="1655"/>
    </row>
    <row s="1666" customFormat="1" customHeight="1" ht="18.75" hidden="1">
      <c r="A121" s="1814"/>
      <c r="B121" s="361" t="s">
        <v>1674</v>
      </c>
      <c r="C121" s="2297"/>
      <c r="D121" s="2023"/>
      <c r="E121" s="2127"/>
      <c r="F121" s="2127"/>
      <c r="G121" s="397"/>
      <c r="H121" s="392" t="s">
        <v>1570</v>
      </c>
      <c r="I121" s="337"/>
      <c r="J121" s="398"/>
      <c r="K121" s="180"/>
      <c r="L121" s="329"/>
      <c r="M121" s="322"/>
      <c r="N121" s="1655"/>
      <c r="O121" s="1655"/>
    </row>
    <row s="1666" customFormat="1" customHeight="1" ht="18.75" hidden="1">
      <c r="A122" s="1814" t="s">
        <v>235</v>
      </c>
      <c r="B122" s="361"/>
      <c r="C122" s="2297"/>
      <c r="D122" s="2023"/>
      <c r="E122" s="2127" t="str">
        <f>INDEX(PT_DIFFERENTIATION_VTAR,MATCH(A122,PT_DIFFERENTIATION_VTAR_ID,0))</f>
        <v>Тариф на подключение (технологическое присоединение) к централизованной системе холодного водоснабжения</v>
      </c>
      <c r="F122" s="2127" t="str">
        <f>INDEX(PT_DIFFERENTIATION_VDET,MATCH(A122,PT_DIFFERENTIATION_VTAR_ID,0))</f>
        <v/>
      </c>
      <c r="G122" s="1800"/>
      <c r="H122" s="1769"/>
      <c r="I122" s="1807"/>
      <c r="J122" s="1812"/>
      <c r="K122" s="1799" t="s">
        <v>296</v>
      </c>
      <c r="L122" s="329"/>
      <c r="M122" s="322"/>
      <c r="N122" s="1655"/>
      <c r="O122" s="1655"/>
    </row>
    <row s="1666" customFormat="1" customHeight="1" ht="18.75" hidden="1">
      <c r="A123" s="1814"/>
      <c r="B123" s="361" t="s">
        <v>1674</v>
      </c>
      <c r="C123" s="2297"/>
      <c r="D123" s="2023"/>
      <c r="E123" s="2127"/>
      <c r="F123" s="2127"/>
      <c r="G123" s="397"/>
      <c r="H123" s="392" t="s">
        <v>1570</v>
      </c>
      <c r="I123" s="337"/>
      <c r="J123" s="398"/>
      <c r="K123" s="180"/>
      <c r="L123" s="329"/>
      <c r="M123" s="322"/>
      <c r="N123" s="1655"/>
      <c r="O123" s="1655"/>
    </row>
    <row s="1666" customFormat="1" customHeight="1" ht="18.75" hidden="1">
      <c r="A124" s="1814" t="s">
        <v>240</v>
      </c>
      <c r="B124" s="361"/>
      <c r="C124" s="2297"/>
      <c r="D124" s="2023"/>
      <c r="E124" s="2127" t="str">
        <f>INDEX(PT_DIFFERENTIATION_VTAR,MATCH(A124,PT_DIFFERENTIATION_VTAR_ID,0))</f>
        <v>Тариф на горячую воду (горячее водоснабжение)</v>
      </c>
      <c r="F124" s="2127" t="str">
        <f>INDEX(PT_DIFFERENTIATION_VDET,MATCH(A124,PT_DIFFERENTIATION_VTAR_ID,0))</f>
        <v/>
      </c>
      <c r="G124" s="1800"/>
      <c r="H124" s="1769"/>
      <c r="I124" s="1807"/>
      <c r="J124" s="1812"/>
      <c r="K124" s="1799" t="s">
        <v>296</v>
      </c>
      <c r="L124" s="329"/>
      <c r="M124" s="322"/>
      <c r="N124" s="1655"/>
      <c r="O124" s="1655"/>
    </row>
    <row s="1666" customFormat="1" customHeight="1" ht="18.75" hidden="1">
      <c r="A125" s="1814"/>
      <c r="B125" s="361" t="s">
        <v>1674</v>
      </c>
      <c r="C125" s="2297"/>
      <c r="D125" s="2023"/>
      <c r="E125" s="2127"/>
      <c r="F125" s="2127"/>
      <c r="G125" s="397"/>
      <c r="H125" s="392" t="s">
        <v>1570</v>
      </c>
      <c r="I125" s="337"/>
      <c r="J125" s="398"/>
      <c r="K125" s="180"/>
      <c r="L125" s="329"/>
      <c r="M125" s="322"/>
      <c r="N125" s="1655"/>
      <c r="O125" s="1655"/>
    </row>
    <row s="1666" customFormat="1" customHeight="1" ht="18.75" hidden="1">
      <c r="A126" s="1814" t="s">
        <v>245</v>
      </c>
      <c r="B126" s="361"/>
      <c r="C126" s="2297"/>
      <c r="D126" s="2023"/>
      <c r="E126" s="2127" t="str">
        <f>INDEX(PT_DIFFERENTIATION_VTAR,MATCH(A126,PT_DIFFERENTIATION_VTAR_ID,0))</f>
        <v>Тариф на транспортировку горячей воды</v>
      </c>
      <c r="F126" s="2127" t="str">
        <f>INDEX(PT_DIFFERENTIATION_VDET,MATCH(A126,PT_DIFFERENTIATION_VTAR_ID,0))</f>
        <v/>
      </c>
      <c r="G126" s="1800"/>
      <c r="H126" s="1769"/>
      <c r="I126" s="1807"/>
      <c r="J126" s="1812"/>
      <c r="K126" s="1799" t="s">
        <v>296</v>
      </c>
      <c r="L126" s="329"/>
      <c r="M126" s="322"/>
      <c r="N126" s="1655"/>
      <c r="O126" s="1655"/>
    </row>
    <row s="1666" customFormat="1" customHeight="1" ht="18.75" hidden="1">
      <c r="A127" s="1814"/>
      <c r="B127" s="361" t="s">
        <v>1674</v>
      </c>
      <c r="C127" s="2297"/>
      <c r="D127" s="2023"/>
      <c r="E127" s="2127"/>
      <c r="F127" s="2127"/>
      <c r="G127" s="397"/>
      <c r="H127" s="392" t="s">
        <v>1570</v>
      </c>
      <c r="I127" s="337"/>
      <c r="J127" s="398"/>
      <c r="K127" s="180"/>
      <c r="L127" s="329"/>
      <c r="M127" s="322"/>
      <c r="N127" s="1655"/>
      <c r="O127" s="1655"/>
    </row>
    <row s="1666" customFormat="1" customHeight="1" ht="18.75" hidden="1">
      <c r="A128" s="1814" t="s">
        <v>250</v>
      </c>
      <c r="B128" s="361"/>
      <c r="C128" s="2297"/>
      <c r="D128" s="2023"/>
      <c r="E128" s="2127" t="str">
        <f>INDEX(PT_DIFFERENTIATION_VTAR,MATCH(A128,PT_DIFFERENTIATION_VTAR_ID,0))</f>
        <v>Тариф на подключение (технологическое присоединение) к централизованной системе горячего водоснабжения</v>
      </c>
      <c r="F128" s="2127" t="str">
        <f>INDEX(PT_DIFFERENTIATION_VDET,MATCH(A128,PT_DIFFERENTIATION_VTAR_ID,0))</f>
        <v/>
      </c>
      <c r="G128" s="1800"/>
      <c r="H128" s="1769"/>
      <c r="I128" s="1807"/>
      <c r="J128" s="1812"/>
      <c r="K128" s="1799" t="s">
        <v>296</v>
      </c>
      <c r="L128" s="329"/>
      <c r="M128" s="322"/>
      <c r="N128" s="1655"/>
      <c r="O128" s="1655"/>
    </row>
    <row s="1666" customFormat="1" customHeight="1" ht="18.75" hidden="1">
      <c r="A129" s="1814"/>
      <c r="B129" s="361" t="s">
        <v>1674</v>
      </c>
      <c r="C129" s="2297"/>
      <c r="D129" s="2023"/>
      <c r="E129" s="2127"/>
      <c r="F129" s="2127"/>
      <c r="G129" s="397"/>
      <c r="H129" s="392" t="s">
        <v>1570</v>
      </c>
      <c r="I129" s="337"/>
      <c r="J129" s="398"/>
      <c r="K129" s="180"/>
      <c r="L129" s="329"/>
      <c r="M129" s="322"/>
      <c r="N129" s="1655"/>
      <c r="O129" s="1655"/>
    </row>
    <row s="1666" customFormat="1" customHeight="1" ht="18.75" hidden="1">
      <c r="A130" s="1814" t="s">
        <v>255</v>
      </c>
      <c r="B130" s="361"/>
      <c r="C130" s="2297"/>
      <c r="D130" s="2023"/>
      <c r="E130" s="2127" t="str">
        <f>INDEX(PT_DIFFERENTIATION_VTAR,MATCH(A130,PT_DIFFERENTIATION_VTAR_ID,0))</f>
        <v>Тариф на водоотведение</v>
      </c>
      <c r="F130" s="2127" t="str">
        <f>INDEX(PT_DIFFERENTIATION_VDET,MATCH(A130,PT_DIFFERENTIATION_VTAR_ID,0))</f>
        <v/>
      </c>
      <c r="G130" s="1800"/>
      <c r="H130" s="1769"/>
      <c r="I130" s="1807"/>
      <c r="J130" s="1812"/>
      <c r="K130" s="1799" t="s">
        <v>296</v>
      </c>
      <c r="L130" s="329"/>
      <c r="M130" s="322"/>
      <c r="N130" s="1655"/>
      <c r="O130" s="1655"/>
    </row>
    <row s="1666" customFormat="1" customHeight="1" ht="18.75" hidden="1">
      <c r="A131" s="1814"/>
      <c r="B131" s="361" t="s">
        <v>1674</v>
      </c>
      <c r="C131" s="2297"/>
      <c r="D131" s="2023"/>
      <c r="E131" s="2127"/>
      <c r="F131" s="2127"/>
      <c r="G131" s="397"/>
      <c r="H131" s="392" t="s">
        <v>1570</v>
      </c>
      <c r="I131" s="337"/>
      <c r="J131" s="398"/>
      <c r="K131" s="180"/>
      <c r="L131" s="329"/>
      <c r="M131" s="322"/>
      <c r="N131" s="1655"/>
      <c r="O131" s="1655"/>
    </row>
    <row s="1666" customFormat="1" customHeight="1" ht="18.75" hidden="1">
      <c r="A132" s="1814" t="s">
        <v>260</v>
      </c>
      <c r="B132" s="361"/>
      <c r="C132" s="2297"/>
      <c r="D132" s="2023"/>
      <c r="E132" s="2127" t="str">
        <f>INDEX(PT_DIFFERENTIATION_VTAR,MATCH(A132,PT_DIFFERENTIATION_VTAR_ID,0))</f>
        <v>Тариф на транспортировку сточных вод</v>
      </c>
      <c r="F132" s="2127" t="str">
        <f>INDEX(PT_DIFFERENTIATION_VDET,MATCH(A132,PT_DIFFERENTIATION_VTAR_ID,0))</f>
        <v/>
      </c>
      <c r="G132" s="1800"/>
      <c r="H132" s="1769"/>
      <c r="I132" s="1807"/>
      <c r="J132" s="1812"/>
      <c r="K132" s="1799" t="s">
        <v>296</v>
      </c>
      <c r="L132" s="329"/>
      <c r="M132" s="322"/>
      <c r="N132" s="1655"/>
      <c r="O132" s="1655"/>
    </row>
    <row s="1666" customFormat="1" customHeight="1" ht="18.75" hidden="1">
      <c r="A133" s="1814"/>
      <c r="B133" s="361" t="s">
        <v>1674</v>
      </c>
      <c r="C133" s="2297"/>
      <c r="D133" s="2023"/>
      <c r="E133" s="2127"/>
      <c r="F133" s="2127"/>
      <c r="G133" s="397"/>
      <c r="H133" s="392" t="s">
        <v>1570</v>
      </c>
      <c r="I133" s="337"/>
      <c r="J133" s="398"/>
      <c r="K133" s="180"/>
      <c r="L133" s="329"/>
      <c r="M133" s="322"/>
      <c r="N133" s="1655"/>
      <c r="O133" s="1655"/>
    </row>
    <row s="1666" customFormat="1" customHeight="1" ht="18.75" hidden="1">
      <c r="A134" s="1814" t="s">
        <v>265</v>
      </c>
      <c r="B134" s="361"/>
      <c r="C134" s="2297"/>
      <c r="D134" s="2023"/>
      <c r="E134" s="2127" t="str">
        <f>INDEX(PT_DIFFERENTIATION_VTAR,MATCH(A134,PT_DIFFERENTIATION_VTAR_ID,0))</f>
        <v>Тариф на подключение (технологическое присоединение) к централизованной системе водоотведения</v>
      </c>
      <c r="F134" s="2127" t="str">
        <f>INDEX(PT_DIFFERENTIATION_VDET,MATCH(A134,PT_DIFFERENTIATION_VTAR_ID,0))</f>
        <v/>
      </c>
      <c r="G134" s="1800"/>
      <c r="H134" s="1769"/>
      <c r="I134" s="1807"/>
      <c r="J134" s="1812"/>
      <c r="K134" s="1799" t="s">
        <v>296</v>
      </c>
      <c r="L134" s="329"/>
      <c r="M134" s="322"/>
      <c r="N134" s="1655"/>
      <c r="O134" s="1655"/>
    </row>
    <row s="1666" customFormat="1" customHeight="1" ht="18.75" hidden="1">
      <c r="A135" s="1814"/>
      <c r="B135" s="361" t="s">
        <v>1674</v>
      </c>
      <c r="C135" s="2297"/>
      <c r="D135" s="2023"/>
      <c r="E135" s="2127"/>
      <c r="F135" s="2127"/>
      <c r="G135" s="397"/>
      <c r="H135" s="392" t="s">
        <v>1570</v>
      </c>
      <c r="I135" s="337"/>
      <c r="J135" s="398"/>
      <c r="K135" s="180"/>
      <c r="L135" s="329"/>
      <c r="M135" s="322"/>
      <c r="N135" s="1655"/>
      <c r="O135" s="1655"/>
    </row>
    <row customHeight="1" ht="26.25">
      <c r="A136" s="1814"/>
      <c r="C136" s="368"/>
      <c r="D136" s="127" t="s">
        <v>110</v>
      </c>
      <c r="E136" s="22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F136" s="2285"/>
      <c r="G136" s="2285"/>
      <c r="H136" s="2285"/>
      <c r="I136" s="2285"/>
      <c r="J136" s="2285"/>
      <c r="K136" s="2285"/>
      <c r="L136" s="277"/>
      <c r="M136" s="322"/>
    </row>
    <row s="1666" customFormat="1" customHeight="1" ht="56.25" hidden="1">
      <c r="A137" s="1814" t="s">
        <v>159</v>
      </c>
      <c r="B137" s="361"/>
      <c r="C137" s="2297"/>
      <c r="D137" s="2023"/>
      <c r="E137" s="2127" t="str">
        <f>INDEX(PT_DIFFERENTIATION_VTAR,MATCH(A137,PT_DIFFERENTIATION_VTAR_ID,0))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37" s="2127" t="str">
        <f>INDEX(PT_DIFFERENTIATION_VDET,MATCH(A137,PT_DIFFERENTIATION_VTAR_ID,0))</f>
        <v/>
      </c>
      <c r="G137" s="1800"/>
      <c r="H137" s="1769"/>
      <c r="I137" s="1807"/>
      <c r="J137" s="1812"/>
      <c r="K137" s="1799" t="s">
        <v>296</v>
      </c>
      <c r="L137"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M137" s="322"/>
      <c r="N137" s="1655"/>
      <c r="O137" s="1655"/>
    </row>
    <row s="1666" customFormat="1" customHeight="1" ht="18.75" hidden="1">
      <c r="A138" s="1814"/>
      <c r="B138" s="361" t="s">
        <v>1674</v>
      </c>
      <c r="C138" s="2297"/>
      <c r="D138" s="2023"/>
      <c r="E138" s="2127"/>
      <c r="F138" s="2127"/>
      <c r="G138" s="397"/>
      <c r="H138" s="392" t="s">
        <v>1570</v>
      </c>
      <c r="I138" s="337"/>
      <c r="J138" s="398"/>
      <c r="K138" s="180"/>
      <c r="L138" s="1989"/>
      <c r="M138" s="322"/>
      <c r="N138" s="1655"/>
      <c r="O138" s="1655"/>
    </row>
    <row s="1666" customFormat="1" customHeight="1" ht="26.25" hidden="1">
      <c r="A139" s="1814" t="s">
        <v>165</v>
      </c>
      <c r="B139" s="361"/>
      <c r="C139" s="2297"/>
      <c r="D139" s="2023"/>
      <c r="E139" s="2127" t="str">
        <f>INDEX(PT_DIFFERENTIATION_VTAR,MATCH(A139,PT_DIFFERENTIATION_VTAR_ID,0))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39" s="2127" t="str">
        <f>INDEX(PT_DIFFERENTIATION_VDET,MATCH(A139,PT_DIFFERENTIATION_VTAR_ID,0))</f>
        <v/>
      </c>
      <c r="G139" s="1800"/>
      <c r="H139" s="1769"/>
      <c r="I139" s="1807"/>
      <c r="J139" s="1812"/>
      <c r="K139" s="1799" t="s">
        <v>296</v>
      </c>
      <c r="L139" s="1990"/>
      <c r="M139" s="322"/>
      <c r="N139" s="1655"/>
      <c r="O139" s="1655"/>
    </row>
    <row s="1666" customFormat="1" customHeight="1" ht="18.75" hidden="1">
      <c r="A140" s="1814"/>
      <c r="B140" s="361" t="s">
        <v>1674</v>
      </c>
      <c r="C140" s="2297"/>
      <c r="D140" s="2023"/>
      <c r="E140" s="2127"/>
      <c r="F140" s="2127"/>
      <c r="G140" s="397"/>
      <c r="H140" s="392" t="s">
        <v>1570</v>
      </c>
      <c r="I140" s="337"/>
      <c r="J140" s="398"/>
      <c r="K140" s="180"/>
      <c r="L140" s="329"/>
      <c r="M140" s="322"/>
      <c r="N140" s="1655"/>
      <c r="O140" s="1655"/>
    </row>
    <row s="1666" customFormat="1" customHeight="1" ht="18.75" hidden="1">
      <c r="A141" s="1814" t="s">
        <v>171</v>
      </c>
      <c r="B141" s="361"/>
      <c r="C141" s="2297"/>
      <c r="D141" s="2023"/>
      <c r="E141" s="2127" t="str">
        <f>INDEX(PT_DIFFERENTIATION_VTAR,MATCH(A141,PT_DIFFERENTIATION_VTAR_ID,0))</f>
        <v>Тарифы на теплоноситель, поставляемый теплоснабжающими организациями потребителям, другим теплоснабжающим организациям</v>
      </c>
      <c r="F141" s="2127" t="str">
        <f>INDEX(PT_DIFFERENTIATION_VDET,MATCH(A141,PT_DIFFERENTIATION_VTAR_ID,0))</f>
        <v/>
      </c>
      <c r="G141" s="1800"/>
      <c r="H141" s="1769"/>
      <c r="I141" s="1807"/>
      <c r="J141" s="1812"/>
      <c r="K141" s="1799" t="s">
        <v>296</v>
      </c>
      <c r="L141" s="329"/>
      <c r="M141" s="322"/>
      <c r="N141" s="1655"/>
      <c r="O141" s="1655"/>
    </row>
    <row s="1666" customFormat="1" customHeight="1" ht="18.75" hidden="1">
      <c r="A142" s="1814"/>
      <c r="B142" s="361" t="s">
        <v>1674</v>
      </c>
      <c r="C142" s="2297"/>
      <c r="D142" s="2023"/>
      <c r="E142" s="2127"/>
      <c r="F142" s="2127"/>
      <c r="G142" s="397"/>
      <c r="H142" s="392" t="s">
        <v>1570</v>
      </c>
      <c r="I142" s="337"/>
      <c r="J142" s="398"/>
      <c r="K142" s="180"/>
      <c r="L142" s="329"/>
      <c r="M142" s="322"/>
      <c r="N142" s="1655"/>
      <c r="O142" s="1655"/>
    </row>
    <row s="1666" customFormat="1" customHeight="1" ht="40.5" hidden="1">
      <c r="A143" s="1814" t="s">
        <v>177</v>
      </c>
      <c r="B143" s="361"/>
      <c r="C143" s="2297"/>
      <c r="D143" s="2023"/>
      <c r="E143" s="2127" t="str">
        <f>INDEX(PT_DIFFERENTIATION_VTAR,MATCH(A143,PT_DIFFERENTIATION_VTAR_ID,0))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43" s="2127" t="str">
        <f>INDEX(PT_DIFFERENTIATION_VDET,MATCH(A143,PT_DIFFERENTIATION_VTAR_ID,0))</f>
        <v/>
      </c>
      <c r="G143" s="1800"/>
      <c r="H143" s="1769"/>
      <c r="I143" s="1807"/>
      <c r="J143" s="1812"/>
      <c r="K143" s="1799" t="s">
        <v>296</v>
      </c>
      <c r="L143" s="329"/>
      <c r="M143" s="322"/>
      <c r="N143" s="1655"/>
      <c r="O143" s="1655"/>
    </row>
    <row s="1666" customFormat="1" customHeight="1" ht="18.75" hidden="1">
      <c r="A144" s="1814"/>
      <c r="B144" s="361" t="s">
        <v>1674</v>
      </c>
      <c r="C144" s="2297"/>
      <c r="D144" s="2023"/>
      <c r="E144" s="2127"/>
      <c r="F144" s="2127"/>
      <c r="G144" s="397"/>
      <c r="H144" s="392" t="s">
        <v>1570</v>
      </c>
      <c r="I144" s="337"/>
      <c r="J144" s="398"/>
      <c r="K144" s="180"/>
      <c r="L144" s="329"/>
      <c r="M144" s="322"/>
      <c r="N144" s="1655"/>
      <c r="O144" s="1655"/>
    </row>
    <row s="1666" customFormat="1" customHeight="1" ht="18.75" hidden="1">
      <c r="A145" s="1814" t="s">
        <v>183</v>
      </c>
      <c r="B145" s="361"/>
      <c r="C145" s="2297"/>
      <c r="D145" s="2023"/>
      <c r="E145" s="2127" t="str">
        <f>INDEX(PT_DIFFERENTIATION_VTAR,MATCH(A145,PT_DIFFERENTIATION_VTAR_ID,0))</f>
        <v>Тарифы на услуги по передаче тепловой энергии</v>
      </c>
      <c r="F145" s="2127" t="str">
        <f>INDEX(PT_DIFFERENTIATION_VDET,MATCH(A145,PT_DIFFERENTIATION_VTAR_ID,0))</f>
        <v/>
      </c>
      <c r="G145" s="1800"/>
      <c r="H145" s="1769"/>
      <c r="I145" s="1807"/>
      <c r="J145" s="1812"/>
      <c r="K145" s="1799" t="s">
        <v>296</v>
      </c>
      <c r="L145" s="329"/>
      <c r="M145" s="322"/>
      <c r="N145" s="1655"/>
      <c r="O145" s="1655"/>
    </row>
    <row s="1666" customFormat="1" customHeight="1" ht="18.75" hidden="1">
      <c r="A146" s="1814"/>
      <c r="B146" s="361" t="s">
        <v>1674</v>
      </c>
      <c r="C146" s="2297"/>
      <c r="D146" s="2023"/>
      <c r="E146" s="2127"/>
      <c r="F146" s="2127"/>
      <c r="G146" s="397"/>
      <c r="H146" s="392" t="s">
        <v>1570</v>
      </c>
      <c r="I146" s="337"/>
      <c r="J146" s="398"/>
      <c r="K146" s="180"/>
      <c r="L146" s="329"/>
      <c r="M146" s="322"/>
      <c r="N146" s="1655"/>
      <c r="O146" s="1655"/>
    </row>
    <row s="1666" customFormat="1" customHeight="1" ht="18.75" hidden="1">
      <c r="A147" s="1814" t="s">
        <v>189</v>
      </c>
      <c r="B147" s="361"/>
      <c r="C147" s="2297"/>
      <c r="D147" s="2023"/>
      <c r="E147" s="2127" t="str">
        <f>INDEX(PT_DIFFERENTIATION_VTAR,MATCH(A147,PT_DIFFERENTIATION_VTAR_ID,0))</f>
        <v>Тарифы на услуги по передаче теплоносителя</v>
      </c>
      <c r="F147" s="2127" t="str">
        <f>INDEX(PT_DIFFERENTIATION_VDET,MATCH(A147,PT_DIFFERENTIATION_VTAR_ID,0))</f>
        <v/>
      </c>
      <c r="G147" s="1800"/>
      <c r="H147" s="1769"/>
      <c r="I147" s="1807"/>
      <c r="J147" s="1812"/>
      <c r="K147" s="1799" t="s">
        <v>296</v>
      </c>
      <c r="L147" s="329"/>
      <c r="M147" s="322"/>
      <c r="N147" s="1655"/>
      <c r="O147" s="1655"/>
    </row>
    <row s="1666" customFormat="1" customHeight="1" ht="18.75" hidden="1">
      <c r="A148" s="1814"/>
      <c r="B148" s="361" t="s">
        <v>1674</v>
      </c>
      <c r="C148" s="2297"/>
      <c r="D148" s="2023"/>
      <c r="E148" s="2127"/>
      <c r="F148" s="2127"/>
      <c r="G148" s="397"/>
      <c r="H148" s="392" t="s">
        <v>1570</v>
      </c>
      <c r="I148" s="337"/>
      <c r="J148" s="398"/>
      <c r="K148" s="180"/>
      <c r="L148" s="329"/>
      <c r="M148" s="322"/>
      <c r="N148" s="1655"/>
      <c r="O148" s="1655"/>
    </row>
    <row s="1666" customFormat="1" customHeight="1" ht="18.75" hidden="1">
      <c r="A149" s="1814" t="s">
        <v>195</v>
      </c>
      <c r="B149" s="361"/>
      <c r="C149" s="2297"/>
      <c r="D149" s="2023"/>
      <c r="E149" s="2127" t="str">
        <f>INDEX(PT_DIFFERENTIATION_VTAR,MATCH(A149,PT_DIFFERENTIATION_VTAR_ID,0))</f>
        <v>Плата за услуги по поддержанию резервной тепловой мощности при отсутствии потребления тепловой энергии</v>
      </c>
      <c r="F149" s="2127" t="str">
        <f>INDEX(PT_DIFFERENTIATION_VDET,MATCH(A149,PT_DIFFERENTIATION_VTAR_ID,0))</f>
        <v/>
      </c>
      <c r="G149" s="1800"/>
      <c r="H149" s="1769"/>
      <c r="I149" s="1807"/>
      <c r="J149" s="1812"/>
      <c r="K149" s="1799" t="s">
        <v>296</v>
      </c>
      <c r="L149" s="329"/>
      <c r="M149" s="322"/>
      <c r="N149" s="1655"/>
      <c r="O149" s="1655"/>
    </row>
    <row s="1666" customFormat="1" customHeight="1" ht="18.75" hidden="1">
      <c r="A150" s="1814"/>
      <c r="B150" s="361" t="s">
        <v>1674</v>
      </c>
      <c r="C150" s="2297"/>
      <c r="D150" s="2023"/>
      <c r="E150" s="2127"/>
      <c r="F150" s="2127"/>
      <c r="G150" s="397"/>
      <c r="H150" s="392" t="s">
        <v>1570</v>
      </c>
      <c r="I150" s="337"/>
      <c r="J150" s="398"/>
      <c r="K150" s="180"/>
      <c r="L150" s="329"/>
      <c r="M150" s="322"/>
      <c r="N150" s="1655"/>
      <c r="O150" s="1655"/>
    </row>
    <row s="1666" customFormat="1" customHeight="1" ht="18.75" hidden="1">
      <c r="A151" s="1814" t="s">
        <v>201</v>
      </c>
      <c r="B151" s="361"/>
      <c r="C151" s="2297"/>
      <c r="D151" s="2023"/>
      <c r="E151" s="2127" t="str">
        <f>INDEX(PT_DIFFERENTIATION_VTAR,MATCH(A151,PT_DIFFERENTIATION_VTAR_ID,0))</f>
        <v>Плата за подключение (технологическое присоединение) к системе теплоснабжения</v>
      </c>
      <c r="F151" s="2127" t="str">
        <f>INDEX(PT_DIFFERENTIATION_VDET,MATCH(A151,PT_DIFFERENTIATION_VTAR_ID,0))</f>
        <v/>
      </c>
      <c r="G151" s="1800"/>
      <c r="H151" s="1769"/>
      <c r="I151" s="1807"/>
      <c r="J151" s="1812"/>
      <c r="K151" s="1799" t="s">
        <v>296</v>
      </c>
      <c r="L151" s="329"/>
      <c r="M151" s="322"/>
      <c r="N151" s="1655"/>
      <c r="O151" s="1655"/>
    </row>
    <row s="1666" customFormat="1" customHeight="1" ht="18.75" hidden="1">
      <c r="A152" s="1814"/>
      <c r="B152" s="361" t="s">
        <v>1674</v>
      </c>
      <c r="C152" s="2297"/>
      <c r="D152" s="2023"/>
      <c r="E152" s="2127"/>
      <c r="F152" s="2127"/>
      <c r="G152" s="397"/>
      <c r="H152" s="392" t="s">
        <v>1570</v>
      </c>
      <c r="I152" s="337"/>
      <c r="J152" s="398"/>
      <c r="K152" s="180"/>
      <c r="L152" s="329"/>
      <c r="M152" s="322"/>
      <c r="N152" s="1655"/>
      <c r="O152" s="1655"/>
    </row>
    <row s="1666" customFormat="1" customHeight="1" ht="18.75" hidden="1">
      <c r="A153" s="1814" t="s">
        <v>215</v>
      </c>
      <c r="B153" s="361"/>
      <c r="C153" s="2297"/>
      <c r="D153" s="2023"/>
      <c r="E153" s="2127" t="str">
        <f>INDEX(PT_DIFFERENTIATION_VTAR,MATCH(A153,PT_DIFFERENTIATION_VTAR_ID,0))</f>
        <v>Тариф на питьевую воду (питьевое водоснабжение)</v>
      </c>
      <c r="F153" s="2127" t="str">
        <f>INDEX(PT_DIFFERENTIATION_VDET,MATCH(A153,PT_DIFFERENTIATION_VTAR_ID,0))</f>
        <v/>
      </c>
      <c r="G153" s="1800"/>
      <c r="H153" s="1769"/>
      <c r="I153" s="1807"/>
      <c r="J153" s="1812"/>
      <c r="K153" s="1799" t="s">
        <v>296</v>
      </c>
      <c r="L153" s="329"/>
      <c r="M153" s="322"/>
      <c r="N153" s="1655"/>
      <c r="O153" s="1655"/>
    </row>
    <row s="1666" customFormat="1" customHeight="1" ht="18.75" hidden="1">
      <c r="A154" s="1814"/>
      <c r="B154" s="361" t="s">
        <v>1674</v>
      </c>
      <c r="C154" s="2297"/>
      <c r="D154" s="2023"/>
      <c r="E154" s="2127"/>
      <c r="F154" s="2127"/>
      <c r="G154" s="397"/>
      <c r="H154" s="392" t="s">
        <v>1570</v>
      </c>
      <c r="I154" s="337"/>
      <c r="J154" s="398"/>
      <c r="K154" s="180"/>
      <c r="L154" s="329"/>
      <c r="M154" s="322"/>
      <c r="N154" s="1655"/>
      <c r="O154" s="1655"/>
    </row>
    <row s="1666" customFormat="1" customHeight="1" ht="18.75" hidden="1">
      <c r="A155" s="1814" t="s">
        <v>220</v>
      </c>
      <c r="B155" s="361"/>
      <c r="C155" s="2297"/>
      <c r="D155" s="2023"/>
      <c r="E155" s="2127" t="str">
        <f>INDEX(PT_DIFFERENTIATION_VTAR,MATCH(A155,PT_DIFFERENTIATION_VTAR_ID,0))</f>
        <v>Тариф на техническую воду</v>
      </c>
      <c r="F155" s="2127" t="str">
        <f>INDEX(PT_DIFFERENTIATION_VDET,MATCH(A155,PT_DIFFERENTIATION_VTAR_ID,0))</f>
        <v/>
      </c>
      <c r="G155" s="1800"/>
      <c r="H155" s="1769"/>
      <c r="I155" s="1807"/>
      <c r="J155" s="1812"/>
      <c r="K155" s="1799" t="s">
        <v>296</v>
      </c>
      <c r="L155" s="329"/>
      <c r="M155" s="322"/>
      <c r="N155" s="1655"/>
      <c r="O155" s="1655"/>
    </row>
    <row s="1666" customFormat="1" customHeight="1" ht="18.75" hidden="1">
      <c r="A156" s="1814"/>
      <c r="B156" s="361" t="s">
        <v>1674</v>
      </c>
      <c r="C156" s="2297"/>
      <c r="D156" s="2023"/>
      <c r="E156" s="2127"/>
      <c r="F156" s="2127"/>
      <c r="G156" s="397"/>
      <c r="H156" s="392" t="s">
        <v>1570</v>
      </c>
      <c r="I156" s="337"/>
      <c r="J156" s="398"/>
      <c r="K156" s="180"/>
      <c r="L156" s="329"/>
      <c r="M156" s="322"/>
      <c r="N156" s="1655"/>
      <c r="O156" s="1655"/>
    </row>
    <row s="1666" customFormat="1" customHeight="1" ht="18.75" hidden="1">
      <c r="A157" s="1814" t="s">
        <v>225</v>
      </c>
      <c r="B157" s="361"/>
      <c r="C157" s="2297"/>
      <c r="D157" s="2023"/>
      <c r="E157" s="2127" t="str">
        <f>INDEX(PT_DIFFERENTIATION_VTAR,MATCH(A157,PT_DIFFERENTIATION_VTAR_ID,0))</f>
        <v>Тариф на транспортировку воды</v>
      </c>
      <c r="F157" s="2127" t="str">
        <f>INDEX(PT_DIFFERENTIATION_VDET,MATCH(A157,PT_DIFFERENTIATION_VTAR_ID,0))</f>
        <v/>
      </c>
      <c r="G157" s="1800"/>
      <c r="H157" s="1769"/>
      <c r="I157" s="1807"/>
      <c r="J157" s="1812"/>
      <c r="K157" s="1799" t="s">
        <v>296</v>
      </c>
      <c r="L157" s="329"/>
      <c r="M157" s="322"/>
      <c r="N157" s="1655"/>
      <c r="O157" s="1655"/>
    </row>
    <row s="1666" customFormat="1" customHeight="1" ht="18.75" hidden="1">
      <c r="A158" s="1814"/>
      <c r="B158" s="361" t="s">
        <v>1674</v>
      </c>
      <c r="C158" s="2297"/>
      <c r="D158" s="2023"/>
      <c r="E158" s="2127"/>
      <c r="F158" s="2127"/>
      <c r="G158" s="397"/>
      <c r="H158" s="392" t="s">
        <v>1570</v>
      </c>
      <c r="I158" s="337"/>
      <c r="J158" s="398"/>
      <c r="K158" s="180"/>
      <c r="L158" s="329"/>
      <c r="M158" s="322"/>
      <c r="N158" s="1655"/>
      <c r="O158" s="1655"/>
    </row>
    <row s="1666" customFormat="1" customHeight="1" ht="18.75" hidden="1">
      <c r="A159" s="1814" t="s">
        <v>230</v>
      </c>
      <c r="B159" s="361"/>
      <c r="C159" s="2297"/>
      <c r="D159" s="2023"/>
      <c r="E159" s="2127" t="str">
        <f>INDEX(PT_DIFFERENTIATION_VTAR,MATCH(A159,PT_DIFFERENTIATION_VTAR_ID,0))</f>
        <v>Тариф на подвоз воды</v>
      </c>
      <c r="F159" s="2127" t="str">
        <f>INDEX(PT_DIFFERENTIATION_VDET,MATCH(A159,PT_DIFFERENTIATION_VTAR_ID,0))</f>
        <v/>
      </c>
      <c r="G159" s="1800"/>
      <c r="H159" s="1769"/>
      <c r="I159" s="1807"/>
      <c r="J159" s="1812"/>
      <c r="K159" s="1799" t="s">
        <v>296</v>
      </c>
      <c r="L159" s="329"/>
      <c r="M159" s="322"/>
      <c r="N159" s="1655"/>
      <c r="O159" s="1655"/>
    </row>
    <row s="1666" customFormat="1" customHeight="1" ht="18.75" hidden="1">
      <c r="A160" s="1814"/>
      <c r="B160" s="361" t="s">
        <v>1674</v>
      </c>
      <c r="C160" s="2297"/>
      <c r="D160" s="2023"/>
      <c r="E160" s="2127"/>
      <c r="F160" s="2127"/>
      <c r="G160" s="397"/>
      <c r="H160" s="392" t="s">
        <v>1570</v>
      </c>
      <c r="I160" s="337"/>
      <c r="J160" s="398"/>
      <c r="K160" s="180"/>
      <c r="L160" s="329"/>
      <c r="M160" s="322"/>
      <c r="N160" s="1655"/>
      <c r="O160" s="1655"/>
    </row>
    <row s="1666" customFormat="1" customHeight="1" ht="18.75" hidden="1">
      <c r="A161" s="1814" t="s">
        <v>235</v>
      </c>
      <c r="B161" s="361"/>
      <c r="C161" s="2297"/>
      <c r="D161" s="2023"/>
      <c r="E161" s="2127" t="str">
        <f>INDEX(PT_DIFFERENTIATION_VTAR,MATCH(A161,PT_DIFFERENTIATION_VTAR_ID,0))</f>
        <v>Тариф на подключение (технологическое присоединение) к централизованной системе холодного водоснабжения</v>
      </c>
      <c r="F161" s="2127" t="str">
        <f>INDEX(PT_DIFFERENTIATION_VDET,MATCH(A161,PT_DIFFERENTIATION_VTAR_ID,0))</f>
        <v/>
      </c>
      <c r="G161" s="1800"/>
      <c r="H161" s="1769"/>
      <c r="I161" s="1807"/>
      <c r="J161" s="1812"/>
      <c r="K161" s="1799" t="s">
        <v>296</v>
      </c>
      <c r="L161" s="329"/>
      <c r="M161" s="322"/>
      <c r="N161" s="1655"/>
      <c r="O161" s="1655"/>
    </row>
    <row s="1666" customFormat="1" customHeight="1" ht="18.75" hidden="1">
      <c r="A162" s="1814"/>
      <c r="B162" s="361" t="s">
        <v>1674</v>
      </c>
      <c r="C162" s="2297"/>
      <c r="D162" s="2023"/>
      <c r="E162" s="2127"/>
      <c r="F162" s="2127"/>
      <c r="G162" s="397"/>
      <c r="H162" s="392" t="s">
        <v>1570</v>
      </c>
      <c r="I162" s="337"/>
      <c r="J162" s="398"/>
      <c r="K162" s="180"/>
      <c r="L162" s="329"/>
      <c r="M162" s="322"/>
      <c r="N162" s="1655"/>
      <c r="O162" s="1655"/>
    </row>
    <row s="1666" customFormat="1" customHeight="1" ht="18.75" hidden="1">
      <c r="A163" s="1814" t="s">
        <v>240</v>
      </c>
      <c r="B163" s="361"/>
      <c r="C163" s="2297"/>
      <c r="D163" s="2023"/>
      <c r="E163" s="2127" t="str">
        <f>INDEX(PT_DIFFERENTIATION_VTAR,MATCH(A163,PT_DIFFERENTIATION_VTAR_ID,0))</f>
        <v>Тариф на горячую воду (горячее водоснабжение)</v>
      </c>
      <c r="F163" s="2127" t="str">
        <f>INDEX(PT_DIFFERENTIATION_VDET,MATCH(A163,PT_DIFFERENTIATION_VTAR_ID,0))</f>
        <v/>
      </c>
      <c r="G163" s="1800"/>
      <c r="H163" s="1769"/>
      <c r="I163" s="1807"/>
      <c r="J163" s="1812"/>
      <c r="K163" s="1799" t="s">
        <v>296</v>
      </c>
      <c r="L163" s="329"/>
      <c r="M163" s="322"/>
      <c r="N163" s="1655"/>
      <c r="O163" s="1655"/>
    </row>
    <row s="1666" customFormat="1" customHeight="1" ht="18.75" hidden="1">
      <c r="A164" s="1814"/>
      <c r="B164" s="361" t="s">
        <v>1674</v>
      </c>
      <c r="C164" s="2297"/>
      <c r="D164" s="2023"/>
      <c r="E164" s="2127"/>
      <c r="F164" s="2127"/>
      <c r="G164" s="397"/>
      <c r="H164" s="392" t="s">
        <v>1570</v>
      </c>
      <c r="I164" s="337"/>
      <c r="J164" s="398"/>
      <c r="K164" s="180"/>
      <c r="L164" s="329"/>
      <c r="M164" s="322"/>
      <c r="N164" s="1655"/>
      <c r="O164" s="1655"/>
    </row>
    <row s="1666" customFormat="1" customHeight="1" ht="18.75" hidden="1">
      <c r="A165" s="1814" t="s">
        <v>245</v>
      </c>
      <c r="B165" s="361"/>
      <c r="C165" s="2297"/>
      <c r="D165" s="2023"/>
      <c r="E165" s="2127" t="str">
        <f>INDEX(PT_DIFFERENTIATION_VTAR,MATCH(A165,PT_DIFFERENTIATION_VTAR_ID,0))</f>
        <v>Тариф на транспортировку горячей воды</v>
      </c>
      <c r="F165" s="2127" t="str">
        <f>INDEX(PT_DIFFERENTIATION_VDET,MATCH(A165,PT_DIFFERENTIATION_VTAR_ID,0))</f>
        <v/>
      </c>
      <c r="G165" s="1800"/>
      <c r="H165" s="1769"/>
      <c r="I165" s="1807"/>
      <c r="J165" s="1812"/>
      <c r="K165" s="1799" t="s">
        <v>296</v>
      </c>
      <c r="L165" s="329"/>
      <c r="M165" s="322"/>
      <c r="N165" s="1655"/>
      <c r="O165" s="1655"/>
    </row>
    <row s="1666" customFormat="1" customHeight="1" ht="18.75" hidden="1">
      <c r="A166" s="1814"/>
      <c r="B166" s="361" t="s">
        <v>1674</v>
      </c>
      <c r="C166" s="2297"/>
      <c r="D166" s="2023"/>
      <c r="E166" s="2127"/>
      <c r="F166" s="2127"/>
      <c r="G166" s="397"/>
      <c r="H166" s="392" t="s">
        <v>1570</v>
      </c>
      <c r="I166" s="337"/>
      <c r="J166" s="398"/>
      <c r="K166" s="180"/>
      <c r="L166" s="329"/>
      <c r="M166" s="322"/>
      <c r="N166" s="1655"/>
      <c r="O166" s="1655"/>
    </row>
    <row s="1666" customFormat="1" customHeight="1" ht="18.75" hidden="1">
      <c r="A167" s="1814" t="s">
        <v>250</v>
      </c>
      <c r="B167" s="361"/>
      <c r="C167" s="2297"/>
      <c r="D167" s="2023"/>
      <c r="E167" s="2127" t="str">
        <f>INDEX(PT_DIFFERENTIATION_VTAR,MATCH(A167,PT_DIFFERENTIATION_VTAR_ID,0))</f>
        <v>Тариф на подключение (технологическое присоединение) к централизованной системе горячего водоснабжения</v>
      </c>
      <c r="F167" s="2127" t="str">
        <f>INDEX(PT_DIFFERENTIATION_VDET,MATCH(A167,PT_DIFFERENTIATION_VTAR_ID,0))</f>
        <v/>
      </c>
      <c r="G167" s="1800"/>
      <c r="H167" s="1769"/>
      <c r="I167" s="1807"/>
      <c r="J167" s="1812"/>
      <c r="K167" s="1799" t="s">
        <v>296</v>
      </c>
      <c r="L167" s="329"/>
      <c r="M167" s="322"/>
      <c r="N167" s="1655"/>
      <c r="O167" s="1655"/>
    </row>
    <row s="1666" customFormat="1" customHeight="1" ht="18.75" hidden="1">
      <c r="A168" s="1814"/>
      <c r="B168" s="361" t="s">
        <v>1674</v>
      </c>
      <c r="C168" s="2297"/>
      <c r="D168" s="2023"/>
      <c r="E168" s="2127"/>
      <c r="F168" s="2127"/>
      <c r="G168" s="397"/>
      <c r="H168" s="392" t="s">
        <v>1570</v>
      </c>
      <c r="I168" s="337"/>
      <c r="J168" s="398"/>
      <c r="K168" s="180"/>
      <c r="L168" s="329"/>
      <c r="M168" s="322"/>
      <c r="N168" s="1655"/>
      <c r="O168" s="1655"/>
    </row>
    <row s="1666" customFormat="1" customHeight="1" ht="18.75" hidden="1">
      <c r="A169" s="1814" t="s">
        <v>255</v>
      </c>
      <c r="B169" s="361"/>
      <c r="C169" s="2297"/>
      <c r="D169" s="2023"/>
      <c r="E169" s="2127" t="str">
        <f>INDEX(PT_DIFFERENTIATION_VTAR,MATCH(A169,PT_DIFFERENTIATION_VTAR_ID,0))</f>
        <v>Тариф на водоотведение</v>
      </c>
      <c r="F169" s="2127" t="str">
        <f>INDEX(PT_DIFFERENTIATION_VDET,MATCH(A169,PT_DIFFERENTIATION_VTAR_ID,0))</f>
        <v/>
      </c>
      <c r="G169" s="1800"/>
      <c r="H169" s="1769"/>
      <c r="I169" s="1807"/>
      <c r="J169" s="1812"/>
      <c r="K169" s="1799" t="s">
        <v>296</v>
      </c>
      <c r="L169" s="329"/>
      <c r="M169" s="322"/>
      <c r="N169" s="1655"/>
      <c r="O169" s="1655"/>
    </row>
    <row s="1666" customFormat="1" customHeight="1" ht="18.75" hidden="1">
      <c r="A170" s="1814"/>
      <c r="B170" s="361" t="s">
        <v>1674</v>
      </c>
      <c r="C170" s="2297"/>
      <c r="D170" s="2023"/>
      <c r="E170" s="2127"/>
      <c r="F170" s="2127"/>
      <c r="G170" s="397"/>
      <c r="H170" s="392" t="s">
        <v>1570</v>
      </c>
      <c r="I170" s="337"/>
      <c r="J170" s="398"/>
      <c r="K170" s="180"/>
      <c r="L170" s="329"/>
      <c r="M170" s="322"/>
      <c r="N170" s="1655"/>
      <c r="O170" s="1655"/>
    </row>
    <row s="1666" customFormat="1" customHeight="1" ht="18.75" hidden="1">
      <c r="A171" s="1814" t="s">
        <v>260</v>
      </c>
      <c r="B171" s="361"/>
      <c r="C171" s="2297"/>
      <c r="D171" s="2023"/>
      <c r="E171" s="2127" t="str">
        <f>INDEX(PT_DIFFERENTIATION_VTAR,MATCH(A171,PT_DIFFERENTIATION_VTAR_ID,0))</f>
        <v>Тариф на транспортировку сточных вод</v>
      </c>
      <c r="F171" s="2127" t="str">
        <f>INDEX(PT_DIFFERENTIATION_VDET,MATCH(A171,PT_DIFFERENTIATION_VTAR_ID,0))</f>
        <v/>
      </c>
      <c r="G171" s="1800"/>
      <c r="H171" s="1769"/>
      <c r="I171" s="1807"/>
      <c r="J171" s="1812"/>
      <c r="K171" s="1799" t="s">
        <v>296</v>
      </c>
      <c r="L171" s="329"/>
      <c r="M171" s="322"/>
      <c r="N171" s="1655"/>
      <c r="O171" s="1655"/>
    </row>
    <row s="1666" customFormat="1" customHeight="1" ht="18.75" hidden="1">
      <c r="A172" s="1814"/>
      <c r="B172" s="361" t="s">
        <v>1674</v>
      </c>
      <c r="C172" s="2297"/>
      <c r="D172" s="2023"/>
      <c r="E172" s="2127"/>
      <c r="F172" s="2127"/>
      <c r="G172" s="397"/>
      <c r="H172" s="392" t="s">
        <v>1570</v>
      </c>
      <c r="I172" s="337"/>
      <c r="J172" s="398"/>
      <c r="K172" s="180"/>
      <c r="L172" s="329"/>
      <c r="M172" s="322"/>
      <c r="N172" s="1655"/>
      <c r="O172" s="1655"/>
    </row>
    <row s="1666" customFormat="1" customHeight="1" ht="18.75" hidden="1">
      <c r="A173" s="1814" t="s">
        <v>265</v>
      </c>
      <c r="B173" s="361"/>
      <c r="C173" s="2297"/>
      <c r="D173" s="2023"/>
      <c r="E173" s="2127" t="str">
        <f>INDEX(PT_DIFFERENTIATION_VTAR,MATCH(A173,PT_DIFFERENTIATION_VTAR_ID,0))</f>
        <v>Тариф на подключение (технологическое присоединение) к централизованной системе водоотведения</v>
      </c>
      <c r="F173" s="2127" t="str">
        <f>INDEX(PT_DIFFERENTIATION_VDET,MATCH(A173,PT_DIFFERENTIATION_VTAR_ID,0))</f>
        <v/>
      </c>
      <c r="G173" s="1800"/>
      <c r="H173" s="1769"/>
      <c r="I173" s="1807"/>
      <c r="J173" s="1812"/>
      <c r="K173" s="1799" t="s">
        <v>296</v>
      </c>
      <c r="L173" s="329"/>
      <c r="M173" s="322"/>
      <c r="N173" s="1655"/>
      <c r="O173" s="1655"/>
    </row>
    <row s="1666" customFormat="1" customHeight="1" ht="18.75" hidden="1">
      <c r="A174" s="1814"/>
      <c r="B174" s="361" t="s">
        <v>1674</v>
      </c>
      <c r="C174" s="2297"/>
      <c r="D174" s="2023"/>
      <c r="E174" s="2127"/>
      <c r="F174" s="2127"/>
      <c r="G174" s="397"/>
      <c r="H174" s="392" t="s">
        <v>1570</v>
      </c>
      <c r="I174" s="337"/>
      <c r="J174" s="398"/>
      <c r="K174" s="180"/>
      <c r="L174" s="329"/>
      <c r="M174" s="322"/>
      <c r="N174" s="1655"/>
      <c r="O174" s="1655"/>
    </row>
    <row customHeight="1" ht="25.5">
      <c r="A175" s="1814"/>
      <c r="C175" s="368"/>
      <c r="D175" s="127" t="s">
        <v>91</v>
      </c>
      <c r="E175" s="2285" t="str">
        <f>"Размер экономически обоснованных расходов, не учтенных при установлении "&amp;IF(TEMPLATE_SPHERE="HEAT","регулируемых цен (тарифов)","тарифов")&amp;"в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тарифовв предыдущий период регулирования (при их наличии), определенных в соответствии с Основами ценообразования в сфере водоснабжения и водоотведения</v>
      </c>
      <c r="F175" s="2285"/>
      <c r="G175" s="2285"/>
      <c r="H175" s="2285"/>
      <c r="I175" s="2285"/>
      <c r="J175" s="2285"/>
      <c r="K175" s="2285"/>
      <c r="L175" s="277"/>
      <c r="M175" s="322"/>
    </row>
    <row s="1666" customFormat="1" customHeight="1" ht="56.25" hidden="1">
      <c r="A176" s="1814" t="s">
        <v>159</v>
      </c>
      <c r="B176" s="361"/>
      <c r="C176" s="2297"/>
      <c r="D176" s="2023"/>
      <c r="E176" s="2127" t="str">
        <f>INDEX(PT_DIFFERENTIATION_VTAR,MATCH(A176,PT_DIFFERENTIATION_VTAR_ID,0))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76" s="2127" t="str">
        <f>INDEX(PT_DIFFERENTIATION_VDET,MATCH(A176,PT_DIFFERENTIATION_VTAR_ID,0))</f>
        <v/>
      </c>
      <c r="G176" s="1800"/>
      <c r="H176" s="1769"/>
      <c r="I176" s="1807"/>
      <c r="J176" s="1812"/>
      <c r="K176" s="1799" t="s">
        <v>296</v>
      </c>
      <c r="L176"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M176" s="322"/>
      <c r="N176" s="1655"/>
      <c r="O176" s="1655"/>
    </row>
    <row s="1666" customFormat="1" customHeight="1" ht="18.75" hidden="1">
      <c r="A177" s="1814"/>
      <c r="B177" s="361" t="s">
        <v>1674</v>
      </c>
      <c r="C177" s="2297"/>
      <c r="D177" s="2023"/>
      <c r="E177" s="2127"/>
      <c r="F177" s="2127"/>
      <c r="G177" s="397"/>
      <c r="H177" s="392" t="s">
        <v>1570</v>
      </c>
      <c r="I177" s="337"/>
      <c r="J177" s="398"/>
      <c r="K177" s="180"/>
      <c r="L177" s="1989"/>
      <c r="M177" s="322"/>
      <c r="N177" s="1655"/>
      <c r="O177" s="1655"/>
    </row>
    <row s="1666" customFormat="1" customHeight="1" ht="26.25" hidden="1">
      <c r="A178" s="1814" t="s">
        <v>165</v>
      </c>
      <c r="B178" s="361"/>
      <c r="C178" s="2297"/>
      <c r="D178" s="2023"/>
      <c r="E178" s="2127" t="str">
        <f>INDEX(PT_DIFFERENTIATION_VTAR,MATCH(A178,PT_DIFFERENTIATION_VTAR_ID,0))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78" s="2127" t="str">
        <f>INDEX(PT_DIFFERENTIATION_VDET,MATCH(A178,PT_DIFFERENTIATION_VTAR_ID,0))</f>
        <v/>
      </c>
      <c r="G178" s="1800"/>
      <c r="H178" s="1769"/>
      <c r="I178" s="1807"/>
      <c r="J178" s="1812"/>
      <c r="K178" s="1799" t="s">
        <v>296</v>
      </c>
      <c r="L178" s="1990"/>
      <c r="M178" s="322"/>
      <c r="N178" s="1655"/>
      <c r="O178" s="1655"/>
    </row>
    <row s="1666" customFormat="1" customHeight="1" ht="18.75" hidden="1">
      <c r="A179" s="1814"/>
      <c r="B179" s="361" t="s">
        <v>1674</v>
      </c>
      <c r="C179" s="2297"/>
      <c r="D179" s="2023"/>
      <c r="E179" s="2127"/>
      <c r="F179" s="2127"/>
      <c r="G179" s="397"/>
      <c r="H179" s="392" t="s">
        <v>1570</v>
      </c>
      <c r="I179" s="337"/>
      <c r="J179" s="398"/>
      <c r="K179" s="180"/>
      <c r="L179" s="329"/>
      <c r="M179" s="322"/>
      <c r="N179" s="1655"/>
      <c r="O179" s="1655"/>
    </row>
    <row s="1666" customFormat="1" customHeight="1" ht="18.75" hidden="1">
      <c r="A180" s="1814" t="s">
        <v>171</v>
      </c>
      <c r="B180" s="361"/>
      <c r="C180" s="2297"/>
      <c r="D180" s="2023"/>
      <c r="E180" s="2127" t="str">
        <f>INDEX(PT_DIFFERENTIATION_VTAR,MATCH(A180,PT_DIFFERENTIATION_VTAR_ID,0))</f>
        <v>Тарифы на теплоноситель, поставляемый теплоснабжающими организациями потребителям, другим теплоснабжающим организациям</v>
      </c>
      <c r="F180" s="2127" t="str">
        <f>INDEX(PT_DIFFERENTIATION_VDET,MATCH(A180,PT_DIFFERENTIATION_VTAR_ID,0))</f>
        <v/>
      </c>
      <c r="G180" s="1800"/>
      <c r="H180" s="1769"/>
      <c r="I180" s="1807"/>
      <c r="J180" s="1812"/>
      <c r="K180" s="1799" t="s">
        <v>296</v>
      </c>
      <c r="L180" s="329"/>
      <c r="M180" s="322"/>
      <c r="N180" s="1655"/>
      <c r="O180" s="1655"/>
    </row>
    <row s="1666" customFormat="1" customHeight="1" ht="18.75" hidden="1">
      <c r="A181" s="1814"/>
      <c r="B181" s="361" t="s">
        <v>1674</v>
      </c>
      <c r="C181" s="2297"/>
      <c r="D181" s="2023"/>
      <c r="E181" s="2127"/>
      <c r="F181" s="2127"/>
      <c r="G181" s="397"/>
      <c r="H181" s="392" t="s">
        <v>1570</v>
      </c>
      <c r="I181" s="337"/>
      <c r="J181" s="398"/>
      <c r="K181" s="180"/>
      <c r="L181" s="329"/>
      <c r="M181" s="322"/>
      <c r="N181" s="1655"/>
      <c r="O181" s="1655"/>
    </row>
    <row s="1666" customFormat="1" customHeight="1" ht="41.25" hidden="1">
      <c r="A182" s="1814" t="s">
        <v>177</v>
      </c>
      <c r="B182" s="361"/>
      <c r="C182" s="2297"/>
      <c r="D182" s="2023"/>
      <c r="E182" s="2127" t="str">
        <f>INDEX(PT_DIFFERENTIATION_VTAR,MATCH(A182,PT_DIFFERENTIATION_VTAR_ID,0))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82" s="2127" t="str">
        <f>INDEX(PT_DIFFERENTIATION_VDET,MATCH(A182,PT_DIFFERENTIATION_VTAR_ID,0))</f>
        <v/>
      </c>
      <c r="G182" s="1800"/>
      <c r="H182" s="1769"/>
      <c r="I182" s="1807"/>
      <c r="J182" s="1812"/>
      <c r="K182" s="1799" t="s">
        <v>296</v>
      </c>
      <c r="L182" s="329"/>
      <c r="M182" s="322"/>
      <c r="N182" s="1655"/>
      <c r="O182" s="1655"/>
    </row>
    <row s="1666" customFormat="1" customHeight="1" ht="18.75" hidden="1">
      <c r="A183" s="1814"/>
      <c r="B183" s="361" t="s">
        <v>1674</v>
      </c>
      <c r="C183" s="2297"/>
      <c r="D183" s="2023"/>
      <c r="E183" s="2127"/>
      <c r="F183" s="2127"/>
      <c r="G183" s="397"/>
      <c r="H183" s="392" t="s">
        <v>1570</v>
      </c>
      <c r="I183" s="337"/>
      <c r="J183" s="398"/>
      <c r="K183" s="180"/>
      <c r="L183" s="329"/>
      <c r="M183" s="322"/>
      <c r="N183" s="1655"/>
      <c r="O183" s="1655"/>
    </row>
    <row s="1666" customFormat="1" customHeight="1" ht="18.75" hidden="1">
      <c r="A184" s="1814" t="s">
        <v>183</v>
      </c>
      <c r="B184" s="361"/>
      <c r="C184" s="2297"/>
      <c r="D184" s="2023"/>
      <c r="E184" s="2127" t="str">
        <f>INDEX(PT_DIFFERENTIATION_VTAR,MATCH(A184,PT_DIFFERENTIATION_VTAR_ID,0))</f>
        <v>Тарифы на услуги по передаче тепловой энергии</v>
      </c>
      <c r="F184" s="2127" t="str">
        <f>INDEX(PT_DIFFERENTIATION_VDET,MATCH(A184,PT_DIFFERENTIATION_VTAR_ID,0))</f>
        <v/>
      </c>
      <c r="G184" s="1800"/>
      <c r="H184" s="1769"/>
      <c r="I184" s="1807"/>
      <c r="J184" s="1812"/>
      <c r="K184" s="1799" t="s">
        <v>296</v>
      </c>
      <c r="L184" s="329"/>
      <c r="M184" s="322"/>
      <c r="N184" s="1655"/>
      <c r="O184" s="1655"/>
    </row>
    <row s="1666" customFormat="1" customHeight="1" ht="18.75" hidden="1">
      <c r="A185" s="1814"/>
      <c r="B185" s="361" t="s">
        <v>1674</v>
      </c>
      <c r="C185" s="2297"/>
      <c r="D185" s="2023"/>
      <c r="E185" s="2127"/>
      <c r="F185" s="2127"/>
      <c r="G185" s="397"/>
      <c r="H185" s="392" t="s">
        <v>1570</v>
      </c>
      <c r="I185" s="337"/>
      <c r="J185" s="398"/>
      <c r="K185" s="180"/>
      <c r="L185" s="329"/>
      <c r="M185" s="322"/>
      <c r="N185" s="1655"/>
      <c r="O185" s="1655"/>
    </row>
    <row s="1666" customFormat="1" customHeight="1" ht="18.75" hidden="1">
      <c r="A186" s="1814" t="s">
        <v>189</v>
      </c>
      <c r="B186" s="361"/>
      <c r="C186" s="2297"/>
      <c r="D186" s="2023"/>
      <c r="E186" s="2127" t="str">
        <f>INDEX(PT_DIFFERENTIATION_VTAR,MATCH(A186,PT_DIFFERENTIATION_VTAR_ID,0))</f>
        <v>Тарифы на услуги по передаче теплоносителя</v>
      </c>
      <c r="F186" s="2127" t="str">
        <f>INDEX(PT_DIFFERENTIATION_VDET,MATCH(A186,PT_DIFFERENTIATION_VTAR_ID,0))</f>
        <v/>
      </c>
      <c r="G186" s="1800"/>
      <c r="H186" s="1769"/>
      <c r="I186" s="1807"/>
      <c r="J186" s="1812"/>
      <c r="K186" s="1799" t="s">
        <v>296</v>
      </c>
      <c r="L186" s="329"/>
      <c r="M186" s="322"/>
      <c r="N186" s="1655"/>
      <c r="O186" s="1655"/>
    </row>
    <row s="1666" customFormat="1" customHeight="1" ht="18.75" hidden="1">
      <c r="A187" s="1814"/>
      <c r="B187" s="361" t="s">
        <v>1674</v>
      </c>
      <c r="C187" s="2297"/>
      <c r="D187" s="2023"/>
      <c r="E187" s="2127"/>
      <c r="F187" s="2127"/>
      <c r="G187" s="397"/>
      <c r="H187" s="392" t="s">
        <v>1570</v>
      </c>
      <c r="I187" s="337"/>
      <c r="J187" s="398"/>
      <c r="K187" s="180"/>
      <c r="L187" s="329"/>
      <c r="M187" s="322"/>
      <c r="N187" s="1655"/>
      <c r="O187" s="1655"/>
    </row>
    <row s="1666" customFormat="1" customHeight="1" ht="18.75" hidden="1">
      <c r="A188" s="1814" t="s">
        <v>195</v>
      </c>
      <c r="B188" s="361"/>
      <c r="C188" s="2297"/>
      <c r="D188" s="2023"/>
      <c r="E188" s="2127" t="str">
        <f>INDEX(PT_DIFFERENTIATION_VTAR,MATCH(A188,PT_DIFFERENTIATION_VTAR_ID,0))</f>
        <v>Плата за услуги по поддержанию резервной тепловой мощности при отсутствии потребления тепловой энергии</v>
      </c>
      <c r="F188" s="2127" t="str">
        <f>INDEX(PT_DIFFERENTIATION_VDET,MATCH(A188,PT_DIFFERENTIATION_VTAR_ID,0))</f>
        <v/>
      </c>
      <c r="G188" s="1800"/>
      <c r="H188" s="1769"/>
      <c r="I188" s="1807"/>
      <c r="J188" s="1812"/>
      <c r="K188" s="1799" t="s">
        <v>296</v>
      </c>
      <c r="L188" s="329"/>
      <c r="M188" s="322"/>
      <c r="N188" s="1655"/>
      <c r="O188" s="1655"/>
    </row>
    <row s="1666" customFormat="1" customHeight="1" ht="18.75" hidden="1">
      <c r="A189" s="1814"/>
      <c r="B189" s="361" t="s">
        <v>1674</v>
      </c>
      <c r="C189" s="2297"/>
      <c r="D189" s="2023"/>
      <c r="E189" s="2127"/>
      <c r="F189" s="2127"/>
      <c r="G189" s="397"/>
      <c r="H189" s="392" t="s">
        <v>1570</v>
      </c>
      <c r="I189" s="337"/>
      <c r="J189" s="398"/>
      <c r="K189" s="180"/>
      <c r="L189" s="329"/>
      <c r="M189" s="322"/>
      <c r="N189" s="1655"/>
      <c r="O189" s="1655"/>
    </row>
    <row s="1666" customFormat="1" customHeight="1" ht="18.75" hidden="1">
      <c r="A190" s="1814" t="s">
        <v>201</v>
      </c>
      <c r="B190" s="361"/>
      <c r="C190" s="2297"/>
      <c r="D190" s="2023"/>
      <c r="E190" s="2127" t="str">
        <f>INDEX(PT_DIFFERENTIATION_VTAR,MATCH(A190,PT_DIFFERENTIATION_VTAR_ID,0))</f>
        <v>Плата за подключение (технологическое присоединение) к системе теплоснабжения</v>
      </c>
      <c r="F190" s="2127" t="str">
        <f>INDEX(PT_DIFFERENTIATION_VDET,MATCH(A190,PT_DIFFERENTIATION_VTAR_ID,0))</f>
        <v/>
      </c>
      <c r="G190" s="1800"/>
      <c r="H190" s="1769"/>
      <c r="I190" s="1807"/>
      <c r="J190" s="1812"/>
      <c r="K190" s="1799" t="s">
        <v>296</v>
      </c>
      <c r="L190" s="329"/>
      <c r="M190" s="322"/>
      <c r="N190" s="1655"/>
      <c r="O190" s="1655"/>
    </row>
    <row s="1666" customFormat="1" customHeight="1" ht="18.75" hidden="1">
      <c r="A191" s="1814"/>
      <c r="B191" s="361" t="s">
        <v>1674</v>
      </c>
      <c r="C191" s="2297"/>
      <c r="D191" s="2023"/>
      <c r="E191" s="2127"/>
      <c r="F191" s="2127"/>
      <c r="G191" s="397"/>
      <c r="H191" s="392" t="s">
        <v>1570</v>
      </c>
      <c r="I191" s="337"/>
      <c r="J191" s="398"/>
      <c r="K191" s="180"/>
      <c r="L191" s="329"/>
      <c r="M191" s="322"/>
      <c r="N191" s="1655"/>
      <c r="O191" s="1655"/>
    </row>
    <row s="1666" customFormat="1" customHeight="1" ht="18.75" hidden="1">
      <c r="A192" s="1814" t="s">
        <v>215</v>
      </c>
      <c r="B192" s="361"/>
      <c r="C192" s="2297"/>
      <c r="D192" s="2023"/>
      <c r="E192" s="2127" t="str">
        <f>INDEX(PT_DIFFERENTIATION_VTAR,MATCH(A192,PT_DIFFERENTIATION_VTAR_ID,0))</f>
        <v>Тариф на питьевую воду (питьевое водоснабжение)</v>
      </c>
      <c r="F192" s="2127" t="str">
        <f>INDEX(PT_DIFFERENTIATION_VDET,MATCH(A192,PT_DIFFERENTIATION_VTAR_ID,0))</f>
        <v/>
      </c>
      <c r="G192" s="1800"/>
      <c r="H192" s="1769"/>
      <c r="I192" s="1807"/>
      <c r="J192" s="1812"/>
      <c r="K192" s="1799" t="s">
        <v>296</v>
      </c>
      <c r="L192" s="329"/>
      <c r="M192" s="322"/>
      <c r="N192" s="1655"/>
      <c r="O192" s="1655"/>
    </row>
    <row s="1666" customFormat="1" customHeight="1" ht="18.75" hidden="1">
      <c r="A193" s="1814"/>
      <c r="B193" s="361" t="s">
        <v>1674</v>
      </c>
      <c r="C193" s="2297"/>
      <c r="D193" s="2023"/>
      <c r="E193" s="2127"/>
      <c r="F193" s="2127"/>
      <c r="G193" s="397"/>
      <c r="H193" s="392" t="s">
        <v>1570</v>
      </c>
      <c r="I193" s="337"/>
      <c r="J193" s="398"/>
      <c r="K193" s="180"/>
      <c r="L193" s="329"/>
      <c r="M193" s="322"/>
      <c r="N193" s="1655"/>
      <c r="O193" s="1655"/>
    </row>
    <row s="1666" customFormat="1" customHeight="1" ht="18.75" hidden="1">
      <c r="A194" s="1814" t="s">
        <v>220</v>
      </c>
      <c r="B194" s="361"/>
      <c r="C194" s="2297"/>
      <c r="D194" s="2023"/>
      <c r="E194" s="2127" t="str">
        <f>INDEX(PT_DIFFERENTIATION_VTAR,MATCH(A194,PT_DIFFERENTIATION_VTAR_ID,0))</f>
        <v>Тариф на техническую воду</v>
      </c>
      <c r="F194" s="2127" t="str">
        <f>INDEX(PT_DIFFERENTIATION_VDET,MATCH(A194,PT_DIFFERENTIATION_VTAR_ID,0))</f>
        <v/>
      </c>
      <c r="G194" s="1800"/>
      <c r="H194" s="1769"/>
      <c r="I194" s="1807"/>
      <c r="J194" s="1812"/>
      <c r="K194" s="1799" t="s">
        <v>296</v>
      </c>
      <c r="L194" s="329"/>
      <c r="M194" s="322"/>
      <c r="N194" s="1655"/>
      <c r="O194" s="1655"/>
    </row>
    <row s="1666" customFormat="1" customHeight="1" ht="18.75" hidden="1">
      <c r="A195" s="1814"/>
      <c r="B195" s="361" t="s">
        <v>1674</v>
      </c>
      <c r="C195" s="2297"/>
      <c r="D195" s="2023"/>
      <c r="E195" s="2127"/>
      <c r="F195" s="2127"/>
      <c r="G195" s="397"/>
      <c r="H195" s="392" t="s">
        <v>1570</v>
      </c>
      <c r="I195" s="337"/>
      <c r="J195" s="398"/>
      <c r="K195" s="180"/>
      <c r="L195" s="329"/>
      <c r="M195" s="322"/>
      <c r="N195" s="1655"/>
      <c r="O195" s="1655"/>
    </row>
    <row s="1666" customFormat="1" customHeight="1" ht="18.75" hidden="1">
      <c r="A196" s="1814" t="s">
        <v>225</v>
      </c>
      <c r="B196" s="361"/>
      <c r="C196" s="2297"/>
      <c r="D196" s="2023"/>
      <c r="E196" s="2127" t="str">
        <f>INDEX(PT_DIFFERENTIATION_VTAR,MATCH(A196,PT_DIFFERENTIATION_VTAR_ID,0))</f>
        <v>Тариф на транспортировку воды</v>
      </c>
      <c r="F196" s="2127" t="str">
        <f>INDEX(PT_DIFFERENTIATION_VDET,MATCH(A196,PT_DIFFERENTIATION_VTAR_ID,0))</f>
        <v/>
      </c>
      <c r="G196" s="1800"/>
      <c r="H196" s="1769"/>
      <c r="I196" s="1807"/>
      <c r="J196" s="1812"/>
      <c r="K196" s="1799" t="s">
        <v>296</v>
      </c>
      <c r="L196" s="329"/>
      <c r="M196" s="322"/>
      <c r="N196" s="1655"/>
      <c r="O196" s="1655"/>
    </row>
    <row s="1666" customFormat="1" customHeight="1" ht="18.75" hidden="1">
      <c r="A197" s="1814"/>
      <c r="B197" s="361" t="s">
        <v>1674</v>
      </c>
      <c r="C197" s="2297"/>
      <c r="D197" s="2023"/>
      <c r="E197" s="2127"/>
      <c r="F197" s="2127"/>
      <c r="G197" s="397"/>
      <c r="H197" s="392" t="s">
        <v>1570</v>
      </c>
      <c r="I197" s="337"/>
      <c r="J197" s="398"/>
      <c r="K197" s="180"/>
      <c r="L197" s="329"/>
      <c r="M197" s="322"/>
      <c r="N197" s="1655"/>
      <c r="O197" s="1655"/>
    </row>
    <row s="1666" customFormat="1" customHeight="1" ht="18.75" hidden="1">
      <c r="A198" s="1814" t="s">
        <v>230</v>
      </c>
      <c r="B198" s="361"/>
      <c r="C198" s="2297"/>
      <c r="D198" s="2023"/>
      <c r="E198" s="2127" t="str">
        <f>INDEX(PT_DIFFERENTIATION_VTAR,MATCH(A198,PT_DIFFERENTIATION_VTAR_ID,0))</f>
        <v>Тариф на подвоз воды</v>
      </c>
      <c r="F198" s="2127" t="str">
        <f>INDEX(PT_DIFFERENTIATION_VDET,MATCH(A198,PT_DIFFERENTIATION_VTAR_ID,0))</f>
        <v/>
      </c>
      <c r="G198" s="1800"/>
      <c r="H198" s="1769"/>
      <c r="I198" s="1807"/>
      <c r="J198" s="1812"/>
      <c r="K198" s="1799" t="s">
        <v>296</v>
      </c>
      <c r="L198" s="329"/>
      <c r="M198" s="322"/>
      <c r="N198" s="1655"/>
      <c r="O198" s="1655"/>
    </row>
    <row s="1666" customFormat="1" customHeight="1" ht="18.75" hidden="1">
      <c r="A199" s="1814"/>
      <c r="B199" s="361" t="s">
        <v>1674</v>
      </c>
      <c r="C199" s="2297"/>
      <c r="D199" s="2023"/>
      <c r="E199" s="2127"/>
      <c r="F199" s="2127"/>
      <c r="G199" s="397"/>
      <c r="H199" s="392" t="s">
        <v>1570</v>
      </c>
      <c r="I199" s="337"/>
      <c r="J199" s="398"/>
      <c r="K199" s="180"/>
      <c r="L199" s="329"/>
      <c r="M199" s="322"/>
      <c r="N199" s="1655"/>
      <c r="O199" s="1655"/>
    </row>
    <row s="1666" customFormat="1" customHeight="1" ht="18.75" hidden="1">
      <c r="A200" s="1814" t="s">
        <v>235</v>
      </c>
      <c r="B200" s="361"/>
      <c r="C200" s="2297"/>
      <c r="D200" s="2023"/>
      <c r="E200" s="2127" t="str">
        <f>INDEX(PT_DIFFERENTIATION_VTAR,MATCH(A200,PT_DIFFERENTIATION_VTAR_ID,0))</f>
        <v>Тариф на подключение (технологическое присоединение) к централизованной системе холодного водоснабжения</v>
      </c>
      <c r="F200" s="2127" t="str">
        <f>INDEX(PT_DIFFERENTIATION_VDET,MATCH(A200,PT_DIFFERENTIATION_VTAR_ID,0))</f>
        <v/>
      </c>
      <c r="G200" s="1800"/>
      <c r="H200" s="1769"/>
      <c r="I200" s="1807"/>
      <c r="J200" s="1812"/>
      <c r="K200" s="1799" t="s">
        <v>296</v>
      </c>
      <c r="L200" s="329"/>
      <c r="M200" s="322"/>
      <c r="N200" s="1655"/>
      <c r="O200" s="1655"/>
    </row>
    <row s="1666" customFormat="1" customHeight="1" ht="18.75" hidden="1">
      <c r="A201" s="1814"/>
      <c r="B201" s="361" t="s">
        <v>1674</v>
      </c>
      <c r="C201" s="2297"/>
      <c r="D201" s="2023"/>
      <c r="E201" s="2127"/>
      <c r="F201" s="2127"/>
      <c r="G201" s="397"/>
      <c r="H201" s="392" t="s">
        <v>1570</v>
      </c>
      <c r="I201" s="337"/>
      <c r="J201" s="398"/>
      <c r="K201" s="180"/>
      <c r="L201" s="329"/>
      <c r="M201" s="322"/>
      <c r="N201" s="1655"/>
      <c r="O201" s="1655"/>
    </row>
    <row s="1666" customFormat="1" customHeight="1" ht="18.75" hidden="1">
      <c r="A202" s="1814" t="s">
        <v>240</v>
      </c>
      <c r="B202" s="361"/>
      <c r="C202" s="2297"/>
      <c r="D202" s="2023"/>
      <c r="E202" s="2127" t="str">
        <f>INDEX(PT_DIFFERENTIATION_VTAR,MATCH(A202,PT_DIFFERENTIATION_VTAR_ID,0))</f>
        <v>Тариф на горячую воду (горячее водоснабжение)</v>
      </c>
      <c r="F202" s="2127" t="str">
        <f>INDEX(PT_DIFFERENTIATION_VDET,MATCH(A202,PT_DIFFERENTIATION_VTAR_ID,0))</f>
        <v/>
      </c>
      <c r="G202" s="1800"/>
      <c r="H202" s="1769"/>
      <c r="I202" s="1807"/>
      <c r="J202" s="1812"/>
      <c r="K202" s="1799" t="s">
        <v>296</v>
      </c>
      <c r="L202" s="329"/>
      <c r="M202" s="322"/>
      <c r="N202" s="1655"/>
      <c r="O202" s="1655"/>
    </row>
    <row s="1666" customFormat="1" customHeight="1" ht="18.75" hidden="1">
      <c r="A203" s="1814"/>
      <c r="B203" s="361" t="s">
        <v>1674</v>
      </c>
      <c r="C203" s="2297"/>
      <c r="D203" s="2023"/>
      <c r="E203" s="2127"/>
      <c r="F203" s="2127"/>
      <c r="G203" s="397"/>
      <c r="H203" s="392" t="s">
        <v>1570</v>
      </c>
      <c r="I203" s="337"/>
      <c r="J203" s="398"/>
      <c r="K203" s="180"/>
      <c r="L203" s="329"/>
      <c r="M203" s="322"/>
      <c r="N203" s="1655"/>
      <c r="O203" s="1655"/>
    </row>
    <row s="1666" customFormat="1" customHeight="1" ht="18.75" hidden="1">
      <c r="A204" s="1814" t="s">
        <v>245</v>
      </c>
      <c r="B204" s="361"/>
      <c r="C204" s="2297"/>
      <c r="D204" s="2023"/>
      <c r="E204" s="2127" t="str">
        <f>INDEX(PT_DIFFERENTIATION_VTAR,MATCH(A204,PT_DIFFERENTIATION_VTAR_ID,0))</f>
        <v>Тариф на транспортировку горячей воды</v>
      </c>
      <c r="F204" s="2127" t="str">
        <f>INDEX(PT_DIFFERENTIATION_VDET,MATCH(A204,PT_DIFFERENTIATION_VTAR_ID,0))</f>
        <v/>
      </c>
      <c r="G204" s="1800"/>
      <c r="H204" s="1769"/>
      <c r="I204" s="1807"/>
      <c r="J204" s="1812"/>
      <c r="K204" s="1799" t="s">
        <v>296</v>
      </c>
      <c r="L204" s="329"/>
      <c r="M204" s="322"/>
      <c r="N204" s="1655"/>
      <c r="O204" s="1655"/>
    </row>
    <row s="1666" customFormat="1" customHeight="1" ht="18.75" hidden="1">
      <c r="A205" s="1814"/>
      <c r="B205" s="361" t="s">
        <v>1674</v>
      </c>
      <c r="C205" s="2297"/>
      <c r="D205" s="2023"/>
      <c r="E205" s="2127"/>
      <c r="F205" s="2127"/>
      <c r="G205" s="397"/>
      <c r="H205" s="392" t="s">
        <v>1570</v>
      </c>
      <c r="I205" s="337"/>
      <c r="J205" s="398"/>
      <c r="K205" s="180"/>
      <c r="L205" s="329"/>
      <c r="M205" s="322"/>
      <c r="N205" s="1655"/>
      <c r="O205" s="1655"/>
    </row>
    <row s="1666" customFormat="1" customHeight="1" ht="18.75" hidden="1">
      <c r="A206" s="1814" t="s">
        <v>250</v>
      </c>
      <c r="B206" s="361"/>
      <c r="C206" s="2297"/>
      <c r="D206" s="2023"/>
      <c r="E206" s="2127" t="str">
        <f>INDEX(PT_DIFFERENTIATION_VTAR,MATCH(A206,PT_DIFFERENTIATION_VTAR_ID,0))</f>
        <v>Тариф на подключение (технологическое присоединение) к централизованной системе горячего водоснабжения</v>
      </c>
      <c r="F206" s="2127" t="str">
        <f>INDEX(PT_DIFFERENTIATION_VDET,MATCH(A206,PT_DIFFERENTIATION_VTAR_ID,0))</f>
        <v/>
      </c>
      <c r="G206" s="1800"/>
      <c r="H206" s="1769"/>
      <c r="I206" s="1807"/>
      <c r="J206" s="1812"/>
      <c r="K206" s="1799" t="s">
        <v>296</v>
      </c>
      <c r="L206" s="329"/>
      <c r="M206" s="322"/>
      <c r="N206" s="1655"/>
      <c r="O206" s="1655"/>
    </row>
    <row s="1666" customFormat="1" customHeight="1" ht="18.75" hidden="1">
      <c r="A207" s="1814"/>
      <c r="B207" s="361" t="s">
        <v>1674</v>
      </c>
      <c r="C207" s="2297"/>
      <c r="D207" s="2023"/>
      <c r="E207" s="2127"/>
      <c r="F207" s="2127"/>
      <c r="G207" s="397"/>
      <c r="H207" s="392" t="s">
        <v>1570</v>
      </c>
      <c r="I207" s="337"/>
      <c r="J207" s="398"/>
      <c r="K207" s="180"/>
      <c r="L207" s="329"/>
      <c r="M207" s="322"/>
      <c r="N207" s="1655"/>
      <c r="O207" s="1655"/>
    </row>
    <row s="1666" customFormat="1" customHeight="1" ht="18.75" hidden="1">
      <c r="A208" s="1814" t="s">
        <v>255</v>
      </c>
      <c r="B208" s="361"/>
      <c r="C208" s="2297"/>
      <c r="D208" s="2023"/>
      <c r="E208" s="2127" t="str">
        <f>INDEX(PT_DIFFERENTIATION_VTAR,MATCH(A208,PT_DIFFERENTIATION_VTAR_ID,0))</f>
        <v>Тариф на водоотведение</v>
      </c>
      <c r="F208" s="2127" t="str">
        <f>INDEX(PT_DIFFERENTIATION_VDET,MATCH(A208,PT_DIFFERENTIATION_VTAR_ID,0))</f>
        <v/>
      </c>
      <c r="G208" s="1800"/>
      <c r="H208" s="1769"/>
      <c r="I208" s="1807"/>
      <c r="J208" s="1812"/>
      <c r="K208" s="1799" t="s">
        <v>296</v>
      </c>
      <c r="L208" s="329"/>
      <c r="M208" s="322"/>
      <c r="N208" s="1655"/>
      <c r="O208" s="1655"/>
    </row>
    <row s="1666" customFormat="1" customHeight="1" ht="18.75" hidden="1">
      <c r="A209" s="1814"/>
      <c r="B209" s="361" t="s">
        <v>1674</v>
      </c>
      <c r="C209" s="2297"/>
      <c r="D209" s="2023"/>
      <c r="E209" s="2127"/>
      <c r="F209" s="2127"/>
      <c r="G209" s="397"/>
      <c r="H209" s="392" t="s">
        <v>1570</v>
      </c>
      <c r="I209" s="337"/>
      <c r="J209" s="398"/>
      <c r="K209" s="180"/>
      <c r="L209" s="329"/>
      <c r="M209" s="322"/>
      <c r="N209" s="1655"/>
      <c r="O209" s="1655"/>
    </row>
    <row s="1666" customFormat="1" customHeight="1" ht="18.75" hidden="1">
      <c r="A210" s="1814" t="s">
        <v>260</v>
      </c>
      <c r="B210" s="361"/>
      <c r="C210" s="2297"/>
      <c r="D210" s="2023"/>
      <c r="E210" s="2127" t="str">
        <f>INDEX(PT_DIFFERENTIATION_VTAR,MATCH(A210,PT_DIFFERENTIATION_VTAR_ID,0))</f>
        <v>Тариф на транспортировку сточных вод</v>
      </c>
      <c r="F210" s="2127" t="str">
        <f>INDEX(PT_DIFFERENTIATION_VDET,MATCH(A210,PT_DIFFERENTIATION_VTAR_ID,0))</f>
        <v/>
      </c>
      <c r="G210" s="1800"/>
      <c r="H210" s="1769"/>
      <c r="I210" s="1807"/>
      <c r="J210" s="1812"/>
      <c r="K210" s="1799" t="s">
        <v>296</v>
      </c>
      <c r="L210" s="329"/>
      <c r="M210" s="322"/>
      <c r="N210" s="1655"/>
      <c r="O210" s="1655"/>
    </row>
    <row s="1666" customFormat="1" customHeight="1" ht="18.75" hidden="1">
      <c r="A211" s="1814"/>
      <c r="B211" s="361" t="s">
        <v>1674</v>
      </c>
      <c r="C211" s="2297"/>
      <c r="D211" s="2023"/>
      <c r="E211" s="2127"/>
      <c r="F211" s="2127"/>
      <c r="G211" s="397"/>
      <c r="H211" s="392" t="s">
        <v>1570</v>
      </c>
      <c r="I211" s="337"/>
      <c r="J211" s="398"/>
      <c r="K211" s="180"/>
      <c r="L211" s="329"/>
      <c r="M211" s="322"/>
      <c r="N211" s="1655"/>
      <c r="O211" s="1655"/>
    </row>
    <row s="1666" customFormat="1" customHeight="1" ht="18.75" hidden="1">
      <c r="A212" s="1814" t="s">
        <v>265</v>
      </c>
      <c r="B212" s="361"/>
      <c r="C212" s="2297"/>
      <c r="D212" s="2023"/>
      <c r="E212" s="2127" t="str">
        <f>INDEX(PT_DIFFERENTIATION_VTAR,MATCH(A212,PT_DIFFERENTIATION_VTAR_ID,0))</f>
        <v>Тариф на подключение (технологическое присоединение) к централизованной системе водоотведения</v>
      </c>
      <c r="F212" s="2127" t="str">
        <f>INDEX(PT_DIFFERENTIATION_VDET,MATCH(A212,PT_DIFFERENTIATION_VTAR_ID,0))</f>
        <v/>
      </c>
      <c r="G212" s="1800"/>
      <c r="H212" s="1769"/>
      <c r="I212" s="1807"/>
      <c r="J212" s="1812"/>
      <c r="K212" s="1799" t="s">
        <v>296</v>
      </c>
      <c r="L212" s="329"/>
      <c r="M212" s="322"/>
      <c r="N212" s="1655"/>
      <c r="O212" s="1655"/>
    </row>
    <row s="1666" customFormat="1" customHeight="1" ht="18.75" hidden="1">
      <c r="A213" s="1814"/>
      <c r="B213" s="361" t="s">
        <v>1674</v>
      </c>
      <c r="C213" s="2297"/>
      <c r="D213" s="2023"/>
      <c r="E213" s="2127"/>
      <c r="F213" s="2127"/>
      <c r="G213" s="397"/>
      <c r="H213" s="392" t="s">
        <v>1570</v>
      </c>
      <c r="I213" s="337"/>
      <c r="J213" s="398"/>
      <c r="K213" s="180"/>
      <c r="L213" s="329"/>
      <c r="M213" s="322"/>
      <c r="N213" s="1655"/>
      <c r="O213" s="1655"/>
    </row>
    <row s="1858" customFormat="1" customHeight="1" ht="3">
      <c r="A214" s="1814"/>
      <c r="B214" s="1815"/>
      <c r="D214" s="400"/>
      <c r="E214" s="400"/>
      <c r="F214" s="400"/>
      <c r="G214" s="400"/>
      <c r="H214" s="400"/>
      <c r="I214" s="400"/>
      <c r="J214" s="400"/>
      <c r="K214" s="400"/>
      <c r="L214" s="400"/>
      <c r="N214" s="175"/>
      <c r="O214" s="175"/>
    </row>
    <row customHeight="1" ht="24.75">
      <c r="D215" s="181"/>
      <c r="E215" s="2200"/>
      <c r="F215" s="2200"/>
      <c r="G215" s="2200"/>
      <c r="H215" s="2200"/>
      <c r="I215" s="2200"/>
      <c r="J215" s="2200"/>
      <c r="K215" s="2200"/>
      <c r="L215" s="2200"/>
    </row>
  </sheetData>
  <sheetProtection formatColumns="0" formatRows="0" autoFilter="0" sort="0" insertRows="0" insertColumns="1" deleteRows="0" deleteColumns="0"/>
  <mergeCells count="406">
    <mergeCell ref="D8:K8"/>
    <mergeCell ref="F10:K10"/>
    <mergeCell ref="F11:K11"/>
    <mergeCell ref="D13:K13"/>
    <mergeCell ref="C18:C19"/>
    <mergeCell ref="D18:D19"/>
    <mergeCell ref="E18:E19"/>
    <mergeCell ref="F18:F19"/>
    <mergeCell ref="L13:L15"/>
    <mergeCell ref="D14:D15"/>
    <mergeCell ref="E14:E15"/>
    <mergeCell ref="F14:F15"/>
    <mergeCell ref="G14:I14"/>
    <mergeCell ref="J14:J15"/>
    <mergeCell ref="K14:K15"/>
    <mergeCell ref="G15:H15"/>
    <mergeCell ref="G16:H16"/>
    <mergeCell ref="C28:C29"/>
    <mergeCell ref="D28:D29"/>
    <mergeCell ref="E28:E29"/>
    <mergeCell ref="F28:F29"/>
    <mergeCell ref="C30:C31"/>
    <mergeCell ref="D30:D31"/>
    <mergeCell ref="E30:E31"/>
    <mergeCell ref="F30:F31"/>
    <mergeCell ref="E17:K17"/>
    <mergeCell ref="F24:F25"/>
    <mergeCell ref="C61:C62"/>
    <mergeCell ref="D61:D62"/>
    <mergeCell ref="E61:E62"/>
    <mergeCell ref="F61:F62"/>
    <mergeCell ref="C63:C64"/>
    <mergeCell ref="D63:D64"/>
    <mergeCell ref="E63:E64"/>
    <mergeCell ref="F63:F64"/>
    <mergeCell ref="L18:L55"/>
    <mergeCell ref="C20:C21"/>
    <mergeCell ref="D20:D21"/>
    <mergeCell ref="E20:E21"/>
    <mergeCell ref="F20:F21"/>
    <mergeCell ref="C22:C23"/>
    <mergeCell ref="D22:D23"/>
    <mergeCell ref="E22:E23"/>
    <mergeCell ref="F22:F23"/>
    <mergeCell ref="C24:C25"/>
    <mergeCell ref="D24:D25"/>
    <mergeCell ref="E24:E25"/>
    <mergeCell ref="C26:C27"/>
    <mergeCell ref="D26:D27"/>
    <mergeCell ref="E26:E27"/>
    <mergeCell ref="F26:F27"/>
    <mergeCell ref="E215:L215"/>
    <mergeCell ref="E175:K175"/>
    <mergeCell ref="C176:C177"/>
    <mergeCell ref="D176:D177"/>
    <mergeCell ref="E176:E177"/>
    <mergeCell ref="F176:F177"/>
    <mergeCell ref="C178:C179"/>
    <mergeCell ref="D178:D179"/>
    <mergeCell ref="E178:E179"/>
    <mergeCell ref="F178:F179"/>
    <mergeCell ref="C180:C181"/>
    <mergeCell ref="C184:C185"/>
    <mergeCell ref="D184:D185"/>
    <mergeCell ref="E184:E185"/>
    <mergeCell ref="F184:F185"/>
    <mergeCell ref="C186:C187"/>
    <mergeCell ref="D186:D187"/>
    <mergeCell ref="E186:E187"/>
    <mergeCell ref="F186:F187"/>
    <mergeCell ref="D180:D181"/>
    <mergeCell ref="E180:E181"/>
    <mergeCell ref="F180:F181"/>
    <mergeCell ref="C182:C183"/>
    <mergeCell ref="D182:D183"/>
    <mergeCell ref="L137:L139"/>
    <mergeCell ref="L59:L61"/>
    <mergeCell ref="E97:K97"/>
    <mergeCell ref="L98:L100"/>
    <mergeCell ref="E136:K136"/>
    <mergeCell ref="C34:C35"/>
    <mergeCell ref="D34:D35"/>
    <mergeCell ref="E34:E35"/>
    <mergeCell ref="F34:F35"/>
    <mergeCell ref="C36:C37"/>
    <mergeCell ref="D36:D37"/>
    <mergeCell ref="E36:E37"/>
    <mergeCell ref="F36:F37"/>
    <mergeCell ref="C50:C51"/>
    <mergeCell ref="D50:D51"/>
    <mergeCell ref="E50:E51"/>
    <mergeCell ref="F50:F51"/>
    <mergeCell ref="C52:C53"/>
    <mergeCell ref="D52:D53"/>
    <mergeCell ref="E52:E53"/>
    <mergeCell ref="F52:F53"/>
    <mergeCell ref="C46:C47"/>
    <mergeCell ref="D46:D47"/>
    <mergeCell ref="E46:E47"/>
    <mergeCell ref="C32:C33"/>
    <mergeCell ref="D32:D33"/>
    <mergeCell ref="E32:E33"/>
    <mergeCell ref="F32:F33"/>
    <mergeCell ref="C42:C43"/>
    <mergeCell ref="D42:D43"/>
    <mergeCell ref="E42:E43"/>
    <mergeCell ref="F42:F43"/>
    <mergeCell ref="C44:C45"/>
    <mergeCell ref="D44:D45"/>
    <mergeCell ref="E44:E45"/>
    <mergeCell ref="F44:F45"/>
    <mergeCell ref="C38:C39"/>
    <mergeCell ref="D38:D39"/>
    <mergeCell ref="E38:E39"/>
    <mergeCell ref="F38:F39"/>
    <mergeCell ref="C40:C41"/>
    <mergeCell ref="D40:D41"/>
    <mergeCell ref="E40:E41"/>
    <mergeCell ref="F40:F41"/>
    <mergeCell ref="F46:F47"/>
    <mergeCell ref="C48:C49"/>
    <mergeCell ref="D48:D49"/>
    <mergeCell ref="E48:E49"/>
    <mergeCell ref="F48:F49"/>
    <mergeCell ref="E65:E66"/>
    <mergeCell ref="F65:F66"/>
    <mergeCell ref="C67:C68"/>
    <mergeCell ref="D67:D68"/>
    <mergeCell ref="E67:E68"/>
    <mergeCell ref="F67:F68"/>
    <mergeCell ref="C54:C55"/>
    <mergeCell ref="D54:D55"/>
    <mergeCell ref="E54:E55"/>
    <mergeCell ref="F54:F55"/>
    <mergeCell ref="C59:C60"/>
    <mergeCell ref="D59:D60"/>
    <mergeCell ref="E59:E60"/>
    <mergeCell ref="F59:F60"/>
    <mergeCell ref="C65:C66"/>
    <mergeCell ref="D65:D66"/>
    <mergeCell ref="E56:K56"/>
    <mergeCell ref="G57:H57"/>
    <mergeCell ref="E58:K58"/>
    <mergeCell ref="C73:C74"/>
    <mergeCell ref="D73:D74"/>
    <mergeCell ref="E73:E74"/>
    <mergeCell ref="F73:F74"/>
    <mergeCell ref="C75:C76"/>
    <mergeCell ref="D75:D76"/>
    <mergeCell ref="E75:E76"/>
    <mergeCell ref="F75:F76"/>
    <mergeCell ref="C69:C70"/>
    <mergeCell ref="D69:D70"/>
    <mergeCell ref="E69:E70"/>
    <mergeCell ref="F69:F70"/>
    <mergeCell ref="C71:C72"/>
    <mergeCell ref="D71:D72"/>
    <mergeCell ref="E71:E72"/>
    <mergeCell ref="F71:F72"/>
    <mergeCell ref="C81:C82"/>
    <mergeCell ref="D81:D82"/>
    <mergeCell ref="E81:E82"/>
    <mergeCell ref="F81:F82"/>
    <mergeCell ref="C83:C84"/>
    <mergeCell ref="D83:D84"/>
    <mergeCell ref="E83:E84"/>
    <mergeCell ref="F83:F84"/>
    <mergeCell ref="C77:C78"/>
    <mergeCell ref="D77:D78"/>
    <mergeCell ref="E77:E78"/>
    <mergeCell ref="F77:F78"/>
    <mergeCell ref="C79:C80"/>
    <mergeCell ref="D79:D80"/>
    <mergeCell ref="E79:E80"/>
    <mergeCell ref="F79:F80"/>
    <mergeCell ref="C89:C90"/>
    <mergeCell ref="D89:D90"/>
    <mergeCell ref="E89:E90"/>
    <mergeCell ref="F89:F90"/>
    <mergeCell ref="C91:C92"/>
    <mergeCell ref="D91:D92"/>
    <mergeCell ref="E91:E92"/>
    <mergeCell ref="F91:F92"/>
    <mergeCell ref="C85:C86"/>
    <mergeCell ref="D85:D86"/>
    <mergeCell ref="E85:E86"/>
    <mergeCell ref="F85:F86"/>
    <mergeCell ref="C87:C88"/>
    <mergeCell ref="D87:D88"/>
    <mergeCell ref="E87:E88"/>
    <mergeCell ref="F87:F88"/>
    <mergeCell ref="F98:F99"/>
    <mergeCell ref="C100:C101"/>
    <mergeCell ref="D100:D101"/>
    <mergeCell ref="E100:E101"/>
    <mergeCell ref="F100:F101"/>
    <mergeCell ref="C93:C94"/>
    <mergeCell ref="D93:D94"/>
    <mergeCell ref="E93:E94"/>
    <mergeCell ref="F93:F94"/>
    <mergeCell ref="C95:C96"/>
    <mergeCell ref="D95:D96"/>
    <mergeCell ref="E95:E96"/>
    <mergeCell ref="F95:F96"/>
    <mergeCell ref="C98:C99"/>
    <mergeCell ref="D98:D99"/>
    <mergeCell ref="E98:E99"/>
    <mergeCell ref="C106:C107"/>
    <mergeCell ref="D106:D107"/>
    <mergeCell ref="E106:E107"/>
    <mergeCell ref="F106:F107"/>
    <mergeCell ref="C108:C109"/>
    <mergeCell ref="D108:D109"/>
    <mergeCell ref="E108:E109"/>
    <mergeCell ref="F108:F109"/>
    <mergeCell ref="C102:C103"/>
    <mergeCell ref="D102:D103"/>
    <mergeCell ref="E102:E103"/>
    <mergeCell ref="F102:F103"/>
    <mergeCell ref="C104:C105"/>
    <mergeCell ref="D104:D105"/>
    <mergeCell ref="E104:E105"/>
    <mergeCell ref="F104:F105"/>
    <mergeCell ref="C114:C115"/>
    <mergeCell ref="D114:D115"/>
    <mergeCell ref="E114:E115"/>
    <mergeCell ref="F114:F115"/>
    <mergeCell ref="C116:C117"/>
    <mergeCell ref="D116:D117"/>
    <mergeCell ref="E116:E117"/>
    <mergeCell ref="F116:F117"/>
    <mergeCell ref="C110:C111"/>
    <mergeCell ref="D110:D111"/>
    <mergeCell ref="E110:E111"/>
    <mergeCell ref="F110:F111"/>
    <mergeCell ref="C112:C113"/>
    <mergeCell ref="D112:D113"/>
    <mergeCell ref="E112:E113"/>
    <mergeCell ref="F112:F113"/>
    <mergeCell ref="C122:C123"/>
    <mergeCell ref="D122:D123"/>
    <mergeCell ref="E122:E123"/>
    <mergeCell ref="F122:F123"/>
    <mergeCell ref="C124:C125"/>
    <mergeCell ref="D124:D125"/>
    <mergeCell ref="E124:E125"/>
    <mergeCell ref="F124:F125"/>
    <mergeCell ref="C118:C119"/>
    <mergeCell ref="D118:D119"/>
    <mergeCell ref="E118:E119"/>
    <mergeCell ref="F118:F119"/>
    <mergeCell ref="C120:C121"/>
    <mergeCell ref="D120:D121"/>
    <mergeCell ref="E120:E121"/>
    <mergeCell ref="F120:F121"/>
    <mergeCell ref="C130:C131"/>
    <mergeCell ref="D130:D131"/>
    <mergeCell ref="E130:E131"/>
    <mergeCell ref="F130:F131"/>
    <mergeCell ref="C132:C133"/>
    <mergeCell ref="D132:D133"/>
    <mergeCell ref="E132:E133"/>
    <mergeCell ref="F132:F133"/>
    <mergeCell ref="C126:C127"/>
    <mergeCell ref="D126:D127"/>
    <mergeCell ref="E126:E127"/>
    <mergeCell ref="F126:F127"/>
    <mergeCell ref="C128:C129"/>
    <mergeCell ref="D128:D129"/>
    <mergeCell ref="E128:E129"/>
    <mergeCell ref="F128:F129"/>
    <mergeCell ref="C139:C140"/>
    <mergeCell ref="D139:D140"/>
    <mergeCell ref="E139:E140"/>
    <mergeCell ref="F139:F140"/>
    <mergeCell ref="C141:C142"/>
    <mergeCell ref="D141:D142"/>
    <mergeCell ref="E141:E142"/>
    <mergeCell ref="F141:F142"/>
    <mergeCell ref="C134:C135"/>
    <mergeCell ref="D134:D135"/>
    <mergeCell ref="E134:E135"/>
    <mergeCell ref="F134:F135"/>
    <mergeCell ref="C137:C138"/>
    <mergeCell ref="D137:D138"/>
    <mergeCell ref="E137:E138"/>
    <mergeCell ref="F137:F138"/>
    <mergeCell ref="C147:C148"/>
    <mergeCell ref="D147:D148"/>
    <mergeCell ref="E147:E148"/>
    <mergeCell ref="F147:F148"/>
    <mergeCell ref="C149:C150"/>
    <mergeCell ref="D149:D150"/>
    <mergeCell ref="E149:E150"/>
    <mergeCell ref="F149:F150"/>
    <mergeCell ref="C143:C144"/>
    <mergeCell ref="D143:D144"/>
    <mergeCell ref="E143:E144"/>
    <mergeCell ref="F143:F144"/>
    <mergeCell ref="C145:C146"/>
    <mergeCell ref="D145:D146"/>
    <mergeCell ref="E145:E146"/>
    <mergeCell ref="F145:F146"/>
    <mergeCell ref="C155:C156"/>
    <mergeCell ref="D155:D156"/>
    <mergeCell ref="E155:E156"/>
    <mergeCell ref="F155:F156"/>
    <mergeCell ref="C157:C158"/>
    <mergeCell ref="D157:D158"/>
    <mergeCell ref="E157:E158"/>
    <mergeCell ref="F157:F158"/>
    <mergeCell ref="C151:C152"/>
    <mergeCell ref="D151:D152"/>
    <mergeCell ref="E151:E152"/>
    <mergeCell ref="F151:F152"/>
    <mergeCell ref="C153:C154"/>
    <mergeCell ref="D153:D154"/>
    <mergeCell ref="E153:E154"/>
    <mergeCell ref="F153:F154"/>
    <mergeCell ref="C163:C164"/>
    <mergeCell ref="D163:D164"/>
    <mergeCell ref="E163:E164"/>
    <mergeCell ref="F163:F164"/>
    <mergeCell ref="C165:C166"/>
    <mergeCell ref="D165:D166"/>
    <mergeCell ref="E165:E166"/>
    <mergeCell ref="F165:F166"/>
    <mergeCell ref="C159:C160"/>
    <mergeCell ref="D159:D160"/>
    <mergeCell ref="E159:E160"/>
    <mergeCell ref="F159:F160"/>
    <mergeCell ref="C161:C162"/>
    <mergeCell ref="D161:D162"/>
    <mergeCell ref="E161:E162"/>
    <mergeCell ref="F161:F162"/>
    <mergeCell ref="C171:C172"/>
    <mergeCell ref="D171:D172"/>
    <mergeCell ref="E171:E172"/>
    <mergeCell ref="F171:F172"/>
    <mergeCell ref="C173:C174"/>
    <mergeCell ref="D173:D174"/>
    <mergeCell ref="E173:E174"/>
    <mergeCell ref="F173:F174"/>
    <mergeCell ref="C167:C168"/>
    <mergeCell ref="D167:D168"/>
    <mergeCell ref="E167:E168"/>
    <mergeCell ref="F167:F168"/>
    <mergeCell ref="C169:C170"/>
    <mergeCell ref="D169:D170"/>
    <mergeCell ref="E169:E170"/>
    <mergeCell ref="F169:F170"/>
    <mergeCell ref="E182:E183"/>
    <mergeCell ref="F182:F183"/>
    <mergeCell ref="C192:C193"/>
    <mergeCell ref="D192:D193"/>
    <mergeCell ref="E192:E193"/>
    <mergeCell ref="F192:F193"/>
    <mergeCell ref="C194:C195"/>
    <mergeCell ref="D194:D195"/>
    <mergeCell ref="E194:E195"/>
    <mergeCell ref="F194:F195"/>
    <mergeCell ref="C188:C189"/>
    <mergeCell ref="D188:D189"/>
    <mergeCell ref="E188:E189"/>
    <mergeCell ref="F188:F189"/>
    <mergeCell ref="C190:C191"/>
    <mergeCell ref="D190:D191"/>
    <mergeCell ref="E190:E191"/>
    <mergeCell ref="F190:F191"/>
    <mergeCell ref="F200:F201"/>
    <mergeCell ref="C202:C203"/>
    <mergeCell ref="D202:D203"/>
    <mergeCell ref="E202:E203"/>
    <mergeCell ref="F202:F203"/>
    <mergeCell ref="C196:C197"/>
    <mergeCell ref="D196:D197"/>
    <mergeCell ref="E196:E197"/>
    <mergeCell ref="F196:F197"/>
    <mergeCell ref="C198:C199"/>
    <mergeCell ref="D198:D199"/>
    <mergeCell ref="E198:E199"/>
    <mergeCell ref="F198:F199"/>
    <mergeCell ref="C212:C213"/>
    <mergeCell ref="D212:D213"/>
    <mergeCell ref="E212:E213"/>
    <mergeCell ref="F212:F213"/>
    <mergeCell ref="L176:L178"/>
    <mergeCell ref="C208:C209"/>
    <mergeCell ref="D208:D209"/>
    <mergeCell ref="E208:E209"/>
    <mergeCell ref="F208:F209"/>
    <mergeCell ref="C210:C211"/>
    <mergeCell ref="D210:D211"/>
    <mergeCell ref="E210:E211"/>
    <mergeCell ref="F210:F211"/>
    <mergeCell ref="C204:C205"/>
    <mergeCell ref="D204:D205"/>
    <mergeCell ref="E204:E205"/>
    <mergeCell ref="F204:F205"/>
    <mergeCell ref="C206:C207"/>
    <mergeCell ref="D206:D207"/>
    <mergeCell ref="E206:E207"/>
    <mergeCell ref="F206:F207"/>
    <mergeCell ref="C200:C201"/>
    <mergeCell ref="D200:D201"/>
    <mergeCell ref="E200:E201"/>
  </mergeCells>
  <dataValidations count="4">
    <dataValidation type="decimal" allowBlank="1" showErrorMessage="1" errorTitle="Ошибка" error="Допускается ввод только действительных чисел!" sqref="J59 J61 J63 J65 J67 J69 J71 J73 J75 J77 J79 J81 J83 J85 J87 J89 J91 J93 J95 J98 J100 J102 J104 J106 J108 J110 J112 J114 J116 J118 J120 J122 J124 J126 J128 J130 J132 J134 J137 J139 J141 J143 J145 J147 J149 J151 J153 J155 J157 J159 J161 J163 J165 J167 J169 J171 J173 J176 J178 J180 J182 J184 J186 J188 J190 J192 J194 J196 J198 J200 J202 J204 J206 J208 J210 J212 J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L98 L137 L17 L59 L176 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18:I18 H30:I30 H20:I20 H22:I22 H24:I24 H26:I26 H28:I28 H32:I32 H34:I34 H36:I36 H38:I38 H40:I40 H42:I42 H44:I44 H46:I46 H48:I48 H50:I50 H52:I52 H54:I54 H59:I59 H71:I71 H61:I61 H63:I63 H65:I65 H67:I67 H69:I69 H73:I73 H75:I75 H77:I77 H79:I79 H81:I81 H83:I83 H85:I85 H87:I87 H89:I89 H91:I91 H93:I93 H95:I95 H98:I98 H110:I110 H100:I100 H102:I102 H104:I104 H106:I106 H108:I108 H112:I112 H114:I114 H116:I116 H118:I118 H120:I120 H122:I122 H124:I124 H126:I126 H128:I128 H130:I130 H132:I132 H134:I134 H137:I137 H149:I149 H139:I139 H141:I141 H143:I143 H145:I145 H147:I147 H151:I151 H153:I153 H155:I155 H157:I157 H159:I159 H161:I161 H163:I163 H165:I165 H167:I167 H169:I169 H171:I171 H173:I173 H176:I176 H188:I188 H178:I178 H180:I180 H182:I182 H184:I184 H186:I186 H190:I190 H192:I192 H194:I194 H196:I196 H198:I198 H200:I200 H202:I202 H204:I204 H206:I206 H208:I208 H210:I210 H212:I212 H2:I2 H4:I4"/>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639F8-9322-008A-0B79-3BCA76082A99}"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48">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46"/>
      <c r="Q3" s="340"/>
      <c r="R3" s="341"/>
      <c r="S3" s="1448">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48">
        <f>INDEX(PT_DIFFERENTIATION_NUM_CS,MATCH(C4,PT_DIFFERENTIATION_CS_ID,0))</f>
      </c>
      <c r="T4" s="291" t="s">
        <v>1675</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1676</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45"/>
      <c r="R5" s="344"/>
      <c r="S5" s="1448">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448">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48">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47"/>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45"/>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14.25"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49"/>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44"/>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444"/>
      <c r="M19" s="1385"/>
      <c r="N19" s="1385"/>
      <c r="O19" s="1385"/>
      <c r="P19" s="1385"/>
      <c r="Q19" s="1394"/>
      <c r="R19" s="1394"/>
      <c r="S19" s="727"/>
      <c r="AB19" s="1389"/>
      <c r="AI19" s="1389"/>
      <c r="AL19" s="509"/>
      <c r="AM19" s="509"/>
      <c r="AN19" s="509"/>
      <c r="AO19" s="509"/>
      <c r="AP19" s="509"/>
    </row>
    <row s="1389" customFormat="1" customHeight="1" ht="12" hidden="1">
      <c r="L20" s="1444"/>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378"/>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375" t="s">
        <v>1683</v>
      </c>
      <c r="W38" s="2177" t="s">
        <v>494</v>
      </c>
      <c r="X38" s="2178"/>
      <c r="Y38" s="2177" t="s">
        <v>495</v>
      </c>
      <c r="Z38" s="2184"/>
      <c r="AA38" s="2178"/>
      <c r="AB38" s="2193"/>
      <c r="AC38" s="1375" t="s">
        <v>1683</v>
      </c>
      <c r="AD38" s="2177" t="s">
        <v>494</v>
      </c>
      <c r="AE38" s="2178"/>
      <c r="AF38" s="2177" t="s">
        <v>495</v>
      </c>
      <c r="AG38" s="2184"/>
      <c r="AH38" s="2178"/>
      <c r="AI38" s="2193"/>
      <c r="AJ38" s="2196"/>
      <c r="AK38" s="1948"/>
    </row>
    <row customHeight="1" ht="33.7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375" t="s">
        <v>1686</v>
      </c>
      <c r="W39" s="1230" t="s">
        <v>1687</v>
      </c>
      <c r="X39" s="1230" t="s">
        <v>1688</v>
      </c>
      <c r="Y39" s="1380" t="s">
        <v>505</v>
      </c>
      <c r="Z39" s="2185" t="s">
        <v>506</v>
      </c>
      <c r="AA39" s="2186"/>
      <c r="AB39" s="2194"/>
      <c r="AC39" s="1375" t="s">
        <v>1686</v>
      </c>
      <c r="AD39" s="1230" t="s">
        <v>1687</v>
      </c>
      <c r="AE39" s="1230" t="s">
        <v>1688</v>
      </c>
      <c r="AF39" s="1380" t="s">
        <v>505</v>
      </c>
      <c r="AG39" s="2185" t="s">
        <v>506</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376">
        <f>OFFSET(V40,0,-1)+1</f>
        <v>3</v>
      </c>
      <c r="W40" s="1376">
        <f>OFFSET(W40,0,-1)+1</f>
        <v>4</v>
      </c>
      <c r="X40" s="1376">
        <f>OFFSET(X40,0,-1)+1</f>
        <v>5</v>
      </c>
      <c r="Y40" s="1376">
        <f>OFFSET(Y40,0,-1)+1</f>
        <v>6</v>
      </c>
      <c r="Z40" s="2187">
        <f>OFFSET(Z40,0,-1)+1</f>
        <v>7</v>
      </c>
      <c r="AA40" s="2187"/>
      <c r="AB40" s="1376">
        <f>OFFSET(AB40,0,-2)+1</f>
        <v>8</v>
      </c>
      <c r="AC40" s="1376">
        <f>OFFSET(AC40,0,-1)+1</f>
        <v>9</v>
      </c>
      <c r="AD40" s="1376">
        <f>OFFSET(AD40,0,-1)+1</f>
        <v>10</v>
      </c>
      <c r="AE40" s="1376">
        <f>OFFSET(AE40,0,-1)+1</f>
        <v>11</v>
      </c>
      <c r="AF40" s="1376">
        <f>OFFSET(AF40,0,-1)+1</f>
        <v>12</v>
      </c>
      <c r="AG40" s="2187">
        <f>OFFSET(AG40,0,-1)+1</f>
        <v>13</v>
      </c>
      <c r="AH40" s="2187"/>
      <c r="AI40" s="1376">
        <f>OFFSET(AI40,0,-2)+1</f>
        <v>14</v>
      </c>
      <c r="AJ40" s="1256">
        <f>OFFSET(AJ40,0,-1)</f>
        <v>14</v>
      </c>
      <c r="AK40" s="1376">
        <f>OFFSET(AK40,0,-1)+1</f>
        <v>15</v>
      </c>
      <c r="AL40" s="509"/>
      <c r="AM40" s="509"/>
      <c r="AN40" s="509"/>
      <c r="AO40" s="509"/>
      <c r="AP40" s="509"/>
    </row>
    <row customHeight="1" ht="23.25">
      <c r="A41" s="1386" t="s">
        <v>216</v>
      </c>
      <c r="B41" s="1386"/>
      <c r="C41" s="1386"/>
      <c r="D41" s="1386"/>
      <c r="E41" s="2173">
        <v>1</v>
      </c>
      <c r="F41" s="1386"/>
      <c r="G41" s="1386"/>
      <c r="H41" s="1386"/>
      <c r="I41" s="1386"/>
      <c r="J41" s="1386"/>
      <c r="K41" s="1386"/>
      <c r="L41" s="1387"/>
      <c r="M41" s="1388"/>
      <c r="N41" s="1388"/>
      <c r="O41" s="1388"/>
      <c r="P41" s="349"/>
      <c r="Q41" s="348"/>
      <c r="R41" s="343"/>
      <c r="S41" s="1381">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216</v>
      </c>
      <c r="B42" s="1386" t="s">
        <v>217</v>
      </c>
      <c r="C42" s="1386"/>
      <c r="D42" s="1386"/>
      <c r="E42" s="2174"/>
      <c r="F42" s="2173">
        <v>1</v>
      </c>
      <c r="G42" s="1386"/>
      <c r="H42" s="1386"/>
      <c r="I42" s="1386"/>
      <c r="J42" s="1386"/>
      <c r="K42" s="1386"/>
      <c r="L42" s="1387"/>
      <c r="M42" s="1388"/>
      <c r="N42" s="1388"/>
      <c r="O42" s="1388"/>
      <c r="P42" s="1379"/>
      <c r="Q42" s="340"/>
      <c r="R42" s="341"/>
      <c r="S42" s="1381"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216</v>
      </c>
      <c r="B43" s="1386" t="s">
        <v>217</v>
      </c>
      <c r="C43" s="1386" t="s">
        <v>218</v>
      </c>
      <c r="D43" s="1386"/>
      <c r="E43" s="2174"/>
      <c r="F43" s="2174"/>
      <c r="G43" s="2173">
        <v>1</v>
      </c>
      <c r="H43" s="1386"/>
      <c r="I43" s="1386"/>
      <c r="J43" s="1386"/>
      <c r="K43" s="1386"/>
      <c r="L43" s="1387"/>
      <c r="M43" s="1388"/>
      <c r="N43" s="1388"/>
      <c r="O43" s="1388"/>
      <c r="P43" s="342"/>
      <c r="Q43" s="340"/>
      <c r="R43" s="341"/>
      <c r="S43" s="1381" t="str">
        <f>INDEX(PT_DIFFERENTIATION_NUM_CS,MATCH(C43,PT_DIFFERENTIATION_CS_ID,0))</f>
        <v>..</v>
      </c>
      <c r="T43" s="291" t="s">
        <v>1675</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1676</v>
      </c>
      <c r="AM43" s="498"/>
      <c r="AN43" s="498" t="str">
        <f>IF(T43="","",T43)</f>
        <v>Наименование централизованной системы холодного водоснабжения</v>
      </c>
      <c r="AO43" s="498"/>
      <c r="AP43" s="498"/>
    </row>
    <row customHeight="1" ht="23.25">
      <c r="A44" s="1386" t="s">
        <v>216</v>
      </c>
      <c r="B44" s="1386" t="s">
        <v>217</v>
      </c>
      <c r="C44" s="1386" t="s">
        <v>218</v>
      </c>
      <c r="D44" s="1386" t="s">
        <v>1689</v>
      </c>
      <c r="E44" s="2174"/>
      <c r="F44" s="2174"/>
      <c r="G44" s="2174"/>
      <c r="H44" s="2174"/>
      <c r="I44" s="2171" t="str">
        <f>S43&amp;".1"</f>
        <v>...1</v>
      </c>
      <c r="J44" s="1386"/>
      <c r="K44" s="1386"/>
      <c r="L44" s="1387"/>
      <c r="P44" s="2172">
        <v>1</v>
      </c>
      <c r="Q44" s="1377"/>
      <c r="R44" s="344"/>
      <c r="S44" s="1381"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216</v>
      </c>
      <c r="B45" s="1386" t="s">
        <v>217</v>
      </c>
      <c r="C45" s="1386" t="s">
        <v>218</v>
      </c>
      <c r="D45" s="1386" t="s">
        <v>1689</v>
      </c>
      <c r="E45" s="2174"/>
      <c r="F45" s="2174"/>
      <c r="G45" s="2174"/>
      <c r="H45" s="2174"/>
      <c r="I45" s="2201"/>
      <c r="J45" s="2171" t="str">
        <f>I44&amp;".1"</f>
        <v>...1.1</v>
      </c>
      <c r="K45" s="1386"/>
      <c r="L45" s="1387" t="s">
        <v>468</v>
      </c>
      <c r="P45" s="2172"/>
      <c r="Q45" s="2172">
        <v>1</v>
      </c>
      <c r="R45" s="345"/>
      <c r="S45" s="1381"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216</v>
      </c>
      <c r="B46" s="1386" t="s">
        <v>217</v>
      </c>
      <c r="C46" s="1386" t="s">
        <v>218</v>
      </c>
      <c r="D46" s="1386" t="s">
        <v>1689</v>
      </c>
      <c r="E46" s="2174"/>
      <c r="F46" s="2174"/>
      <c r="G46" s="2174"/>
      <c r="H46" s="2174"/>
      <c r="I46" s="2201"/>
      <c r="J46" s="2201"/>
      <c r="K46" s="2171" t="str">
        <f>J45&amp;".1"</f>
        <v>...1.1.1</v>
      </c>
      <c r="L46" s="1387"/>
      <c r="P46" s="2172"/>
      <c r="Q46" s="2172"/>
      <c r="R46" s="345">
        <v>1</v>
      </c>
      <c r="S46" s="1381" t="str">
        <f>$K46</f>
        <v>...1.1.1</v>
      </c>
      <c r="T46" s="1460"/>
      <c r="U46" s="280"/>
      <c r="V46" s="1383"/>
      <c r="W46" s="1383"/>
      <c r="X46" s="1384"/>
      <c r="Y46" s="2182"/>
      <c r="Z46" s="2183" t="s">
        <v>58</v>
      </c>
      <c r="AA46" s="2182"/>
      <c r="AB46" s="2183" t="s">
        <v>58</v>
      </c>
      <c r="AC46" s="749"/>
      <c r="AD46" s="749"/>
      <c r="AE46" s="1278"/>
      <c r="AF46" s="2180"/>
      <c r="AG46" s="1928" t="s">
        <v>58</v>
      </c>
      <c r="AH46" s="2202"/>
      <c r="AI46" s="1928" t="s">
        <v>56</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216</v>
      </c>
      <c r="B47" s="1386" t="s">
        <v>217</v>
      </c>
      <c r="C47" s="1386" t="s">
        <v>218</v>
      </c>
      <c r="D47" s="1386" t="s">
        <v>1689</v>
      </c>
      <c r="E47" s="2174"/>
      <c r="F47" s="2174"/>
      <c r="G47" s="2174"/>
      <c r="H47" s="2174"/>
      <c r="I47" s="2201"/>
      <c r="J47" s="2201"/>
      <c r="K47" s="2171"/>
      <c r="L47" s="1387"/>
      <c r="P47" s="2172"/>
      <c r="Q47" s="2172"/>
      <c r="R47" s="345"/>
      <c r="S47" s="1382"/>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216</v>
      </c>
      <c r="B48" s="1386" t="s">
        <v>217</v>
      </c>
      <c r="C48" s="1386" t="s">
        <v>218</v>
      </c>
      <c r="D48" s="1386" t="s">
        <v>1689</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216</v>
      </c>
      <c r="B49" s="1386" t="s">
        <v>217</v>
      </c>
      <c r="C49" s="1386" t="s">
        <v>218</v>
      </c>
      <c r="D49" s="1386" t="s">
        <v>1689</v>
      </c>
      <c r="E49" s="2174"/>
      <c r="F49" s="2174"/>
      <c r="G49" s="2174"/>
      <c r="H49" s="2174"/>
      <c r="I49" s="2171"/>
      <c r="J49" s="1386"/>
      <c r="K49" s="1386"/>
      <c r="L49" s="1387"/>
      <c r="P49" s="2172"/>
      <c r="Q49" s="1377"/>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216</v>
      </c>
      <c r="B50" s="1386" t="s">
        <v>217</v>
      </c>
      <c r="C50" s="1386" t="s">
        <v>218</v>
      </c>
      <c r="D50" s="1386" t="s">
        <v>1689</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216</v>
      </c>
      <c r="B51" s="1366" t="s">
        <v>217</v>
      </c>
      <c r="C51" s="1337"/>
      <c r="D51" s="1337"/>
      <c r="E51" s="2174"/>
      <c r="F51" s="2173"/>
      <c r="G51" s="1337"/>
      <c r="H51" s="1337"/>
      <c r="I51" s="1337"/>
      <c r="J51" s="1337"/>
      <c r="K51" s="1337"/>
      <c r="L51" s="1449"/>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216</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49"/>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1690</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1691</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J5 AC5:AI5 AC44:AI44 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F508B-AD7D-F59D-73C2-50BAE880D16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80">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76"/>
      <c r="Q3" s="340"/>
      <c r="R3" s="341"/>
      <c r="S3" s="1480">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80">
        <f>INDEX(PT_DIFFERENTIATION_NUM_CS,MATCH(C4,PT_DIFFERENTIATION_CS_ID,0))</f>
      </c>
      <c r="T4" s="291" t="s">
        <v>1675</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1676</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73"/>
      <c r="R5" s="344"/>
      <c r="S5" s="1480">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480">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80">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79"/>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73"/>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81"/>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70"/>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470"/>
      <c r="M19" s="1385"/>
      <c r="N19" s="1385"/>
      <c r="O19" s="1385"/>
      <c r="P19" s="1385"/>
      <c r="Q19" s="1394"/>
      <c r="R19" s="1394"/>
      <c r="S19" s="727"/>
      <c r="AB19" s="1389"/>
      <c r="AI19" s="1389"/>
      <c r="AL19" s="509"/>
      <c r="AM19" s="509"/>
      <c r="AN19" s="509"/>
      <c r="AO19" s="509"/>
      <c r="AP19" s="509"/>
    </row>
    <row s="1389" customFormat="1" customHeight="1" ht="12" hidden="1">
      <c r="L20" s="1470"/>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477"/>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475" t="s">
        <v>1683</v>
      </c>
      <c r="W38" s="2177" t="s">
        <v>494</v>
      </c>
      <c r="X38" s="2178"/>
      <c r="Y38" s="2177" t="s">
        <v>495</v>
      </c>
      <c r="Z38" s="2184"/>
      <c r="AA38" s="2178"/>
      <c r="AB38" s="2193"/>
      <c r="AC38" s="1475" t="s">
        <v>1683</v>
      </c>
      <c r="AD38" s="2177" t="s">
        <v>494</v>
      </c>
      <c r="AE38" s="2178"/>
      <c r="AF38" s="2177" t="s">
        <v>495</v>
      </c>
      <c r="AG38" s="2184"/>
      <c r="AH38" s="2178"/>
      <c r="AI38" s="2193"/>
      <c r="AJ38" s="2196"/>
      <c r="AK38" s="1948"/>
    </row>
    <row customHeight="1" ht="33.7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475" t="s">
        <v>1686</v>
      </c>
      <c r="W39" s="1230" t="s">
        <v>1687</v>
      </c>
      <c r="X39" s="1230" t="s">
        <v>1688</v>
      </c>
      <c r="Y39" s="1478" t="s">
        <v>505</v>
      </c>
      <c r="Z39" s="2185" t="s">
        <v>506</v>
      </c>
      <c r="AA39" s="2186"/>
      <c r="AB39" s="2194"/>
      <c r="AC39" s="1475" t="s">
        <v>1686</v>
      </c>
      <c r="AD39" s="1230" t="s">
        <v>1687</v>
      </c>
      <c r="AE39" s="1230" t="s">
        <v>1688</v>
      </c>
      <c r="AF39" s="1478" t="s">
        <v>505</v>
      </c>
      <c r="AG39" s="2185" t="s">
        <v>506</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474">
        <f>OFFSET(V40,0,-1)+1</f>
        <v>3</v>
      </c>
      <c r="W40" s="1474">
        <f>OFFSET(W40,0,-1)+1</f>
        <v>4</v>
      </c>
      <c r="X40" s="1474">
        <f>OFFSET(X40,0,-1)+1</f>
        <v>5</v>
      </c>
      <c r="Y40" s="1474">
        <f>OFFSET(Y40,0,-1)+1</f>
        <v>6</v>
      </c>
      <c r="Z40" s="2187">
        <f>OFFSET(Z40,0,-1)+1</f>
        <v>7</v>
      </c>
      <c r="AA40" s="2187"/>
      <c r="AB40" s="1474">
        <f>OFFSET(AB40,0,-2)+1</f>
        <v>8</v>
      </c>
      <c r="AC40" s="1474">
        <f>OFFSET(AC40,0,-1)+1</f>
        <v>9</v>
      </c>
      <c r="AD40" s="1474">
        <f>OFFSET(AD40,0,-1)+1</f>
        <v>10</v>
      </c>
      <c r="AE40" s="1474">
        <f>OFFSET(AE40,0,-1)+1</f>
        <v>11</v>
      </c>
      <c r="AF40" s="1474">
        <f>OFFSET(AF40,0,-1)+1</f>
        <v>12</v>
      </c>
      <c r="AG40" s="2187">
        <f>OFFSET(AG40,0,-1)+1</f>
        <v>13</v>
      </c>
      <c r="AH40" s="2187"/>
      <c r="AI40" s="1474">
        <f>OFFSET(AI40,0,-2)+1</f>
        <v>14</v>
      </c>
      <c r="AJ40" s="1256">
        <f>OFFSET(AJ40,0,-1)</f>
        <v>14</v>
      </c>
      <c r="AK40" s="1474">
        <f>OFFSET(AK40,0,-1)+1</f>
        <v>15</v>
      </c>
      <c r="AL40" s="509"/>
      <c r="AM40" s="509"/>
      <c r="AN40" s="509"/>
      <c r="AO40" s="509"/>
      <c r="AP40" s="509"/>
    </row>
    <row customHeight="1" ht="23.25">
      <c r="A41" s="1386" t="s">
        <v>221</v>
      </c>
      <c r="B41" s="1386"/>
      <c r="C41" s="1386"/>
      <c r="D41" s="1386"/>
      <c r="E41" s="2173">
        <v>1</v>
      </c>
      <c r="F41" s="1386"/>
      <c r="G41" s="1386"/>
      <c r="H41" s="1386"/>
      <c r="I41" s="1386"/>
      <c r="J41" s="1386"/>
      <c r="K41" s="1386"/>
      <c r="L41" s="1387"/>
      <c r="M41" s="1388"/>
      <c r="N41" s="1388"/>
      <c r="O41" s="1388"/>
      <c r="P41" s="349"/>
      <c r="Q41" s="348"/>
      <c r="R41" s="343"/>
      <c r="S41" s="1480">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221</v>
      </c>
      <c r="B42" s="1386" t="s">
        <v>222</v>
      </c>
      <c r="C42" s="1386"/>
      <c r="D42" s="1386"/>
      <c r="E42" s="2174"/>
      <c r="F42" s="2173">
        <v>1</v>
      </c>
      <c r="G42" s="1386"/>
      <c r="H42" s="1386"/>
      <c r="I42" s="1386"/>
      <c r="J42" s="1386"/>
      <c r="K42" s="1386"/>
      <c r="L42" s="1387"/>
      <c r="M42" s="1388"/>
      <c r="N42" s="1388"/>
      <c r="O42" s="1388"/>
      <c r="P42" s="1476"/>
      <c r="Q42" s="340"/>
      <c r="R42" s="341"/>
      <c r="S42" s="1480"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221</v>
      </c>
      <c r="B43" s="1386" t="s">
        <v>222</v>
      </c>
      <c r="C43" s="1386" t="s">
        <v>223</v>
      </c>
      <c r="D43" s="1386"/>
      <c r="E43" s="2174"/>
      <c r="F43" s="2174"/>
      <c r="G43" s="2173">
        <v>1</v>
      </c>
      <c r="H43" s="1386"/>
      <c r="I43" s="1386"/>
      <c r="J43" s="1386"/>
      <c r="K43" s="1386"/>
      <c r="L43" s="1387"/>
      <c r="M43" s="1388"/>
      <c r="N43" s="1388"/>
      <c r="O43" s="1388"/>
      <c r="P43" s="342"/>
      <c r="Q43" s="340"/>
      <c r="R43" s="341"/>
      <c r="S43" s="1480" t="str">
        <f>INDEX(PT_DIFFERENTIATION_NUM_CS,MATCH(C43,PT_DIFFERENTIATION_CS_ID,0))</f>
        <v>..</v>
      </c>
      <c r="T43" s="291" t="s">
        <v>1675</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1676</v>
      </c>
      <c r="AM43" s="498"/>
      <c r="AN43" s="498" t="str">
        <f>IF(T43="","",T43)</f>
        <v>Наименование централизованной системы холодного водоснабжения</v>
      </c>
      <c r="AO43" s="498"/>
      <c r="AP43" s="498"/>
    </row>
    <row customHeight="1" ht="23.25">
      <c r="A44" s="1386" t="s">
        <v>221</v>
      </c>
      <c r="B44" s="1386" t="s">
        <v>222</v>
      </c>
      <c r="C44" s="1386" t="s">
        <v>223</v>
      </c>
      <c r="D44" s="1386" t="s">
        <v>1692</v>
      </c>
      <c r="E44" s="2174"/>
      <c r="F44" s="2174"/>
      <c r="G44" s="2174"/>
      <c r="H44" s="2174"/>
      <c r="I44" s="2171" t="str">
        <f>S43&amp;".1"</f>
        <v>...1</v>
      </c>
      <c r="J44" s="1386"/>
      <c r="K44" s="1386"/>
      <c r="L44" s="1387"/>
      <c r="P44" s="2172">
        <v>1</v>
      </c>
      <c r="Q44" s="1473"/>
      <c r="R44" s="344"/>
      <c r="S44" s="1480"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221</v>
      </c>
      <c r="B45" s="1386" t="s">
        <v>222</v>
      </c>
      <c r="C45" s="1386" t="s">
        <v>223</v>
      </c>
      <c r="D45" s="1386" t="s">
        <v>1692</v>
      </c>
      <c r="E45" s="2174"/>
      <c r="F45" s="2174"/>
      <c r="G45" s="2174"/>
      <c r="H45" s="2174"/>
      <c r="I45" s="2201"/>
      <c r="J45" s="2171" t="str">
        <f>I44&amp;".1"</f>
        <v>...1.1</v>
      </c>
      <c r="K45" s="1386"/>
      <c r="L45" s="1387" t="s">
        <v>468</v>
      </c>
      <c r="P45" s="2172"/>
      <c r="Q45" s="2172">
        <v>1</v>
      </c>
      <c r="R45" s="345"/>
      <c r="S45" s="1480"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221</v>
      </c>
      <c r="B46" s="1386" t="s">
        <v>222</v>
      </c>
      <c r="C46" s="1386" t="s">
        <v>223</v>
      </c>
      <c r="D46" s="1386" t="s">
        <v>1692</v>
      </c>
      <c r="E46" s="2174"/>
      <c r="F46" s="2174"/>
      <c r="G46" s="2174"/>
      <c r="H46" s="2174"/>
      <c r="I46" s="2201"/>
      <c r="J46" s="2201"/>
      <c r="K46" s="2171" t="str">
        <f>J45&amp;".1"</f>
        <v>...1.1.1</v>
      </c>
      <c r="L46" s="1387"/>
      <c r="P46" s="2172"/>
      <c r="Q46" s="2172"/>
      <c r="R46" s="345">
        <v>1</v>
      </c>
      <c r="S46" s="1480" t="str">
        <f>$K46</f>
        <v>...1.1.1</v>
      </c>
      <c r="T46" s="1460"/>
      <c r="U46" s="280"/>
      <c r="V46" s="749"/>
      <c r="W46" s="749"/>
      <c r="X46" s="1278"/>
      <c r="Y46" s="2180"/>
      <c r="Z46" s="1928" t="s">
        <v>58</v>
      </c>
      <c r="AA46" s="2180"/>
      <c r="AB46" s="1928" t="s">
        <v>58</v>
      </c>
      <c r="AC46" s="749"/>
      <c r="AD46" s="749"/>
      <c r="AE46" s="1278"/>
      <c r="AF46" s="2180"/>
      <c r="AG46" s="1928" t="s">
        <v>58</v>
      </c>
      <c r="AH46" s="2202"/>
      <c r="AI46" s="1928" t="s">
        <v>58</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221</v>
      </c>
      <c r="B47" s="1386" t="s">
        <v>222</v>
      </c>
      <c r="C47" s="1386" t="s">
        <v>223</v>
      </c>
      <c r="D47" s="1386" t="s">
        <v>1692</v>
      </c>
      <c r="E47" s="2174"/>
      <c r="F47" s="2174"/>
      <c r="G47" s="2174"/>
      <c r="H47" s="2174"/>
      <c r="I47" s="2201"/>
      <c r="J47" s="2201"/>
      <c r="K47" s="2171"/>
      <c r="L47" s="1387"/>
      <c r="P47" s="2172"/>
      <c r="Q47" s="2172"/>
      <c r="R47" s="345"/>
      <c r="S47" s="1479"/>
      <c r="T47" s="280"/>
      <c r="U47" s="280"/>
      <c r="V47" s="312"/>
      <c r="W47" s="312"/>
      <c r="X47" s="316" t="str">
        <f>Y46&amp;"-"&amp;AA46</f>
        <v>-</v>
      </c>
      <c r="Y47" s="2181"/>
      <c r="Z47" s="1928"/>
      <c r="AA47" s="2181"/>
      <c r="AB47" s="1928"/>
      <c r="AC47" s="312"/>
      <c r="AD47" s="312"/>
      <c r="AE47" s="316" t="str">
        <f>AF46&amp;"-"&amp;AH46</f>
        <v>-</v>
      </c>
      <c r="AF47" s="2181"/>
      <c r="AG47" s="1928"/>
      <c r="AH47" s="2203"/>
      <c r="AI47" s="1928"/>
      <c r="AJ47" s="1462"/>
      <c r="AK47" s="2303"/>
      <c r="AM47" s="498"/>
      <c r="AN47" s="498" t="str">
        <f>IF(T47="","",T47)</f>
        <v/>
      </c>
      <c r="AO47" s="498"/>
      <c r="AP47" s="498"/>
    </row>
    <row customHeight="1" ht="21">
      <c r="A48" s="1386" t="s">
        <v>221</v>
      </c>
      <c r="B48" s="1386" t="s">
        <v>222</v>
      </c>
      <c r="C48" s="1386" t="s">
        <v>223</v>
      </c>
      <c r="D48" s="1386" t="s">
        <v>1692</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221</v>
      </c>
      <c r="B49" s="1386" t="s">
        <v>222</v>
      </c>
      <c r="C49" s="1386" t="s">
        <v>223</v>
      </c>
      <c r="D49" s="1386" t="s">
        <v>1692</v>
      </c>
      <c r="E49" s="2174"/>
      <c r="F49" s="2174"/>
      <c r="G49" s="2174"/>
      <c r="H49" s="2174"/>
      <c r="I49" s="2171"/>
      <c r="J49" s="1386"/>
      <c r="K49" s="1386"/>
      <c r="L49" s="1387"/>
      <c r="P49" s="2172"/>
      <c r="Q49" s="1473"/>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221</v>
      </c>
      <c r="B50" s="1386" t="s">
        <v>222</v>
      </c>
      <c r="C50" s="1386" t="s">
        <v>223</v>
      </c>
      <c r="D50" s="1386" t="s">
        <v>1692</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221</v>
      </c>
      <c r="B51" s="1366" t="s">
        <v>222</v>
      </c>
      <c r="C51" s="1337"/>
      <c r="D51" s="1337"/>
      <c r="E51" s="2174"/>
      <c r="F51" s="2173"/>
      <c r="G51" s="1337"/>
      <c r="H51" s="1337"/>
      <c r="I51" s="1337"/>
      <c r="J51" s="1337"/>
      <c r="K51" s="1337"/>
      <c r="L51" s="1481"/>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221</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81"/>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1690</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1691</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24FF03-961A-6461-0158-CF1F592532CA}"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80">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76"/>
      <c r="Q3" s="340"/>
      <c r="R3" s="341"/>
      <c r="S3" s="1480">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80">
        <f>INDEX(PT_DIFFERENTIATION_NUM_CS,MATCH(C4,PT_DIFFERENTIATION_CS_ID,0))</f>
      </c>
      <c r="T4" s="291" t="s">
        <v>1675</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1676</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73"/>
      <c r="R5" s="344"/>
      <c r="S5" s="1480">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480">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80">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79"/>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73"/>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81"/>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70"/>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470"/>
      <c r="M19" s="1385"/>
      <c r="N19" s="1385"/>
      <c r="O19" s="1385"/>
      <c r="P19" s="1385"/>
      <c r="Q19" s="1394"/>
      <c r="R19" s="1394"/>
      <c r="S19" s="727"/>
      <c r="AB19" s="1389"/>
      <c r="AI19" s="1389"/>
      <c r="AL19" s="509"/>
      <c r="AM19" s="509"/>
      <c r="AN19" s="509"/>
      <c r="AO19" s="509"/>
      <c r="AP19" s="509"/>
    </row>
    <row s="1389" customFormat="1" customHeight="1" ht="12" hidden="1">
      <c r="L20" s="1470"/>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477"/>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475" t="s">
        <v>1683</v>
      </c>
      <c r="W38" s="2177" t="s">
        <v>494</v>
      </c>
      <c r="X38" s="2178"/>
      <c r="Y38" s="2177" t="s">
        <v>495</v>
      </c>
      <c r="Z38" s="2184"/>
      <c r="AA38" s="2178"/>
      <c r="AB38" s="2193"/>
      <c r="AC38" s="1475" t="s">
        <v>1683</v>
      </c>
      <c r="AD38" s="2177" t="s">
        <v>494</v>
      </c>
      <c r="AE38" s="2178"/>
      <c r="AF38" s="2177" t="s">
        <v>495</v>
      </c>
      <c r="AG38" s="2184"/>
      <c r="AH38" s="2178"/>
      <c r="AI38" s="2193"/>
      <c r="AJ38" s="2196"/>
      <c r="AK38" s="1948"/>
    </row>
    <row customHeight="1" ht="33.7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475" t="s">
        <v>1686</v>
      </c>
      <c r="W39" s="1230" t="s">
        <v>1687</v>
      </c>
      <c r="X39" s="1230" t="s">
        <v>1688</v>
      </c>
      <c r="Y39" s="1478" t="s">
        <v>505</v>
      </c>
      <c r="Z39" s="2185" t="s">
        <v>506</v>
      </c>
      <c r="AA39" s="2186"/>
      <c r="AB39" s="2194"/>
      <c r="AC39" s="1475" t="s">
        <v>1686</v>
      </c>
      <c r="AD39" s="1230" t="s">
        <v>1687</v>
      </c>
      <c r="AE39" s="1230" t="s">
        <v>1688</v>
      </c>
      <c r="AF39" s="1478" t="s">
        <v>505</v>
      </c>
      <c r="AG39" s="2185" t="s">
        <v>506</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474">
        <f>OFFSET(V40,0,-1)+1</f>
        <v>3</v>
      </c>
      <c r="W40" s="1474">
        <f>OFFSET(W40,0,-1)+1</f>
        <v>4</v>
      </c>
      <c r="X40" s="1474">
        <f>OFFSET(X40,0,-1)+1</f>
        <v>5</v>
      </c>
      <c r="Y40" s="1474">
        <f>OFFSET(Y40,0,-1)+1</f>
        <v>6</v>
      </c>
      <c r="Z40" s="2187">
        <f>OFFSET(Z40,0,-1)+1</f>
        <v>7</v>
      </c>
      <c r="AA40" s="2187"/>
      <c r="AB40" s="1474">
        <f>OFFSET(AB40,0,-2)+1</f>
        <v>8</v>
      </c>
      <c r="AC40" s="1474">
        <f>OFFSET(AC40,0,-1)+1</f>
        <v>9</v>
      </c>
      <c r="AD40" s="1474">
        <f>OFFSET(AD40,0,-1)+1</f>
        <v>10</v>
      </c>
      <c r="AE40" s="1474">
        <f>OFFSET(AE40,0,-1)+1</f>
        <v>11</v>
      </c>
      <c r="AF40" s="1474">
        <f>OFFSET(AF40,0,-1)+1</f>
        <v>12</v>
      </c>
      <c r="AG40" s="2187">
        <f>OFFSET(AG40,0,-1)+1</f>
        <v>13</v>
      </c>
      <c r="AH40" s="2187"/>
      <c r="AI40" s="1474">
        <f>OFFSET(AI40,0,-2)+1</f>
        <v>14</v>
      </c>
      <c r="AJ40" s="1256">
        <f>OFFSET(AJ40,0,-1)</f>
        <v>14</v>
      </c>
      <c r="AK40" s="1474">
        <f>OFFSET(AK40,0,-1)+1</f>
        <v>15</v>
      </c>
      <c r="AL40" s="509"/>
      <c r="AM40" s="509"/>
      <c r="AN40" s="509"/>
      <c r="AO40" s="509"/>
      <c r="AP40" s="509"/>
    </row>
    <row customHeight="1" ht="23.25">
      <c r="A41" s="1386" t="s">
        <v>226</v>
      </c>
      <c r="B41" s="1386"/>
      <c r="C41" s="1386"/>
      <c r="D41" s="1386"/>
      <c r="E41" s="2173">
        <v>1</v>
      </c>
      <c r="F41" s="1386"/>
      <c r="G41" s="1386"/>
      <c r="H41" s="1386"/>
      <c r="I41" s="1386"/>
      <c r="J41" s="1386"/>
      <c r="K41" s="1386"/>
      <c r="L41" s="1387"/>
      <c r="M41" s="1388"/>
      <c r="N41" s="1388"/>
      <c r="O41" s="1388"/>
      <c r="P41" s="349"/>
      <c r="Q41" s="348"/>
      <c r="R41" s="343"/>
      <c r="S41" s="1480">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226</v>
      </c>
      <c r="B42" s="1386" t="s">
        <v>227</v>
      </c>
      <c r="C42" s="1386"/>
      <c r="D42" s="1386"/>
      <c r="E42" s="2174"/>
      <c r="F42" s="2173">
        <v>1</v>
      </c>
      <c r="G42" s="1386"/>
      <c r="H42" s="1386"/>
      <c r="I42" s="1386"/>
      <c r="J42" s="1386"/>
      <c r="K42" s="1386"/>
      <c r="L42" s="1387"/>
      <c r="M42" s="1388"/>
      <c r="N42" s="1388"/>
      <c r="O42" s="1388"/>
      <c r="P42" s="1476"/>
      <c r="Q42" s="340"/>
      <c r="R42" s="341"/>
      <c r="S42" s="1480"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226</v>
      </c>
      <c r="B43" s="1386" t="s">
        <v>227</v>
      </c>
      <c r="C43" s="1386" t="s">
        <v>228</v>
      </c>
      <c r="D43" s="1386"/>
      <c r="E43" s="2174"/>
      <c r="F43" s="2174"/>
      <c r="G43" s="2173">
        <v>1</v>
      </c>
      <c r="H43" s="1386"/>
      <c r="I43" s="1386"/>
      <c r="J43" s="1386"/>
      <c r="K43" s="1386"/>
      <c r="L43" s="1387"/>
      <c r="M43" s="1388"/>
      <c r="N43" s="1388"/>
      <c r="O43" s="1388"/>
      <c r="P43" s="342"/>
      <c r="Q43" s="340"/>
      <c r="R43" s="341"/>
      <c r="S43" s="1480" t="str">
        <f>INDEX(PT_DIFFERENTIATION_NUM_CS,MATCH(C43,PT_DIFFERENTIATION_CS_ID,0))</f>
        <v>..</v>
      </c>
      <c r="T43" s="291" t="s">
        <v>1675</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1676</v>
      </c>
      <c r="AM43" s="498"/>
      <c r="AN43" s="498" t="str">
        <f>IF(T43="","",T43)</f>
        <v>Наименование централизованной системы холодного водоснабжения</v>
      </c>
      <c r="AO43" s="498"/>
      <c r="AP43" s="498"/>
    </row>
    <row customHeight="1" ht="23.25">
      <c r="A44" s="1386" t="s">
        <v>226</v>
      </c>
      <c r="B44" s="1386" t="s">
        <v>227</v>
      </c>
      <c r="C44" s="1386" t="s">
        <v>228</v>
      </c>
      <c r="D44" s="1386" t="s">
        <v>1693</v>
      </c>
      <c r="E44" s="2174"/>
      <c r="F44" s="2174"/>
      <c r="G44" s="2174"/>
      <c r="H44" s="2174"/>
      <c r="I44" s="2171" t="str">
        <f>S43&amp;".1"</f>
        <v>...1</v>
      </c>
      <c r="J44" s="1386"/>
      <c r="K44" s="1386"/>
      <c r="L44" s="1387"/>
      <c r="P44" s="2172">
        <v>1</v>
      </c>
      <c r="Q44" s="1473"/>
      <c r="R44" s="344"/>
      <c r="S44" s="1480"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226</v>
      </c>
      <c r="B45" s="1386" t="s">
        <v>227</v>
      </c>
      <c r="C45" s="1386" t="s">
        <v>228</v>
      </c>
      <c r="D45" s="1386" t="s">
        <v>1693</v>
      </c>
      <c r="E45" s="2174"/>
      <c r="F45" s="2174"/>
      <c r="G45" s="2174"/>
      <c r="H45" s="2174"/>
      <c r="I45" s="2201"/>
      <c r="J45" s="2171" t="str">
        <f>I44&amp;".1"</f>
        <v>...1.1</v>
      </c>
      <c r="K45" s="1386"/>
      <c r="L45" s="1387" t="s">
        <v>468</v>
      </c>
      <c r="P45" s="2172"/>
      <c r="Q45" s="2172">
        <v>1</v>
      </c>
      <c r="R45" s="345"/>
      <c r="S45" s="1480"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226</v>
      </c>
      <c r="B46" s="1386" t="s">
        <v>227</v>
      </c>
      <c r="C46" s="1386" t="s">
        <v>228</v>
      </c>
      <c r="D46" s="1386" t="s">
        <v>1693</v>
      </c>
      <c r="E46" s="2174"/>
      <c r="F46" s="2174"/>
      <c r="G46" s="2174"/>
      <c r="H46" s="2174"/>
      <c r="I46" s="2201"/>
      <c r="J46" s="2201"/>
      <c r="K46" s="2171" t="str">
        <f>J45&amp;".1"</f>
        <v>...1.1.1</v>
      </c>
      <c r="L46" s="1387"/>
      <c r="P46" s="2172"/>
      <c r="Q46" s="2172"/>
      <c r="R46" s="345">
        <v>1</v>
      </c>
      <c r="S46" s="1480" t="str">
        <f>$K46</f>
        <v>...1.1.1</v>
      </c>
      <c r="T46" s="1460"/>
      <c r="U46" s="280"/>
      <c r="V46" s="749"/>
      <c r="W46" s="749"/>
      <c r="X46" s="1278"/>
      <c r="Y46" s="2180"/>
      <c r="Z46" s="1928" t="s">
        <v>58</v>
      </c>
      <c r="AA46" s="2180"/>
      <c r="AB46" s="1928" t="s">
        <v>58</v>
      </c>
      <c r="AC46" s="749"/>
      <c r="AD46" s="749"/>
      <c r="AE46" s="1278"/>
      <c r="AF46" s="2180"/>
      <c r="AG46" s="1928" t="s">
        <v>58</v>
      </c>
      <c r="AH46" s="2202"/>
      <c r="AI46" s="1928" t="s">
        <v>58</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226</v>
      </c>
      <c r="B47" s="1386" t="s">
        <v>227</v>
      </c>
      <c r="C47" s="1386" t="s">
        <v>228</v>
      </c>
      <c r="D47" s="1386" t="s">
        <v>1693</v>
      </c>
      <c r="E47" s="2174"/>
      <c r="F47" s="2174"/>
      <c r="G47" s="2174"/>
      <c r="H47" s="2174"/>
      <c r="I47" s="2201"/>
      <c r="J47" s="2201"/>
      <c r="K47" s="2171"/>
      <c r="L47" s="1387"/>
      <c r="P47" s="2172"/>
      <c r="Q47" s="2172"/>
      <c r="R47" s="345"/>
      <c r="S47" s="1479"/>
      <c r="T47" s="280"/>
      <c r="U47" s="280"/>
      <c r="V47" s="312"/>
      <c r="W47" s="312"/>
      <c r="X47" s="316" t="str">
        <f>Y46&amp;"-"&amp;AA46</f>
        <v>-</v>
      </c>
      <c r="Y47" s="2181"/>
      <c r="Z47" s="1928"/>
      <c r="AA47" s="2181"/>
      <c r="AB47" s="1928"/>
      <c r="AC47" s="312"/>
      <c r="AD47" s="312"/>
      <c r="AE47" s="316" t="str">
        <f>AF46&amp;"-"&amp;AH46</f>
        <v>-</v>
      </c>
      <c r="AF47" s="2181"/>
      <c r="AG47" s="1928"/>
      <c r="AH47" s="2203"/>
      <c r="AI47" s="1928"/>
      <c r="AJ47" s="1462"/>
      <c r="AK47" s="2303"/>
      <c r="AM47" s="498"/>
      <c r="AN47" s="498" t="str">
        <f>IF(T47="","",T47)</f>
        <v/>
      </c>
      <c r="AO47" s="498"/>
      <c r="AP47" s="498"/>
    </row>
    <row customHeight="1" ht="21">
      <c r="A48" s="1386" t="s">
        <v>226</v>
      </c>
      <c r="B48" s="1386" t="s">
        <v>227</v>
      </c>
      <c r="C48" s="1386" t="s">
        <v>228</v>
      </c>
      <c r="D48" s="1386" t="s">
        <v>1693</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226</v>
      </c>
      <c r="B49" s="1386" t="s">
        <v>227</v>
      </c>
      <c r="C49" s="1386" t="s">
        <v>228</v>
      </c>
      <c r="D49" s="1386" t="s">
        <v>1693</v>
      </c>
      <c r="E49" s="2174"/>
      <c r="F49" s="2174"/>
      <c r="G49" s="2174"/>
      <c r="H49" s="2174"/>
      <c r="I49" s="2171"/>
      <c r="J49" s="1386"/>
      <c r="K49" s="1386"/>
      <c r="L49" s="1387"/>
      <c r="P49" s="2172"/>
      <c r="Q49" s="1473"/>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226</v>
      </c>
      <c r="B50" s="1386" t="s">
        <v>227</v>
      </c>
      <c r="C50" s="1386" t="s">
        <v>228</v>
      </c>
      <c r="D50" s="1386" t="s">
        <v>1693</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226</v>
      </c>
      <c r="B51" s="1366" t="s">
        <v>227</v>
      </c>
      <c r="C51" s="1337"/>
      <c r="D51" s="1337"/>
      <c r="E51" s="2174"/>
      <c r="F51" s="2173"/>
      <c r="G51" s="1337"/>
      <c r="H51" s="1337"/>
      <c r="I51" s="1337"/>
      <c r="J51" s="1337"/>
      <c r="K51" s="1337"/>
      <c r="L51" s="1481"/>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226</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81"/>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1690</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1691</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CD6654-0D7F-D4E5-9F92-BE5E8B0D6B2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80">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76"/>
      <c r="Q3" s="340"/>
      <c r="R3" s="341"/>
      <c r="S3" s="1480">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80">
        <f>INDEX(PT_DIFFERENTIATION_NUM_CS,MATCH(C4,PT_DIFFERENTIATION_CS_ID,0))</f>
      </c>
      <c r="T4" s="291" t="s">
        <v>1675</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1676</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73"/>
      <c r="R5" s="344"/>
      <c r="S5" s="1480">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480">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80">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79"/>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73"/>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81"/>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70"/>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470"/>
      <c r="M19" s="1385"/>
      <c r="N19" s="1385"/>
      <c r="O19" s="1385"/>
      <c r="P19" s="1385"/>
      <c r="Q19" s="1394"/>
      <c r="R19" s="1394"/>
      <c r="S19" s="727"/>
      <c r="AB19" s="1389"/>
      <c r="AI19" s="1389"/>
      <c r="AL19" s="509"/>
      <c r="AM19" s="509"/>
      <c r="AN19" s="509"/>
      <c r="AO19" s="509"/>
      <c r="AP19" s="509"/>
    </row>
    <row s="1389" customFormat="1" customHeight="1" ht="12" hidden="1">
      <c r="L20" s="1470"/>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477"/>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475" t="s">
        <v>1683</v>
      </c>
      <c r="W38" s="2177" t="s">
        <v>494</v>
      </c>
      <c r="X38" s="2178"/>
      <c r="Y38" s="2177" t="s">
        <v>495</v>
      </c>
      <c r="Z38" s="2184"/>
      <c r="AA38" s="2178"/>
      <c r="AB38" s="2193"/>
      <c r="AC38" s="1475" t="s">
        <v>1683</v>
      </c>
      <c r="AD38" s="2177" t="s">
        <v>494</v>
      </c>
      <c r="AE38" s="2178"/>
      <c r="AF38" s="2177" t="s">
        <v>495</v>
      </c>
      <c r="AG38" s="2184"/>
      <c r="AH38" s="2178"/>
      <c r="AI38" s="2193"/>
      <c r="AJ38" s="2196"/>
      <c r="AK38" s="1948"/>
    </row>
    <row customHeight="1" ht="33.7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475" t="s">
        <v>1686</v>
      </c>
      <c r="W39" s="1230" t="s">
        <v>1687</v>
      </c>
      <c r="X39" s="1230" t="s">
        <v>1688</v>
      </c>
      <c r="Y39" s="1478" t="s">
        <v>505</v>
      </c>
      <c r="Z39" s="2185" t="s">
        <v>506</v>
      </c>
      <c r="AA39" s="2186"/>
      <c r="AB39" s="2194"/>
      <c r="AC39" s="1475" t="s">
        <v>1686</v>
      </c>
      <c r="AD39" s="1230" t="s">
        <v>1687</v>
      </c>
      <c r="AE39" s="1230" t="s">
        <v>1688</v>
      </c>
      <c r="AF39" s="1478" t="s">
        <v>505</v>
      </c>
      <c r="AG39" s="2185" t="s">
        <v>506</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474">
        <f>OFFSET(V40,0,-1)+1</f>
        <v>3</v>
      </c>
      <c r="W40" s="1474">
        <f>OFFSET(W40,0,-1)+1</f>
        <v>4</v>
      </c>
      <c r="X40" s="1474">
        <f>OFFSET(X40,0,-1)+1</f>
        <v>5</v>
      </c>
      <c r="Y40" s="1474">
        <f>OFFSET(Y40,0,-1)+1</f>
        <v>6</v>
      </c>
      <c r="Z40" s="2187">
        <f>OFFSET(Z40,0,-1)+1</f>
        <v>7</v>
      </c>
      <c r="AA40" s="2187"/>
      <c r="AB40" s="1474">
        <f>OFFSET(AB40,0,-2)+1</f>
        <v>8</v>
      </c>
      <c r="AC40" s="1474">
        <f>OFFSET(AC40,0,-1)+1</f>
        <v>9</v>
      </c>
      <c r="AD40" s="1474">
        <f>OFFSET(AD40,0,-1)+1</f>
        <v>10</v>
      </c>
      <c r="AE40" s="1474">
        <f>OFFSET(AE40,0,-1)+1</f>
        <v>11</v>
      </c>
      <c r="AF40" s="1474">
        <f>OFFSET(AF40,0,-1)+1</f>
        <v>12</v>
      </c>
      <c r="AG40" s="2187">
        <f>OFFSET(AG40,0,-1)+1</f>
        <v>13</v>
      </c>
      <c r="AH40" s="2187"/>
      <c r="AI40" s="1474">
        <f>OFFSET(AI40,0,-2)+1</f>
        <v>14</v>
      </c>
      <c r="AJ40" s="1256">
        <f>OFFSET(AJ40,0,-1)</f>
        <v>14</v>
      </c>
      <c r="AK40" s="1474">
        <f>OFFSET(AK40,0,-1)+1</f>
        <v>15</v>
      </c>
      <c r="AL40" s="509"/>
      <c r="AM40" s="509"/>
      <c r="AN40" s="509"/>
      <c r="AO40" s="509"/>
      <c r="AP40" s="509"/>
    </row>
    <row customHeight="1" ht="23.25">
      <c r="A41" s="1386" t="s">
        <v>231</v>
      </c>
      <c r="B41" s="1386"/>
      <c r="C41" s="1386"/>
      <c r="D41" s="1386"/>
      <c r="E41" s="2173">
        <v>1</v>
      </c>
      <c r="F41" s="1386"/>
      <c r="G41" s="1386"/>
      <c r="H41" s="1386"/>
      <c r="I41" s="1386"/>
      <c r="J41" s="1386"/>
      <c r="K41" s="1386"/>
      <c r="L41" s="1387"/>
      <c r="M41" s="1388"/>
      <c r="N41" s="1388"/>
      <c r="O41" s="1388"/>
      <c r="P41" s="349"/>
      <c r="Q41" s="348"/>
      <c r="R41" s="343"/>
      <c r="S41" s="1480">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231</v>
      </c>
      <c r="B42" s="1386" t="s">
        <v>232</v>
      </c>
      <c r="C42" s="1386"/>
      <c r="D42" s="1386"/>
      <c r="E42" s="2174"/>
      <c r="F42" s="2173">
        <v>1</v>
      </c>
      <c r="G42" s="1386"/>
      <c r="H42" s="1386"/>
      <c r="I42" s="1386"/>
      <c r="J42" s="1386"/>
      <c r="K42" s="1386"/>
      <c r="L42" s="1387"/>
      <c r="M42" s="1388"/>
      <c r="N42" s="1388"/>
      <c r="O42" s="1388"/>
      <c r="P42" s="1476"/>
      <c r="Q42" s="340"/>
      <c r="R42" s="341"/>
      <c r="S42" s="1480"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231</v>
      </c>
      <c r="B43" s="1386" t="s">
        <v>232</v>
      </c>
      <c r="C43" s="1386" t="s">
        <v>233</v>
      </c>
      <c r="D43" s="1386"/>
      <c r="E43" s="2174"/>
      <c r="F43" s="2174"/>
      <c r="G43" s="2173">
        <v>1</v>
      </c>
      <c r="H43" s="1386"/>
      <c r="I43" s="1386"/>
      <c r="J43" s="1386"/>
      <c r="K43" s="1386"/>
      <c r="L43" s="1387"/>
      <c r="M43" s="1388"/>
      <c r="N43" s="1388"/>
      <c r="O43" s="1388"/>
      <c r="P43" s="342"/>
      <c r="Q43" s="340"/>
      <c r="R43" s="341"/>
      <c r="S43" s="1480" t="str">
        <f>INDEX(PT_DIFFERENTIATION_NUM_CS,MATCH(C43,PT_DIFFERENTIATION_CS_ID,0))</f>
        <v>..</v>
      </c>
      <c r="T43" s="291" t="s">
        <v>1675</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1676</v>
      </c>
      <c r="AM43" s="498"/>
      <c r="AN43" s="498" t="str">
        <f>IF(T43="","",T43)</f>
        <v>Наименование централизованной системы холодного водоснабжения</v>
      </c>
      <c r="AO43" s="498"/>
      <c r="AP43" s="498"/>
    </row>
    <row customHeight="1" ht="23.25">
      <c r="A44" s="1386" t="s">
        <v>231</v>
      </c>
      <c r="B44" s="1386" t="s">
        <v>232</v>
      </c>
      <c r="C44" s="1386" t="s">
        <v>233</v>
      </c>
      <c r="D44" s="1386" t="s">
        <v>1694</v>
      </c>
      <c r="E44" s="2174"/>
      <c r="F44" s="2174"/>
      <c r="G44" s="2174"/>
      <c r="H44" s="2174"/>
      <c r="I44" s="2171" t="str">
        <f>S43&amp;".1"</f>
        <v>...1</v>
      </c>
      <c r="J44" s="1386"/>
      <c r="K44" s="1386"/>
      <c r="L44" s="1387"/>
      <c r="P44" s="2172">
        <v>1</v>
      </c>
      <c r="Q44" s="1473"/>
      <c r="R44" s="344"/>
      <c r="S44" s="1480"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231</v>
      </c>
      <c r="B45" s="1386" t="s">
        <v>232</v>
      </c>
      <c r="C45" s="1386" t="s">
        <v>233</v>
      </c>
      <c r="D45" s="1386" t="s">
        <v>1694</v>
      </c>
      <c r="E45" s="2174"/>
      <c r="F45" s="2174"/>
      <c r="G45" s="2174"/>
      <c r="H45" s="2174"/>
      <c r="I45" s="2201"/>
      <c r="J45" s="2171" t="str">
        <f>I44&amp;".1"</f>
        <v>...1.1</v>
      </c>
      <c r="K45" s="1386"/>
      <c r="L45" s="1387" t="s">
        <v>468</v>
      </c>
      <c r="P45" s="2172"/>
      <c r="Q45" s="2172">
        <v>1</v>
      </c>
      <c r="R45" s="345"/>
      <c r="S45" s="1480"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231</v>
      </c>
      <c r="B46" s="1386" t="s">
        <v>232</v>
      </c>
      <c r="C46" s="1386" t="s">
        <v>233</v>
      </c>
      <c r="D46" s="1386" t="s">
        <v>1694</v>
      </c>
      <c r="E46" s="2174"/>
      <c r="F46" s="2174"/>
      <c r="G46" s="2174"/>
      <c r="H46" s="2174"/>
      <c r="I46" s="2201"/>
      <c r="J46" s="2201"/>
      <c r="K46" s="2171" t="str">
        <f>J45&amp;".1"</f>
        <v>...1.1.1</v>
      </c>
      <c r="L46" s="1387"/>
      <c r="P46" s="2172"/>
      <c r="Q46" s="2172"/>
      <c r="R46" s="345">
        <v>1</v>
      </c>
      <c r="S46" s="1480" t="str">
        <f>$K46</f>
        <v>...1.1.1</v>
      </c>
      <c r="T46" s="1460"/>
      <c r="U46" s="280"/>
      <c r="V46" s="749"/>
      <c r="W46" s="749"/>
      <c r="X46" s="1278"/>
      <c r="Y46" s="2180"/>
      <c r="Z46" s="1928" t="s">
        <v>58</v>
      </c>
      <c r="AA46" s="2180"/>
      <c r="AB46" s="1928" t="s">
        <v>58</v>
      </c>
      <c r="AC46" s="749"/>
      <c r="AD46" s="749"/>
      <c r="AE46" s="1278"/>
      <c r="AF46" s="2180"/>
      <c r="AG46" s="1928" t="s">
        <v>58</v>
      </c>
      <c r="AH46" s="2202"/>
      <c r="AI46" s="1928" t="s">
        <v>58</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231</v>
      </c>
      <c r="B47" s="1386" t="s">
        <v>232</v>
      </c>
      <c r="C47" s="1386" t="s">
        <v>233</v>
      </c>
      <c r="D47" s="1386" t="s">
        <v>1694</v>
      </c>
      <c r="E47" s="2174"/>
      <c r="F47" s="2174"/>
      <c r="G47" s="2174"/>
      <c r="H47" s="2174"/>
      <c r="I47" s="2201"/>
      <c r="J47" s="2201"/>
      <c r="K47" s="2171"/>
      <c r="L47" s="1387"/>
      <c r="P47" s="2172"/>
      <c r="Q47" s="2172"/>
      <c r="R47" s="345"/>
      <c r="S47" s="1479"/>
      <c r="T47" s="280"/>
      <c r="U47" s="280"/>
      <c r="V47" s="312"/>
      <c r="W47" s="312"/>
      <c r="X47" s="316" t="str">
        <f>Y46&amp;"-"&amp;AA46</f>
        <v>-</v>
      </c>
      <c r="Y47" s="2181"/>
      <c r="Z47" s="1928"/>
      <c r="AA47" s="2181"/>
      <c r="AB47" s="1928"/>
      <c r="AC47" s="312"/>
      <c r="AD47" s="312"/>
      <c r="AE47" s="316" t="str">
        <f>AF46&amp;"-"&amp;AH46</f>
        <v>-</v>
      </c>
      <c r="AF47" s="2181"/>
      <c r="AG47" s="1928"/>
      <c r="AH47" s="2203"/>
      <c r="AI47" s="1928"/>
      <c r="AJ47" s="1462"/>
      <c r="AK47" s="2303"/>
      <c r="AM47" s="498"/>
      <c r="AN47" s="498" t="str">
        <f>IF(T47="","",T47)</f>
        <v/>
      </c>
      <c r="AO47" s="498"/>
      <c r="AP47" s="498"/>
    </row>
    <row customHeight="1" ht="21">
      <c r="A48" s="1386" t="s">
        <v>231</v>
      </c>
      <c r="B48" s="1386" t="s">
        <v>232</v>
      </c>
      <c r="C48" s="1386" t="s">
        <v>233</v>
      </c>
      <c r="D48" s="1386" t="s">
        <v>1694</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231</v>
      </c>
      <c r="B49" s="1386" t="s">
        <v>232</v>
      </c>
      <c r="C49" s="1386" t="s">
        <v>233</v>
      </c>
      <c r="D49" s="1386" t="s">
        <v>1694</v>
      </c>
      <c r="E49" s="2174"/>
      <c r="F49" s="2174"/>
      <c r="G49" s="2174"/>
      <c r="H49" s="2174"/>
      <c r="I49" s="2171"/>
      <c r="J49" s="1386"/>
      <c r="K49" s="1386"/>
      <c r="L49" s="1387"/>
      <c r="P49" s="2172"/>
      <c r="Q49" s="1473"/>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231</v>
      </c>
      <c r="B50" s="1386" t="s">
        <v>232</v>
      </c>
      <c r="C50" s="1386" t="s">
        <v>233</v>
      </c>
      <c r="D50" s="1386" t="s">
        <v>1694</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231</v>
      </c>
      <c r="B51" s="1366" t="s">
        <v>232</v>
      </c>
      <c r="C51" s="1337"/>
      <c r="D51" s="1337"/>
      <c r="E51" s="2174"/>
      <c r="F51" s="2173"/>
      <c r="G51" s="1337"/>
      <c r="H51" s="1337"/>
      <c r="I51" s="1337"/>
      <c r="J51" s="1337"/>
      <c r="K51" s="1337"/>
      <c r="L51" s="1481"/>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231</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81"/>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1690</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1691</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42285-44CB-127A-5117-8B0EAE358C1A}"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9" width="11.57421875" hidden="1" customWidth="1"/>
    <col min="2" max="2" style="1389" width="11.00390625" hidden="1" customWidth="1"/>
    <col min="3" max="3" style="1389" width="10.57421875" hidden="1"/>
    <col min="4" max="4" style="1389" width="12.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5" style="1666" width="21.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2" style="1666" width="3.7109375" customWidth="1"/>
    <col min="33" max="33" style="1666" width="24.7109375" customWidth="1"/>
    <col min="34" max="36" style="1666" width="3.7109375" customWidth="1"/>
    <col min="37" max="37" style="1666" width="24.7109375" customWidth="1"/>
    <col min="38" max="40" style="1666" width="3.7109375" customWidth="1"/>
    <col min="41" max="41" style="1666" width="18.8515625" customWidth="1"/>
    <col min="42" max="44" style="1666" width="3.7109375" customWidth="1"/>
    <col min="45" max="45" style="1666" width="18.8515625" customWidth="1"/>
    <col min="46" max="49" style="1666" width="21.7109375" customWidth="1"/>
    <col min="50" max="50" style="1666" width="11.7109375" customWidth="1"/>
    <col min="51" max="51" style="1666" width="3.7109375" customWidth="1"/>
    <col min="52" max="52" style="1666" width="11.7109375" customWidth="1"/>
    <col min="53" max="53" style="1666" width="8.57421875" hidden="1" customWidth="1"/>
    <col min="54" max="54" style="1666" width="4.7109375" customWidth="1"/>
    <col min="55" max="55" style="1666" width="115.7109375" customWidth="1"/>
    <col min="56" max="57" style="1673" width="10.57421875"/>
    <col min="58" max="58" style="1673" width="11.140625" customWidth="1"/>
    <col min="59" max="60" style="1673" width="10.57421875"/>
  </cols>
  <sheetData>
    <row customHeight="1" ht="14.25" hidden="1">
      <c r="W1" s="315"/>
      <c r="Y1" s="315"/>
      <c r="Z1" s="315"/>
      <c r="AW1" s="315"/>
      <c r="AX1" s="315"/>
    </row>
    <row customHeight="1" ht="21" hidden="1">
      <c r="A2" s="1386"/>
      <c r="B2" s="1386"/>
      <c r="C2" s="1386"/>
      <c r="D2" s="1386"/>
      <c r="E2" s="2173">
        <v>1</v>
      </c>
      <c r="F2" s="1386"/>
      <c r="G2" s="1386"/>
      <c r="H2" s="1386"/>
      <c r="I2" s="1386"/>
      <c r="J2" s="1386"/>
      <c r="K2" s="1386"/>
      <c r="L2" s="1387"/>
      <c r="M2" s="1388"/>
      <c r="N2" s="1388"/>
      <c r="O2" s="1388"/>
      <c r="P2" s="1432"/>
      <c r="Q2" s="871"/>
      <c r="R2" s="343"/>
      <c r="S2" s="1488">
        <f>INDEX(PT_DIFFERENTIATION_NUM_NTAR,MATCH(A2,PT_DIFFERENTIATION_NTAR_ID,0))</f>
      </c>
      <c r="T2" s="278" t="s">
        <v>127</v>
      </c>
      <c r="U2" s="280"/>
      <c r="V2" s="2158"/>
      <c r="W2" s="2158"/>
      <c r="X2" s="2158"/>
      <c r="Y2" s="2158"/>
      <c r="Z2" s="2158"/>
      <c r="AA2" s="2158"/>
      <c r="AB2" s="2158"/>
      <c r="AC2" s="2159"/>
      <c r="AD2" s="2157">
        <f>INDEX(PT_DIFFERENTIATION_NTAR,MATCH(A2,PT_DIFFERENTIATION_NTAR_ID,0))</f>
      </c>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9"/>
      <c r="BC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8"/>
      <c r="BF2" s="498" t="str">
        <f>IF(T2="","",T2)</f>
        <v>Наименование тарифа</v>
      </c>
      <c r="BG2" s="498"/>
      <c r="BH2" s="498"/>
    </row>
    <row customHeight="1" ht="21" hidden="1">
      <c r="A3" s="1386"/>
      <c r="B3" s="1386"/>
      <c r="C3" s="1386"/>
      <c r="D3" s="1386"/>
      <c r="E3" s="2174"/>
      <c r="F3" s="2173">
        <v>1</v>
      </c>
      <c r="G3" s="1386"/>
      <c r="H3" s="1386"/>
      <c r="I3" s="1386"/>
      <c r="J3" s="1386"/>
      <c r="K3" s="1386"/>
      <c r="L3" s="1387"/>
      <c r="M3" s="1388"/>
      <c r="N3" s="1388"/>
      <c r="O3" s="1388"/>
      <c r="P3" s="1433"/>
      <c r="Q3" s="1434"/>
      <c r="R3" s="341"/>
      <c r="S3" s="1488">
        <f>INDEX(PT_DIFFERENTIATION_NUM_TER,MATCH(B3,PT_DIFFERENTIATION_TER_ID,0))</f>
      </c>
      <c r="T3" s="290" t="s">
        <v>459</v>
      </c>
      <c r="U3" s="280"/>
      <c r="V3" s="2158"/>
      <c r="W3" s="2158"/>
      <c r="X3" s="2158"/>
      <c r="Y3" s="2158"/>
      <c r="Z3" s="2158"/>
      <c r="AA3" s="2158"/>
      <c r="AB3" s="2158"/>
      <c r="AC3" s="2159"/>
      <c r="AD3" s="2157">
        <f>INDEX(PT_DIFFERENTIATION_TER,MATCH(B3,PT_DIFFERENTIATION_TER_ID,0))</f>
      </c>
      <c r="AE3" s="2158"/>
      <c r="AF3" s="2158"/>
      <c r="AG3" s="2158"/>
      <c r="AH3" s="2158"/>
      <c r="AI3" s="2158"/>
      <c r="AJ3" s="2158"/>
      <c r="AK3" s="2158"/>
      <c r="AL3" s="2158"/>
      <c r="AM3" s="2158"/>
      <c r="AN3" s="2158"/>
      <c r="AO3" s="2158"/>
      <c r="AP3" s="2158"/>
      <c r="AQ3" s="2158"/>
      <c r="AR3" s="2158"/>
      <c r="AS3" s="2158"/>
      <c r="AT3" s="2158"/>
      <c r="AU3" s="2158"/>
      <c r="AV3" s="2158"/>
      <c r="AW3" s="2158"/>
      <c r="AX3" s="2158"/>
      <c r="AY3" s="2158"/>
      <c r="AZ3" s="2158"/>
      <c r="BA3" s="2158"/>
      <c r="BB3" s="2159"/>
      <c r="BC3" s="1279" t="s">
        <v>460</v>
      </c>
      <c r="BE3" s="498"/>
      <c r="BF3" s="498" t="str">
        <f>IF(T3="","",T3)</f>
        <v>Территория действия тарифа</v>
      </c>
      <c r="BG3" s="498"/>
      <c r="BH3" s="498"/>
    </row>
    <row customHeight="1" ht="42" hidden="1">
      <c r="A4" s="1386"/>
      <c r="B4" s="1386"/>
      <c r="C4" s="1386"/>
      <c r="D4" s="1386"/>
      <c r="E4" s="2174"/>
      <c r="F4" s="2174"/>
      <c r="G4" s="2173">
        <v>1</v>
      </c>
      <c r="H4" s="1386"/>
      <c r="I4" s="1386"/>
      <c r="J4" s="1386"/>
      <c r="K4" s="1386"/>
      <c r="L4" s="1387"/>
      <c r="M4" s="1388"/>
      <c r="N4" s="1388"/>
      <c r="O4" s="1388"/>
      <c r="P4" s="1435"/>
      <c r="Q4" s="1434"/>
      <c r="R4" s="341"/>
      <c r="S4" s="1488">
        <f>INDEX(PT_DIFFERENTIATION_NUM_CS,MATCH(C4,PT_DIFFERENTIATION_CS_ID,0))</f>
      </c>
      <c r="T4" s="291" t="s">
        <v>1675</v>
      </c>
      <c r="U4" s="280"/>
      <c r="V4" s="2158"/>
      <c r="W4" s="2158"/>
      <c r="X4" s="2158"/>
      <c r="Y4" s="2158"/>
      <c r="Z4" s="2158"/>
      <c r="AA4" s="2158"/>
      <c r="AB4" s="2158"/>
      <c r="AC4" s="2159"/>
      <c r="AD4" s="2157">
        <f>INDEX(PT_DIFFERENTIATION_CS,MATCH(C4,PT_DIFFERENTIATION_CS_ID,0))</f>
      </c>
      <c r="AE4" s="2158"/>
      <c r="AF4" s="2158"/>
      <c r="AG4" s="2158"/>
      <c r="AH4" s="2158"/>
      <c r="AI4" s="2158"/>
      <c r="AJ4" s="2158"/>
      <c r="AK4" s="2158"/>
      <c r="AL4" s="2158"/>
      <c r="AM4" s="2158"/>
      <c r="AN4" s="2158"/>
      <c r="AO4" s="2158"/>
      <c r="AP4" s="2158"/>
      <c r="AQ4" s="2158"/>
      <c r="AR4" s="2158"/>
      <c r="AS4" s="2158"/>
      <c r="AT4" s="2158"/>
      <c r="AU4" s="2158"/>
      <c r="AV4" s="2158"/>
      <c r="AW4" s="2158"/>
      <c r="AX4" s="2158"/>
      <c r="AY4" s="2158"/>
      <c r="AZ4" s="2158"/>
      <c r="BA4" s="2158"/>
      <c r="BB4" s="2159"/>
      <c r="BC4" s="1279" t="s">
        <v>1676</v>
      </c>
      <c r="BE4" s="498"/>
      <c r="BF4" s="498" t="str">
        <f>IF(T4="","",T4)</f>
        <v>Наименование централизованной системы холодного водоснабжения</v>
      </c>
      <c r="BG4" s="498"/>
      <c r="BH4" s="498"/>
    </row>
    <row s="1673" customFormat="1" customHeight="1" ht="14.25" hidden="1">
      <c r="A5" s="1366"/>
      <c r="B5" s="1366"/>
      <c r="C5" s="1366"/>
      <c r="D5" s="1366"/>
      <c r="E5" s="2174"/>
      <c r="F5" s="2174"/>
      <c r="G5" s="2174"/>
      <c r="H5" s="2173">
        <v>1</v>
      </c>
      <c r="I5" s="1366"/>
      <c r="J5" s="1366"/>
      <c r="K5" s="1366"/>
      <c r="L5" s="1369"/>
      <c r="M5" s="1338"/>
      <c r="N5" s="1338"/>
      <c r="O5" s="1338"/>
      <c r="P5" s="1520"/>
      <c r="Q5" s="1521"/>
      <c r="R5" s="345"/>
      <c r="S5" s="1043"/>
      <c r="T5" s="1522"/>
      <c r="U5" s="1407"/>
      <c r="V5" s="2210"/>
      <c r="W5" s="2210"/>
      <c r="X5" s="2210"/>
      <c r="Y5" s="2210"/>
      <c r="Z5" s="2210"/>
      <c r="AA5" s="2210"/>
      <c r="AB5" s="2210"/>
      <c r="AC5" s="2211"/>
      <c r="AD5" s="2209"/>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1"/>
      <c r="BC5" s="1408" t="s">
        <v>464</v>
      </c>
      <c r="BE5" s="498"/>
      <c r="BF5" s="498" t="str">
        <f>IF(T5="","",T5)</f>
        <v/>
      </c>
      <c r="BG5" s="498"/>
      <c r="BH5" s="498"/>
    </row>
    <row s="1673" customFormat="1" customHeight="1" ht="14.25" hidden="1">
      <c r="A6" s="1366"/>
      <c r="B6" s="1366"/>
      <c r="C6" s="1366"/>
      <c r="D6" s="1366"/>
      <c r="E6" s="2174"/>
      <c r="F6" s="2174"/>
      <c r="G6" s="2174"/>
      <c r="H6" s="2174"/>
      <c r="I6" s="2171" t="str">
        <f>S5&amp;".1"</f>
        <v>.1</v>
      </c>
      <c r="J6" s="1366"/>
      <c r="K6" s="1366"/>
      <c r="L6" s="1369" t="s">
        <v>465</v>
      </c>
      <c r="M6" s="508"/>
      <c r="N6" s="508"/>
      <c r="O6" s="508"/>
      <c r="P6" s="2172">
        <v>1</v>
      </c>
      <c r="Q6" s="1485"/>
      <c r="R6" s="344"/>
      <c r="S6" s="1043"/>
      <c r="T6" s="1406"/>
      <c r="U6" s="1407"/>
      <c r="V6" s="2210"/>
      <c r="W6" s="2210"/>
      <c r="X6" s="2210"/>
      <c r="Y6" s="2210"/>
      <c r="Z6" s="2210"/>
      <c r="AA6" s="2210"/>
      <c r="AB6" s="2210"/>
      <c r="AC6" s="2211"/>
      <c r="AD6" s="2209"/>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1"/>
      <c r="BC6" s="1408"/>
      <c r="BE6" s="498"/>
      <c r="BF6" s="498" t="str">
        <f>IF(T6="","",T6)</f>
        <v/>
      </c>
      <c r="BG6" s="498"/>
      <c r="BH6" s="498"/>
    </row>
    <row s="1673" customFormat="1" customHeight="1" ht="14.25" hidden="1">
      <c r="A7" s="1366"/>
      <c r="B7" s="1366"/>
      <c r="C7" s="1366"/>
      <c r="D7" s="1366"/>
      <c r="E7" s="2174"/>
      <c r="F7" s="2174"/>
      <c r="G7" s="2174"/>
      <c r="H7" s="2174"/>
      <c r="I7" s="2201"/>
      <c r="J7" s="2171" t="str">
        <f>S5&amp;".1"</f>
        <v>.1</v>
      </c>
      <c r="K7" s="1366"/>
      <c r="L7" s="1369"/>
      <c r="M7" s="508"/>
      <c r="N7" s="508"/>
      <c r="O7" s="508"/>
      <c r="P7" s="2172"/>
      <c r="Q7" s="2172">
        <v>1</v>
      </c>
      <c r="R7" s="345"/>
      <c r="S7" s="1043"/>
      <c r="T7" s="1422"/>
      <c r="U7" s="1407"/>
      <c r="V7" s="2210"/>
      <c r="W7" s="2210"/>
      <c r="X7" s="2210"/>
      <c r="Y7" s="2210"/>
      <c r="Z7" s="2210"/>
      <c r="AA7" s="2210"/>
      <c r="AB7" s="2210"/>
      <c r="AC7" s="2211"/>
      <c r="AD7" s="2209"/>
      <c r="AE7" s="2210"/>
      <c r="AF7" s="2210"/>
      <c r="AG7" s="2210"/>
      <c r="AH7" s="2210"/>
      <c r="AI7" s="2210"/>
      <c r="AJ7" s="2210"/>
      <c r="AK7" s="2210"/>
      <c r="AL7" s="2210"/>
      <c r="AM7" s="2210"/>
      <c r="AN7" s="2210"/>
      <c r="AO7" s="2210"/>
      <c r="AP7" s="2210"/>
      <c r="AQ7" s="2210"/>
      <c r="AR7" s="2210"/>
      <c r="AS7" s="2210"/>
      <c r="AT7" s="2210"/>
      <c r="AU7" s="2210"/>
      <c r="AV7" s="2210"/>
      <c r="AW7" s="2210"/>
      <c r="AX7" s="2210"/>
      <c r="AY7" s="2210"/>
      <c r="AZ7" s="2210"/>
      <c r="BA7" s="2210"/>
      <c r="BB7" s="2211"/>
      <c r="BC7" s="1408"/>
      <c r="BE7" s="498"/>
      <c r="BF7" s="498" t="str">
        <f>IF(T7="","",T7)</f>
        <v/>
      </c>
      <c r="BG7" s="498"/>
      <c r="BH7" s="498"/>
    </row>
    <row customHeight="1" ht="11.25" hidden="1">
      <c r="A8" s="1386"/>
      <c r="B8" s="1386"/>
      <c r="C8" s="1386"/>
      <c r="D8" s="1386"/>
      <c r="E8" s="2174"/>
      <c r="F8" s="2174"/>
      <c r="G8" s="2174"/>
      <c r="H8" s="2174"/>
      <c r="I8" s="2201"/>
      <c r="J8" s="2201"/>
      <c r="K8" s="2171">
        <f>S4&amp;".1"</f>
      </c>
      <c r="L8" s="1387"/>
      <c r="P8" s="2172"/>
      <c r="Q8" s="2172"/>
      <c r="R8" s="2253">
        <v>1</v>
      </c>
      <c r="S8" s="2247">
        <f>$K8</f>
      </c>
      <c r="T8" s="2313"/>
      <c r="U8" s="280"/>
      <c r="V8" s="749"/>
      <c r="W8" s="1278"/>
      <c r="X8" s="749"/>
      <c r="Y8" s="1278"/>
      <c r="Z8" s="1764"/>
      <c r="AA8" s="1482" t="s">
        <v>58</v>
      </c>
      <c r="AB8" s="1764"/>
      <c r="AC8" s="1482" t="s">
        <v>58</v>
      </c>
      <c r="AD8" s="2004" t="s">
        <v>58</v>
      </c>
      <c r="AE8" s="2233"/>
      <c r="AF8" s="2024">
        <v>1</v>
      </c>
      <c r="AG8" s="2317"/>
      <c r="AH8" s="1928" t="s">
        <v>58</v>
      </c>
      <c r="AI8" s="2233"/>
      <c r="AJ8" s="2024">
        <v>1</v>
      </c>
      <c r="AK8" s="2316" t="s">
        <v>18</v>
      </c>
      <c r="AL8" s="1928" t="s">
        <v>58</v>
      </c>
      <c r="AM8" s="2011"/>
      <c r="AN8" s="2024">
        <v>1</v>
      </c>
      <c r="AO8" s="2310"/>
      <c r="AP8" s="2311" t="s">
        <v>58</v>
      </c>
      <c r="AQ8" s="293"/>
      <c r="AR8" s="1486">
        <v>1</v>
      </c>
      <c r="AS8" s="1489" t="s">
        <v>18</v>
      </c>
      <c r="AT8" s="749"/>
      <c r="AU8" s="1278"/>
      <c r="AV8" s="749"/>
      <c r="AW8" s="1278"/>
      <c r="AX8" s="1764"/>
      <c r="AY8" s="1482" t="s">
        <v>58</v>
      </c>
      <c r="AZ8" s="1764"/>
      <c r="BA8" s="1482" t="s">
        <v>58</v>
      </c>
      <c r="BB8" s="1371"/>
      <c r="BC8" s="2168" t="s">
        <v>1695</v>
      </c>
      <c r="BE8" s="498"/>
      <c r="BF8" s="498" t="str">
        <f>IF(T8="","",T8)</f>
        <v/>
      </c>
      <c r="BG8" s="498"/>
      <c r="BH8" s="498"/>
    </row>
    <row customHeight="1" ht="11.25" hidden="1">
      <c r="A9" s="1386"/>
      <c r="B9" s="1386"/>
      <c r="C9" s="1386"/>
      <c r="D9" s="1386"/>
      <c r="E9" s="2174"/>
      <c r="F9" s="2174"/>
      <c r="G9" s="2174"/>
      <c r="H9" s="2174"/>
      <c r="I9" s="2201"/>
      <c r="J9" s="2201"/>
      <c r="K9" s="2171"/>
      <c r="L9" s="1387"/>
      <c r="P9" s="2172"/>
      <c r="Q9" s="2172"/>
      <c r="R9" s="2253"/>
      <c r="S9" s="2248"/>
      <c r="T9" s="2314"/>
      <c r="U9" s="280"/>
      <c r="V9" s="1416"/>
      <c r="W9" s="1519"/>
      <c r="X9" s="1416"/>
      <c r="Y9" s="1519"/>
      <c r="Z9" s="1416"/>
      <c r="AA9" s="1416"/>
      <c r="AB9" s="1416"/>
      <c r="AC9" s="1416"/>
      <c r="AD9" s="2005"/>
      <c r="AE9" s="2233"/>
      <c r="AF9" s="2024"/>
      <c r="AG9" s="2317"/>
      <c r="AH9" s="1928"/>
      <c r="AI9" s="2233"/>
      <c r="AJ9" s="2024"/>
      <c r="AK9" s="2316"/>
      <c r="AL9" s="1928"/>
      <c r="AM9" s="2019"/>
      <c r="AN9" s="2024"/>
      <c r="AO9" s="2310"/>
      <c r="AP9" s="2312"/>
      <c r="AQ9" s="300"/>
      <c r="AR9" s="414"/>
      <c r="AS9" s="414" t="s">
        <v>1696</v>
      </c>
      <c r="AT9" s="1416"/>
      <c r="AU9" s="1519"/>
      <c r="AV9" s="1416"/>
      <c r="AW9" s="1519"/>
      <c r="AX9" s="1416"/>
      <c r="AY9" s="1416"/>
      <c r="AZ9" s="1416"/>
      <c r="BA9" s="1416"/>
      <c r="BB9" s="1420"/>
      <c r="BC9" s="2169"/>
      <c r="BE9" s="498"/>
      <c r="BF9" s="498"/>
      <c r="BG9" s="498"/>
      <c r="BH9" s="498"/>
    </row>
    <row customHeight="1" ht="11.25" hidden="1">
      <c r="A10" s="1386"/>
      <c r="B10" s="1386"/>
      <c r="C10" s="1386"/>
      <c r="D10" s="1386"/>
      <c r="E10" s="2174"/>
      <c r="F10" s="2174"/>
      <c r="G10" s="2174"/>
      <c r="H10" s="2174"/>
      <c r="I10" s="2201"/>
      <c r="J10" s="2201"/>
      <c r="K10" s="2171"/>
      <c r="L10" s="1387"/>
      <c r="P10" s="2172"/>
      <c r="Q10" s="2172"/>
      <c r="R10" s="2253"/>
      <c r="S10" s="2248"/>
      <c r="T10" s="2314"/>
      <c r="U10" s="280"/>
      <c r="V10" s="1416"/>
      <c r="W10" s="1519"/>
      <c r="X10" s="1416"/>
      <c r="Y10" s="1519"/>
      <c r="Z10" s="1416"/>
      <c r="AA10" s="1416"/>
      <c r="AB10" s="1416"/>
      <c r="AC10" s="1416"/>
      <c r="AD10" s="2005"/>
      <c r="AE10" s="2233"/>
      <c r="AF10" s="2024"/>
      <c r="AG10" s="2317"/>
      <c r="AH10" s="1928"/>
      <c r="AI10" s="2233"/>
      <c r="AJ10" s="2024"/>
      <c r="AK10" s="2316"/>
      <c r="AL10" s="1928"/>
      <c r="AM10" s="300"/>
      <c r="AN10" s="1523"/>
      <c r="AO10" s="1523" t="s">
        <v>1697</v>
      </c>
      <c r="AP10" s="414"/>
      <c r="AQ10" s="414"/>
      <c r="AR10" s="414"/>
      <c r="AS10" s="1416"/>
      <c r="AT10" s="1416"/>
      <c r="AU10" s="1519"/>
      <c r="AV10" s="1416"/>
      <c r="AW10" s="1519"/>
      <c r="AX10" s="1416"/>
      <c r="AY10" s="1416"/>
      <c r="AZ10" s="1416"/>
      <c r="BA10" s="1416"/>
      <c r="BB10" s="1420"/>
      <c r="BC10" s="2169"/>
      <c r="BE10" s="498"/>
      <c r="BF10" s="498"/>
      <c r="BG10" s="498"/>
      <c r="BH10" s="498"/>
    </row>
    <row customHeight="1" ht="11.25" hidden="1">
      <c r="A11" s="1386"/>
      <c r="B11" s="1386"/>
      <c r="C11" s="1386"/>
      <c r="D11" s="1386"/>
      <c r="E11" s="2174"/>
      <c r="F11" s="2174"/>
      <c r="G11" s="2174"/>
      <c r="H11" s="2174"/>
      <c r="I11" s="2201"/>
      <c r="J11" s="2201"/>
      <c r="K11" s="2171"/>
      <c r="L11" s="1387"/>
      <c r="P11" s="2172"/>
      <c r="Q11" s="2172"/>
      <c r="R11" s="2253"/>
      <c r="S11" s="2248"/>
      <c r="T11" s="2314"/>
      <c r="U11" s="280"/>
      <c r="V11" s="1416"/>
      <c r="W11" s="1519"/>
      <c r="X11" s="1416"/>
      <c r="Y11" s="1519"/>
      <c r="Z11" s="1416"/>
      <c r="AA11" s="1416"/>
      <c r="AB11" s="1416"/>
      <c r="AC11" s="1416"/>
      <c r="AD11" s="2005"/>
      <c r="AE11" s="2233"/>
      <c r="AF11" s="2024"/>
      <c r="AG11" s="2317"/>
      <c r="AH11" s="1928"/>
      <c r="AI11" s="274"/>
      <c r="AJ11" s="413"/>
      <c r="AK11" s="295" t="s">
        <v>1698</v>
      </c>
      <c r="AL11" s="1416"/>
      <c r="AM11" s="1416"/>
      <c r="AN11" s="1416"/>
      <c r="AO11" s="1416"/>
      <c r="AP11" s="1416"/>
      <c r="AQ11" s="1416"/>
      <c r="AR11" s="1416"/>
      <c r="AS11" s="1416"/>
      <c r="AT11" s="1416"/>
      <c r="AU11" s="1519"/>
      <c r="AV11" s="1416"/>
      <c r="AW11" s="1519"/>
      <c r="AX11" s="1416"/>
      <c r="AY11" s="1416"/>
      <c r="AZ11" s="1416"/>
      <c r="BA11" s="1416"/>
      <c r="BB11" s="1420"/>
      <c r="BC11" s="2169"/>
      <c r="BE11" s="498"/>
      <c r="BF11" s="498"/>
      <c r="BG11" s="498"/>
      <c r="BH11" s="498"/>
    </row>
    <row customHeight="1" ht="11.25" hidden="1">
      <c r="A12" s="1386"/>
      <c r="B12" s="1386"/>
      <c r="C12" s="1386"/>
      <c r="D12" s="1386"/>
      <c r="E12" s="2174"/>
      <c r="F12" s="2174"/>
      <c r="G12" s="2174"/>
      <c r="H12" s="2174"/>
      <c r="I12" s="2201"/>
      <c r="J12" s="2201"/>
      <c r="K12" s="2171"/>
      <c r="L12" s="1387"/>
      <c r="P12" s="2172"/>
      <c r="Q12" s="2172"/>
      <c r="R12" s="2253"/>
      <c r="S12" s="2249"/>
      <c r="T12" s="2315"/>
      <c r="U12" s="280"/>
      <c r="V12" s="1416"/>
      <c r="W12" s="1417" t="str">
        <f>Z8&amp;"-"&amp;AB8</f>
        <v>-</v>
      </c>
      <c r="X12" s="1416"/>
      <c r="Y12" s="1417" t="str">
        <f>AB8&amp;"-"&amp;AD8</f>
        <v>-да</v>
      </c>
      <c r="Z12" s="1416"/>
      <c r="AA12" s="1416"/>
      <c r="AB12" s="1416"/>
      <c r="AC12" s="1416"/>
      <c r="AD12" s="1933"/>
      <c r="AE12" s="294"/>
      <c r="AF12" s="296"/>
      <c r="AG12" s="414" t="s">
        <v>1699</v>
      </c>
      <c r="AH12" s="1416"/>
      <c r="AI12" s="1416"/>
      <c r="AJ12" s="1416"/>
      <c r="AK12" s="1416"/>
      <c r="AL12" s="1416"/>
      <c r="AM12" s="1416"/>
      <c r="AN12" s="1416"/>
      <c r="AO12" s="1416"/>
      <c r="AP12" s="1416"/>
      <c r="AQ12" s="1416"/>
      <c r="AR12" s="1416"/>
      <c r="AS12" s="1416"/>
      <c r="AT12" s="1416"/>
      <c r="AU12" s="1417" t="str">
        <f>AX8&amp;"-"&amp;AZ8</f>
        <v>-</v>
      </c>
      <c r="AV12" s="1416"/>
      <c r="AW12" s="1417" t="str">
        <f>AZ8&amp;"-"&amp;BB8</f>
        <v>-</v>
      </c>
      <c r="AX12" s="1416"/>
      <c r="AY12" s="1416"/>
      <c r="AZ12" s="1416"/>
      <c r="BA12" s="1416"/>
      <c r="BB12" s="1419" t="str">
        <f>BE8&amp;"-"&amp;BG8</f>
        <v>-</v>
      </c>
      <c r="BC12" s="2169"/>
      <c r="BE12" s="498"/>
      <c r="BF12" s="498" t="str">
        <f>IF(T12="","",T12)</f>
        <v/>
      </c>
      <c r="BG12" s="498"/>
      <c r="BH12" s="498"/>
    </row>
    <row customHeight="1" ht="11.25" hidden="1">
      <c r="A13" s="1386"/>
      <c r="B13" s="1386"/>
      <c r="C13" s="1386"/>
      <c r="D13" s="1386"/>
      <c r="E13" s="2174"/>
      <c r="F13" s="2174"/>
      <c r="G13" s="2174"/>
      <c r="H13" s="2174"/>
      <c r="I13" s="2201"/>
      <c r="J13" s="2171"/>
      <c r="K13" s="1386"/>
      <c r="L13" s="1387"/>
      <c r="P13" s="2172"/>
      <c r="Q13" s="2172"/>
      <c r="R13" s="344"/>
      <c r="S13" s="1301"/>
      <c r="T13" s="268" t="s">
        <v>539</v>
      </c>
      <c r="U13" s="359"/>
      <c r="V13" s="359"/>
      <c r="W13" s="359"/>
      <c r="X13" s="359"/>
      <c r="Y13" s="359"/>
      <c r="Z13" s="359"/>
      <c r="AA13" s="359"/>
      <c r="AB13" s="359"/>
      <c r="AC13" s="359"/>
      <c r="AD13" s="1528"/>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70"/>
      <c r="BE13" s="498"/>
      <c r="BF13" s="498" t="str">
        <f>IF(T13="","",T13)</f>
        <v>Добавить строку</v>
      </c>
      <c r="BG13" s="498"/>
      <c r="BH13" s="498"/>
    </row>
    <row s="1673" customFormat="1" customHeight="1" ht="14.25" hidden="1">
      <c r="A14" s="1366"/>
      <c r="B14" s="1366"/>
      <c r="C14" s="1366"/>
      <c r="D14" s="1366"/>
      <c r="E14" s="2174"/>
      <c r="F14" s="2174"/>
      <c r="G14" s="2174"/>
      <c r="H14" s="2174"/>
      <c r="I14" s="2171"/>
      <c r="J14" s="1366"/>
      <c r="K14" s="1366"/>
      <c r="L14" s="1369"/>
      <c r="M14" s="508"/>
      <c r="N14" s="508"/>
      <c r="O14" s="508"/>
      <c r="P14" s="2172"/>
      <c r="Q14" s="1485"/>
      <c r="R14" s="34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1"/>
      <c r="AV14" s="1411"/>
      <c r="AW14" s="1411"/>
      <c r="AX14" s="1411"/>
      <c r="AY14" s="1411"/>
      <c r="AZ14" s="1411"/>
      <c r="BA14" s="1411"/>
      <c r="BB14" s="1411"/>
      <c r="BC14" s="1412"/>
      <c r="BE14" s="498"/>
      <c r="BF14" s="498" t="str">
        <f>IF(T14="","",T14)</f>
        <v/>
      </c>
      <c r="BG14" s="498"/>
      <c r="BH14" s="498"/>
    </row>
    <row s="1673" customFormat="1" customHeight="1" ht="14.25" hidden="1">
      <c r="A15" s="1366"/>
      <c r="B15" s="1366"/>
      <c r="C15" s="1366"/>
      <c r="D15" s="1366"/>
      <c r="E15" s="2174"/>
      <c r="F15" s="2174"/>
      <c r="G15" s="2174"/>
      <c r="H15" s="2173"/>
      <c r="I15" s="1366"/>
      <c r="J15" s="1366"/>
      <c r="K15" s="1366"/>
      <c r="L15" s="1369"/>
      <c r="M15" s="1338"/>
      <c r="N15" s="1338"/>
      <c r="O15" s="516"/>
      <c r="P15" s="376"/>
      <c r="Q15" s="1367"/>
      <c r="R15" s="1424"/>
      <c r="S15" s="1409"/>
      <c r="T15" s="1410"/>
      <c r="U15" s="1411"/>
      <c r="V15" s="1411"/>
      <c r="W15" s="1411"/>
      <c r="X15" s="1411"/>
      <c r="Y15" s="1411"/>
      <c r="Z15" s="1411"/>
      <c r="AA15" s="1411"/>
      <c r="AB15" s="1411"/>
      <c r="AC15" s="1411"/>
      <c r="AD15" s="1411"/>
      <c r="AE15" s="1411"/>
      <c r="AF15" s="1411"/>
      <c r="AG15" s="1411"/>
      <c r="AH15" s="1411"/>
      <c r="AI15" s="1411"/>
      <c r="AJ15" s="1411"/>
      <c r="AK15" s="1411"/>
      <c r="AL15" s="1411"/>
      <c r="AM15" s="1411"/>
      <c r="AN15" s="1411"/>
      <c r="AO15" s="1411"/>
      <c r="AP15" s="1411"/>
      <c r="AQ15" s="1411"/>
      <c r="AR15" s="1411"/>
      <c r="AS15" s="1411"/>
      <c r="AT15" s="1411"/>
      <c r="AU15" s="1411"/>
      <c r="AV15" s="1411"/>
      <c r="AW15" s="1411"/>
      <c r="AX15" s="1411"/>
      <c r="AY15" s="1411"/>
      <c r="AZ15" s="1411"/>
      <c r="BA15" s="1411"/>
      <c r="BB15" s="1411"/>
      <c r="BC15" s="1412"/>
      <c r="BE15" s="498"/>
      <c r="BF15" s="498" t="str">
        <f>IF(T15="","",T15)</f>
        <v/>
      </c>
      <c r="BG15" s="498"/>
      <c r="BH15" s="498"/>
    </row>
    <row s="1673" customFormat="1" customHeight="1" ht="14.25" hidden="1">
      <c r="A16" s="1366"/>
      <c r="B16" s="1366"/>
      <c r="C16" s="1366"/>
      <c r="D16" s="1337"/>
      <c r="E16" s="2174"/>
      <c r="F16" s="2174"/>
      <c r="G16" s="2173"/>
      <c r="H16" s="1337"/>
      <c r="I16" s="1337"/>
      <c r="J16" s="1337"/>
      <c r="K16" s="1337"/>
      <c r="L16" s="1487"/>
      <c r="M16" s="1338"/>
      <c r="N16" s="1338"/>
      <c r="P16" s="1339"/>
      <c r="Q16" s="1340"/>
      <c r="R16" s="1339"/>
      <c r="S16" s="1345"/>
      <c r="T16" s="1348"/>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E16" s="787"/>
      <c r="BF16" s="787" t="str">
        <f>IF(T16="","",T16)</f>
        <v/>
      </c>
      <c r="BG16" s="787"/>
      <c r="BH16" s="787"/>
    </row>
    <row s="1673" customFormat="1" customHeight="1" ht="14.25" hidden="1">
      <c r="A17" s="1366"/>
      <c r="B17" s="1366"/>
      <c r="C17" s="1337"/>
      <c r="D17" s="1337"/>
      <c r="E17" s="2174"/>
      <c r="F17" s="2173"/>
      <c r="G17" s="1337"/>
      <c r="H17" s="1337"/>
      <c r="I17" s="1337"/>
      <c r="J17" s="1337"/>
      <c r="K17" s="1337"/>
      <c r="L17" s="1487"/>
      <c r="M17" s="1344"/>
      <c r="N17" s="1344"/>
      <c r="P17" s="1339"/>
      <c r="Q17" s="1340"/>
      <c r="R17" s="1339"/>
      <c r="S17" s="1345"/>
      <c r="T17" s="1348" t="s">
        <v>433</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E17" s="787"/>
      <c r="BF17" s="787" t="str">
        <f>IF(T17="","",T17)</f>
        <v>Добавить централизованную систему для дифференциации</v>
      </c>
      <c r="BG17" s="787"/>
      <c r="BH17" s="787"/>
    </row>
    <row s="1673" customFormat="1" customHeight="1" ht="14.25" hidden="1">
      <c r="A18" s="1366"/>
      <c r="B18" s="1366"/>
      <c r="C18" s="1366"/>
      <c r="D18" s="1366"/>
      <c r="E18" s="2173"/>
      <c r="F18" s="1366"/>
      <c r="G18" s="1366"/>
      <c r="H18" s="1366"/>
      <c r="I18" s="1366"/>
      <c r="J18" s="1366"/>
      <c r="K18" s="1366"/>
      <c r="L18" s="1369"/>
      <c r="M18" s="1344"/>
      <c r="N18" s="1344"/>
      <c r="O18" s="516"/>
      <c r="P18" s="376"/>
      <c r="Q18" s="1367"/>
      <c r="R18" s="376"/>
      <c r="S18" s="1345"/>
      <c r="T18" s="1348" t="s">
        <v>434</v>
      </c>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E18" s="498"/>
      <c r="BF18" s="498" t="str">
        <f>IF(T18="","",T18)</f>
        <v>Добавить территорию для дифференциации</v>
      </c>
      <c r="BG18" s="498"/>
      <c r="BH18" s="498"/>
    </row>
    <row customHeight="1" ht="14.25" hidden="1">
      <c r="AC19" s="315"/>
      <c r="BA19" s="315"/>
    </row>
    <row customHeight="1" ht="14.25" hidden="1">
      <c r="AD20" s="1347" t="s">
        <v>56</v>
      </c>
      <c r="AE20" s="1524"/>
      <c r="AF20" s="546">
        <v>1</v>
      </c>
      <c r="AG20" s="1525"/>
      <c r="AH20" s="1347" t="s">
        <v>56</v>
      </c>
      <c r="AI20" s="1524"/>
      <c r="AJ20" s="546">
        <v>1</v>
      </c>
      <c r="AK20" s="1525"/>
      <c r="AL20" s="1347" t="s">
        <v>56</v>
      </c>
      <c r="AM20" s="1526"/>
      <c r="AN20" s="546">
        <v>1</v>
      </c>
      <c r="AO20" s="1527"/>
      <c r="AP20" s="1347" t="s">
        <v>56</v>
      </c>
      <c r="AQ20" s="1526"/>
      <c r="AR20" s="546">
        <v>1</v>
      </c>
      <c r="AS20" s="1527"/>
      <c r="AT20" s="312"/>
      <c r="AU20" s="381"/>
      <c r="AV20" s="312"/>
      <c r="AW20" s="381"/>
      <c r="AX20" s="1766"/>
      <c r="AY20" s="1483" t="s">
        <v>58</v>
      </c>
      <c r="AZ20" s="1766"/>
      <c r="BA20" s="1483" t="s">
        <v>58</v>
      </c>
    </row>
    <row customHeight="1" ht="14.25" hidden="1">
      <c r="BD21" s="494"/>
      <c r="BE21" s="494"/>
      <c r="BF21" s="494"/>
      <c r="BG21" s="494"/>
      <c r="BH21" s="494"/>
    </row>
    <row customHeight="1" ht="14.25" hidden="1">
      <c r="O22" s="1390" t="s">
        <v>476</v>
      </c>
      <c r="Z22" s="1368"/>
      <c r="AB22" s="1368"/>
      <c r="AC22" s="315"/>
      <c r="AX22" s="1368"/>
      <c r="AZ22" s="1368"/>
      <c r="BA22" s="315"/>
      <c r="BD22" s="494"/>
      <c r="BE22" s="494"/>
      <c r="BF22" s="494"/>
      <c r="BG22" s="494"/>
      <c r="BH22" s="494"/>
    </row>
    <row customHeight="1" ht="14.25" hidden="1">
      <c r="AC23" s="315"/>
      <c r="BA23" s="315"/>
      <c r="BD23" s="494"/>
      <c r="BE23" s="494"/>
      <c r="BF23" s="494"/>
      <c r="BG23" s="494"/>
      <c r="BH23" s="494"/>
    </row>
    <row s="1532" customFormat="1" customHeight="1" ht="14.25" hidden="1">
      <c r="M24" s="1531"/>
      <c r="N24" s="1531"/>
      <c r="O24" s="1532" t="s">
        <v>477</v>
      </c>
      <c r="P24" s="1531"/>
      <c r="Q24" s="1533"/>
      <c r="R24" s="1533"/>
      <c r="AA24" s="1530" t="s">
        <v>479</v>
      </c>
      <c r="AC24" s="1530" t="s">
        <v>480</v>
      </c>
      <c r="AD24" s="1530" t="s">
        <v>540</v>
      </c>
      <c r="AH24" s="1530" t="s">
        <v>540</v>
      </c>
      <c r="AK24" s="1530" t="s">
        <v>1700</v>
      </c>
      <c r="AL24" s="1530" t="s">
        <v>540</v>
      </c>
      <c r="AP24" s="1530" t="s">
        <v>540</v>
      </c>
      <c r="AY24" s="1530" t="s">
        <v>479</v>
      </c>
      <c r="BA24" s="1530" t="s">
        <v>480</v>
      </c>
      <c r="BD24" s="1534"/>
      <c r="BE24" s="1534"/>
      <c r="BF24" s="1534"/>
      <c r="BG24" s="1534"/>
      <c r="BH24" s="1534"/>
    </row>
    <row customHeight="1" ht="14.25" hidden="1">
      <c r="O25" s="1387"/>
      <c r="BD25" s="494"/>
      <c r="BE25" s="494"/>
      <c r="BF25" s="494"/>
      <c r="BG25" s="494"/>
      <c r="BH25" s="494"/>
    </row>
    <row customHeight="1" ht="14.25" hidden="1">
      <c r="O26" s="1387"/>
      <c r="BD26" s="494"/>
      <c r="BE26" s="494"/>
      <c r="BF26" s="494"/>
      <c r="BG26" s="494"/>
      <c r="BH26" s="494"/>
    </row>
    <row customHeight="1" ht="14.25">
      <c r="Q27" s="272"/>
      <c r="R27" s="368"/>
      <c r="S27" s="1298"/>
      <c r="T27" s="353"/>
      <c r="U27" s="353"/>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row>
    <row customHeight="1" ht="33.75">
      <c r="Q28" s="272"/>
      <c r="R28" s="368"/>
      <c r="S28" s="2163" t="str">
        <f>IF(TEMPLATE_GROUP="P",PT_P_FORM_COLDVSNA_5_NAME_FORM,PT_R_FORM_COLDVSNA_17_NAME_FORM)</f>
        <v>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254"/>
    </row>
    <row customHeight="1" ht="14.25">
      <c r="Q29" s="272"/>
      <c r="R29" s="368"/>
      <c r="S29" s="2164" t="str">
        <f>IF(org=0,"Не определено",org)</f>
        <v>ПАО "ТГК-2"</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254"/>
    </row>
    <row customHeight="1" ht="14.25" hidden="1">
      <c r="Q30" s="272"/>
      <c r="R30" s="368"/>
      <c r="S30" s="1298"/>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7"/>
    </row>
    <row s="1888" customFormat="1" customHeight="1" ht="25.5" hidden="1">
      <c r="A31" s="1391"/>
      <c r="B31" s="1391"/>
      <c r="C31" s="1391"/>
      <c r="D31" s="1391"/>
      <c r="E31" s="1391"/>
      <c r="F31" s="1391"/>
      <c r="G31" s="1391"/>
      <c r="H31" s="1391"/>
      <c r="I31" s="1391"/>
      <c r="J31" s="1391"/>
      <c r="K31" s="1391"/>
      <c r="L31" s="1392"/>
      <c r="M31" s="1391"/>
      <c r="N31" s="1391"/>
      <c r="O31" s="1391"/>
      <c r="P31" s="1391"/>
      <c r="Q31" s="1391"/>
      <c r="S31" s="2165" t="s">
        <v>39</v>
      </c>
      <c r="T31" s="2165"/>
      <c r="U31" s="1395"/>
      <c r="V31" s="2166"/>
      <c r="W31" s="2166"/>
      <c r="X31" s="2166"/>
      <c r="Y31" s="2166"/>
      <c r="Z31" s="2166"/>
      <c r="AA31" s="2166"/>
      <c r="AB31" s="2166"/>
      <c r="AC31" s="314"/>
      <c r="AD31" s="2166" t="str">
        <f>IF(TITLE_NAME_OR_PR_CHANGE="",IF(TITLE_NAME_OR_PR="","",TITLE_NAME_OR_PR),TITLE_NAME_OR_PR_CHANGE)</f>
        <v/>
      </c>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314"/>
      <c r="BB31" s="314"/>
      <c r="BC31" s="261"/>
      <c r="BD31" s="360"/>
      <c r="BE31" s="360"/>
      <c r="BF31" s="360"/>
      <c r="BG31" s="360"/>
      <c r="BH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482</v>
      </c>
      <c r="T32" s="2165"/>
      <c r="U32" s="1395"/>
      <c r="V32" s="2179"/>
      <c r="W32" s="2179"/>
      <c r="X32" s="2179"/>
      <c r="Y32" s="2179"/>
      <c r="Z32" s="2179"/>
      <c r="AA32" s="2179"/>
      <c r="AB32" s="2179"/>
      <c r="AC32" s="314"/>
      <c r="AD32" s="2179" t="str">
        <f>IF(TITLE_DATE_CHANGE_PERIOD="",IF(TITLE_DATE_PR="","",TITLE_DATE_PR),TITLE_DATE_CHANGE_PERIOD)</f>
        <v/>
      </c>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314"/>
      <c r="BB32" s="314"/>
      <c r="BC32" s="261"/>
      <c r="BD32" s="360"/>
      <c r="BE32" s="360"/>
      <c r="BF32" s="360"/>
      <c r="BG32" s="360"/>
      <c r="BH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483</v>
      </c>
      <c r="T33" s="2165"/>
      <c r="U33" s="1395"/>
      <c r="V33" s="2166"/>
      <c r="W33" s="2166"/>
      <c r="X33" s="2166"/>
      <c r="Y33" s="2166"/>
      <c r="Z33" s="2166"/>
      <c r="AA33" s="2166"/>
      <c r="AB33" s="2166"/>
      <c r="AC33" s="314"/>
      <c r="AD33" s="2166" t="str">
        <f>IF(TITLE_NUMBER_PR_CHANGE="",IF(TITLE_NUMBER_PR="","",TITLE_NUMBER_PR),TITLE_NUMBER_PR_CHANGE)</f>
        <v/>
      </c>
      <c r="AE33" s="2166"/>
      <c r="AF33" s="2166"/>
      <c r="AG33" s="2166"/>
      <c r="AH33" s="2166"/>
      <c r="AI33" s="2166"/>
      <c r="AJ33" s="2166"/>
      <c r="AK33" s="2166"/>
      <c r="AL33" s="2166"/>
      <c r="AM33" s="2166"/>
      <c r="AN33" s="2166"/>
      <c r="AO33" s="2166"/>
      <c r="AP33" s="2166"/>
      <c r="AQ33" s="2166"/>
      <c r="AR33" s="2166"/>
      <c r="AS33" s="2166"/>
      <c r="AT33" s="2166"/>
      <c r="AU33" s="2166"/>
      <c r="AV33" s="2166"/>
      <c r="AW33" s="2166"/>
      <c r="AX33" s="2166"/>
      <c r="AY33" s="2166"/>
      <c r="AZ33" s="2166"/>
      <c r="BA33" s="314"/>
      <c r="BB33" s="314"/>
      <c r="BC33" s="261"/>
      <c r="BD33" s="360"/>
      <c r="BE33" s="360"/>
      <c r="BF33" s="360"/>
      <c r="BG33" s="360"/>
      <c r="BH33" s="360"/>
    </row>
    <row s="1888" customFormat="1" customHeight="1" ht="18.75" hidden="1">
      <c r="A34" s="1391"/>
      <c r="B34" s="1391"/>
      <c r="C34" s="1391"/>
      <c r="D34" s="1391"/>
      <c r="E34" s="1391"/>
      <c r="F34" s="1391"/>
      <c r="G34" s="1391"/>
      <c r="H34" s="1391"/>
      <c r="I34" s="1391"/>
      <c r="J34" s="1391"/>
      <c r="K34" s="1391"/>
      <c r="L34" s="1392"/>
      <c r="M34" s="1391"/>
      <c r="N34" s="1391"/>
      <c r="O34" s="1391"/>
      <c r="P34" s="1391"/>
      <c r="Q34" s="1391"/>
      <c r="S34" s="2165" t="s">
        <v>40</v>
      </c>
      <c r="T34" s="2165"/>
      <c r="U34" s="1395"/>
      <c r="V34" s="2166"/>
      <c r="W34" s="2166"/>
      <c r="X34" s="2166"/>
      <c r="Y34" s="2166"/>
      <c r="Z34" s="2166"/>
      <c r="AA34" s="2166"/>
      <c r="AB34" s="2166"/>
      <c r="AC34" s="314"/>
      <c r="AD34" s="2166" t="str">
        <f>IF(TITLE_IST_PUB_CHANGE="",IF(TITLE_IST_PUB="","",TITLE_IST_PUB),TITLE_IST_PUB_CHANGE)</f>
        <v/>
      </c>
      <c r="AE34" s="2166"/>
      <c r="AF34" s="2166"/>
      <c r="AG34" s="2166"/>
      <c r="AH34" s="2166"/>
      <c r="AI34" s="2166"/>
      <c r="AJ34" s="2166"/>
      <c r="AK34" s="2166"/>
      <c r="AL34" s="2166"/>
      <c r="AM34" s="2166"/>
      <c r="AN34" s="2166"/>
      <c r="AO34" s="2166"/>
      <c r="AP34" s="2166"/>
      <c r="AQ34" s="2166"/>
      <c r="AR34" s="2166"/>
      <c r="AS34" s="2166"/>
      <c r="AT34" s="2166"/>
      <c r="AU34" s="2166"/>
      <c r="AV34" s="2166"/>
      <c r="AW34" s="2166"/>
      <c r="AX34" s="2166"/>
      <c r="AY34" s="2166"/>
      <c r="AZ34" s="2166"/>
      <c r="BA34" s="314"/>
      <c r="BB34" s="314"/>
      <c r="BC34" s="261"/>
      <c r="BD34" s="360"/>
      <c r="BE34" s="360"/>
      <c r="BF34" s="360"/>
      <c r="BG34" s="360"/>
      <c r="BH34" s="360"/>
    </row>
    <row customHeight="1" ht="14.25" hidden="1">
      <c r="Q35" s="272"/>
      <c r="R35" s="368"/>
      <c r="S35" s="1298"/>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7"/>
    </row>
    <row s="1888" customFormat="1" customHeight="1" ht="18.75" hidden="1">
      <c r="A36" s="1391"/>
      <c r="B36" s="1391"/>
      <c r="C36" s="1391"/>
      <c r="D36" s="1391"/>
      <c r="E36" s="1391"/>
      <c r="F36" s="1391"/>
      <c r="G36" s="1391"/>
      <c r="H36" s="1391"/>
      <c r="I36" s="1391"/>
      <c r="J36" s="1391"/>
      <c r="K36" s="1391"/>
      <c r="L36" s="1392"/>
      <c r="M36" s="1391"/>
      <c r="N36" s="1391"/>
      <c r="O36" s="1391"/>
      <c r="P36" s="1391"/>
      <c r="Q36" s="1391"/>
      <c r="S36" s="2165" t="s">
        <v>482</v>
      </c>
      <c r="T36" s="2165"/>
      <c r="U36" s="1395"/>
      <c r="V36" s="2179"/>
      <c r="W36" s="2179"/>
      <c r="X36" s="2179"/>
      <c r="Y36" s="2179"/>
      <c r="Z36" s="2179"/>
      <c r="AA36" s="2179"/>
      <c r="AB36" s="2179"/>
      <c r="AC36" s="314"/>
      <c r="AD36" s="2179" t="str">
        <f>IF(TITLE_DATE_CHANGE_PERIOD="",IF(TITLE_DATE_PR="","",TITLE_DATE_PR),TITLE_DATE_CHANGE_PERIOD)</f>
        <v/>
      </c>
      <c r="AE36" s="2179"/>
      <c r="AF36" s="2179"/>
      <c r="AG36" s="2179"/>
      <c r="AH36" s="2179"/>
      <c r="AI36" s="2179"/>
      <c r="AJ36" s="2179"/>
      <c r="AK36" s="2179"/>
      <c r="AL36" s="2179"/>
      <c r="AM36" s="2179"/>
      <c r="AN36" s="2179"/>
      <c r="AO36" s="2179"/>
      <c r="AP36" s="2179"/>
      <c r="AQ36" s="2179"/>
      <c r="AR36" s="2179"/>
      <c r="AS36" s="2179"/>
      <c r="AT36" s="2179"/>
      <c r="AU36" s="2179"/>
      <c r="AV36" s="2179"/>
      <c r="AW36" s="2179"/>
      <c r="AX36" s="2179"/>
      <c r="AY36" s="2179"/>
      <c r="AZ36" s="2179"/>
      <c r="BA36" s="314"/>
      <c r="BB36" s="314"/>
      <c r="BC36" s="261"/>
      <c r="BD36" s="360"/>
      <c r="BE36" s="360"/>
      <c r="BF36" s="360"/>
      <c r="BG36" s="360"/>
      <c r="BH36" s="360"/>
    </row>
    <row s="1888" customFormat="1" customHeight="1" ht="18.75" hidden="1">
      <c r="A37" s="1391"/>
      <c r="B37" s="1391"/>
      <c r="C37" s="1391"/>
      <c r="D37" s="1391"/>
      <c r="E37" s="1391"/>
      <c r="F37" s="1391"/>
      <c r="G37" s="1391"/>
      <c r="H37" s="1391"/>
      <c r="I37" s="1391"/>
      <c r="J37" s="1391"/>
      <c r="K37" s="1391"/>
      <c r="L37" s="1392"/>
      <c r="M37" s="1391"/>
      <c r="N37" s="1391"/>
      <c r="O37" s="1391"/>
      <c r="P37" s="1391"/>
      <c r="Q37" s="1391"/>
      <c r="S37" s="2165" t="s">
        <v>483</v>
      </c>
      <c r="T37" s="2165"/>
      <c r="U37" s="1395"/>
      <c r="V37" s="2166"/>
      <c r="W37" s="2166"/>
      <c r="X37" s="2166"/>
      <c r="Y37" s="2166"/>
      <c r="Z37" s="2166"/>
      <c r="AA37" s="2166"/>
      <c r="AB37" s="2166"/>
      <c r="AC37" s="314"/>
      <c r="AD37" s="2166" t="str">
        <f>IF(TITLE_NUMBER_PR_CHANGE="",IF(TITLE_NUMBER_PR="","",TITLE_NUMBER_PR),TITLE_NUMBER_PR_CHANGE)</f>
        <v/>
      </c>
      <c r="AE37" s="2166"/>
      <c r="AF37" s="2166"/>
      <c r="AG37" s="2166"/>
      <c r="AH37" s="2166"/>
      <c r="AI37" s="2166"/>
      <c r="AJ37" s="2166"/>
      <c r="AK37" s="2166"/>
      <c r="AL37" s="2166"/>
      <c r="AM37" s="2166"/>
      <c r="AN37" s="2166"/>
      <c r="AO37" s="2166"/>
      <c r="AP37" s="2166"/>
      <c r="AQ37" s="2166"/>
      <c r="AR37" s="2166"/>
      <c r="AS37" s="2166"/>
      <c r="AT37" s="2166"/>
      <c r="AU37" s="2166"/>
      <c r="AV37" s="2166"/>
      <c r="AW37" s="2166"/>
      <c r="AX37" s="2166"/>
      <c r="AY37" s="2166"/>
      <c r="AZ37" s="2166"/>
      <c r="BA37" s="314"/>
      <c r="BB37" s="314"/>
      <c r="BC37" s="261"/>
      <c r="BD37" s="360"/>
      <c r="BE37" s="360"/>
      <c r="BF37" s="360"/>
      <c r="BG37" s="360"/>
      <c r="BH37" s="360"/>
    </row>
    <row s="1888" customFormat="1" customHeight="1" ht="0">
      <c r="A38" s="1391"/>
      <c r="B38" s="1391"/>
      <c r="C38" s="1391"/>
      <c r="D38" s="1391"/>
      <c r="E38" s="1391"/>
      <c r="F38" s="1391"/>
      <c r="G38" s="1391"/>
      <c r="H38" s="1391"/>
      <c r="I38" s="1391"/>
      <c r="J38" s="1391"/>
      <c r="K38" s="1391"/>
      <c r="L38" s="1392"/>
      <c r="M38" s="1391"/>
      <c r="N38" s="1391"/>
      <c r="O38" s="1391"/>
      <c r="P38" s="1391"/>
      <c r="Q38" s="1391"/>
      <c r="S38" s="310"/>
      <c r="T38" s="310"/>
      <c r="U38" s="1477"/>
      <c r="V38" s="314"/>
      <c r="W38" s="314"/>
      <c r="X38" s="314"/>
      <c r="Y38" s="314"/>
      <c r="Z38" s="314"/>
      <c r="AA38" s="314"/>
      <c r="AB38" s="314"/>
      <c r="AC38" s="259" t="s">
        <v>486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486</v>
      </c>
      <c r="BD38" s="360"/>
      <c r="BE38" s="360"/>
      <c r="BF38" s="360"/>
      <c r="BG38" s="360"/>
      <c r="BH38" s="360"/>
    </row>
    <row customHeight="1" ht="14.25">
      <c r="Q39" s="272"/>
      <c r="R39" s="368"/>
      <c r="S39" s="1298"/>
      <c r="T39" s="353"/>
      <c r="U39" s="1255"/>
      <c r="V39" s="2167"/>
      <c r="W39" s="2167"/>
      <c r="X39" s="2167"/>
      <c r="Y39" s="2167"/>
      <c r="Z39" s="2167"/>
      <c r="AA39" s="2167"/>
      <c r="AB39" s="2167"/>
      <c r="AC39" s="2167"/>
      <c r="AD39" s="2167"/>
      <c r="AE39" s="2167"/>
      <c r="AF39" s="2167"/>
      <c r="AG39" s="2167"/>
      <c r="AH39" s="2167"/>
      <c r="AI39" s="2167"/>
      <c r="AJ39" s="2167"/>
      <c r="AK39" s="2167"/>
      <c r="AL39" s="2167"/>
      <c r="AM39" s="2167"/>
      <c r="AN39" s="2167"/>
      <c r="AO39" s="2167"/>
      <c r="AP39" s="2167"/>
      <c r="AQ39" s="2167"/>
      <c r="AR39" s="2167"/>
      <c r="AS39" s="2167"/>
      <c r="AT39" s="2167"/>
      <c r="AU39" s="2167"/>
      <c r="AV39" s="2167"/>
      <c r="AW39" s="2167"/>
      <c r="AX39" s="2167"/>
      <c r="AY39" s="2167"/>
      <c r="AZ39" s="2167"/>
      <c r="BA39" s="2167"/>
    </row>
    <row customHeight="1" ht="14.25">
      <c r="Q40" s="272"/>
      <c r="R40" s="368"/>
      <c r="S40" s="1948" t="s">
        <v>290</v>
      </c>
      <c r="T40" s="1948"/>
      <c r="U40" s="1948"/>
      <c r="V40" s="1948"/>
      <c r="W40" s="1948"/>
      <c r="X40" s="1948"/>
      <c r="Y40" s="1948"/>
      <c r="Z40" s="1948"/>
      <c r="AA40" s="1948"/>
      <c r="AB40" s="1948"/>
      <c r="AC40" s="1948"/>
      <c r="AD40" s="1948"/>
      <c r="AE40" s="1948"/>
      <c r="AF40" s="1948"/>
      <c r="AG40" s="1948"/>
      <c r="AH40" s="1948"/>
      <c r="AI40" s="1948"/>
      <c r="AJ40" s="1948"/>
      <c r="AK40" s="1948"/>
      <c r="AL40" s="1948"/>
      <c r="AM40" s="1948"/>
      <c r="AN40" s="1948"/>
      <c r="AO40" s="1948"/>
      <c r="AP40" s="1948"/>
      <c r="AQ40" s="1948"/>
      <c r="AR40" s="1948"/>
      <c r="AS40" s="1948"/>
      <c r="AT40" s="1948"/>
      <c r="AU40" s="1948"/>
      <c r="AV40" s="1948"/>
      <c r="AW40" s="1948"/>
      <c r="AX40" s="1948"/>
      <c r="AY40" s="1948"/>
      <c r="AZ40" s="1948"/>
      <c r="BA40" s="1948"/>
      <c r="BB40" s="1948"/>
      <c r="BC40" s="1948" t="s">
        <v>291</v>
      </c>
    </row>
    <row customHeight="1" ht="14.25">
      <c r="Q41" s="272"/>
      <c r="R41" s="368"/>
      <c r="S41" s="2188" t="s">
        <v>87</v>
      </c>
      <c r="T41" s="2029" t="s">
        <v>1701</v>
      </c>
      <c r="U41" s="281"/>
      <c r="V41" s="2189" t="s">
        <v>488</v>
      </c>
      <c r="W41" s="2190"/>
      <c r="X41" s="2190"/>
      <c r="Y41" s="2190"/>
      <c r="Z41" s="2190"/>
      <c r="AA41" s="2190"/>
      <c r="AB41" s="2191"/>
      <c r="AC41" s="2192" t="s">
        <v>489</v>
      </c>
      <c r="AD41" s="2235" t="s">
        <v>1702</v>
      </c>
      <c r="AE41" s="2204"/>
      <c r="AF41" s="2204"/>
      <c r="AG41" s="2236"/>
      <c r="AH41" s="2235" t="s">
        <v>1703</v>
      </c>
      <c r="AI41" s="2204"/>
      <c r="AJ41" s="2204"/>
      <c r="AK41" s="2236"/>
      <c r="AL41" s="2235" t="s">
        <v>1704</v>
      </c>
      <c r="AM41" s="2204"/>
      <c r="AN41" s="2204"/>
      <c r="AO41" s="2236"/>
      <c r="AP41" s="2235" t="s">
        <v>1705</v>
      </c>
      <c r="AQ41" s="2204"/>
      <c r="AR41" s="2204"/>
      <c r="AS41" s="2236"/>
      <c r="AT41" s="2189" t="s">
        <v>488</v>
      </c>
      <c r="AU41" s="2190"/>
      <c r="AV41" s="2190"/>
      <c r="AW41" s="2190"/>
      <c r="AX41" s="2190"/>
      <c r="AY41" s="2190"/>
      <c r="AZ41" s="2191"/>
      <c r="BA41" s="2192" t="s">
        <v>489</v>
      </c>
      <c r="BB41" s="2195" t="s">
        <v>491</v>
      </c>
      <c r="BC41" s="1948"/>
    </row>
    <row customHeight="1" ht="33.75">
      <c r="Q42" s="272"/>
      <c r="R42" s="368"/>
      <c r="S42" s="2188"/>
      <c r="T42" s="2029"/>
      <c r="U42" s="1032"/>
      <c r="V42" s="2011" t="s">
        <v>1706</v>
      </c>
      <c r="W42" s="2012"/>
      <c r="X42" s="2011" t="s">
        <v>1707</v>
      </c>
      <c r="Y42" s="2012"/>
      <c r="Z42" s="2207" t="s">
        <v>1708</v>
      </c>
      <c r="AA42" s="2220"/>
      <c r="AB42" s="2221"/>
      <c r="AC42" s="2193"/>
      <c r="AD42" s="2237"/>
      <c r="AE42" s="2238"/>
      <c r="AF42" s="2238"/>
      <c r="AG42" s="2239"/>
      <c r="AH42" s="2237"/>
      <c r="AI42" s="2238"/>
      <c r="AJ42" s="2238"/>
      <c r="AK42" s="2239"/>
      <c r="AL42" s="2237"/>
      <c r="AM42" s="2238"/>
      <c r="AN42" s="2238"/>
      <c r="AO42" s="2239"/>
      <c r="AP42" s="2237"/>
      <c r="AQ42" s="2238"/>
      <c r="AR42" s="2238"/>
      <c r="AS42" s="2239"/>
      <c r="AT42" s="2011" t="s">
        <v>1706</v>
      </c>
      <c r="AU42" s="2012"/>
      <c r="AV42" s="2011" t="s">
        <v>1707</v>
      </c>
      <c r="AW42" s="2012"/>
      <c r="AX42" s="2207" t="s">
        <v>1708</v>
      </c>
      <c r="AY42" s="2220"/>
      <c r="AZ42" s="2221"/>
      <c r="BA42" s="2193"/>
      <c r="BB42" s="2196"/>
      <c r="BC42" s="1948"/>
    </row>
    <row customHeight="1" ht="14.25">
      <c r="Q43" s="272"/>
      <c r="R43" s="368"/>
      <c r="S43" s="2188"/>
      <c r="T43" s="2029"/>
      <c r="U43" s="1032"/>
      <c r="V43" s="2019"/>
      <c r="W43" s="2020"/>
      <c r="X43" s="2019"/>
      <c r="Y43" s="2020"/>
      <c r="Z43" s="2208"/>
      <c r="AA43" s="2222"/>
      <c r="AB43" s="2223"/>
      <c r="AC43" s="2193"/>
      <c r="AD43" s="2237"/>
      <c r="AE43" s="2238"/>
      <c r="AF43" s="2238"/>
      <c r="AG43" s="2239"/>
      <c r="AH43" s="2237"/>
      <c r="AI43" s="2238"/>
      <c r="AJ43" s="2238"/>
      <c r="AK43" s="2239"/>
      <c r="AL43" s="2237"/>
      <c r="AM43" s="2238"/>
      <c r="AN43" s="2238"/>
      <c r="AO43" s="2239"/>
      <c r="AP43" s="2237"/>
      <c r="AQ43" s="2238"/>
      <c r="AR43" s="2238"/>
      <c r="AS43" s="2239"/>
      <c r="AT43" s="2019"/>
      <c r="AU43" s="2020"/>
      <c r="AV43" s="2019"/>
      <c r="AW43" s="2020"/>
      <c r="AX43" s="2208"/>
      <c r="AY43" s="2222"/>
      <c r="AZ43" s="2223"/>
      <c r="BA43" s="2193"/>
      <c r="BB43" s="2196"/>
      <c r="BC43" s="1948"/>
    </row>
    <row customHeight="1" ht="14.25">
      <c r="A44" s="1393"/>
      <c r="B44" s="1393" t="s">
        <v>139</v>
      </c>
      <c r="C44" s="1393" t="s">
        <v>140</v>
      </c>
      <c r="D44" s="1393" t="s">
        <v>141</v>
      </c>
      <c r="E44" s="1387" t="s">
        <v>496</v>
      </c>
      <c r="F44" s="1387" t="s">
        <v>497</v>
      </c>
      <c r="G44" s="1387" t="s">
        <v>498</v>
      </c>
      <c r="H44" s="1387" t="s">
        <v>499</v>
      </c>
      <c r="I44" s="1387" t="s">
        <v>500</v>
      </c>
      <c r="J44" s="1387" t="s">
        <v>501</v>
      </c>
      <c r="K44" s="1387" t="s">
        <v>502</v>
      </c>
      <c r="L44" s="1387" t="s">
        <v>477</v>
      </c>
      <c r="Q44" s="272"/>
      <c r="R44" s="368"/>
      <c r="S44" s="2188"/>
      <c r="T44" s="2029"/>
      <c r="U44" s="282"/>
      <c r="V44" s="1471" t="s">
        <v>550</v>
      </c>
      <c r="W44" s="1471" t="s">
        <v>551</v>
      </c>
      <c r="X44" s="1471" t="s">
        <v>550</v>
      </c>
      <c r="Y44" s="1471" t="s">
        <v>551</v>
      </c>
      <c r="Z44" s="1478" t="s">
        <v>505</v>
      </c>
      <c r="AA44" s="2185" t="s">
        <v>506</v>
      </c>
      <c r="AB44" s="2186"/>
      <c r="AC44" s="2194"/>
      <c r="AD44" s="2240"/>
      <c r="AE44" s="2241"/>
      <c r="AF44" s="2241"/>
      <c r="AG44" s="2242"/>
      <c r="AH44" s="2240"/>
      <c r="AI44" s="2241"/>
      <c r="AJ44" s="2241"/>
      <c r="AK44" s="2242"/>
      <c r="AL44" s="2240"/>
      <c r="AM44" s="2241"/>
      <c r="AN44" s="2241"/>
      <c r="AO44" s="2242"/>
      <c r="AP44" s="2240"/>
      <c r="AQ44" s="2241"/>
      <c r="AR44" s="2241"/>
      <c r="AS44" s="2242"/>
      <c r="AT44" s="1471" t="s">
        <v>550</v>
      </c>
      <c r="AU44" s="1471" t="s">
        <v>551</v>
      </c>
      <c r="AV44" s="1471" t="s">
        <v>550</v>
      </c>
      <c r="AW44" s="1471" t="s">
        <v>551</v>
      </c>
      <c r="AX44" s="1478" t="s">
        <v>505</v>
      </c>
      <c r="AY44" s="2185" t="s">
        <v>506</v>
      </c>
      <c r="AZ44" s="2186"/>
      <c r="BA44" s="2194"/>
      <c r="BB44" s="2197"/>
      <c r="BC44" s="1948"/>
    </row>
    <row s="1672" customFormat="1" customHeight="1" ht="11.25" hidden="1">
      <c r="A45" s="1393"/>
      <c r="B45" s="1393"/>
      <c r="C45" s="1393"/>
      <c r="D45" s="1393"/>
      <c r="E45" s="1393"/>
      <c r="F45" s="1393"/>
      <c r="G45" s="1393"/>
      <c r="H45" s="1393"/>
      <c r="I45" s="1393"/>
      <c r="J45" s="1393"/>
      <c r="K45" s="1393"/>
      <c r="L45" s="1387"/>
      <c r="M45" s="1385"/>
      <c r="N45" s="1385"/>
      <c r="O45" s="1385"/>
      <c r="P45" s="508"/>
      <c r="Q45" s="1273"/>
      <c r="R45" s="1273">
        <v>1</v>
      </c>
      <c r="S45" s="1300" t="s">
        <v>108</v>
      </c>
      <c r="T45" s="1274" t="s">
        <v>109</v>
      </c>
      <c r="U45" s="1256" t="str">
        <f>OFFSET(U45,0,-1)</f>
        <v>2</v>
      </c>
      <c r="V45" s="1474">
        <f>OFFSET(V45,0,-1)+1</f>
        <v>3</v>
      </c>
      <c r="W45" s="1474">
        <f>OFFSET(W45,0,-1)+1</f>
        <v>4</v>
      </c>
      <c r="X45" s="1474">
        <f>OFFSET(X45,0,-1)+1</f>
        <v>5</v>
      </c>
      <c r="Y45" s="1474">
        <f>OFFSET(Y45,0,-1)+1</f>
        <v>6</v>
      </c>
      <c r="Z45" s="1474">
        <f>OFFSET(Z45,0,-1)+1</f>
        <v>7</v>
      </c>
      <c r="AA45" s="2187">
        <f>OFFSET(AA45,0,-1)+1</f>
        <v>8</v>
      </c>
      <c r="AB45" s="2187"/>
      <c r="AC45" s="1474">
        <f>OFFSET(AC45,0,-2)+1</f>
        <v>9</v>
      </c>
      <c r="AD45" s="1474">
        <f>OFFSET(AD45,0,-1)+1</f>
        <v>10</v>
      </c>
      <c r="AE45" s="1474"/>
      <c r="AF45" s="1474"/>
      <c r="AG45" s="1474"/>
      <c r="AH45" s="1474"/>
      <c r="AI45" s="1474"/>
      <c r="AJ45" s="1474"/>
      <c r="AK45" s="1474"/>
      <c r="AL45" s="1474"/>
      <c r="AM45" s="1474"/>
      <c r="AN45" s="1474"/>
      <c r="AO45" s="1474"/>
      <c r="AP45" s="1474"/>
      <c r="AQ45" s="1474"/>
      <c r="AR45" s="1474"/>
      <c r="AS45" s="1474"/>
      <c r="AT45" s="1474"/>
      <c r="AU45" s="1474"/>
      <c r="AV45" s="1474"/>
      <c r="AW45" s="1474">
        <f>OFFSET(AW45,0,-1)+1</f>
        <v>1</v>
      </c>
      <c r="AX45" s="1474">
        <f>OFFSET(AX45,0,-1)+1</f>
        <v>2</v>
      </c>
      <c r="AY45" s="2187">
        <f>OFFSET(AY45,0,-1)+1</f>
        <v>3</v>
      </c>
      <c r="AZ45" s="2187"/>
      <c r="BA45" s="1474">
        <f>OFFSET(BA45,0,-2)+1</f>
        <v>4</v>
      </c>
      <c r="BB45" s="1256">
        <f>OFFSET(BB45,0,-1)</f>
        <v>4</v>
      </c>
      <c r="BC45" s="1474">
        <f>OFFSET(BC45,0,-1)+1</f>
        <v>5</v>
      </c>
      <c r="BD45" s="509"/>
      <c r="BE45" s="509"/>
      <c r="BF45" s="509"/>
      <c r="BG45" s="509"/>
      <c r="BH45" s="509"/>
    </row>
    <row customHeight="1" ht="21">
      <c r="A46" s="1386" t="s">
        <v>236</v>
      </c>
      <c r="B46" s="1386"/>
      <c r="C46" s="1386"/>
      <c r="D46" s="1386"/>
      <c r="E46" s="2173">
        <v>1</v>
      </c>
      <c r="F46" s="1386"/>
      <c r="G46" s="1386"/>
      <c r="H46" s="1386"/>
      <c r="I46" s="1386"/>
      <c r="J46" s="1386"/>
      <c r="K46" s="1386"/>
      <c r="L46" s="1387"/>
      <c r="M46" s="1388"/>
      <c r="N46" s="1388"/>
      <c r="O46" s="1388"/>
      <c r="P46" s="1432"/>
      <c r="Q46" s="871"/>
      <c r="R46" s="343"/>
      <c r="S46" s="1480">
        <f>INDEX(PT_DIFFERENTIATION_NUM_NTAR,MATCH(A46,PT_DIFFERENTIATION_NTAR_ID,0))</f>
        <v>0</v>
      </c>
      <c r="T46" s="278" t="s">
        <v>127</v>
      </c>
      <c r="U46" s="280"/>
      <c r="V46" s="2158"/>
      <c r="W46" s="2158"/>
      <c r="X46" s="2158"/>
      <c r="Y46" s="2158"/>
      <c r="Z46" s="2158"/>
      <c r="AA46" s="2158"/>
      <c r="AB46" s="2158"/>
      <c r="AC46" s="2159"/>
      <c r="AD46" s="2157" t="str">
        <f>INDEX(PT_DIFFERENTIATION_NTAR,MATCH(A46,PT_DIFFERENTIATION_NTAR_ID,0))</f>
        <v/>
      </c>
      <c r="AE46" s="2158"/>
      <c r="AF46" s="2158"/>
      <c r="AG46" s="2158"/>
      <c r="AH46" s="2158"/>
      <c r="AI46" s="2158"/>
      <c r="AJ46" s="2158"/>
      <c r="AK46" s="2158"/>
      <c r="AL46" s="2158"/>
      <c r="AM46" s="2158"/>
      <c r="AN46" s="2158"/>
      <c r="AO46" s="2158"/>
      <c r="AP46" s="2158"/>
      <c r="AQ46" s="2158"/>
      <c r="AR46" s="2158"/>
      <c r="AS46" s="2158"/>
      <c r="AT46" s="2158"/>
      <c r="AU46" s="2158"/>
      <c r="AV46" s="2158"/>
      <c r="AW46" s="2158"/>
      <c r="AX46" s="2158"/>
      <c r="AY46" s="2158"/>
      <c r="AZ46" s="2158"/>
      <c r="BA46" s="2158"/>
      <c r="BB46" s="2159"/>
      <c r="BC46"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8"/>
      <c r="BF46" s="498" t="str">
        <f>IF(T46="","",T46)</f>
        <v>Наименование тарифа</v>
      </c>
      <c r="BG46" s="498"/>
      <c r="BH46" s="498"/>
    </row>
    <row customHeight="1" ht="21">
      <c r="A47" s="1386" t="s">
        <v>236</v>
      </c>
      <c r="B47" s="1386" t="s">
        <v>237</v>
      </c>
      <c r="C47" s="1386"/>
      <c r="D47" s="1386"/>
      <c r="E47" s="2174"/>
      <c r="F47" s="2173">
        <v>1</v>
      </c>
      <c r="G47" s="1386"/>
      <c r="H47" s="1386"/>
      <c r="I47" s="1386"/>
      <c r="J47" s="1386"/>
      <c r="K47" s="1386"/>
      <c r="L47" s="1387"/>
      <c r="M47" s="1388"/>
      <c r="N47" s="1388"/>
      <c r="O47" s="1388"/>
      <c r="P47" s="1433"/>
      <c r="Q47" s="1434"/>
      <c r="R47" s="341"/>
      <c r="S47" s="1480" t="str">
        <f>INDEX(PT_DIFFERENTIATION_NUM_TER,MATCH(B47,PT_DIFFERENTIATION_TER_ID,0))</f>
        <v>.</v>
      </c>
      <c r="T47" s="290" t="s">
        <v>459</v>
      </c>
      <c r="U47" s="280"/>
      <c r="V47" s="2158"/>
      <c r="W47" s="2158"/>
      <c r="X47" s="2158"/>
      <c r="Y47" s="2158"/>
      <c r="Z47" s="2158"/>
      <c r="AA47" s="2158"/>
      <c r="AB47" s="2158"/>
      <c r="AC47" s="2159"/>
      <c r="AD47" s="2157" t="str">
        <f>INDEX(PT_DIFFERENTIATION_TER,MATCH(B47,PT_DIFFERENTIATION_TER_ID,0))</f>
        <v/>
      </c>
      <c r="AE47" s="2158"/>
      <c r="AF47" s="2158"/>
      <c r="AG47" s="2158"/>
      <c r="AH47" s="2158"/>
      <c r="AI47" s="2158"/>
      <c r="AJ47" s="2158"/>
      <c r="AK47" s="2158"/>
      <c r="AL47" s="2158"/>
      <c r="AM47" s="2158"/>
      <c r="AN47" s="2158"/>
      <c r="AO47" s="2158"/>
      <c r="AP47" s="2158"/>
      <c r="AQ47" s="2158"/>
      <c r="AR47" s="2158"/>
      <c r="AS47" s="2158"/>
      <c r="AT47" s="2158"/>
      <c r="AU47" s="2158"/>
      <c r="AV47" s="2158"/>
      <c r="AW47" s="2158"/>
      <c r="AX47" s="2158"/>
      <c r="AY47" s="2158"/>
      <c r="AZ47" s="2158"/>
      <c r="BA47" s="2158"/>
      <c r="BB47" s="2159"/>
      <c r="BC47" s="1279" t="s">
        <v>460</v>
      </c>
      <c r="BE47" s="498"/>
      <c r="BF47" s="498" t="str">
        <f>IF(T47="","",T47)</f>
        <v>Территория действия тарифа</v>
      </c>
      <c r="BG47" s="498"/>
      <c r="BH47" s="498"/>
    </row>
    <row customHeight="1" ht="42">
      <c r="A48" s="1386" t="s">
        <v>236</v>
      </c>
      <c r="B48" s="1386" t="s">
        <v>237</v>
      </c>
      <c r="C48" s="1386" t="s">
        <v>238</v>
      </c>
      <c r="D48" s="1386"/>
      <c r="E48" s="2174"/>
      <c r="F48" s="2174"/>
      <c r="G48" s="2173">
        <v>1</v>
      </c>
      <c r="H48" s="1386"/>
      <c r="I48" s="1386"/>
      <c r="J48" s="1386"/>
      <c r="K48" s="1386"/>
      <c r="L48" s="1387"/>
      <c r="M48" s="1388"/>
      <c r="N48" s="1388"/>
      <c r="O48" s="1388"/>
      <c r="P48" s="1435"/>
      <c r="Q48" s="1434"/>
      <c r="R48" s="341"/>
      <c r="S48" s="1480" t="str">
        <f>INDEX(PT_DIFFERENTIATION_NUM_CS,MATCH(C48,PT_DIFFERENTIATION_CS_ID,0))</f>
        <v>..</v>
      </c>
      <c r="T48" s="291" t="s">
        <v>1675</v>
      </c>
      <c r="U48" s="280"/>
      <c r="V48" s="2158"/>
      <c r="W48" s="2158"/>
      <c r="X48" s="2158"/>
      <c r="Y48" s="2158"/>
      <c r="Z48" s="2158"/>
      <c r="AA48" s="2158"/>
      <c r="AB48" s="2158"/>
      <c r="AC48" s="2159"/>
      <c r="AD48" s="2157" t="str">
        <f>INDEX(PT_DIFFERENTIATION_CS,MATCH(C48,PT_DIFFERENTIATION_CS_ID,0))</f>
        <v/>
      </c>
      <c r="AE48" s="2158"/>
      <c r="AF48" s="2158"/>
      <c r="AG48" s="2158"/>
      <c r="AH48" s="2158"/>
      <c r="AI48" s="2158"/>
      <c r="AJ48" s="2158"/>
      <c r="AK48" s="2158"/>
      <c r="AL48" s="2158"/>
      <c r="AM48" s="2158"/>
      <c r="AN48" s="2158"/>
      <c r="AO48" s="2158"/>
      <c r="AP48" s="2158"/>
      <c r="AQ48" s="2158"/>
      <c r="AR48" s="2158"/>
      <c r="AS48" s="2158"/>
      <c r="AT48" s="2158"/>
      <c r="AU48" s="2158"/>
      <c r="AV48" s="2158"/>
      <c r="AW48" s="2158"/>
      <c r="AX48" s="2158"/>
      <c r="AY48" s="2158"/>
      <c r="AZ48" s="2158"/>
      <c r="BA48" s="2158"/>
      <c r="BB48" s="2159"/>
      <c r="BC48" s="1279" t="s">
        <v>1676</v>
      </c>
      <c r="BE48" s="498"/>
      <c r="BF48" s="498" t="str">
        <f>IF(T48="","",T48)</f>
        <v>Наименование централизованной системы холодного водоснабжения</v>
      </c>
      <c r="BG48" s="498"/>
      <c r="BH48" s="498"/>
    </row>
    <row s="1673" customFormat="1" customHeight="1" ht="0">
      <c r="A49" s="1366" t="s">
        <v>236</v>
      </c>
      <c r="B49" s="1366" t="s">
        <v>237</v>
      </c>
      <c r="C49" s="1366" t="s">
        <v>238</v>
      </c>
      <c r="D49" s="1366" t="s">
        <v>1709</v>
      </c>
      <c r="E49" s="2174"/>
      <c r="F49" s="2174"/>
      <c r="G49" s="2174"/>
      <c r="H49" s="2173">
        <v>1</v>
      </c>
      <c r="I49" s="1366"/>
      <c r="J49" s="1366"/>
      <c r="K49" s="1366"/>
      <c r="L49" s="1369"/>
      <c r="M49" s="1338"/>
      <c r="N49" s="1338"/>
      <c r="O49" s="1338"/>
      <c r="P49" s="1520"/>
      <c r="Q49" s="1521"/>
      <c r="R49" s="345"/>
      <c r="S49" s="1043"/>
      <c r="T49" s="1522"/>
      <c r="U49" s="1407"/>
      <c r="V49" s="2210"/>
      <c r="W49" s="2210"/>
      <c r="X49" s="2210"/>
      <c r="Y49" s="2210"/>
      <c r="Z49" s="2210"/>
      <c r="AA49" s="2210"/>
      <c r="AB49" s="2210"/>
      <c r="AC49" s="2211"/>
      <c r="AD49" s="2209"/>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1"/>
      <c r="BC49" s="1408" t="s">
        <v>464</v>
      </c>
      <c r="BE49" s="498"/>
      <c r="BF49" s="498" t="str">
        <f>IF(T49="","",T49)</f>
        <v/>
      </c>
      <c r="BG49" s="498"/>
      <c r="BH49" s="498"/>
    </row>
    <row s="1673" customFormat="1" customHeight="1" ht="0">
      <c r="A50" s="1366" t="s">
        <v>236</v>
      </c>
      <c r="B50" s="1366" t="s">
        <v>237</v>
      </c>
      <c r="C50" s="1366" t="s">
        <v>238</v>
      </c>
      <c r="D50" s="1366" t="s">
        <v>1709</v>
      </c>
      <c r="E50" s="2174"/>
      <c r="F50" s="2174"/>
      <c r="G50" s="2174"/>
      <c r="H50" s="2174"/>
      <c r="I50" s="2171" t="str">
        <f>S49&amp;".1"</f>
        <v>.1</v>
      </c>
      <c r="J50" s="1366"/>
      <c r="K50" s="1366"/>
      <c r="L50" s="1369" t="s">
        <v>465</v>
      </c>
      <c r="M50" s="508"/>
      <c r="N50" s="508"/>
      <c r="O50" s="508"/>
      <c r="P50" s="2172">
        <v>1</v>
      </c>
      <c r="Q50" s="1485"/>
      <c r="R50" s="344"/>
      <c r="S50" s="1043"/>
      <c r="T50" s="1406"/>
      <c r="U50" s="1407"/>
      <c r="V50" s="2210"/>
      <c r="W50" s="2210"/>
      <c r="X50" s="2210"/>
      <c r="Y50" s="2210"/>
      <c r="Z50" s="2210"/>
      <c r="AA50" s="2210"/>
      <c r="AB50" s="2210"/>
      <c r="AC50" s="2211"/>
      <c r="AD50" s="2209"/>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1"/>
      <c r="BC50" s="1408"/>
      <c r="BE50" s="498"/>
      <c r="BF50" s="498" t="str">
        <f>IF(T50="","",T50)</f>
        <v/>
      </c>
      <c r="BG50" s="498"/>
      <c r="BH50" s="498"/>
    </row>
    <row s="1673" customFormat="1" customHeight="1" ht="0">
      <c r="A51" s="1366" t="s">
        <v>236</v>
      </c>
      <c r="B51" s="1366" t="s">
        <v>237</v>
      </c>
      <c r="C51" s="1366" t="s">
        <v>238</v>
      </c>
      <c r="D51" s="1366" t="s">
        <v>1709</v>
      </c>
      <c r="E51" s="2174"/>
      <c r="F51" s="2174"/>
      <c r="G51" s="2174"/>
      <c r="H51" s="2174"/>
      <c r="I51" s="2201"/>
      <c r="J51" s="2171" t="str">
        <f>S49&amp;".1"</f>
        <v>.1</v>
      </c>
      <c r="K51" s="1366"/>
      <c r="L51" s="1369"/>
      <c r="M51" s="508"/>
      <c r="N51" s="508"/>
      <c r="O51" s="508"/>
      <c r="P51" s="2172"/>
      <c r="Q51" s="2172">
        <v>1</v>
      </c>
      <c r="R51" s="345"/>
      <c r="S51" s="1043"/>
      <c r="T51" s="1422"/>
      <c r="U51" s="1407"/>
      <c r="V51" s="2210"/>
      <c r="W51" s="2210"/>
      <c r="X51" s="2210"/>
      <c r="Y51" s="2210"/>
      <c r="Z51" s="2210"/>
      <c r="AA51" s="2210"/>
      <c r="AB51" s="2210"/>
      <c r="AC51" s="2211"/>
      <c r="AD51" s="2209"/>
      <c r="AE51" s="2210"/>
      <c r="AF51" s="2210"/>
      <c r="AG51" s="2210"/>
      <c r="AH51" s="2210"/>
      <c r="AI51" s="2210"/>
      <c r="AJ51" s="2210"/>
      <c r="AK51" s="2210"/>
      <c r="AL51" s="2210"/>
      <c r="AM51" s="2210"/>
      <c r="AN51" s="2318"/>
      <c r="AO51" s="2318"/>
      <c r="AP51" s="2210"/>
      <c r="AQ51" s="2210"/>
      <c r="AR51" s="2210"/>
      <c r="AS51" s="2210"/>
      <c r="AT51" s="2210"/>
      <c r="AU51" s="2210"/>
      <c r="AV51" s="2210"/>
      <c r="AW51" s="2210"/>
      <c r="AX51" s="2210"/>
      <c r="AY51" s="2210"/>
      <c r="AZ51" s="2210"/>
      <c r="BA51" s="2210"/>
      <c r="BB51" s="2211"/>
      <c r="BC51" s="1408"/>
      <c r="BE51" s="498"/>
      <c r="BF51" s="498" t="str">
        <f>IF(T51="","",T51)</f>
        <v/>
      </c>
      <c r="BG51" s="498"/>
      <c r="BH51" s="498"/>
    </row>
    <row customHeight="1" ht="11.25">
      <c r="A52" s="1386" t="s">
        <v>236</v>
      </c>
      <c r="B52" s="1386" t="s">
        <v>237</v>
      </c>
      <c r="C52" s="1386" t="s">
        <v>238</v>
      </c>
      <c r="D52" s="1386" t="s">
        <v>1709</v>
      </c>
      <c r="E52" s="2174"/>
      <c r="F52" s="2174"/>
      <c r="G52" s="2174"/>
      <c r="H52" s="2174"/>
      <c r="I52" s="2201"/>
      <c r="J52" s="2201"/>
      <c r="K52" s="2171" t="str">
        <f>S48&amp;".1"</f>
        <v>...1</v>
      </c>
      <c r="L52" s="1387"/>
      <c r="P52" s="2172"/>
      <c r="Q52" s="2172"/>
      <c r="R52" s="345">
        <v>1</v>
      </c>
      <c r="S52" s="2247" t="str">
        <f>$K52</f>
        <v>...1</v>
      </c>
      <c r="T52" s="2313"/>
      <c r="U52" s="280"/>
      <c r="V52" s="749"/>
      <c r="W52" s="1278"/>
      <c r="X52" s="749"/>
      <c r="Y52" s="1278"/>
      <c r="Z52" s="1764"/>
      <c r="AA52" s="1482" t="s">
        <v>58</v>
      </c>
      <c r="AB52" s="1764"/>
      <c r="AC52" s="1482" t="s">
        <v>58</v>
      </c>
      <c r="AD52" s="2004" t="s">
        <v>58</v>
      </c>
      <c r="AE52" s="2233"/>
      <c r="AF52" s="2024">
        <v>1</v>
      </c>
      <c r="AG52" s="2317"/>
      <c r="AH52" s="1928" t="s">
        <v>58</v>
      </c>
      <c r="AI52" s="2233"/>
      <c r="AJ52" s="2024">
        <v>1</v>
      </c>
      <c r="AK52" s="2316" t="s">
        <v>18</v>
      </c>
      <c r="AL52" s="1928" t="s">
        <v>58</v>
      </c>
      <c r="AM52" s="2011"/>
      <c r="AN52" s="2024">
        <v>1</v>
      </c>
      <c r="AO52" s="2310"/>
      <c r="AP52" s="2311" t="s">
        <v>58</v>
      </c>
      <c r="AQ52" s="293"/>
      <c r="AR52" s="1486">
        <v>1</v>
      </c>
      <c r="AS52" s="1489" t="s">
        <v>18</v>
      </c>
      <c r="AT52" s="749"/>
      <c r="AU52" s="1278"/>
      <c r="AV52" s="749"/>
      <c r="AW52" s="1278"/>
      <c r="AX52" s="1764"/>
      <c r="AY52" s="1482" t="s">
        <v>58</v>
      </c>
      <c r="AZ52" s="1764"/>
      <c r="BA52" s="1482" t="s">
        <v>58</v>
      </c>
      <c r="BB52" s="1371"/>
      <c r="BC52" s="2168" t="s">
        <v>1695</v>
      </c>
      <c r="BE52" s="498"/>
      <c r="BF52" s="498" t="str">
        <f>IF(T52="","",T52)</f>
        <v/>
      </c>
      <c r="BG52" s="498"/>
      <c r="BH52" s="498"/>
    </row>
    <row customHeight="1" ht="11.25">
      <c r="A53" s="1386"/>
      <c r="B53" s="1386"/>
      <c r="C53" s="1386"/>
      <c r="D53" s="1386"/>
      <c r="E53" s="2174"/>
      <c r="F53" s="2174"/>
      <c r="G53" s="2174"/>
      <c r="H53" s="2174"/>
      <c r="I53" s="2201"/>
      <c r="J53" s="2201"/>
      <c r="K53" s="2171"/>
      <c r="L53" s="1387"/>
      <c r="P53" s="2172"/>
      <c r="Q53" s="2172"/>
      <c r="R53" s="345"/>
      <c r="S53" s="2248"/>
      <c r="T53" s="2314"/>
      <c r="U53" s="280"/>
      <c r="V53" s="1416"/>
      <c r="W53" s="1519"/>
      <c r="X53" s="1416"/>
      <c r="Y53" s="1519"/>
      <c r="Z53" s="1416"/>
      <c r="AA53" s="1416"/>
      <c r="AB53" s="1416"/>
      <c r="AC53" s="1416"/>
      <c r="AD53" s="2005"/>
      <c r="AE53" s="2233"/>
      <c r="AF53" s="2024"/>
      <c r="AG53" s="2317"/>
      <c r="AH53" s="1928"/>
      <c r="AI53" s="2233"/>
      <c r="AJ53" s="2024"/>
      <c r="AK53" s="2316"/>
      <c r="AL53" s="1928"/>
      <c r="AM53" s="2019"/>
      <c r="AN53" s="2024"/>
      <c r="AO53" s="2310"/>
      <c r="AP53" s="2312"/>
      <c r="AQ53" s="300"/>
      <c r="AR53" s="414"/>
      <c r="AS53" s="414" t="s">
        <v>1696</v>
      </c>
      <c r="AT53" s="1416"/>
      <c r="AU53" s="1519"/>
      <c r="AV53" s="1416"/>
      <c r="AW53" s="1519"/>
      <c r="AX53" s="1416"/>
      <c r="AY53" s="1416"/>
      <c r="AZ53" s="1416"/>
      <c r="BA53" s="1416"/>
      <c r="BB53" s="1420"/>
      <c r="BC53" s="2169"/>
      <c r="BE53" s="498"/>
      <c r="BF53" s="498"/>
      <c r="BG53" s="498"/>
      <c r="BH53" s="498"/>
    </row>
    <row customHeight="1" ht="11.25">
      <c r="A54" s="1386" t="s">
        <v>236</v>
      </c>
      <c r="B54" s="1386"/>
      <c r="C54" s="1386"/>
      <c r="D54" s="1386"/>
      <c r="E54" s="2174"/>
      <c r="F54" s="2174"/>
      <c r="G54" s="2174"/>
      <c r="H54" s="2174"/>
      <c r="I54" s="2201"/>
      <c r="J54" s="2201"/>
      <c r="K54" s="2171"/>
      <c r="L54" s="1387"/>
      <c r="P54" s="2172"/>
      <c r="Q54" s="2172"/>
      <c r="R54" s="345"/>
      <c r="S54" s="2248"/>
      <c r="T54" s="2314"/>
      <c r="U54" s="280"/>
      <c r="V54" s="1416"/>
      <c r="W54" s="1519"/>
      <c r="X54" s="1416"/>
      <c r="Y54" s="1519"/>
      <c r="Z54" s="1416"/>
      <c r="AA54" s="1416"/>
      <c r="AB54" s="1416"/>
      <c r="AC54" s="1416"/>
      <c r="AD54" s="2005"/>
      <c r="AE54" s="2233"/>
      <c r="AF54" s="2024"/>
      <c r="AG54" s="2317"/>
      <c r="AH54" s="1928"/>
      <c r="AI54" s="2233"/>
      <c r="AJ54" s="2024"/>
      <c r="AK54" s="2316"/>
      <c r="AL54" s="1928"/>
      <c r="AM54" s="300"/>
      <c r="AN54" s="1523"/>
      <c r="AO54" s="1523" t="s">
        <v>1697</v>
      </c>
      <c r="AP54" s="414"/>
      <c r="AQ54" s="414"/>
      <c r="AR54" s="414"/>
      <c r="AS54" s="1416"/>
      <c r="AT54" s="1416"/>
      <c r="AU54" s="1519"/>
      <c r="AV54" s="1416"/>
      <c r="AW54" s="1519"/>
      <c r="AX54" s="1416"/>
      <c r="AY54" s="1416"/>
      <c r="AZ54" s="1416"/>
      <c r="BA54" s="1416"/>
      <c r="BB54" s="1420"/>
      <c r="BC54" s="2169"/>
      <c r="BE54" s="498"/>
      <c r="BF54" s="498"/>
      <c r="BG54" s="498"/>
      <c r="BH54" s="498"/>
    </row>
    <row customHeight="1" ht="11.25">
      <c r="A55" s="1386" t="s">
        <v>236</v>
      </c>
      <c r="B55" s="1386"/>
      <c r="C55" s="1386"/>
      <c r="D55" s="1386"/>
      <c r="E55" s="2174"/>
      <c r="F55" s="2174"/>
      <c r="G55" s="2174"/>
      <c r="H55" s="2174"/>
      <c r="I55" s="2201"/>
      <c r="J55" s="2201"/>
      <c r="K55" s="2171"/>
      <c r="L55" s="1387"/>
      <c r="P55" s="2172"/>
      <c r="Q55" s="2172"/>
      <c r="R55" s="345"/>
      <c r="S55" s="2248"/>
      <c r="T55" s="2314"/>
      <c r="U55" s="280"/>
      <c r="V55" s="1416"/>
      <c r="W55" s="1519"/>
      <c r="X55" s="1416"/>
      <c r="Y55" s="1519"/>
      <c r="Z55" s="1416"/>
      <c r="AA55" s="1416"/>
      <c r="AB55" s="1416"/>
      <c r="AC55" s="1416"/>
      <c r="AD55" s="2005"/>
      <c r="AE55" s="2233"/>
      <c r="AF55" s="2024"/>
      <c r="AG55" s="2317"/>
      <c r="AH55" s="1928"/>
      <c r="AI55" s="274"/>
      <c r="AJ55" s="413"/>
      <c r="AK55" s="295" t="s">
        <v>1698</v>
      </c>
      <c r="AL55" s="1416"/>
      <c r="AM55" s="1416"/>
      <c r="AN55" s="1416"/>
      <c r="AO55" s="1416"/>
      <c r="AP55" s="1416"/>
      <c r="AQ55" s="1416"/>
      <c r="AR55" s="1416"/>
      <c r="AS55" s="1416"/>
      <c r="AT55" s="1416"/>
      <c r="AU55" s="1519"/>
      <c r="AV55" s="1416"/>
      <c r="AW55" s="1519"/>
      <c r="AX55" s="1416"/>
      <c r="AY55" s="1416"/>
      <c r="AZ55" s="1416"/>
      <c r="BA55" s="1416"/>
      <c r="BB55" s="1420"/>
      <c r="BC55" s="2169"/>
      <c r="BE55" s="498"/>
      <c r="BF55" s="498"/>
      <c r="BG55" s="498"/>
      <c r="BH55" s="498"/>
    </row>
    <row customHeight="1" ht="11.25">
      <c r="A56" s="1386" t="s">
        <v>236</v>
      </c>
      <c r="B56" s="1386" t="s">
        <v>237</v>
      </c>
      <c r="C56" s="1386" t="s">
        <v>238</v>
      </c>
      <c r="D56" s="1386" t="s">
        <v>1709</v>
      </c>
      <c r="E56" s="2174"/>
      <c r="F56" s="2174"/>
      <c r="G56" s="2174"/>
      <c r="H56" s="2174"/>
      <c r="I56" s="2201"/>
      <c r="J56" s="2201"/>
      <c r="K56" s="2171"/>
      <c r="L56" s="1387"/>
      <c r="P56" s="2172"/>
      <c r="Q56" s="2172"/>
      <c r="R56" s="345"/>
      <c r="S56" s="2249"/>
      <c r="T56" s="2315"/>
      <c r="U56" s="280"/>
      <c r="V56" s="1416"/>
      <c r="W56" s="1417" t="str">
        <f>Z52&amp;"-"&amp;AB52</f>
        <v>-</v>
      </c>
      <c r="X56" s="1416"/>
      <c r="Y56" s="1417" t="str">
        <f>AB52&amp;"-"&amp;AD52</f>
        <v>-да</v>
      </c>
      <c r="Z56" s="1416"/>
      <c r="AA56" s="1416"/>
      <c r="AB56" s="1416"/>
      <c r="AC56" s="1416"/>
      <c r="AD56" s="1933"/>
      <c r="AE56" s="294"/>
      <c r="AF56" s="296"/>
      <c r="AG56" s="414" t="s">
        <v>1699</v>
      </c>
      <c r="AH56" s="1416"/>
      <c r="AI56" s="1416"/>
      <c r="AJ56" s="1416"/>
      <c r="AK56" s="1416"/>
      <c r="AL56" s="1416"/>
      <c r="AM56" s="1416"/>
      <c r="AN56" s="1416"/>
      <c r="AO56" s="1416"/>
      <c r="AP56" s="1416"/>
      <c r="AQ56" s="1416"/>
      <c r="AR56" s="1416"/>
      <c r="AS56" s="1416"/>
      <c r="AT56" s="1416"/>
      <c r="AU56" s="1417" t="str">
        <f>AX52&amp;"-"&amp;AZ52</f>
        <v>-</v>
      </c>
      <c r="AV56" s="1416"/>
      <c r="AW56" s="1417" t="str">
        <f>AZ52&amp;"-"&amp;BB52</f>
        <v>-</v>
      </c>
      <c r="AX56" s="1416"/>
      <c r="AY56" s="1416"/>
      <c r="AZ56" s="1416"/>
      <c r="BA56" s="1416"/>
      <c r="BB56" s="1419" t="str">
        <f>BE52&amp;"-"&amp;BG52</f>
        <v>-</v>
      </c>
      <c r="BC56" s="2169"/>
      <c r="BE56" s="498"/>
      <c r="BF56" s="498" t="str">
        <f>IF(T56="","",T56)</f>
        <v/>
      </c>
      <c r="BG56" s="498"/>
      <c r="BH56" s="498"/>
    </row>
    <row customHeight="1" ht="11.25">
      <c r="A57" s="1386" t="s">
        <v>236</v>
      </c>
      <c r="B57" s="1386" t="s">
        <v>237</v>
      </c>
      <c r="C57" s="1386" t="s">
        <v>238</v>
      </c>
      <c r="D57" s="1386" t="s">
        <v>1709</v>
      </c>
      <c r="E57" s="2174"/>
      <c r="F57" s="2174"/>
      <c r="G57" s="2174"/>
      <c r="H57" s="2174"/>
      <c r="I57" s="2201"/>
      <c r="J57" s="2171"/>
      <c r="K57" s="1386"/>
      <c r="L57" s="1387"/>
      <c r="P57" s="2172"/>
      <c r="Q57" s="2172"/>
      <c r="R57" s="344"/>
      <c r="S57" s="1301"/>
      <c r="T57" s="268" t="s">
        <v>539</v>
      </c>
      <c r="U57" s="359"/>
      <c r="V57" s="359"/>
      <c r="W57" s="359"/>
      <c r="X57" s="359"/>
      <c r="Y57" s="359"/>
      <c r="Z57" s="359"/>
      <c r="AA57" s="359"/>
      <c r="AB57" s="359"/>
      <c r="AC57" s="311"/>
      <c r="AD57" s="1528"/>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70"/>
      <c r="BE57" s="498"/>
      <c r="BF57" s="498" t="str">
        <f>IF(T57="","",T57)</f>
        <v>Добавить строку</v>
      </c>
      <c r="BG57" s="498"/>
      <c r="BH57" s="498"/>
    </row>
    <row s="1673" customFormat="1" customHeight="1" ht="0">
      <c r="A58" s="1366" t="s">
        <v>236</v>
      </c>
      <c r="B58" s="1366" t="s">
        <v>237</v>
      </c>
      <c r="C58" s="1366" t="s">
        <v>238</v>
      </c>
      <c r="D58" s="1366" t="s">
        <v>1709</v>
      </c>
      <c r="E58" s="2174"/>
      <c r="F58" s="2174"/>
      <c r="G58" s="2174"/>
      <c r="H58" s="2174"/>
      <c r="I58" s="2171"/>
      <c r="J58" s="1366"/>
      <c r="K58" s="1366"/>
      <c r="L58" s="1369"/>
      <c r="M58" s="508"/>
      <c r="N58" s="508"/>
      <c r="O58" s="508"/>
      <c r="P58" s="2172"/>
      <c r="Q58" s="1485"/>
      <c r="R58" s="344"/>
      <c r="S58" s="1409"/>
      <c r="T58" s="1410"/>
      <c r="U58" s="1411"/>
      <c r="V58" s="1411"/>
      <c r="W58" s="1411"/>
      <c r="X58" s="1411"/>
      <c r="Y58" s="1411"/>
      <c r="Z58" s="1411"/>
      <c r="AA58" s="1411"/>
      <c r="AB58" s="1411"/>
      <c r="AC58" s="1411"/>
      <c r="AD58" s="1411"/>
      <c r="AE58" s="1411"/>
      <c r="AF58" s="1411"/>
      <c r="AG58" s="1411"/>
      <c r="AH58" s="1411"/>
      <c r="AI58" s="1411"/>
      <c r="AJ58" s="1411"/>
      <c r="AK58" s="1411"/>
      <c r="AL58" s="1411"/>
      <c r="AM58" s="1411"/>
      <c r="AN58" s="1411"/>
      <c r="AO58" s="1411"/>
      <c r="AP58" s="1411"/>
      <c r="AQ58" s="1411"/>
      <c r="AR58" s="1411"/>
      <c r="AS58" s="1411"/>
      <c r="AT58" s="1411"/>
      <c r="AU58" s="1411"/>
      <c r="AV58" s="1411"/>
      <c r="AW58" s="1411"/>
      <c r="AX58" s="1411"/>
      <c r="AY58" s="1411"/>
      <c r="AZ58" s="1411"/>
      <c r="BA58" s="1411"/>
      <c r="BB58" s="1411"/>
      <c r="BC58" s="1412"/>
      <c r="BE58" s="498"/>
      <c r="BF58" s="498" t="str">
        <f>IF(T58="","",T58)</f>
        <v/>
      </c>
      <c r="BG58" s="498"/>
      <c r="BH58" s="498"/>
    </row>
    <row s="1673" customFormat="1" customHeight="1" ht="0">
      <c r="A59" s="1366" t="s">
        <v>236</v>
      </c>
      <c r="B59" s="1366" t="s">
        <v>237</v>
      </c>
      <c r="C59" s="1366" t="s">
        <v>238</v>
      </c>
      <c r="D59" s="1366" t="s">
        <v>1709</v>
      </c>
      <c r="E59" s="2174"/>
      <c r="F59" s="2174"/>
      <c r="G59" s="2174"/>
      <c r="H59" s="2173"/>
      <c r="I59" s="1366"/>
      <c r="J59" s="1366"/>
      <c r="K59" s="1366"/>
      <c r="L59" s="1369"/>
      <c r="M59" s="1338"/>
      <c r="N59" s="1338"/>
      <c r="O59" s="516"/>
      <c r="P59" s="376"/>
      <c r="Q59" s="1367"/>
      <c r="R59" s="1424"/>
      <c r="S59" s="1409"/>
      <c r="T59" s="1410"/>
      <c r="U59" s="1411"/>
      <c r="V59" s="1411"/>
      <c r="W59" s="1411"/>
      <c r="X59" s="1411"/>
      <c r="Y59" s="1411"/>
      <c r="Z59" s="1411"/>
      <c r="AA59" s="1411"/>
      <c r="AB59" s="1411"/>
      <c r="AC59" s="1411"/>
      <c r="AD59" s="1411"/>
      <c r="AE59" s="1411"/>
      <c r="AF59" s="1411"/>
      <c r="AG59" s="1411"/>
      <c r="AH59" s="1411"/>
      <c r="AI59" s="1411"/>
      <c r="AJ59" s="1411"/>
      <c r="AK59" s="1411"/>
      <c r="AL59" s="1411"/>
      <c r="AM59" s="1411"/>
      <c r="AN59" s="1411"/>
      <c r="AO59" s="1411"/>
      <c r="AP59" s="1411"/>
      <c r="AQ59" s="1411"/>
      <c r="AR59" s="1411"/>
      <c r="AS59" s="1411"/>
      <c r="AT59" s="1411"/>
      <c r="AU59" s="1411"/>
      <c r="AV59" s="1411"/>
      <c r="AW59" s="1411"/>
      <c r="AX59" s="1411"/>
      <c r="AY59" s="1411"/>
      <c r="AZ59" s="1411"/>
      <c r="BA59" s="1411"/>
      <c r="BB59" s="1411"/>
      <c r="BC59" s="1412"/>
      <c r="BE59" s="498"/>
      <c r="BF59" s="498" t="str">
        <f>IF(T59="","",T59)</f>
        <v/>
      </c>
      <c r="BG59" s="498"/>
      <c r="BH59" s="498"/>
    </row>
    <row s="1673" customFormat="1" customHeight="1" ht="0">
      <c r="A60" s="1366" t="s">
        <v>236</v>
      </c>
      <c r="B60" s="1366" t="s">
        <v>237</v>
      </c>
      <c r="C60" s="1366" t="s">
        <v>238</v>
      </c>
      <c r="D60" s="1337"/>
      <c r="E60" s="2174"/>
      <c r="F60" s="2174"/>
      <c r="G60" s="2173"/>
      <c r="H60" s="1337"/>
      <c r="I60" s="1337"/>
      <c r="J60" s="1337"/>
      <c r="K60" s="1337"/>
      <c r="L60" s="1487"/>
      <c r="M60" s="1338"/>
      <c r="N60" s="1338"/>
      <c r="P60" s="1339"/>
      <c r="Q60" s="1340"/>
      <c r="R60" s="1339"/>
      <c r="S60" s="1345"/>
      <c r="T60" s="1348"/>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1347"/>
      <c r="BC60" s="1347"/>
      <c r="BE60" s="787"/>
      <c r="BF60" s="787" t="str">
        <f>IF(T60="","",T60)</f>
        <v/>
      </c>
      <c r="BG60" s="787"/>
      <c r="BH60" s="787"/>
    </row>
    <row s="1673" customFormat="1" customHeight="1" ht="0">
      <c r="A61" s="1366" t="s">
        <v>236</v>
      </c>
      <c r="B61" s="1366" t="s">
        <v>237</v>
      </c>
      <c r="C61" s="1337"/>
      <c r="D61" s="1337"/>
      <c r="E61" s="2174"/>
      <c r="F61" s="2173"/>
      <c r="G61" s="1337"/>
      <c r="H61" s="1337"/>
      <c r="I61" s="1337"/>
      <c r="J61" s="1337"/>
      <c r="K61" s="1337"/>
      <c r="L61" s="1487"/>
      <c r="M61" s="1344"/>
      <c r="N61" s="1344"/>
      <c r="P61" s="1339"/>
      <c r="Q61" s="1340"/>
      <c r="R61" s="1339"/>
      <c r="S61" s="1345"/>
      <c r="T61" s="1348" t="s">
        <v>433</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1347"/>
      <c r="BC61" s="1347"/>
      <c r="BE61" s="787"/>
      <c r="BF61" s="787" t="str">
        <f>IF(T61="","",T61)</f>
        <v>Добавить централизованную систему для дифференциации</v>
      </c>
      <c r="BG61" s="787"/>
      <c r="BH61" s="787"/>
    </row>
    <row s="1673" customFormat="1" customHeight="1" ht="0">
      <c r="A62" s="1366" t="s">
        <v>236</v>
      </c>
      <c r="B62" s="1366"/>
      <c r="C62" s="1366"/>
      <c r="D62" s="1366"/>
      <c r="E62" s="2173"/>
      <c r="F62" s="1366"/>
      <c r="G62" s="1366"/>
      <c r="H62" s="1366"/>
      <c r="I62" s="1366"/>
      <c r="J62" s="1366"/>
      <c r="K62" s="1366"/>
      <c r="L62" s="1369"/>
      <c r="M62" s="1344"/>
      <c r="N62" s="1344"/>
      <c r="O62" s="516"/>
      <c r="P62" s="376"/>
      <c r="Q62" s="1367"/>
      <c r="R62" s="376"/>
      <c r="S62" s="1345"/>
      <c r="T62" s="1348" t="s">
        <v>434</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1347"/>
      <c r="BC62" s="1347"/>
      <c r="BE62" s="498"/>
      <c r="BF62" s="498" t="str">
        <f>IF(T62="","",T62)</f>
        <v>Добавить территорию для дифференциации</v>
      </c>
      <c r="BG62" s="498"/>
      <c r="BH62" s="498"/>
    </row>
    <row s="1673" customFormat="1" customHeight="1" ht="0">
      <c r="A63" s="1337"/>
      <c r="B63" s="1337"/>
      <c r="C63" s="1337"/>
      <c r="D63" s="1337"/>
      <c r="E63" s="1366"/>
      <c r="F63" s="1337"/>
      <c r="G63" s="1337"/>
      <c r="H63" s="1337"/>
      <c r="I63" s="1337"/>
      <c r="J63" s="1337"/>
      <c r="K63" s="1337"/>
      <c r="L63" s="1487"/>
      <c r="M63" s="1344"/>
      <c r="N63" s="1344"/>
      <c r="P63" s="1339"/>
      <c r="Q63" s="1340"/>
      <c r="R63" s="1339"/>
      <c r="S63" s="1345"/>
      <c r="T63" s="1348" t="s">
        <v>435</v>
      </c>
      <c r="U63" s="1347"/>
      <c r="V63" s="1347"/>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1347"/>
      <c r="BC63" s="1347"/>
      <c r="BE63" s="787"/>
      <c r="BF63" s="787" t="str">
        <f>IF(T63="","",T63)</f>
        <v>Добавить наименование тарифа</v>
      </c>
      <c r="BG63" s="787"/>
      <c r="BH63" s="787"/>
    </row>
    <row customHeight="1" ht="11.25" hidden="1">
      <c r="M64" s="1161"/>
      <c r="N64" s="1161"/>
      <c r="O64" s="535"/>
      <c r="P64" s="1161"/>
      <c r="Q64" s="1161"/>
      <c r="R64" s="1156"/>
      <c r="S64" s="1156"/>
      <c r="BD64" s="1156"/>
      <c r="BE64" s="1156"/>
      <c r="BF64" s="1156"/>
      <c r="BG64" s="1156"/>
      <c r="BH64" s="1156"/>
    </row>
    <row customHeight="1" ht="18.75" hidden="1">
      <c r="O65" s="535"/>
      <c r="S65" s="1266" t="s">
        <v>507</v>
      </c>
      <c r="T65" s="2200" t="s">
        <v>1710</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customHeight="1" ht="14.25" hidden="1">
      <c r="O66" s="535"/>
      <c r="T66" s="1472"/>
      <c r="U66" s="1472"/>
      <c r="V66" s="1472"/>
      <c r="W66" s="1472"/>
      <c r="X66" s="1472"/>
      <c r="Y66" s="1472"/>
      <c r="Z66" s="1472"/>
      <c r="AA66" s="1472"/>
      <c r="AB66" s="1472"/>
      <c r="AC66" s="1472"/>
      <c r="AD66" s="1472"/>
      <c r="AE66" s="1472"/>
      <c r="AF66" s="1472"/>
      <c r="AG66" s="1472"/>
      <c r="AH66" s="1472"/>
      <c r="AI66" s="1472"/>
      <c r="AJ66" s="1472"/>
      <c r="AK66" s="1472"/>
      <c r="AL66" s="1472"/>
      <c r="AM66" s="1472"/>
      <c r="AN66" s="1472"/>
      <c r="AO66" s="1472"/>
      <c r="AP66" s="1472"/>
      <c r="AQ66" s="1472"/>
      <c r="AR66" s="1472"/>
      <c r="AS66" s="1472"/>
      <c r="AT66" s="1472"/>
      <c r="AU66" s="1472"/>
      <c r="AV66" s="1472"/>
      <c r="AW66" s="1472"/>
      <c r="AX66" s="1472"/>
      <c r="AY66" s="1472"/>
      <c r="AZ66" s="1472"/>
      <c r="BA66" s="1472"/>
      <c r="BB66" s="1472"/>
      <c r="BC66" s="1472"/>
    </row>
    <row customHeight="1" ht="18.75" hidden="1">
      <c r="O67" s="535"/>
      <c r="S67" s="1266" t="s">
        <v>507</v>
      </c>
      <c r="T67" s="2200" t="s">
        <v>1711</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customHeight="1" ht="14.25">
      <c r="O68" s="535"/>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6CEAC-49E8-7485-9A46-133C8550F757}" mc:Ignorable="x14ac xr xr2 xr3">
  <sheetPr>
    <tabColor rgb="FFCCCCFF"/>
  </sheetPr>
  <dimension ref="A1:AL17"/>
  <sheetViews>
    <sheetView topLeftCell="C3" showGridLines="0" zoomScale="90" workbookViewId="0">
      <selection activeCell="M15" sqref="M15"/>
    </sheetView>
  </sheetViews>
  <sheetFormatPr defaultColWidth="9.140625" customHeight="1" defaultRowHeight="11.25"/>
  <cols>
    <col min="1" max="1" style="1888" width="6.421875" hidden="1" customWidth="1"/>
    <col min="2" max="2" style="1888" width="2.00390625" hidden="1" customWidth="1"/>
    <col min="3" max="3" style="1888" width="3.7109375" customWidth="1"/>
    <col min="4" max="4" style="1888" width="4.28125" customWidth="1"/>
    <col min="5" max="5" style="1888" width="45.00390625" customWidth="1"/>
    <col min="6" max="6" style="1888" width="6.421875" customWidth="1"/>
    <col min="7" max="7" style="1888" width="4.421875" customWidth="1"/>
    <col min="8" max="8" style="1888" width="5.57421875" customWidth="1"/>
    <col min="9" max="9" style="1888" width="52.8515625" customWidth="1"/>
    <col min="10" max="10" style="1888" width="7.00390625" customWidth="1"/>
    <col min="11" max="11" style="1888" width="3.7109375" customWidth="1"/>
    <col min="12" max="12" style="1888" width="6.28125" customWidth="1"/>
    <col min="13" max="13" style="1888" width="56.28125" customWidth="1"/>
    <col min="14" max="14" style="1393" width="9.140625"/>
    <col min="15" max="20" style="1655" width="9.140625" hidden="1"/>
    <col min="21" max="24" style="1288" width="9.140625" hidden="1"/>
    <col min="25" max="37" style="1393" width="9.140625" hidden="1"/>
    <col min="38" max="38" style="1393" width="9.140625"/>
  </cols>
  <sheetData>
    <row customHeight="1" ht="11.25" hidden="1"/>
    <row customHeight="1" ht="11.25" hidden="1"/>
    <row r="4" customHeight="1" ht="34.5">
      <c r="A4" s="583"/>
      <c r="B4" s="583"/>
      <c r="D4" s="194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1941"/>
      <c r="F4" s="1941"/>
      <c r="G4" s="1941"/>
      <c r="H4" s="1941"/>
      <c r="I4" s="1942"/>
      <c r="J4" s="582"/>
      <c r="K4" s="582"/>
      <c r="L4" s="582"/>
      <c r="M4" s="582"/>
    </row>
    <row s="587" customFormat="1" customHeight="1" ht="15">
      <c r="A5" s="583"/>
      <c r="B5" s="583"/>
      <c r="C5" s="583"/>
      <c r="D5" s="1943" t="str">
        <f>IF(org=0,"Не определено",org)</f>
        <v>ПАО "ТГК-2"</v>
      </c>
      <c r="E5" s="1944"/>
      <c r="F5" s="1944"/>
      <c r="G5" s="1944"/>
      <c r="H5" s="1944"/>
      <c r="I5" s="1945"/>
      <c r="J5" s="584"/>
      <c r="K5" s="584"/>
      <c r="L5" s="584"/>
      <c r="M5" s="584"/>
      <c r="N5" s="584"/>
      <c r="O5" s="868"/>
      <c r="P5" s="868"/>
      <c r="Q5" s="868"/>
      <c r="R5" s="868"/>
      <c r="S5" s="868"/>
      <c r="T5" s="868"/>
      <c r="U5" s="1283"/>
      <c r="V5" s="1283"/>
      <c r="W5" s="1283"/>
      <c r="X5" s="1283"/>
      <c r="Y5" s="584"/>
      <c r="Z5" s="584"/>
      <c r="AA5" s="584"/>
      <c r="AB5" s="584"/>
      <c r="AC5" s="584"/>
      <c r="AD5" s="584"/>
      <c r="AE5" s="584"/>
      <c r="AF5" s="584"/>
      <c r="AG5" s="584"/>
      <c r="AH5" s="584"/>
      <c r="AI5" s="584"/>
      <c r="AJ5" s="584"/>
      <c r="AK5" s="584"/>
      <c r="AL5" s="584"/>
    </row>
    <row s="587" customFormat="1" customHeight="1" ht="6">
      <c r="A6" s="1946"/>
      <c r="B6" s="1946"/>
      <c r="C6" s="1946"/>
      <c r="D6" s="1946"/>
      <c r="E6" s="1946"/>
      <c r="F6" s="1946"/>
      <c r="G6" s="586"/>
      <c r="H6" s="586"/>
      <c r="I6" s="586"/>
      <c r="J6" s="586"/>
      <c r="K6" s="586"/>
      <c r="N6" s="588"/>
      <c r="O6" s="1437"/>
      <c r="P6" s="1437"/>
      <c r="Q6" s="1437"/>
      <c r="R6" s="1437"/>
      <c r="S6" s="1437"/>
      <c r="T6" s="1437"/>
      <c r="U6" s="1286"/>
      <c r="V6" s="1286"/>
      <c r="W6" s="1286"/>
      <c r="X6" s="1286"/>
      <c r="Y6" s="588"/>
      <c r="Z6" s="588"/>
      <c r="AA6" s="588"/>
      <c r="AB6" s="588"/>
      <c r="AC6" s="588"/>
      <c r="AD6" s="588"/>
      <c r="AE6" s="588"/>
      <c r="AF6" s="588"/>
      <c r="AG6" s="588"/>
      <c r="AH6" s="588"/>
      <c r="AI6" s="588"/>
      <c r="AJ6" s="588"/>
      <c r="AK6" s="588"/>
      <c r="AL6" s="588"/>
    </row>
    <row customHeight="1" ht="45.75" hidden="1">
      <c r="E7" s="19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2"/>
      <c r="G7" s="1952"/>
      <c r="H7" s="1952"/>
      <c r="I7" s="1952"/>
      <c r="J7" s="1952"/>
      <c r="K7" s="1952"/>
      <c r="L7" s="1952"/>
      <c r="M7" s="1952"/>
    </row>
    <row s="587" customFormat="1" customHeight="1" ht="6">
      <c r="A8" s="589"/>
      <c r="B8" s="589"/>
      <c r="C8" s="589"/>
      <c r="D8" s="589"/>
      <c r="E8" s="589"/>
      <c r="F8" s="589"/>
      <c r="G8" s="589"/>
      <c r="H8" s="589"/>
      <c r="I8" s="589"/>
      <c r="J8" s="589"/>
      <c r="K8" s="589"/>
      <c r="L8" s="589"/>
      <c r="M8" s="587"/>
      <c r="N8" s="584"/>
      <c r="O8" s="868"/>
      <c r="P8" s="868"/>
      <c r="Q8" s="868"/>
      <c r="R8" s="868"/>
      <c r="S8" s="868"/>
      <c r="T8" s="868"/>
      <c r="U8" s="1283"/>
      <c r="V8" s="1283"/>
      <c r="W8" s="1283"/>
      <c r="X8" s="1283"/>
      <c r="Y8" s="584"/>
      <c r="Z8" s="584"/>
      <c r="AA8" s="584"/>
      <c r="AB8" s="584"/>
      <c r="AC8" s="584"/>
      <c r="AD8" s="584"/>
      <c r="AE8" s="584"/>
      <c r="AF8" s="584"/>
      <c r="AG8" s="584"/>
      <c r="AH8" s="584"/>
      <c r="AI8" s="584"/>
      <c r="AJ8" s="584"/>
      <c r="AK8" s="584"/>
      <c r="AL8" s="584"/>
    </row>
    <row customHeight="1" ht="18">
      <c r="A9" s="1947"/>
      <c r="B9" s="310"/>
      <c r="C9" s="310"/>
      <c r="D9" s="1948" t="s">
        <v>104</v>
      </c>
      <c r="E9" s="1948"/>
      <c r="F9" s="1949" t="s">
        <v>105</v>
      </c>
      <c r="G9" s="1950"/>
      <c r="H9" s="1950"/>
      <c r="I9" s="1950"/>
      <c r="J9" s="1953" t="s">
        <v>106</v>
      </c>
      <c r="K9" s="1953"/>
      <c r="L9" s="1953"/>
      <c r="M9" s="1953"/>
    </row>
    <row customHeight="1" ht="22.5">
      <c r="A10" s="1947"/>
      <c r="B10" s="590"/>
      <c r="C10" s="523"/>
      <c r="D10" s="521" t="s">
        <v>87</v>
      </c>
      <c r="E10" s="521" t="s">
        <v>88</v>
      </c>
      <c r="F10" s="521" t="s">
        <v>107</v>
      </c>
      <c r="G10" s="1954" t="s">
        <v>87</v>
      </c>
      <c r="H10" s="1955"/>
      <c r="I10" s="521" t="s">
        <v>88</v>
      </c>
      <c r="J10" s="521" t="s">
        <v>107</v>
      </c>
      <c r="K10" s="1954" t="s">
        <v>87</v>
      </c>
      <c r="L10" s="1955"/>
      <c r="M10" s="521" t="s">
        <v>88</v>
      </c>
      <c r="N10" s="1658"/>
    </row>
    <row s="1888" customFormat="1" customHeight="1" ht="11.25" hidden="1">
      <c r="A11" s="591"/>
      <c r="B11" s="591"/>
      <c r="C11" s="591"/>
      <c r="D11" s="592" t="s">
        <v>108</v>
      </c>
      <c r="E11" s="592" t="s">
        <v>109</v>
      </c>
      <c r="F11" s="592" t="s">
        <v>89</v>
      </c>
      <c r="G11" s="1936" t="s">
        <v>90</v>
      </c>
      <c r="H11" s="1937"/>
      <c r="I11" s="592" t="s">
        <v>110</v>
      </c>
      <c r="J11" s="592" t="s">
        <v>91</v>
      </c>
      <c r="K11" s="1938" t="s">
        <v>92</v>
      </c>
      <c r="L11" s="1939"/>
      <c r="M11" s="592" t="s">
        <v>111</v>
      </c>
      <c r="N11" s="1657"/>
      <c r="O11" s="1436"/>
      <c r="P11" s="1438"/>
      <c r="Q11" s="1438"/>
      <c r="R11" s="1438"/>
      <c r="S11" s="1438"/>
      <c r="T11" s="1438"/>
      <c r="U11" s="1287"/>
      <c r="V11" s="1287"/>
      <c r="W11" s="1287"/>
      <c r="X11" s="1287"/>
      <c r="Y11" s="593"/>
      <c r="Z11" s="593"/>
      <c r="AA11" s="593"/>
      <c r="AB11" s="593"/>
      <c r="AC11" s="593"/>
      <c r="AD11" s="593"/>
      <c r="AE11" s="593"/>
      <c r="AF11" s="593"/>
      <c r="AG11" s="593"/>
      <c r="AH11" s="593"/>
      <c r="AI11" s="593"/>
      <c r="AJ11" s="593"/>
      <c r="AK11" s="593"/>
      <c r="AL11" s="593"/>
    </row>
    <row customHeight="1" ht="0.75">
      <c r="A12" s="595"/>
      <c r="B12" s="596"/>
      <c r="C12" s="596"/>
      <c r="D12" s="597"/>
      <c r="E12" s="359"/>
      <c r="F12" s="598"/>
      <c r="G12" s="1060"/>
      <c r="H12" s="1060"/>
      <c r="I12" s="598"/>
      <c r="J12" s="598"/>
      <c r="K12" s="154"/>
      <c r="L12" s="359"/>
      <c r="M12" s="599"/>
      <c r="N12" s="1658"/>
      <c r="O12" s="1436" t="s">
        <v>112</v>
      </c>
      <c r="P12" s="1436" t="s">
        <v>113</v>
      </c>
      <c r="Q12" s="1436" t="s">
        <v>114</v>
      </c>
      <c r="R12" s="1436" t="s">
        <v>115</v>
      </c>
    </row>
    <row s="1888" customFormat="1" customHeight="1" ht="15">
      <c r="A13" s="0"/>
      <c r="B13" s="0"/>
      <c r="C13" s="524"/>
      <c r="D13" s="1929" t="s">
        <v>108</v>
      </c>
      <c r="E13" s="1930" t="str">
        <f>INDEX(VD_NAME_LIST,MATCH("4189672",VD_ID_LIST,0))</f>
        <v>Холодное водоснабжение. Техническая вода</v>
      </c>
      <c r="F13" s="1933" t="s">
        <v>58</v>
      </c>
      <c r="G13" s="1934"/>
      <c r="H13" s="1935">
        <v>1</v>
      </c>
      <c r="I13" s="1926" t="str">
        <f>IF(U13="","",INDEX(TERRITORY_MR_LIST,MATCH(U13,TERRITORY_LIST_ID,0)))</f>
        <v>городской округ город Кострома</v>
      </c>
      <c r="J13" s="1928" t="s">
        <v>58</v>
      </c>
      <c r="K13" s="600"/>
      <c r="L13" s="525" t="s">
        <v>108</v>
      </c>
      <c r="M13" s="2418" t="s">
        <v>116</v>
      </c>
      <c r="N13" s="810"/>
      <c r="O13" s="1439" t="s">
        <v>117</v>
      </c>
      <c r="P13" s="1436" t="str">
        <f>$E$13</f>
        <v>Холодное водоснабжение. Техническая вода</v>
      </c>
      <c r="Q13" s="1436" t="str">
        <f>IF($F$13="нет","без дифференциации",$I$13)</f>
        <v>городской округ город Кострома</v>
      </c>
      <c r="R13" s="1436" t="str">
        <f>IF($J$13="нет","без дифференциации",M13)</f>
        <v>система холодного водоснабжения Костромской ТЭЦ-1</v>
      </c>
      <c r="S13" s="1439"/>
      <c r="T13" s="1439"/>
      <c r="U13" s="1288" t="s">
        <v>97</v>
      </c>
      <c r="V13" s="1288" t="s">
        <v>118</v>
      </c>
      <c r="W13" s="1288"/>
      <c r="X13" s="1288"/>
      <c r="Y13" s="602" t="s">
        <v>119</v>
      </c>
      <c r="Z13" s="602">
        <v>1705000</v>
      </c>
      <c r="AA13" s="602"/>
      <c r="AB13" s="602"/>
      <c r="AC13" s="602"/>
      <c r="AD13" s="602"/>
      <c r="AE13" s="602"/>
      <c r="AF13" s="602"/>
      <c r="AG13" s="602"/>
      <c r="AH13" s="602"/>
      <c r="AI13" s="602"/>
      <c r="AJ13" s="602"/>
      <c r="AK13" s="602"/>
      <c r="AL13" s="602"/>
    </row>
    <row customHeight="1" ht="15">
      <c r="A14" s="0"/>
      <c r="B14" s="0"/>
      <c r="C14" s="156"/>
      <c r="D14" s="1856"/>
      <c r="E14" s="1856"/>
      <c r="F14" s="1856"/>
      <c r="G14" s="1856"/>
      <c r="H14" s="1856"/>
      <c r="I14" s="1856"/>
      <c r="J14" s="1856"/>
      <c r="K14" s="1834" t="s">
        <v>120</v>
      </c>
      <c r="L14" s="1759" t="s">
        <v>109</v>
      </c>
      <c r="M14" s="809" t="s">
        <v>121</v>
      </c>
      <c r="N14" s="810"/>
      <c r="O14" s="602" t="s">
        <v>122</v>
      </c>
      <c r="P14" s="602" t="str">
        <f>$E$13</f>
        <v>Холодное водоснабжение. Техническая вода</v>
      </c>
      <c r="Q14" s="602" t="str">
        <f>IF($F$13="нет","без дифференциации",$I$13)</f>
        <v>городской округ город Кострома</v>
      </c>
      <c r="R14" s="602" t="str">
        <f>IF($J$14="нет","без дифференциации",$M$14)</f>
        <v>система холодного водоснабжения Костромской ТЭЦ-2</v>
      </c>
      <c r="S14" s="602"/>
      <c r="T14" s="602"/>
      <c r="U14" s="603"/>
      <c r="V14" s="602"/>
      <c r="W14" s="602"/>
      <c r="X14" s="593"/>
      <c r="Y14" s="593" t="s">
        <v>119</v>
      </c>
      <c r="Z14" s="593">
        <v>1705000</v>
      </c>
      <c r="AA14" s="593"/>
      <c r="AB14" s="593"/>
      <c r="AC14" s="593"/>
      <c r="AD14" s="593"/>
      <c r="AE14" s="593"/>
      <c r="AF14" s="593"/>
      <c r="AG14" s="593"/>
      <c r="AH14" s="593"/>
      <c r="AI14" s="593"/>
      <c r="AJ14" s="593"/>
      <c r="AK14" s="593"/>
      <c r="AL14" s="593"/>
    </row>
    <row s="1888" customFormat="1" customHeight="1" ht="15">
      <c r="A15" s="0"/>
      <c r="B15" s="0"/>
      <c r="C15" s="156"/>
      <c r="D15" s="1929"/>
      <c r="E15" s="1931"/>
      <c r="F15" s="1928"/>
      <c r="G15" s="1934"/>
      <c r="H15" s="1935"/>
      <c r="I15" s="1927"/>
      <c r="J15" s="1928"/>
      <c r="K15" s="419"/>
      <c r="L15" s="157"/>
      <c r="M15" s="605" t="s">
        <v>123</v>
      </c>
      <c r="N15" s="810"/>
      <c r="O15" s="1439"/>
      <c r="P15" s="1436"/>
      <c r="Q15" s="1436"/>
      <c r="R15" s="1436"/>
      <c r="S15" s="1439"/>
      <c r="T15" s="1439"/>
      <c r="U15" s="1288"/>
      <c r="V15" s="1288"/>
      <c r="W15" s="1288"/>
      <c r="X15" s="1288"/>
      <c r="Y15" s="602"/>
      <c r="Z15" s="602"/>
      <c r="AA15" s="602"/>
      <c r="AB15" s="602"/>
      <c r="AC15" s="602"/>
      <c r="AD15" s="602"/>
      <c r="AE15" s="602"/>
      <c r="AF15" s="602"/>
      <c r="AG15" s="602"/>
      <c r="AH15" s="602"/>
      <c r="AI15" s="602"/>
      <c r="AJ15" s="602"/>
      <c r="AK15" s="602"/>
      <c r="AL15" s="602"/>
    </row>
    <row s="1888" customFormat="1" customHeight="1" ht="15">
      <c r="A16" s="0"/>
      <c r="B16" s="0"/>
      <c r="C16" s="156"/>
      <c r="D16" s="1929"/>
      <c r="E16" s="1932"/>
      <c r="F16" s="1928"/>
      <c r="G16" s="1061"/>
      <c r="H16" s="1062"/>
      <c r="I16" s="578" t="s">
        <v>124</v>
      </c>
      <c r="J16" s="157"/>
      <c r="K16" s="157"/>
      <c r="L16" s="157"/>
      <c r="M16" s="606"/>
      <c r="N16" s="810"/>
      <c r="O16" s="1439"/>
      <c r="P16" s="1436"/>
      <c r="Q16" s="1436"/>
      <c r="R16" s="1436"/>
      <c r="S16" s="1439"/>
      <c r="T16" s="1439"/>
      <c r="U16" s="1288"/>
      <c r="V16" s="1288"/>
      <c r="W16" s="1288"/>
      <c r="X16" s="1288"/>
      <c r="Y16" s="602"/>
      <c r="Z16" s="602"/>
      <c r="AA16" s="602"/>
      <c r="AB16" s="602"/>
      <c r="AC16" s="602"/>
      <c r="AD16" s="602"/>
      <c r="AE16" s="602"/>
      <c r="AF16" s="602"/>
      <c r="AG16" s="602"/>
      <c r="AH16" s="602"/>
      <c r="AI16" s="602"/>
      <c r="AJ16" s="602"/>
      <c r="AK16" s="602"/>
      <c r="AL16" s="602"/>
    </row>
    <row customHeight="1" ht="15">
      <c r="A17" s="607"/>
      <c r="B17" s="115"/>
      <c r="C17" s="804"/>
      <c r="D17" s="419"/>
      <c r="E17" s="569" t="s">
        <v>125</v>
      </c>
      <c r="F17" s="157"/>
      <c r="G17" s="157"/>
      <c r="H17" s="157"/>
      <c r="I17" s="157"/>
      <c r="J17" s="157"/>
      <c r="K17" s="157" t="s">
        <v>18</v>
      </c>
      <c r="L17" s="157"/>
      <c r="M17" s="606"/>
      <c r="N17" s="1658"/>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6"/>
    <mergeCell ref="E13:E16"/>
    <mergeCell ref="F13:F16"/>
    <mergeCell ref="G13:G15"/>
    <mergeCell ref="H13:H15"/>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184A1-C6D8-51B8-02A1-6B17595E1EF3}" mc:Ignorable="x14ac xr xr2 xr3">
  <sheetPr>
    <tabColor theme="9" tint="-0.25"/>
  </sheetPr>
  <dimension ref="A1:AF306"/>
  <sheetViews>
    <sheetView topLeftCell="D20" showGridLines="0" zoomScale="90" workbookViewId="0">
      <selection activeCell="J81" sqref="J81"/>
    </sheetView>
  </sheetViews>
  <sheetFormatPr defaultColWidth="9.140625" customHeight="1" defaultRowHeight="11.25"/>
  <cols>
    <col min="1" max="1" style="988" width="10.7109375" hidden="1" customWidth="1"/>
    <col min="2" max="2" style="1389" width="16.8515625" hidden="1" customWidth="1"/>
    <col min="3" max="3" style="1673" width="5.57421875" hidden="1" customWidth="1"/>
    <col min="4" max="4" style="1666" width="3.7109375" customWidth="1"/>
    <col min="5" max="5" style="1666" width="7.7109375" customWidth="1"/>
    <col min="6" max="6" style="1666" width="54.57421875" customWidth="1"/>
    <col min="7" max="7" style="1666" width="10.421875" customWidth="1"/>
    <col min="8" max="8" style="1666" width="40.7109375" hidden="1" customWidth="1"/>
    <col min="9" max="10" style="1666" width="40.7109375" customWidth="1"/>
    <col min="11" max="11" style="1666" width="40.7109375" hidden="1" customWidth="1"/>
    <col min="12" max="12" style="1389" width="9.7109375" customWidth="1"/>
    <col min="13" max="13" style="1673" width="5.28125" customWidth="1"/>
    <col min="14" max="14" style="1673" width="3.7109375" customWidth="1"/>
    <col min="15" max="18" style="1389" width="3.7109375" customWidth="1"/>
    <col min="19" max="19" style="1673" width="10.57421875" customWidth="1"/>
    <col min="20" max="20" style="1389" width="34.7109375" customWidth="1"/>
    <col min="21" max="21" style="1389" width="9.421875" customWidth="1"/>
    <col min="22" max="22" style="734" width="9.140625"/>
    <col min="23" max="27" style="1389" width="9.140625"/>
    <col min="28" max="32" style="1663" width="9.140625"/>
  </cols>
  <sheetData>
    <row customHeight="1" ht="11.25" hidden="1">
      <c r="J1" s="1666"/>
      <c r="K1" s="1666"/>
    </row>
    <row customHeight="1" ht="23.25" hidden="1">
      <c r="B2" s="1920"/>
      <c r="C2" s="1168" t="s">
        <v>1712</v>
      </c>
      <c r="D2" s="1669"/>
      <c r="E2" s="544">
        <f>B2</f>
        <v>0</v>
      </c>
      <c r="F2" s="545"/>
      <c r="G2" s="1677" t="s">
        <v>427</v>
      </c>
      <c r="H2" s="1677" t="s">
        <v>427</v>
      </c>
      <c r="I2" s="1677" t="s">
        <v>427</v>
      </c>
      <c r="J2" s="2017" t="s">
        <v>427</v>
      </c>
      <c r="K2" s="2017" t="s">
        <v>427</v>
      </c>
      <c r="L2" s="541"/>
    </row>
    <row s="1673" customFormat="1" customHeight="1" ht="0.75" hidden="1">
      <c r="B3" s="1920"/>
      <c r="C3" s="1168"/>
      <c r="D3" s="546"/>
      <c r="E3" s="547"/>
      <c r="F3" s="548" t="s">
        <v>1713</v>
      </c>
      <c r="G3" s="549"/>
      <c r="H3" s="549">
        <f>H4*H5+H7</f>
        <v>0</v>
      </c>
      <c r="I3" s="549">
        <f>I4*I5+I6</f>
        <v>0</v>
      </c>
      <c r="J3" s="1014">
        <f>J4*J5+J7</f>
        <v>0</v>
      </c>
      <c r="K3" s="1014">
        <f>K4*K5+K7</f>
        <v>0</v>
      </c>
    </row>
    <row customHeight="1" ht="23.25" hidden="1">
      <c r="B4" s="1920"/>
      <c r="C4" s="1168"/>
      <c r="D4" s="1669"/>
      <c r="E4" s="544" t="str">
        <f>B2&amp;".1"</f>
        <v>.1</v>
      </c>
      <c r="F4" s="551" t="s">
        <v>1714</v>
      </c>
      <c r="G4" s="552"/>
      <c r="H4" s="539"/>
      <c r="I4" s="539"/>
      <c r="J4" s="749"/>
      <c r="K4" s="749"/>
      <c r="L4" s="541"/>
    </row>
    <row customHeight="1" ht="18.75" hidden="1">
      <c r="B5" s="1920"/>
      <c r="C5" s="1168"/>
      <c r="D5" s="1669"/>
      <c r="E5" s="544" t="str">
        <f>B2&amp;".2"</f>
        <v>.2</v>
      </c>
      <c r="F5" s="551" t="s">
        <v>1715</v>
      </c>
      <c r="G5" s="1677" t="s">
        <v>1716</v>
      </c>
      <c r="H5" s="539"/>
      <c r="I5" s="539"/>
      <c r="J5" s="749"/>
      <c r="K5" s="749"/>
      <c r="L5" s="541"/>
    </row>
    <row customHeight="1" ht="18.75" hidden="1">
      <c r="B6" s="1920"/>
      <c r="C6" s="1168"/>
      <c r="D6" s="1669"/>
      <c r="E6" s="544" t="str">
        <f>B2&amp;".3"</f>
        <v>.3</v>
      </c>
      <c r="F6" s="551" t="s">
        <v>1717</v>
      </c>
      <c r="G6" s="1677" t="s">
        <v>1716</v>
      </c>
      <c r="H6" s="539"/>
      <c r="I6" s="539"/>
      <c r="J6" s="749"/>
      <c r="K6" s="749"/>
      <c r="L6" s="541"/>
    </row>
    <row customHeight="1" ht="18.75" hidden="1">
      <c r="B7" s="1920"/>
      <c r="C7" s="1168"/>
      <c r="D7" s="1669"/>
      <c r="E7" s="544" t="str">
        <f>B2&amp;".4"</f>
        <v>.4</v>
      </c>
      <c r="F7" s="551" t="s">
        <v>1718</v>
      </c>
      <c r="G7" s="1677" t="s">
        <v>427</v>
      </c>
      <c r="H7" s="553"/>
      <c r="I7" s="553"/>
      <c r="J7" s="553"/>
      <c r="K7" s="553"/>
      <c r="L7" s="541"/>
    </row>
    <row s="1389" customFormat="1" customHeight="1" ht="11.25" hidden="1">
      <c r="A8" s="988"/>
      <c r="C8" s="1667"/>
      <c r="D8" s="535"/>
      <c r="H8" s="1161">
        <v>4</v>
      </c>
      <c r="I8" s="1161">
        <v>4</v>
      </c>
      <c r="J8" s="1389">
        <v>4</v>
      </c>
      <c r="K8" s="1389">
        <v>4</v>
      </c>
      <c r="M8" s="1667"/>
      <c r="N8" s="1667"/>
      <c r="S8" s="1667"/>
    </row>
    <row s="1389" customFormat="1" customHeight="1" ht="22.5" hidden="1">
      <c r="A9" s="988"/>
      <c r="C9" s="1667"/>
      <c r="D9" s="536"/>
      <c r="E9" s="1679"/>
      <c r="F9" s="538"/>
      <c r="G9" s="1677" t="s">
        <v>1716</v>
      </c>
      <c r="H9" s="539"/>
      <c r="I9" s="539"/>
      <c r="J9" s="749"/>
      <c r="K9" s="749"/>
      <c r="L9" s="541"/>
      <c r="M9" s="1667"/>
      <c r="N9" s="1667"/>
      <c r="S9" s="1667"/>
      <c r="V9" s="542"/>
      <c r="AB9" s="1663"/>
      <c r="AC9" s="1663"/>
      <c r="AD9" s="1663"/>
      <c r="AE9" s="1663"/>
      <c r="AF9" s="1663"/>
    </row>
    <row customHeight="1" ht="11.25" hidden="1">
      <c r="J10" s="1666"/>
      <c r="K10" s="1666"/>
    </row>
    <row customHeight="1" ht="18.75" hidden="1">
      <c r="D11" s="1669"/>
      <c r="E11" s="544"/>
      <c r="F11" s="538"/>
      <c r="G11" s="1677" t="s">
        <v>630</v>
      </c>
      <c r="H11" s="539"/>
      <c r="I11" s="539"/>
      <c r="J11" s="749"/>
      <c r="K11" s="749"/>
      <c r="L11" s="541"/>
    </row>
    <row customHeight="1" ht="11.25" hidden="1">
      <c r="J12" s="1666"/>
      <c r="K12" s="1666"/>
    </row>
    <row customHeight="1" ht="22.5" hidden="1">
      <c r="D13" s="1669"/>
      <c r="E13" s="544"/>
      <c r="F13" s="538"/>
      <c r="G13" s="970" t="s">
        <v>1632</v>
      </c>
      <c r="H13" s="543"/>
      <c r="I13" s="543"/>
      <c r="J13" s="543"/>
      <c r="K13" s="543"/>
      <c r="L13" s="541"/>
    </row>
    <row customHeight="1" ht="11.25" hidden="1">
      <c r="J14" s="1666"/>
      <c r="K14" s="1666"/>
    </row>
    <row customHeight="1" ht="22.5" hidden="1">
      <c r="D15" s="1669"/>
      <c r="E15" s="544"/>
      <c r="F15" s="538"/>
      <c r="G15" s="1677" t="s">
        <v>1719</v>
      </c>
      <c r="H15" s="543"/>
      <c r="I15" s="543"/>
      <c r="J15" s="543"/>
      <c r="K15" s="543"/>
      <c r="L15" s="541"/>
    </row>
    <row customHeight="1" ht="11.25" hidden="1">
      <c r="J16" s="1666"/>
      <c r="K16" s="1666"/>
    </row>
    <row customHeight="1" ht="22.5" hidden="1">
      <c r="D17" s="1669"/>
      <c r="E17" s="544"/>
      <c r="F17" s="538"/>
      <c r="G17" s="1677" t="s">
        <v>1720</v>
      </c>
      <c r="H17" s="543"/>
      <c r="I17" s="543"/>
      <c r="J17" s="543"/>
      <c r="K17" s="543"/>
      <c r="L17" s="541"/>
    </row>
    <row customHeight="1" ht="11.25" hidden="1">
      <c r="J18" s="1666"/>
      <c r="K18" s="1666"/>
    </row>
    <row s="1663" customFormat="1" customHeight="1" ht="11.25" hidden="1">
      <c r="A19" s="988"/>
      <c r="B19" s="1161"/>
      <c r="C19" s="1667"/>
      <c r="D19" s="352"/>
      <c r="J19" s="1663"/>
      <c r="K19" s="1663"/>
      <c r="L19" s="1161"/>
      <c r="M19" s="1667"/>
      <c r="N19" s="1667"/>
      <c r="O19" s="1161"/>
      <c r="P19" s="1161"/>
      <c r="Q19" s="1161"/>
      <c r="R19" s="1161"/>
      <c r="S19" s="1667"/>
      <c r="T19" s="1161"/>
      <c r="U19" s="1161"/>
      <c r="V19" s="542"/>
      <c r="W19" s="1161"/>
      <c r="X19" s="1161"/>
      <c r="Y19" s="1161"/>
      <c r="Z19" s="1161"/>
      <c r="AA19" s="1161"/>
    </row>
    <row customHeight="1" ht="11.25">
      <c r="J20" s="1666"/>
      <c r="K20" s="1666"/>
    </row>
    <row customHeight="1" ht="24">
      <c r="E21" s="2150" t="str">
        <f>FHD_NAME_FORM</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F21" s="2151"/>
      <c r="G21" s="2151"/>
      <c r="H21" s="2151"/>
      <c r="I21" s="2152"/>
      <c r="J21" s="2151"/>
      <c r="K21" s="2151"/>
    </row>
    <row customHeight="1" ht="24">
      <c r="E22" s="2153" t="str">
        <f>IF(org=0,"Не определено",org)</f>
        <v>ПАО "ТГК-2"</v>
      </c>
      <c r="F22" s="2154"/>
      <c r="G22" s="2154"/>
      <c r="H22" s="2154"/>
      <c r="I22" s="2155"/>
      <c r="J22" s="2154"/>
      <c r="K22" s="2154"/>
    </row>
    <row customHeight="1" ht="11.25">
      <c r="E23" s="1136"/>
      <c r="F23" s="1136"/>
      <c r="G23" s="1136"/>
      <c r="H23" s="1136"/>
      <c r="I23" s="1136"/>
      <c r="J23" s="1137"/>
      <c r="K23" s="1137"/>
    </row>
    <row s="1673" customFormat="1" customHeight="1" ht="0.75">
      <c r="A24" s="1168"/>
      <c r="D24" s="1673"/>
      <c r="H24" s="888"/>
      <c r="I24" s="888" t="s">
        <v>117</v>
      </c>
      <c r="J24" s="888" t="s">
        <v>122</v>
      </c>
      <c r="K24" s="888"/>
    </row>
    <row customHeight="1" ht="11.25">
      <c r="E25" s="708"/>
      <c r="F25" s="2290" t="s">
        <v>104</v>
      </c>
      <c r="G25" s="2291"/>
      <c r="H25" s="1683" t="str">
        <f>IF(H24="","",INDEX(DIFFERENTIATION_UNMERGE_VD,MATCH(H24,DIFFERENTIATION_ID_DIFF,0)))</f>
        <v/>
      </c>
      <c r="I25" s="1683" t="str">
        <f>IF(I24="","",INDEX(DIFFERENTIATION_UNMERGE_VD,MATCH(I24,DIFFERENTIATION_ID_DIFF,0)))</f>
        <v>Холодное водоснабжение. Техническая вода</v>
      </c>
      <c r="J25" s="2329" t="str">
        <f>IF(J24="","",INDEX(DIFFERENTIATION_UNMERGE_VD,MATCH(J24,DIFFERENTIATION_ID_DIFF,0)))</f>
        <v>Холодное водоснабжение. Техническая вода</v>
      </c>
      <c r="K25" s="2329" t="str">
        <f>IF(K24="","",INDEX(DIFFERENTIATION_UNMERGE_VD,MATCH(K24,DIFFERENTIATION_ID_DIFF,0)))</f>
        <v/>
      </c>
    </row>
    <row customHeight="1" ht="11.25">
      <c r="E26" s="708"/>
      <c r="F26" s="2290" t="s">
        <v>415</v>
      </c>
      <c r="G26" s="2291"/>
      <c r="H26" s="1683" t="str">
        <f>IF(H24="","",INDEX(DIFFERENTIATION_UNMERGE_AREA,MATCH(H24,DIFFERENTIATION_ID_DIFF,0)))</f>
        <v/>
      </c>
      <c r="I26" s="1683" t="str">
        <f>IF(I24="","",INDEX(DIFFERENTIATION_UNMERGE_AREA,MATCH(I24,DIFFERENTIATION_ID_DIFF,0)))</f>
        <v>городской округ город Кострома</v>
      </c>
      <c r="J26" s="2329" t="str">
        <f>IF(J24="","",INDEX(DIFFERENTIATION_UNMERGE_AREA,MATCH(J24,DIFFERENTIATION_ID_DIFF,0)))</f>
        <v>городской округ город Кострома</v>
      </c>
      <c r="K26" s="2329" t="str">
        <f>IF(K24="","",INDEX(DIFFERENTIATION_UNMERGE_AREA,MATCH(K24,DIFFERENTIATION_ID_DIFF,0)))</f>
        <v/>
      </c>
    </row>
    <row customHeight="1" ht="25">
      <c r="E27" s="708"/>
      <c r="F27" s="2290" t="s">
        <v>416</v>
      </c>
      <c r="G27" s="2291"/>
      <c r="H27" s="1683" t="str">
        <f>IF(H24="","",INDEX(DIFFERENTIATION_UNMERGE_SYSTEM,MATCH(H24,DIFFERENTIATION_ID_DIFF,0)))</f>
        <v/>
      </c>
      <c r="I27" s="1683" t="str">
        <f>IF(I24="","",INDEX(DIFFERENTIATION_UNMERGE_SYSTEM,MATCH(I24,DIFFERENTIATION_ID_DIFF,0)))</f>
        <v>система холодного водоснабжения Костромской ТЭЦ-1</v>
      </c>
      <c r="J27" s="2329" t="str">
        <f>IF(J24="","",INDEX(DIFFERENTIATION_UNMERGE_SYSTEM,MATCH(J24,DIFFERENTIATION_ID_DIFF,0)))</f>
        <v>система холодного водоснабжения Костромской ТЭЦ-2</v>
      </c>
      <c r="K27" s="2329" t="str">
        <f>IF(K24="","",INDEX(DIFFERENTIATION_UNMERGE_SYSTEM,MATCH(K24,DIFFERENTIATION_ID_DIFF,0)))</f>
        <v/>
      </c>
    </row>
    <row customHeight="1" ht="11.25">
      <c r="E28" s="2292" t="s">
        <v>290</v>
      </c>
      <c r="F28" s="2293"/>
      <c r="G28" s="2293"/>
      <c r="H28" s="1676"/>
      <c r="I28" s="1676"/>
      <c r="J28" s="2290"/>
      <c r="K28" s="2290"/>
    </row>
    <row customHeight="1" ht="22.5">
      <c r="E29" s="1677" t="s">
        <v>87</v>
      </c>
      <c r="F29" s="1684" t="s">
        <v>292</v>
      </c>
      <c r="G29" s="1684" t="s">
        <v>1614</v>
      </c>
      <c r="H29" s="1684" t="s">
        <v>293</v>
      </c>
      <c r="I29" s="1684" t="s">
        <v>293</v>
      </c>
      <c r="J29" s="2017" t="s">
        <v>293</v>
      </c>
      <c r="K29" s="2017" t="s">
        <v>293</v>
      </c>
    </row>
    <row customHeight="1" ht="18.75">
      <c r="D30" s="1669"/>
      <c r="E30" s="544">
        <f>FHD_NUM_P_1</f>
        <v>1</v>
      </c>
      <c r="F30" s="704" t="str">
        <f>FHD_P_1</f>
        <v>Выручка от регулируемых видов деятельности в сфере холодного водоснабжения</v>
      </c>
      <c r="G30" s="1677" t="s">
        <v>1716</v>
      </c>
      <c r="H30" s="555"/>
      <c r="I30" s="555">
        <v>1193.42663</v>
      </c>
      <c r="J30" s="555">
        <v>1361.14932</v>
      </c>
      <c r="K30" s="555"/>
      <c r="L30" s="541"/>
    </row>
    <row customHeight="1" ht="37.5">
      <c r="D31" s="1669"/>
      <c r="E31" s="544">
        <f>FHD_NUM_P_2</f>
        <v>2</v>
      </c>
      <c r="F31" s="704" t="str">
        <f>FHD_P_2</f>
        <v>Себестоимость производимых товаров (оказываемых услуг) по регулируемым видам деятельности в сфере холодного водоснабжения, включая:</v>
      </c>
      <c r="G31" s="1677" t="s">
        <v>1716</v>
      </c>
      <c r="H31" s="556">
        <f>SUMIF($L33:$L75,$L31,H33:H75)</f>
        <v>0</v>
      </c>
      <c r="I31" s="556">
        <f>SUMIF($L33:$L75,$L31,I33:I75)</f>
        <v>1195.91454102982</v>
      </c>
      <c r="J31" s="556">
        <f>SUMIF($L33:$L75,$L31,J33:J75)</f>
        <v>1522.64397453228</v>
      </c>
      <c r="K31" s="556">
        <f>SUMIF($L33:$L75,$L31,K33:K75)</f>
        <v>0</v>
      </c>
      <c r="L31" s="1667" t="s">
        <v>1721</v>
      </c>
    </row>
    <row customHeight="1" ht="22.5">
      <c r="D32" s="1669"/>
      <c r="E32" s="544" t="str">
        <f>FHD_NUM_P_3</f>
        <v>2.1</v>
      </c>
      <c r="F32" s="955" t="str">
        <f>FHD_P_3</f>
        <v>Расходы на оплату холодной воды, приобретаемой у других организаций для последующей подачи потребителям</v>
      </c>
      <c r="G32" s="1677" t="s">
        <v>1716</v>
      </c>
      <c r="H32" s="555"/>
      <c r="I32" s="555">
        <v>0</v>
      </c>
      <c r="J32" s="555">
        <v>0</v>
      </c>
      <c r="K32" s="555"/>
      <c r="L32" s="1667" t="str">
        <f>IF((LEN(E32)-LEN(SUBSTITUTE(E32,".","")))/LEN(".")=1,"p","")</f>
        <v>p</v>
      </c>
    </row>
    <row customHeight="1" ht="11.25" hidden="1">
      <c r="A33" s="2319" t="s">
        <v>1722</v>
      </c>
      <c r="D33" s="1669"/>
      <c r="E33" s="544" t="str">
        <f>FHD_NUM_P_4</f>
        <v/>
      </c>
      <c r="F33" s="955" t="str">
        <f>FHD_P_4</f>
        <v/>
      </c>
      <c r="G33" s="1677" t="s">
        <v>1716</v>
      </c>
      <c r="H33" s="556">
        <f>SUMIF($F34:$F40,$F3,H34:H40)</f>
        <v>0</v>
      </c>
      <c r="I33" s="556">
        <f>SUMIF($F34:$F40,$F3,I34:I40)</f>
        <v>0</v>
      </c>
      <c r="J33" s="556">
        <f>SUMIF($F34:$F40,$F3,J34:J40)</f>
        <v>0</v>
      </c>
      <c r="K33" s="556">
        <f>SUMIF($F34:$F40,$F3,K34:K40)</f>
        <v>0</v>
      </c>
      <c r="L33" s="1667" t="str">
        <f>IF((LEN(E33)-LEN(SUBSTITUTE(E33,".","")))/LEN(".")=1,"p","")</f>
        <v/>
      </c>
    </row>
    <row s="1672" customFormat="1" customHeight="1" ht="0.75" hidden="1">
      <c r="A34" s="2319"/>
      <c r="B34" s="2320" t="str">
        <f>E33&amp;".0"</f>
        <v>.0</v>
      </c>
      <c r="C34" s="1168"/>
      <c r="D34" s="558"/>
      <c r="E34" s="559"/>
      <c r="F34" s="560"/>
      <c r="G34" s="561"/>
      <c r="H34" s="495"/>
      <c r="I34" s="495"/>
      <c r="J34" s="495"/>
      <c r="K34" s="495"/>
      <c r="L34" s="1667" t="str">
        <f>IF((LEN(E34)-LEN(SUBSTITUTE(E34,".","")))/LEN(".")=1,"p","")</f>
        <v/>
      </c>
      <c r="M34" s="1667"/>
      <c r="N34" s="1667"/>
      <c r="O34" s="1667"/>
      <c r="P34" s="1667"/>
      <c r="Q34" s="1667"/>
      <c r="R34" s="1667"/>
      <c r="S34" s="1667"/>
      <c r="T34" s="1667"/>
      <c r="U34" s="1667"/>
      <c r="V34" s="563"/>
      <c r="W34" s="1667"/>
      <c r="X34" s="1667"/>
      <c r="Y34" s="1667"/>
      <c r="Z34" s="1667"/>
      <c r="AA34" s="1667"/>
      <c r="AB34" s="564"/>
      <c r="AC34" s="564"/>
      <c r="AD34" s="564"/>
      <c r="AE34" s="564"/>
      <c r="AF34" s="564"/>
    </row>
    <row s="1672" customFormat="1" customHeight="1" ht="0.75" hidden="1">
      <c r="A35" s="2319"/>
      <c r="B35" s="2320"/>
      <c r="C35" s="1168"/>
      <c r="D35" s="558"/>
      <c r="E35" s="565"/>
      <c r="F35" s="566"/>
      <c r="G35" s="561"/>
      <c r="H35" s="567"/>
      <c r="I35" s="567"/>
      <c r="J35" s="567"/>
      <c r="K35" s="567"/>
      <c r="L35" s="1667" t="str">
        <f>IF((LEN(E35)-LEN(SUBSTITUTE(E35,".","")))/LEN(".")=1,"p","")</f>
        <v/>
      </c>
      <c r="M35" s="1667"/>
      <c r="N35" s="1667"/>
      <c r="O35" s="1667"/>
      <c r="P35" s="1667"/>
      <c r="Q35" s="1667"/>
      <c r="R35" s="1667"/>
      <c r="S35" s="1667"/>
      <c r="T35" s="1667"/>
      <c r="U35" s="1667"/>
      <c r="V35" s="563"/>
      <c r="W35" s="1667"/>
      <c r="X35" s="1667"/>
      <c r="Y35" s="1667"/>
      <c r="Z35" s="1667"/>
      <c r="AA35" s="1667"/>
      <c r="AB35" s="564"/>
      <c r="AC35" s="564"/>
      <c r="AD35" s="564"/>
      <c r="AE35" s="564"/>
      <c r="AF35" s="564"/>
    </row>
    <row s="1672" customFormat="1" customHeight="1" ht="0.75" hidden="1">
      <c r="A36" s="2319"/>
      <c r="B36" s="2320"/>
      <c r="C36" s="1168"/>
      <c r="D36" s="558"/>
      <c r="E36" s="565"/>
      <c r="F36" s="566"/>
      <c r="G36" s="561"/>
      <c r="H36" s="567"/>
      <c r="I36" s="567"/>
      <c r="J36" s="567"/>
      <c r="K36" s="567"/>
      <c r="L36" s="1667" t="str">
        <f>IF((LEN(E36)-LEN(SUBSTITUTE(E36,".","")))/LEN(".")=1,"p","")</f>
        <v/>
      </c>
      <c r="M36" s="1667"/>
      <c r="N36" s="1667"/>
      <c r="O36" s="1667"/>
      <c r="P36" s="1667"/>
      <c r="Q36" s="1667"/>
      <c r="R36" s="1667"/>
      <c r="S36" s="1667"/>
      <c r="T36" s="1667"/>
      <c r="U36" s="1667"/>
      <c r="V36" s="563"/>
      <c r="W36" s="1667"/>
      <c r="X36" s="1667"/>
      <c r="Y36" s="1667"/>
      <c r="Z36" s="1667"/>
      <c r="AA36" s="1667"/>
      <c r="AB36" s="564"/>
      <c r="AC36" s="564"/>
      <c r="AD36" s="564"/>
      <c r="AE36" s="564"/>
      <c r="AF36" s="564"/>
    </row>
    <row s="1672" customFormat="1" customHeight="1" ht="0.75" hidden="1">
      <c r="A37" s="2319"/>
      <c r="B37" s="2320"/>
      <c r="C37" s="1168"/>
      <c r="D37" s="558"/>
      <c r="E37" s="565"/>
      <c r="F37" s="566"/>
      <c r="G37" s="561"/>
      <c r="H37" s="567"/>
      <c r="I37" s="567"/>
      <c r="J37" s="567"/>
      <c r="K37" s="567"/>
      <c r="L37" s="1667" t="str">
        <f>IF((LEN(E37)-LEN(SUBSTITUTE(E37,".","")))/LEN(".")=1,"p","")</f>
        <v/>
      </c>
      <c r="M37" s="1667"/>
      <c r="N37" s="1667"/>
      <c r="O37" s="1667"/>
      <c r="P37" s="1667"/>
      <c r="Q37" s="1667"/>
      <c r="R37" s="1667"/>
      <c r="S37" s="1667"/>
      <c r="T37" s="1667"/>
      <c r="U37" s="1667"/>
      <c r="V37" s="563"/>
      <c r="W37" s="1667"/>
      <c r="X37" s="1667"/>
      <c r="Y37" s="1667"/>
      <c r="Z37" s="1667"/>
      <c r="AA37" s="1667"/>
      <c r="AB37" s="564"/>
      <c r="AC37" s="564"/>
      <c r="AD37" s="564"/>
      <c r="AE37" s="564"/>
      <c r="AF37" s="564"/>
    </row>
    <row s="1672" customFormat="1" customHeight="1" ht="0.75" hidden="1">
      <c r="A38" s="2319"/>
      <c r="B38" s="2320"/>
      <c r="C38" s="1168"/>
      <c r="D38" s="558"/>
      <c r="E38" s="565"/>
      <c r="F38" s="566"/>
      <c r="G38" s="561"/>
      <c r="H38" s="567"/>
      <c r="I38" s="567"/>
      <c r="J38" s="567"/>
      <c r="K38" s="567"/>
      <c r="L38" s="1667" t="str">
        <f>IF((LEN(E38)-LEN(SUBSTITUTE(E38,".","")))/LEN(".")=1,"p","")</f>
        <v/>
      </c>
      <c r="M38" s="1667"/>
      <c r="N38" s="1667"/>
      <c r="O38" s="1667"/>
      <c r="P38" s="1667"/>
      <c r="Q38" s="1667"/>
      <c r="R38" s="1667"/>
      <c r="S38" s="1667"/>
      <c r="T38" s="1667"/>
      <c r="U38" s="1667"/>
      <c r="V38" s="563"/>
      <c r="W38" s="1667"/>
      <c r="X38" s="1667"/>
      <c r="Y38" s="1667"/>
      <c r="Z38" s="1667"/>
      <c r="AA38" s="1667"/>
      <c r="AB38" s="564"/>
      <c r="AC38" s="564"/>
      <c r="AD38" s="564"/>
      <c r="AE38" s="564"/>
      <c r="AF38" s="564"/>
    </row>
    <row s="1672" customFormat="1" customHeight="1" ht="0.75" hidden="1">
      <c r="A39" s="2319"/>
      <c r="B39" s="2320"/>
      <c r="C39" s="1168"/>
      <c r="D39" s="558"/>
      <c r="E39" s="565"/>
      <c r="F39" s="566"/>
      <c r="G39" s="561"/>
      <c r="H39" s="495"/>
      <c r="I39" s="495"/>
      <c r="J39" s="495"/>
      <c r="K39" s="495"/>
      <c r="L39" s="1667" t="str">
        <f>IF((LEN(E39)-LEN(SUBSTITUTE(E39,".","")))/LEN(".")=1,"p","")</f>
        <v/>
      </c>
      <c r="M39" s="1667"/>
      <c r="N39" s="1667"/>
      <c r="O39" s="1667"/>
      <c r="P39" s="1667"/>
      <c r="Q39" s="1667"/>
      <c r="R39" s="1667"/>
      <c r="S39" s="1667"/>
      <c r="T39" s="1667"/>
      <c r="U39" s="1667"/>
      <c r="V39" s="563"/>
      <c r="W39" s="1667"/>
      <c r="X39" s="1667"/>
      <c r="Y39" s="1667"/>
      <c r="Z39" s="1667"/>
      <c r="AA39" s="1667"/>
      <c r="AB39" s="564"/>
      <c r="AC39" s="564"/>
      <c r="AD39" s="564"/>
      <c r="AE39" s="564"/>
      <c r="AF39" s="564"/>
    </row>
    <row s="1389" customFormat="1" customHeight="1" ht="15" hidden="1">
      <c r="A40" s="2319"/>
      <c r="C40" s="1667"/>
      <c r="D40" s="1664"/>
      <c r="E40" s="568"/>
      <c r="F40" s="569" t="s">
        <v>1723</v>
      </c>
      <c r="G40" s="570"/>
      <c r="H40" s="571"/>
      <c r="I40" s="571"/>
      <c r="J40" s="2434"/>
      <c r="K40" s="2435"/>
      <c r="L40" s="1667" t="str">
        <f>IF((LEN(E40)-LEN(SUBSTITUTE(E40,".","")))/LEN(".")=1,"p","")</f>
        <v/>
      </c>
      <c r="M40" s="1667"/>
      <c r="N40" s="1667"/>
      <c r="S40" s="1667"/>
      <c r="V40" s="542"/>
      <c r="AB40" s="1663"/>
      <c r="AC40" s="1663"/>
      <c r="AD40" s="1663"/>
      <c r="AE40" s="1663"/>
      <c r="AF40" s="1663"/>
    </row>
    <row customHeight="1" ht="11.25" hidden="1">
      <c r="A41" s="2319" t="s">
        <v>1724</v>
      </c>
      <c r="D41" s="1669"/>
      <c r="E41" s="544" t="str">
        <f>FHD_NUM_P_5</f>
        <v/>
      </c>
      <c r="F41" s="955" t="str">
        <f>FHD_P_5</f>
        <v/>
      </c>
      <c r="G41" s="1677" t="s">
        <v>1716</v>
      </c>
      <c r="H41" s="555"/>
      <c r="I41" s="555"/>
      <c r="J41" s="555"/>
      <c r="K41" s="555"/>
      <c r="L41" s="1667" t="str">
        <f>IF((LEN(E41)-LEN(SUBSTITUTE(E41,".","")))/LEN(".")=1,"p","")</f>
        <v/>
      </c>
    </row>
    <row customHeight="1" ht="11.25" hidden="1">
      <c r="A42" s="2319"/>
      <c r="D42" s="1669"/>
      <c r="E42" s="544" t="str">
        <f>FHD_NUM_P_6</f>
        <v/>
      </c>
      <c r="F42" s="955" t="str">
        <f>FHD_P_6</f>
        <v/>
      </c>
      <c r="G42" s="1677" t="s">
        <v>1716</v>
      </c>
      <c r="H42" s="555"/>
      <c r="I42" s="555"/>
      <c r="J42" s="555"/>
      <c r="K42" s="555"/>
      <c r="L42" s="1667" t="str">
        <f>IF((LEN(E42)-LEN(SUBSTITUTE(E42,".","")))/LEN(".")=1,"p","")</f>
        <v/>
      </c>
    </row>
    <row customHeight="1" ht="11.25" hidden="1">
      <c r="A43" s="2319"/>
      <c r="D43" s="1669"/>
      <c r="E43" s="544" t="str">
        <f>FHD_NUM_P_7</f>
        <v/>
      </c>
      <c r="F43" s="955" t="str">
        <f>FHD_P_7</f>
        <v/>
      </c>
      <c r="G43" s="1677" t="s">
        <v>1716</v>
      </c>
      <c r="H43" s="555"/>
      <c r="I43" s="555"/>
      <c r="J43" s="555"/>
      <c r="K43" s="555"/>
      <c r="L43" s="1667" t="str">
        <f>IF((LEN(E43)-LEN(SUBSTITUTE(E43,".","")))/LEN(".")=1,"p","")</f>
        <v/>
      </c>
    </row>
    <row customHeight="1" ht="24.166666666666668">
      <c r="D44" s="1669"/>
      <c r="E44" s="544" t="str">
        <f>FHD_NUM_P_8</f>
        <v>2.2</v>
      </c>
      <c r="F44" s="955" t="str">
        <f>FHD_P_8</f>
        <v>Расходы на приобретаемую электрическую энергию (мощность), используемую в технологическом процессе</v>
      </c>
      <c r="G44" s="1677" t="s">
        <v>1716</v>
      </c>
      <c r="H44" s="555"/>
      <c r="I44" s="555">
        <v>423.02604</v>
      </c>
      <c r="J44" s="555">
        <v>714.47316</v>
      </c>
      <c r="K44" s="555"/>
      <c r="L44" s="1667" t="str">
        <f>IF((LEN(E44)-LEN(SUBSTITUTE(E44,".","")))/LEN(".")=1,"p","")</f>
        <v>p</v>
      </c>
    </row>
    <row customHeight="1" ht="11.25">
      <c r="D45" s="1669"/>
      <c r="E45" s="544" t="str">
        <f>FHD_NUM_P_9</f>
        <v>2.2.1</v>
      </c>
      <c r="F45" s="1681" t="str">
        <f>FHD_P_9</f>
        <v>Средневзвешенная стоимость 1 кВт.ч (с учетом мощности)</v>
      </c>
      <c r="G45" s="1677" t="s">
        <v>1243</v>
      </c>
      <c r="H45" s="555"/>
      <c r="I45" s="555">
        <v>1.87</v>
      </c>
      <c r="J45" s="555">
        <v>6.16763067626853</v>
      </c>
      <c r="K45" s="555"/>
      <c r="L45" s="1667" t="str">
        <f>IF((LEN(E45)-LEN(SUBSTITUTE(E45,".","")))/LEN(".")=1,"p","")</f>
        <v/>
      </c>
    </row>
    <row s="1389" customFormat="1" customHeight="1" ht="11.25">
      <c r="A46" s="988"/>
      <c r="C46" s="1667"/>
      <c r="D46" s="572"/>
      <c r="E46" s="544" t="str">
        <f>FHD_NUM_P_10</f>
        <v>2.2.2</v>
      </c>
      <c r="F46" s="1681" t="str">
        <f>FHD_P_10</f>
        <v>Объём приобретения электрической энергии</v>
      </c>
      <c r="G46" s="1677" t="s">
        <v>1725</v>
      </c>
      <c r="H46" s="555"/>
      <c r="I46" s="555">
        <v>226.21713368984</v>
      </c>
      <c r="J46" s="555">
        <v>115.84240326664</v>
      </c>
      <c r="K46" s="555"/>
      <c r="L46" s="1667" t="str">
        <f>IF((LEN(E46)-LEN(SUBSTITUTE(E46,".","")))/LEN(".")=1,"p","")</f>
        <v/>
      </c>
      <c r="M46" s="1667"/>
      <c r="N46" s="1667"/>
      <c r="S46" s="1667"/>
      <c r="V46" s="542"/>
      <c r="AB46" s="1663"/>
      <c r="AC46" s="1663"/>
      <c r="AD46" s="1663"/>
      <c r="AE46" s="1663"/>
      <c r="AF46" s="1663"/>
    </row>
    <row s="1389" customFormat="1" customHeight="1" ht="11.25" hidden="1">
      <c r="A47" s="990" t="s">
        <v>1726</v>
      </c>
      <c r="C47" s="1667"/>
      <c r="D47" s="573"/>
      <c r="E47" s="544" t="str">
        <f>FHD_NUM_P_11</f>
        <v/>
      </c>
      <c r="F47" s="955" t="str">
        <f>FHD_P_11</f>
        <v/>
      </c>
      <c r="G47" s="1677" t="s">
        <v>1716</v>
      </c>
      <c r="H47" s="555"/>
      <c r="I47" s="555">
        <v>0</v>
      </c>
      <c r="J47" s="555">
        <v>0</v>
      </c>
      <c r="K47" s="555"/>
      <c r="L47" s="1667" t="str">
        <f>IF((LEN(E47)-LEN(SUBSTITUTE(E47,".","")))/LEN(".")=1,"p","")</f>
        <v/>
      </c>
      <c r="M47" s="1667"/>
      <c r="N47" s="1667"/>
      <c r="S47" s="1667"/>
      <c r="V47" s="542"/>
      <c r="AB47" s="1663"/>
      <c r="AC47" s="1663"/>
      <c r="AD47" s="1663"/>
      <c r="AE47" s="1663"/>
      <c r="AF47" s="1663"/>
    </row>
    <row s="1389" customFormat="1" customHeight="1" ht="24.166666666666668">
      <c r="A48" s="990" t="s">
        <v>1727</v>
      </c>
      <c r="C48" s="1667"/>
      <c r="D48" s="1669"/>
      <c r="E48" s="544" t="str">
        <f>FHD_NUM_P_12</f>
        <v>2.3</v>
      </c>
      <c r="F48" s="955" t="str">
        <f>FHD_P_12</f>
        <v>Расходы на химические реагенты, используемые в технологическом процессе</v>
      </c>
      <c r="G48" s="1677" t="s">
        <v>1716</v>
      </c>
      <c r="H48" s="575"/>
      <c r="I48" s="575">
        <v>0</v>
      </c>
      <c r="J48" s="575">
        <v>0</v>
      </c>
      <c r="K48" s="575"/>
      <c r="L48" s="1667" t="str">
        <f>IF((LEN(E48)-LEN(SUBSTITUTE(E48,".","")))/LEN(".")=1,"p","")</f>
        <v>p</v>
      </c>
      <c r="M48" s="1667"/>
      <c r="N48" s="1667"/>
      <c r="S48" s="1667"/>
      <c r="V48" s="542"/>
      <c r="AB48" s="1663"/>
      <c r="AC48" s="1663"/>
      <c r="AD48" s="1663"/>
      <c r="AE48" s="1663"/>
      <c r="AF48" s="1663"/>
    </row>
    <row s="1388" customFormat="1" customHeight="1" ht="11.25">
      <c r="A49" s="989"/>
      <c r="C49" s="728"/>
      <c r="D49" s="670"/>
      <c r="E49" s="544" t="str">
        <f>FHD_NUM_P_13</f>
        <v>2.4</v>
      </c>
      <c r="F49" s="9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677" t="s">
        <v>1716</v>
      </c>
      <c r="H49" s="555"/>
      <c r="I49" s="555">
        <v>258.35535</v>
      </c>
      <c r="J49" s="555">
        <v>242.30019</v>
      </c>
      <c r="K49" s="555"/>
      <c r="L49" s="1667" t="str">
        <f>IF((LEN(E49)-LEN(SUBSTITUTE(E49,".","")))/LEN(".")=1,"p","")</f>
        <v>p</v>
      </c>
      <c r="M49" s="728"/>
      <c r="N49" s="728"/>
      <c r="S49" s="728"/>
      <c r="V49" s="729"/>
      <c r="AB49" s="730"/>
      <c r="AC49" s="730"/>
      <c r="AD49" s="730"/>
      <c r="AE49" s="730"/>
      <c r="AF49" s="730"/>
    </row>
    <row s="1388" customFormat="1" customHeight="1" ht="11.25">
      <c r="A50" s="989"/>
      <c r="C50" s="728"/>
      <c r="D50" s="670"/>
      <c r="E50" s="544" t="str">
        <f>FHD_NUM_P_14</f>
        <v>2.4.1</v>
      </c>
      <c r="F50" s="1681" t="str">
        <f>FHD_P_14</f>
        <v>Расходы на оплату труда основного производственного персонала</v>
      </c>
      <c r="G50" s="1677" t="s">
        <v>1716</v>
      </c>
      <c r="H50" s="555"/>
      <c r="I50" s="555">
        <v>192.78123</v>
      </c>
      <c r="J50" s="555">
        <v>183.6471</v>
      </c>
      <c r="K50" s="555"/>
      <c r="L50" s="1667" t="str">
        <f>IF((LEN(E50)-LEN(SUBSTITUTE(E50,".","")))/LEN(".")=1,"p","")</f>
        <v/>
      </c>
      <c r="M50" s="728"/>
      <c r="N50" s="728"/>
      <c r="S50" s="728"/>
      <c r="V50" s="729"/>
      <c r="AB50" s="730"/>
      <c r="AC50" s="730"/>
      <c r="AD50" s="730"/>
      <c r="AE50" s="730"/>
      <c r="AF50" s="730"/>
    </row>
    <row s="1388" customFormat="1" customHeight="1" ht="11.25">
      <c r="A51" s="989"/>
      <c r="C51" s="728"/>
      <c r="D51" s="670"/>
      <c r="E51" s="544" t="str">
        <f>FHD_NUM_P_15</f>
        <v>2.4.2</v>
      </c>
      <c r="F51" s="1681" t="str">
        <f>FHD_P_15</f>
        <v>Страховые взносы на обязательное социальное страхование, выплачиваемые из фонда оплаты труда основного производственного персонала</v>
      </c>
      <c r="G51" s="1677" t="s">
        <v>1716</v>
      </c>
      <c r="H51" s="555"/>
      <c r="I51" s="555">
        <v>65.57412</v>
      </c>
      <c r="J51" s="555">
        <v>58.65309</v>
      </c>
      <c r="K51" s="555"/>
      <c r="L51" s="1667" t="str">
        <f>IF((LEN(E51)-LEN(SUBSTITUTE(E51,".","")))/LEN(".")=1,"p","")</f>
        <v/>
      </c>
      <c r="M51" s="728"/>
      <c r="N51" s="728"/>
      <c r="S51" s="728"/>
      <c r="V51" s="729"/>
      <c r="AB51" s="730"/>
      <c r="AC51" s="730"/>
      <c r="AD51" s="730"/>
      <c r="AE51" s="730"/>
      <c r="AF51" s="730"/>
    </row>
    <row s="1389" customFormat="1" customHeight="1" ht="11.25">
      <c r="A52" s="988"/>
      <c r="C52" s="1667"/>
      <c r="D52" s="1669"/>
      <c r="E52" s="544" t="str">
        <f>FHD_NUM_P_16</f>
        <v>2.5</v>
      </c>
      <c r="F52" s="95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677" t="s">
        <v>1716</v>
      </c>
      <c r="H52" s="555"/>
      <c r="I52" s="555">
        <v>0</v>
      </c>
      <c r="J52" s="555">
        <v>0</v>
      </c>
      <c r="K52" s="555"/>
      <c r="L52" s="1667" t="str">
        <f>IF((LEN(E52)-LEN(SUBSTITUTE(E52,".","")))/LEN(".")=1,"p","")</f>
        <v>p</v>
      </c>
      <c r="M52" s="1667"/>
      <c r="N52" s="1673"/>
      <c r="O52" s="535"/>
      <c r="P52" s="535"/>
      <c r="S52" s="1667"/>
      <c r="V52" s="542"/>
      <c r="AB52" s="1663"/>
      <c r="AC52" s="1663"/>
      <c r="AD52" s="1663"/>
      <c r="AE52" s="1663"/>
      <c r="AF52" s="1663"/>
    </row>
    <row s="1389" customFormat="1" customHeight="1" ht="11.25">
      <c r="A53" s="988"/>
      <c r="C53" s="1667"/>
      <c r="D53" s="1669"/>
      <c r="E53" s="544" t="str">
        <f>FHD_NUM_P_17</f>
        <v>2.5.1</v>
      </c>
      <c r="F53" s="1681" t="str">
        <f>FHD_P_17</f>
        <v>Расходы на оплату труда административно-управленческого персонала</v>
      </c>
      <c r="G53" s="1677" t="s">
        <v>1716</v>
      </c>
      <c r="H53" s="555"/>
      <c r="I53" s="555">
        <v>0</v>
      </c>
      <c r="J53" s="555">
        <v>0</v>
      </c>
      <c r="K53" s="555"/>
      <c r="L53" s="1667" t="str">
        <f>IF((LEN(E53)-LEN(SUBSTITUTE(E53,".","")))/LEN(".")=1,"p","")</f>
        <v/>
      </c>
      <c r="M53" s="1667"/>
      <c r="N53" s="1673"/>
      <c r="O53" s="535"/>
      <c r="P53" s="535"/>
      <c r="S53" s="1667"/>
      <c r="V53" s="542"/>
      <c r="AB53" s="1663"/>
      <c r="AC53" s="1663"/>
      <c r="AD53" s="1663"/>
      <c r="AE53" s="1663"/>
      <c r="AF53" s="1663"/>
    </row>
    <row s="1389" customFormat="1" customHeight="1" ht="11.25">
      <c r="A54" s="988"/>
      <c r="C54" s="1667"/>
      <c r="D54" s="1669"/>
      <c r="E54" s="544" t="str">
        <f>FHD_NUM_P_18</f>
        <v>2.5.2</v>
      </c>
      <c r="F54" s="168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677" t="s">
        <v>1716</v>
      </c>
      <c r="H54" s="555"/>
      <c r="I54" s="555">
        <v>0</v>
      </c>
      <c r="J54" s="555">
        <v>0</v>
      </c>
      <c r="K54" s="555"/>
      <c r="L54" s="1667" t="str">
        <f>IF((LEN(E54)-LEN(SUBSTITUTE(E54,".","")))/LEN(".")=1,"p","")</f>
        <v/>
      </c>
      <c r="M54" s="1667"/>
      <c r="N54" s="1673"/>
      <c r="O54" s="535"/>
      <c r="P54" s="535"/>
      <c r="S54" s="1667"/>
      <c r="V54" s="542"/>
      <c r="AB54" s="1663"/>
      <c r="AC54" s="1663"/>
      <c r="AD54" s="1663"/>
      <c r="AE54" s="1663"/>
      <c r="AF54" s="1663"/>
    </row>
    <row s="1389" customFormat="1" customHeight="1" ht="11.25">
      <c r="A55" s="988"/>
      <c r="C55" s="1667"/>
      <c r="D55" s="573"/>
      <c r="E55" s="544" t="str">
        <f>FHD_NUM_P_19</f>
        <v>2.6</v>
      </c>
      <c r="F55" s="955" t="str">
        <f>FHD_P_19</f>
        <v>Расходы на амортизацию основных средств и нематериальных активов</v>
      </c>
      <c r="G55" s="1677" t="s">
        <v>1716</v>
      </c>
      <c r="H55" s="555"/>
      <c r="I55" s="555">
        <v>13.08747</v>
      </c>
      <c r="J55" s="555">
        <v>44.11985</v>
      </c>
      <c r="K55" s="555"/>
      <c r="L55" s="1667" t="str">
        <f>IF((LEN(E55)-LEN(SUBSTITUTE(E55,".","")))/LEN(".")=1,"p","")</f>
        <v>p</v>
      </c>
      <c r="M55" s="1667"/>
      <c r="N55" s="1667"/>
      <c r="S55" s="1667"/>
      <c r="V55" s="542"/>
      <c r="AB55" s="1663"/>
      <c r="AC55" s="1663"/>
      <c r="AD55" s="1663"/>
      <c r="AE55" s="1663"/>
      <c r="AF55" s="1663"/>
    </row>
    <row s="1389" customFormat="1" customHeight="1" ht="11.25">
      <c r="A56" s="988"/>
      <c r="C56" s="1667"/>
      <c r="D56" s="573"/>
      <c r="E56" s="544" t="str">
        <f>FHD_NUM_P_20</f>
        <v>2.6.1</v>
      </c>
      <c r="F56" s="1681" t="str">
        <f>FHD_P_20</f>
        <v>Расходы на амортизацию основных средств</v>
      </c>
      <c r="G56" s="1677" t="s">
        <v>1716</v>
      </c>
      <c r="H56" s="555"/>
      <c r="I56" s="555">
        <v>13.08747</v>
      </c>
      <c r="J56" s="555">
        <v>44.11985</v>
      </c>
      <c r="K56" s="555"/>
      <c r="L56" s="1667" t="str">
        <f>IF((LEN(E56)-LEN(SUBSTITUTE(E56,".","")))/LEN(".")=1,"p","")</f>
        <v/>
      </c>
      <c r="M56" s="1667"/>
      <c r="N56" s="1667"/>
      <c r="S56" s="1667"/>
      <c r="V56" s="542"/>
      <c r="AB56" s="1663"/>
      <c r="AC56" s="1663"/>
      <c r="AD56" s="1663"/>
      <c r="AE56" s="1663"/>
      <c r="AF56" s="1663"/>
    </row>
    <row s="1389" customFormat="1" customHeight="1" ht="11.25">
      <c r="A57" s="988"/>
      <c r="C57" s="1667"/>
      <c r="D57" s="573"/>
      <c r="E57" s="544" t="str">
        <f>FHD_NUM_P_21</f>
        <v>2.6.2</v>
      </c>
      <c r="F57" s="1681" t="str">
        <f>FHD_P_21</f>
        <v>Расходы на амортизацию нематериальных активов</v>
      </c>
      <c r="G57" s="1677" t="s">
        <v>1716</v>
      </c>
      <c r="H57" s="555"/>
      <c r="I57" s="555">
        <v>0</v>
      </c>
      <c r="J57" s="555">
        <v>0</v>
      </c>
      <c r="K57" s="555"/>
      <c r="L57" s="1667" t="str">
        <f>IF((LEN(E57)-LEN(SUBSTITUTE(E57,".","")))/LEN(".")=1,"p","")</f>
        <v/>
      </c>
      <c r="M57" s="1667"/>
      <c r="N57" s="1667"/>
      <c r="S57" s="1667"/>
      <c r="V57" s="542"/>
      <c r="AB57" s="1663"/>
      <c r="AC57" s="1663"/>
      <c r="AD57" s="1663"/>
      <c r="AE57" s="1663"/>
      <c r="AF57" s="1663"/>
    </row>
    <row s="1389" customFormat="1" customHeight="1" ht="11.25">
      <c r="A58" s="988"/>
      <c r="C58" s="1667"/>
      <c r="D58" s="1669"/>
      <c r="E58" s="544" t="str">
        <f>FHD_NUM_P_22</f>
        <v>2.7</v>
      </c>
      <c r="F58" s="955" t="str">
        <f>FHD_P_22</f>
        <v>Расходы на аренду имущества, используемого для осуществления регулируемых видов деятельности в сфере холодного водоснабжения</v>
      </c>
      <c r="G58" s="1677" t="s">
        <v>1716</v>
      </c>
      <c r="H58" s="555"/>
      <c r="I58" s="555">
        <v>0</v>
      </c>
      <c r="J58" s="555">
        <v>0</v>
      </c>
      <c r="K58" s="555"/>
      <c r="L58" s="1667" t="str">
        <f>IF((LEN(E58)-LEN(SUBSTITUTE(E58,".","")))/LEN(".")=1,"p","")</f>
        <v>p</v>
      </c>
      <c r="M58" s="1667"/>
      <c r="N58" s="1667"/>
      <c r="S58" s="1667"/>
      <c r="V58" s="542"/>
      <c r="AB58" s="1663"/>
      <c r="AC58" s="1663"/>
      <c r="AD58" s="1663"/>
      <c r="AE58" s="1663"/>
      <c r="AF58" s="1663"/>
    </row>
    <row s="1389" customFormat="1" customHeight="1" ht="11.25">
      <c r="A59" s="988"/>
      <c r="C59" s="1667"/>
      <c r="D59" s="573"/>
      <c r="E59" s="544" t="str">
        <f>FHD_NUM_P_23</f>
        <v>2.8</v>
      </c>
      <c r="F59" s="955" t="str">
        <f>FHD_P_23</f>
        <v>Общепроизводственные расходы, в том числе:</v>
      </c>
      <c r="G59" s="1677" t="s">
        <v>1716</v>
      </c>
      <c r="H59" s="555"/>
      <c r="I59" s="555">
        <v>80.497529815127</v>
      </c>
      <c r="J59" s="555">
        <v>120.12507097196</v>
      </c>
      <c r="K59" s="555"/>
      <c r="L59" s="1667" t="str">
        <f>IF((LEN(E59)-LEN(SUBSTITUTE(E59,".","")))/LEN(".")=1,"p","")</f>
        <v>p</v>
      </c>
      <c r="M59" s="1667"/>
      <c r="N59" s="1667"/>
      <c r="S59" s="1667"/>
      <c r="V59" s="542"/>
      <c r="AB59" s="1663"/>
      <c r="AC59" s="1663"/>
      <c r="AD59" s="1663"/>
      <c r="AE59" s="1663"/>
      <c r="AF59" s="1663"/>
    </row>
    <row s="1389" customFormat="1" customHeight="1" ht="11.25">
      <c r="A60" s="988"/>
      <c r="C60" s="1667"/>
      <c r="D60" s="573"/>
      <c r="E60" s="544" t="str">
        <f>FHD_NUM_P_24</f>
        <v>2.8.1</v>
      </c>
      <c r="F60" s="1681" t="str">
        <f>FHD_P_24</f>
        <v>Расходы на текущий ремонт</v>
      </c>
      <c r="G60" s="1677" t="s">
        <v>1716</v>
      </c>
      <c r="H60" s="555"/>
      <c r="I60" s="555">
        <v>0</v>
      </c>
      <c r="J60" s="555">
        <v>0</v>
      </c>
      <c r="K60" s="555"/>
      <c r="L60" s="1667" t="str">
        <f>IF((LEN(E60)-LEN(SUBSTITUTE(E60,".","")))/LEN(".")=1,"p","")</f>
        <v/>
      </c>
      <c r="M60" s="1667"/>
      <c r="N60" s="1667"/>
      <c r="S60" s="1667"/>
      <c r="V60" s="542"/>
      <c r="AB60" s="1663"/>
      <c r="AC60" s="1663"/>
      <c r="AD60" s="1663"/>
      <c r="AE60" s="1663"/>
      <c r="AF60" s="1663"/>
    </row>
    <row s="1389" customFormat="1" customHeight="1" ht="11.25">
      <c r="A61" s="988"/>
      <c r="C61" s="1667"/>
      <c r="D61" s="573"/>
      <c r="E61" s="544" t="str">
        <f>FHD_NUM_P_25</f>
        <v>2.8.2</v>
      </c>
      <c r="F61" s="1681" t="str">
        <f>FHD_P_25</f>
        <v>Расходы на капитальный ремонт</v>
      </c>
      <c r="G61" s="1677" t="s">
        <v>1716</v>
      </c>
      <c r="H61" s="555"/>
      <c r="I61" s="555">
        <v>0</v>
      </c>
      <c r="J61" s="555">
        <v>0</v>
      </c>
      <c r="K61" s="555"/>
      <c r="L61" s="1667" t="str">
        <f>IF((LEN(E61)-LEN(SUBSTITUTE(E61,".","")))/LEN(".")=1,"p","")</f>
        <v/>
      </c>
      <c r="M61" s="1667"/>
      <c r="N61" s="1667"/>
      <c r="S61" s="1667"/>
      <c r="V61" s="542"/>
      <c r="AB61" s="1663"/>
      <c r="AC61" s="1663"/>
      <c r="AD61" s="1663"/>
      <c r="AE61" s="1663"/>
      <c r="AF61" s="1663"/>
    </row>
    <row s="1389" customFormat="1" customHeight="1" ht="11.25">
      <c r="A62" s="988"/>
      <c r="C62" s="1667"/>
      <c r="D62" s="1669"/>
      <c r="E62" s="544" t="str">
        <f>FHD_NUM_P_26</f>
        <v>2.9</v>
      </c>
      <c r="F62" s="955" t="str">
        <f>FHD_P_26</f>
        <v>Общехозяйственные расходы, в том числе:</v>
      </c>
      <c r="G62" s="1677" t="s">
        <v>1716</v>
      </c>
      <c r="H62" s="555"/>
      <c r="I62" s="555">
        <v>241.506641376266</v>
      </c>
      <c r="J62" s="555">
        <v>195.031291804802</v>
      </c>
      <c r="K62" s="555"/>
      <c r="L62" s="1667" t="str">
        <f>IF((LEN(E62)-LEN(SUBSTITUTE(E62,".","")))/LEN(".")=1,"p","")</f>
        <v>p</v>
      </c>
      <c r="M62" s="1667"/>
      <c r="N62" s="1667"/>
      <c r="S62" s="1667"/>
      <c r="V62" s="542"/>
      <c r="AB62" s="1663"/>
      <c r="AC62" s="1663"/>
      <c r="AD62" s="1663"/>
      <c r="AE62" s="1663"/>
      <c r="AF62" s="1663"/>
    </row>
    <row s="1389" customFormat="1" customHeight="1" ht="11.25">
      <c r="A63" s="988"/>
      <c r="C63" s="1667"/>
      <c r="D63" s="1669"/>
      <c r="E63" s="544" t="str">
        <f>FHD_NUM_P_27</f>
        <v>2.9.1</v>
      </c>
      <c r="F63" s="1681" t="str">
        <f>FHD_P_27</f>
        <v>Расходы на текущий ремонт</v>
      </c>
      <c r="G63" s="1677" t="s">
        <v>1716</v>
      </c>
      <c r="H63" s="555"/>
      <c r="I63" s="555">
        <v>0</v>
      </c>
      <c r="J63" s="555">
        <v>0</v>
      </c>
      <c r="K63" s="555"/>
      <c r="L63" s="1667" t="str">
        <f>IF((LEN(E63)-LEN(SUBSTITUTE(E63,".","")))/LEN(".")=1,"p","")</f>
        <v/>
      </c>
      <c r="M63" s="1667"/>
      <c r="N63" s="1667"/>
      <c r="S63" s="1667"/>
      <c r="V63" s="542"/>
      <c r="AB63" s="1663"/>
      <c r="AC63" s="1663"/>
      <c r="AD63" s="1663"/>
      <c r="AE63" s="1663"/>
      <c r="AF63" s="1663"/>
    </row>
    <row s="1389" customFormat="1" customHeight="1" ht="11.25">
      <c r="A64" s="988"/>
      <c r="C64" s="1667"/>
      <c r="D64" s="1669"/>
      <c r="E64" s="544" t="str">
        <f>FHD_NUM_P_28</f>
        <v>2.9.2</v>
      </c>
      <c r="F64" s="1681" t="str">
        <f>FHD_P_28</f>
        <v>Расходы на капитальный ремонт</v>
      </c>
      <c r="G64" s="1677" t="s">
        <v>1716</v>
      </c>
      <c r="H64" s="555"/>
      <c r="I64" s="555">
        <v>0</v>
      </c>
      <c r="J64" s="555">
        <v>0</v>
      </c>
      <c r="K64" s="555"/>
      <c r="L64" s="1667" t="str">
        <f>IF((LEN(E64)-LEN(SUBSTITUTE(E64,".","")))/LEN(".")=1,"p","")</f>
        <v/>
      </c>
      <c r="M64" s="1667"/>
      <c r="N64" s="1667"/>
      <c r="S64" s="1667"/>
      <c r="V64" s="542"/>
      <c r="AB64" s="1663"/>
      <c r="AC64" s="1663"/>
      <c r="AD64" s="1663"/>
      <c r="AE64" s="1663"/>
      <c r="AF64" s="1663"/>
    </row>
    <row s="1389" customFormat="1" customHeight="1" ht="11.25">
      <c r="A65" s="988"/>
      <c r="C65" s="1667"/>
      <c r="D65" s="1669"/>
      <c r="E65" s="544" t="str">
        <f>FHD_NUM_P_29</f>
        <v>2.10</v>
      </c>
      <c r="F65" s="955" t="str">
        <f>FHD_P_29</f>
        <v>Расходы на капитальный и текущий ремонт основных средств</v>
      </c>
      <c r="G65" s="1677" t="s">
        <v>1716</v>
      </c>
      <c r="H65" s="555"/>
      <c r="I65" s="555">
        <v>19.4853498384239</v>
      </c>
      <c r="J65" s="555">
        <v>11.0608317555164</v>
      </c>
      <c r="K65" s="555"/>
      <c r="L65" s="1667" t="str">
        <f>IF((LEN(E65)-LEN(SUBSTITUTE(E65,".","")))/LEN(".")=1,"p","")</f>
        <v>p</v>
      </c>
      <c r="M65" s="1667"/>
      <c r="N65" s="1667"/>
      <c r="S65" s="1667"/>
      <c r="V65" s="542"/>
      <c r="AB65" s="1663"/>
      <c r="AC65" s="1663"/>
      <c r="AD65" s="1663"/>
      <c r="AE65" s="1663"/>
      <c r="AF65" s="1663"/>
    </row>
    <row s="1389" customFormat="1" customHeight="1" ht="15.833333333333334">
      <c r="A66" s="988"/>
      <c r="C66" s="1667"/>
      <c r="D66" s="1669"/>
      <c r="E66" s="544" t="str">
        <f>FHD_NUM_P_30</f>
        <v>2.10.1</v>
      </c>
      <c r="F66" s="168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677" t="s">
        <v>296</v>
      </c>
      <c r="H66" s="1680" t="s">
        <v>420</v>
      </c>
      <c r="I66" s="1680" t="s">
        <v>420</v>
      </c>
      <c r="J66" s="2078" t="s">
        <v>420</v>
      </c>
      <c r="K66" s="2078" t="s">
        <v>420</v>
      </c>
      <c r="L66" s="1667" t="str">
        <f>IF((LEN(E66)-LEN(SUBSTITUTE(E66,".","")))/LEN(".")=1,"p","")</f>
        <v/>
      </c>
      <c r="M66" s="1667">
        <f>_xlfn.IFERROR(MATCH("есть",B_FHD_FLAG_INDEX_1,0),0)</f>
        <v>0</v>
      </c>
      <c r="N66" s="1667"/>
      <c r="S66" s="1667"/>
      <c r="V66" s="542"/>
      <c r="AB66" s="1663"/>
      <c r="AC66" s="1663"/>
      <c r="AD66" s="1663"/>
      <c r="AE66" s="1663"/>
      <c r="AF66" s="1663"/>
    </row>
    <row s="1389" customFormat="1" customHeight="1" ht="11.25">
      <c r="A67" s="2319" t="s">
        <v>1728</v>
      </c>
      <c r="C67" s="1667"/>
      <c r="D67" s="1669"/>
      <c r="E67" s="544" t="str">
        <f>FHD_NUM_P_31</f>
        <v>2.11</v>
      </c>
      <c r="F67" s="95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677" t="s">
        <v>1716</v>
      </c>
      <c r="H67" s="555"/>
      <c r="I67" s="555">
        <v>0</v>
      </c>
      <c r="J67" s="555">
        <v>0</v>
      </c>
      <c r="K67" s="555"/>
      <c r="L67" s="1667" t="str">
        <f>IF((LEN(E67)-LEN(SUBSTITUTE(E67,".","")))/LEN(".")=1,"p","")</f>
        <v>p</v>
      </c>
      <c r="M67" s="1667"/>
      <c r="N67" s="1667"/>
      <c r="S67" s="1667"/>
      <c r="V67" s="542"/>
      <c r="AB67" s="1663"/>
      <c r="AC67" s="1663"/>
      <c r="AD67" s="1663"/>
      <c r="AE67" s="1663"/>
      <c r="AF67" s="1663"/>
    </row>
    <row s="1389" customFormat="1" customHeight="1" ht="21.666666666666668">
      <c r="A68" s="2319"/>
      <c r="C68" s="1667"/>
      <c r="D68" s="1669"/>
      <c r="E68" s="544" t="str">
        <f>FHD_NUM_P_32</f>
        <v>2.11.1</v>
      </c>
      <c r="F68" s="168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677" t="s">
        <v>296</v>
      </c>
      <c r="H68" s="1680" t="s">
        <v>420</v>
      </c>
      <c r="I68" s="1680" t="s">
        <v>420</v>
      </c>
      <c r="J68" s="2078" t="s">
        <v>420</v>
      </c>
      <c r="K68" s="2078" t="s">
        <v>420</v>
      </c>
      <c r="L68" s="1667" t="str">
        <f>IF((LEN(E68)-LEN(SUBSTITUTE(E68,".","")))/LEN(".")=1,"p","")</f>
        <v/>
      </c>
      <c r="M68" s="1667">
        <f>_xlfn.IFERROR(MATCH("есть",B_FHD_FLAG_INDEX_2,0),0)</f>
        <v>0</v>
      </c>
      <c r="N68" s="1667"/>
      <c r="S68" s="1667"/>
      <c r="V68" s="542"/>
      <c r="AB68" s="1663"/>
      <c r="AC68" s="1663"/>
      <c r="AD68" s="1663"/>
      <c r="AE68" s="1663"/>
      <c r="AF68" s="1663"/>
    </row>
    <row s="1389" customFormat="1" customHeight="1" ht="25.833333333333332">
      <c r="A69" s="988"/>
      <c r="C69" s="1667"/>
      <c r="D69" s="1669"/>
      <c r="E69" s="544" t="str">
        <f>FHD_NUM_P_33</f>
        <v>2.12</v>
      </c>
      <c r="F69" s="95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675" t="s">
        <v>1716</v>
      </c>
      <c r="H69" s="577">
        <f>SUM(H70:H75)</f>
        <v>0</v>
      </c>
      <c r="I69" s="577">
        <f>SUM(I70:I75)</f>
        <v>159.95616</v>
      </c>
      <c r="J69" s="577">
        <f>SUM(J70:J75)</f>
        <v>195.53358</v>
      </c>
      <c r="K69" s="577">
        <f>SUM(K70:K75)</f>
        <v>0</v>
      </c>
      <c r="L69" s="1667" t="str">
        <f>IF((LEN(E69)-LEN(SUBSTITUTE(E69,".","")))/LEN(".")=1,"p","")</f>
        <v>p</v>
      </c>
      <c r="M69" s="1667"/>
      <c r="N69" s="1667"/>
      <c r="S69" s="1667"/>
      <c r="V69" s="542"/>
      <c r="AB69" s="1663"/>
      <c r="AC69" s="1663"/>
      <c r="AD69" s="1663"/>
      <c r="AE69" s="1663"/>
      <c r="AF69" s="1663"/>
    </row>
    <row s="1673" customFormat="1" customHeight="1" ht="0.75">
      <c r="A70" s="1168"/>
      <c r="D70" s="546"/>
      <c r="E70" s="800" t="str">
        <f>E69&amp;".0"</f>
        <v>2.12.0</v>
      </c>
      <c r="F70" s="992"/>
      <c r="G70" s="549"/>
      <c r="H70" s="993"/>
      <c r="I70" s="993"/>
      <c r="J70" s="993"/>
      <c r="K70" s="993"/>
      <c r="L70" s="1667" t="str">
        <f>IF((LEN(E70)-LEN(SUBSTITUTE(E70,".","")))/LEN(".")=1,"p","")</f>
        <v/>
      </c>
    </row>
    <row s="1663" customFormat="1" customHeight="1" ht="22.5">
      <c r="A71" s="988"/>
      <c r="B71" s="1389"/>
      <c r="C71" s="1673"/>
      <c r="D71" s="680" t="s">
        <v>120</v>
      </c>
      <c r="E71" s="2017" t="str">
        <f>E69&amp;".1"</f>
        <v>2.12.1</v>
      </c>
      <c r="F71" s="538" t="s">
        <v>1729</v>
      </c>
      <c r="G71" s="2017" t="s">
        <v>1716</v>
      </c>
      <c r="H71" s="749"/>
      <c r="I71" s="749">
        <v>153.05584</v>
      </c>
      <c r="J71" s="749">
        <v>170.74227</v>
      </c>
      <c r="K71" s="749"/>
      <c r="L71" s="732"/>
      <c r="M71" s="1673"/>
      <c r="N71" s="1673"/>
      <c r="O71" s="1389"/>
      <c r="P71" s="1389"/>
      <c r="Q71" s="1389"/>
      <c r="R71" s="1389"/>
      <c r="S71" s="1673"/>
      <c r="T71" s="1389"/>
      <c r="U71" s="1389"/>
      <c r="V71" s="734"/>
      <c r="W71" s="1389"/>
      <c r="X71" s="1389"/>
      <c r="Y71" s="1389"/>
      <c r="Z71" s="1389"/>
      <c r="AA71" s="1389"/>
      <c r="AB71" s="1663"/>
      <c r="AC71" s="1663"/>
      <c r="AD71" s="1663"/>
      <c r="AE71" s="1663"/>
      <c r="AF71" s="1663"/>
    </row>
    <row s="1663" customFormat="1" customHeight="1" ht="22.5">
      <c r="A72" s="988"/>
      <c r="B72" s="1389"/>
      <c r="C72" s="1673"/>
      <c r="D72" s="680" t="s">
        <v>120</v>
      </c>
      <c r="E72" s="2017" t="str">
        <f>E69&amp;".2"</f>
        <v>2.12.2</v>
      </c>
      <c r="F72" s="538" t="s">
        <v>1730</v>
      </c>
      <c r="G72" s="2017" t="s">
        <v>1716</v>
      </c>
      <c r="H72" s="749"/>
      <c r="I72" s="749">
        <v>2.71927</v>
      </c>
      <c r="J72" s="749">
        <v>21.78535</v>
      </c>
      <c r="K72" s="749"/>
      <c r="L72" s="732"/>
      <c r="M72" s="1673"/>
      <c r="N72" s="1673"/>
      <c r="O72" s="1389"/>
      <c r="P72" s="1389"/>
      <c r="Q72" s="1389"/>
      <c r="R72" s="1389"/>
      <c r="S72" s="1673"/>
      <c r="T72" s="1389"/>
      <c r="U72" s="1389"/>
      <c r="V72" s="734"/>
      <c r="W72" s="1389"/>
      <c r="X72" s="1389"/>
      <c r="Y72" s="1389"/>
      <c r="Z72" s="1389"/>
      <c r="AA72" s="1389"/>
      <c r="AB72" s="1663"/>
      <c r="AC72" s="1663"/>
      <c r="AD72" s="1663"/>
      <c r="AE72" s="1663"/>
      <c r="AF72" s="1663"/>
    </row>
    <row s="1663" customFormat="1" customHeight="1" ht="22.5">
      <c r="A73" s="988"/>
      <c r="B73" s="1389"/>
      <c r="C73" s="1673"/>
      <c r="D73" s="680" t="s">
        <v>120</v>
      </c>
      <c r="E73" s="2017" t="str">
        <f>E69&amp;".3"</f>
        <v>2.12.3</v>
      </c>
      <c r="F73" s="538" t="s">
        <v>1731</v>
      </c>
      <c r="G73" s="2017" t="s">
        <v>1716</v>
      </c>
      <c r="H73" s="749"/>
      <c r="I73" s="749">
        <v>0.06627</v>
      </c>
      <c r="J73" s="749">
        <v>0.11629</v>
      </c>
      <c r="K73" s="749"/>
      <c r="L73" s="732"/>
      <c r="M73" s="1673"/>
      <c r="N73" s="1673"/>
      <c r="O73" s="1389"/>
      <c r="P73" s="1389"/>
      <c r="Q73" s="1389"/>
      <c r="R73" s="1389"/>
      <c r="S73" s="1673"/>
      <c r="T73" s="1389"/>
      <c r="U73" s="1389"/>
      <c r="V73" s="734"/>
      <c r="W73" s="1389"/>
      <c r="X73" s="1389"/>
      <c r="Y73" s="1389"/>
      <c r="Z73" s="1389"/>
      <c r="AA73" s="1389"/>
      <c r="AB73" s="1663"/>
      <c r="AC73" s="1663"/>
      <c r="AD73" s="1663"/>
      <c r="AE73" s="1663"/>
      <c r="AF73" s="1663"/>
    </row>
    <row s="1663" customFormat="1" customHeight="1" ht="22.5">
      <c r="A74" s="988"/>
      <c r="B74" s="1389"/>
      <c r="C74" s="1673"/>
      <c r="D74" s="680" t="s">
        <v>120</v>
      </c>
      <c r="E74" s="2017" t="str">
        <f>E69&amp;".4"</f>
        <v>2.12.4</v>
      </c>
      <c r="F74" s="538" t="s">
        <v>1732</v>
      </c>
      <c r="G74" s="2017" t="s">
        <v>1716</v>
      </c>
      <c r="H74" s="749"/>
      <c r="I74" s="749">
        <v>4.11478</v>
      </c>
      <c r="J74" s="749">
        <v>2.88967</v>
      </c>
      <c r="K74" s="749"/>
      <c r="L74" s="732"/>
      <c r="M74" s="1673"/>
      <c r="N74" s="1673"/>
      <c r="O74" s="1389"/>
      <c r="P74" s="1389"/>
      <c r="Q74" s="1389"/>
      <c r="R74" s="1389"/>
      <c r="S74" s="1673"/>
      <c r="T74" s="1389"/>
      <c r="U74" s="1389"/>
      <c r="V74" s="734"/>
      <c r="W74" s="1389"/>
      <c r="X74" s="1389"/>
      <c r="Y74" s="1389"/>
      <c r="Z74" s="1389"/>
      <c r="AA74" s="1389"/>
      <c r="AB74" s="1663"/>
      <c r="AC74" s="1663"/>
      <c r="AD74" s="1663"/>
      <c r="AE74" s="1663"/>
      <c r="AF74" s="1663"/>
    </row>
    <row s="1389" customFormat="1" customHeight="1" ht="14.25">
      <c r="A75" s="988"/>
      <c r="C75" s="1667"/>
      <c r="D75" s="1664"/>
      <c r="E75" s="568"/>
      <c r="F75" s="569" t="s">
        <v>1733</v>
      </c>
      <c r="G75" s="570"/>
      <c r="H75" s="571"/>
      <c r="I75" s="571"/>
      <c r="J75" s="2436"/>
      <c r="K75" s="2437"/>
      <c r="L75" s="1667"/>
      <c r="M75" s="1667"/>
      <c r="N75" s="1667"/>
      <c r="S75" s="1667"/>
      <c r="V75" s="542"/>
      <c r="AB75" s="1663"/>
      <c r="AC75" s="1663"/>
      <c r="AD75" s="1663"/>
      <c r="AE75" s="1663"/>
      <c r="AF75" s="1663"/>
    </row>
    <row s="1389" customFormat="1" customHeight="1" ht="18.75" hidden="1">
      <c r="A76" s="990" t="s">
        <v>1734</v>
      </c>
      <c r="C76" s="1667"/>
      <c r="D76" s="1669"/>
      <c r="E76" s="544" t="str">
        <f>FHD_NUM_P_34</f>
        <v/>
      </c>
      <c r="F76" s="704" t="str">
        <f>FHD_P_34</f>
        <v/>
      </c>
      <c r="G76" s="1677" t="s">
        <v>1716</v>
      </c>
      <c r="H76" s="555"/>
      <c r="I76" s="555"/>
      <c r="J76" s="555"/>
      <c r="K76" s="555"/>
      <c r="L76" s="541"/>
      <c r="M76" s="1667"/>
      <c r="N76" s="1667"/>
      <c r="S76" s="1667"/>
      <c r="V76" s="542"/>
      <c r="AB76" s="1663"/>
      <c r="AC76" s="1663"/>
      <c r="AD76" s="1663"/>
      <c r="AE76" s="1663"/>
      <c r="AF76" s="1663"/>
    </row>
    <row s="1389" customFormat="1" customHeight="1" ht="32.5">
      <c r="A77" s="988"/>
      <c r="C77" s="1667"/>
      <c r="D77" s="573"/>
      <c r="E77" s="544" t="str">
        <f>FHD_NUM_P_35</f>
        <v>3</v>
      </c>
      <c r="F77" s="704" t="str">
        <f>FHD_P_35</f>
        <v>Чистая прибыль, полученная от регулируемого вида деятельности в сфере холодного водоснабжения, в том числе:</v>
      </c>
      <c r="G77" s="1677" t="s">
        <v>1716</v>
      </c>
      <c r="H77" s="555"/>
      <c r="I77" s="555">
        <v>0</v>
      </c>
      <c r="J77" s="555">
        <v>0</v>
      </c>
      <c r="K77" s="555"/>
      <c r="L77" s="541"/>
      <c r="M77" s="1667"/>
      <c r="N77" s="1667"/>
      <c r="S77" s="1667"/>
      <c r="V77" s="542"/>
      <c r="AB77" s="1663"/>
      <c r="AC77" s="1663"/>
      <c r="AD77" s="1663"/>
      <c r="AE77" s="1663"/>
      <c r="AF77" s="1663"/>
    </row>
    <row s="1389" customFormat="1" customHeight="1" ht="34.166666666666664">
      <c r="A78" s="988"/>
      <c r="C78" s="1667"/>
      <c r="D78" s="1669"/>
      <c r="E78" s="544" t="str">
        <f>FHD_NUM_P_36</f>
        <v>3.1</v>
      </c>
      <c r="F78" s="9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677" t="s">
        <v>1716</v>
      </c>
      <c r="H78" s="555"/>
      <c r="I78" s="555">
        <v>0</v>
      </c>
      <c r="J78" s="555">
        <v>0</v>
      </c>
      <c r="K78" s="555"/>
      <c r="L78" s="541"/>
      <c r="M78" s="1667"/>
      <c r="N78" s="1667"/>
      <c r="S78" s="1667"/>
      <c r="V78" s="542"/>
      <c r="AB78" s="1663"/>
      <c r="AC78" s="1663"/>
      <c r="AD78" s="1663"/>
      <c r="AE78" s="1663"/>
      <c r="AF78" s="1663"/>
    </row>
    <row s="1389" customFormat="1" customHeight="1" ht="18.75">
      <c r="A79" s="988"/>
      <c r="C79" s="1667"/>
      <c r="D79" s="1669"/>
      <c r="E79" s="544" t="str">
        <f>FHD_NUM_P_37</f>
        <v>4</v>
      </c>
      <c r="F79" s="704" t="str">
        <f>FHD_P_37</f>
        <v>Изменение стоимости основных фондов, в том числе:</v>
      </c>
      <c r="G79" s="1677" t="s">
        <v>1716</v>
      </c>
      <c r="H79" s="555"/>
      <c r="I79" s="555">
        <v>0</v>
      </c>
      <c r="J79" s="555">
        <v>0</v>
      </c>
      <c r="K79" s="555"/>
      <c r="L79" s="541"/>
      <c r="M79" s="1667"/>
      <c r="N79" s="1667"/>
      <c r="S79" s="1667"/>
      <c r="V79" s="542"/>
      <c r="AB79" s="1663"/>
      <c r="AC79" s="1663"/>
      <c r="AD79" s="1663"/>
      <c r="AE79" s="1663"/>
      <c r="AF79" s="1663"/>
    </row>
    <row s="1389" customFormat="1" customHeight="1" ht="18.75">
      <c r="A80" s="988"/>
      <c r="C80" s="1667"/>
      <c r="D80" s="1669"/>
      <c r="E80" s="544" t="str">
        <f>FHD_NUM_P_38</f>
        <v>4.1</v>
      </c>
      <c r="F80" s="955" t="str">
        <f>FHD_P_38</f>
        <v>Изменение стоимости основных фондов за счет их ввода в эксплуатацию (вывода из эксплуатации)</v>
      </c>
      <c r="G80" s="1677" t="s">
        <v>1716</v>
      </c>
      <c r="H80" s="555"/>
      <c r="I80" s="555">
        <v>0</v>
      </c>
      <c r="J80" s="555">
        <v>0</v>
      </c>
      <c r="K80" s="555"/>
      <c r="L80" s="541"/>
      <c r="M80" s="1667"/>
      <c r="N80" s="1667"/>
      <c r="S80" s="1667"/>
      <c r="V80" s="542"/>
      <c r="AB80" s="1663"/>
      <c r="AC80" s="1663"/>
      <c r="AD80" s="1663"/>
      <c r="AE80" s="1663"/>
      <c r="AF80" s="1663"/>
    </row>
    <row s="1389" customFormat="1" customHeight="1" ht="18.75">
      <c r="A81" s="988"/>
      <c r="C81" s="1667"/>
      <c r="D81" s="1669"/>
      <c r="E81" s="544" t="str">
        <f>FHD_NUM_P_39</f>
        <v>4.1.1</v>
      </c>
      <c r="F81" s="1681" t="str">
        <f>FHD_P_39</f>
        <v>Изменение стоимости основных фондов за счет их ввода в эксплуатацию</v>
      </c>
      <c r="G81" s="1677" t="s">
        <v>1716</v>
      </c>
      <c r="H81" s="555"/>
      <c r="I81" s="555">
        <v>0</v>
      </c>
      <c r="J81" s="555">
        <v>0</v>
      </c>
      <c r="K81" s="555"/>
      <c r="L81" s="541"/>
      <c r="M81" s="1667"/>
      <c r="N81" s="1667"/>
      <c r="S81" s="1667"/>
      <c r="V81" s="542"/>
      <c r="AB81" s="1663"/>
      <c r="AC81" s="1663"/>
      <c r="AD81" s="1663"/>
      <c r="AE81" s="1663"/>
      <c r="AF81" s="1663"/>
    </row>
    <row s="1389" customFormat="1" customHeight="1" ht="18.75">
      <c r="A82" s="988"/>
      <c r="C82" s="1667"/>
      <c r="D82" s="1669"/>
      <c r="E82" s="544" t="str">
        <f>FHD_NUM_P_40</f>
        <v>4.1.2</v>
      </c>
      <c r="F82" s="1681" t="str">
        <f>FHD_P_40</f>
        <v>Изменение стоимости основных фондов за счет их вывода в эксплуатацию</v>
      </c>
      <c r="G82" s="1677" t="s">
        <v>1716</v>
      </c>
      <c r="H82" s="555"/>
      <c r="I82" s="555">
        <v>0</v>
      </c>
      <c r="J82" s="555">
        <v>0</v>
      </c>
      <c r="K82" s="555"/>
      <c r="L82" s="541"/>
      <c r="M82" s="1667"/>
      <c r="N82" s="1667"/>
      <c r="S82" s="1667"/>
      <c r="V82" s="542"/>
      <c r="AB82" s="1663"/>
      <c r="AC82" s="1663"/>
      <c r="AD82" s="1663"/>
      <c r="AE82" s="1663"/>
      <c r="AF82" s="1663"/>
    </row>
    <row s="1389" customFormat="1" customHeight="1" ht="18.75">
      <c r="A83" s="988"/>
      <c r="C83" s="1667"/>
      <c r="D83" s="1669"/>
      <c r="E83" s="544" t="str">
        <f>FHD_NUM_P_41</f>
        <v>4.2</v>
      </c>
      <c r="F83" s="955" t="str">
        <f>FHD_P_41</f>
        <v>Изменение стоимости основных фондов за счет их переоценки</v>
      </c>
      <c r="G83" s="1675" t="s">
        <v>1716</v>
      </c>
      <c r="H83" s="555"/>
      <c r="I83" s="555">
        <v>0</v>
      </c>
      <c r="J83" s="555">
        <v>0</v>
      </c>
      <c r="K83" s="555"/>
      <c r="L83" s="541"/>
      <c r="M83" s="1667"/>
      <c r="N83" s="1667"/>
      <c r="S83" s="1667"/>
      <c r="V83" s="542"/>
      <c r="AB83" s="1663"/>
      <c r="AC83" s="1663"/>
      <c r="AD83" s="1663"/>
      <c r="AE83" s="1663"/>
      <c r="AF83" s="1663"/>
    </row>
    <row s="1389" customFormat="1" customHeight="1" ht="30">
      <c r="A84" s="990" t="s">
        <v>1735</v>
      </c>
      <c r="C84" s="1667"/>
      <c r="D84" s="1669"/>
      <c r="E84" s="544" t="str">
        <f>FHD_NUM_P_42</f>
        <v>5</v>
      </c>
      <c r="F84" s="704" t="str">
        <f>FHD_P_42</f>
        <v>Валовая прибыль (убытки) от продажи товаров и услуг по регулируемым видам деятельности в сфере холодного водоснабжения</v>
      </c>
      <c r="G84" s="1677" t="s">
        <v>1716</v>
      </c>
      <c r="H84" s="977"/>
      <c r="I84" s="555">
        <f>I30-I31</f>
        <v>-2.48791102982</v>
      </c>
      <c r="J84" s="977">
        <f>J30-J31</f>
        <v>-161.49465453228</v>
      </c>
      <c r="K84" s="977"/>
      <c r="L84" s="541"/>
      <c r="M84" s="1667"/>
      <c r="N84" s="1667"/>
      <c r="S84" s="1667"/>
      <c r="V84" s="542"/>
      <c r="AB84" s="1663"/>
      <c r="AC84" s="1663"/>
      <c r="AD84" s="1663"/>
      <c r="AE84" s="1663"/>
      <c r="AF84" s="1663"/>
    </row>
    <row s="1389" customFormat="1" customHeight="1" ht="38.33333333333333">
      <c r="A85" s="988"/>
      <c r="C85" s="1667"/>
      <c r="D85" s="1669"/>
      <c r="E85" s="544" t="str">
        <f>FHD_NUM_P_43</f>
        <v>6</v>
      </c>
      <c r="F85" s="704" t="str">
        <f>FHD_P_43</f>
        <v>Годовая бухгалтерская (финансовая) отчетность, включая бухгалтерский баланс и приложения к нему</v>
      </c>
      <c r="G85" s="1677" t="s">
        <v>296</v>
      </c>
      <c r="H85" s="1056"/>
      <c r="I85" s="2438" t="s">
        <v>1736</v>
      </c>
      <c r="J85" s="2439" t="s">
        <v>1736</v>
      </c>
      <c r="K85" s="1056"/>
      <c r="L85" s="541"/>
      <c r="M85" s="1667"/>
      <c r="N85" s="1667"/>
      <c r="S85" s="1667"/>
      <c r="V85" s="542"/>
      <c r="AB85" s="1663"/>
      <c r="AC85" s="1663"/>
      <c r="AD85" s="1663"/>
      <c r="AE85" s="1663"/>
      <c r="AF85" s="1663"/>
    </row>
    <row s="1389" customFormat="1" customHeight="1" ht="18.75">
      <c r="A86" s="2319" t="s">
        <v>1737</v>
      </c>
      <c r="C86" s="733"/>
      <c r="D86" s="731"/>
      <c r="E86" s="544" t="str">
        <f>FHD_NUM_P_44</f>
        <v>7</v>
      </c>
      <c r="F86" s="704" t="str">
        <f>FHD_P_44</f>
        <v>Объём поднятой воды</v>
      </c>
      <c r="G86" s="718" t="s">
        <v>1738</v>
      </c>
      <c r="H86" s="978"/>
      <c r="I86" s="575">
        <v>2760.377</v>
      </c>
      <c r="J86" s="978">
        <v>5010.667</v>
      </c>
      <c r="K86" s="978"/>
      <c r="L86" s="732"/>
      <c r="M86" s="733"/>
      <c r="N86" s="733"/>
      <c r="S86" s="733"/>
      <c r="V86" s="734"/>
      <c r="AB86" s="735"/>
      <c r="AC86" s="735"/>
      <c r="AD86" s="735"/>
      <c r="AE86" s="735"/>
      <c r="AF86" s="735"/>
    </row>
    <row s="1389" customFormat="1" customHeight="1" ht="18.75">
      <c r="A87" s="2319"/>
      <c r="C87" s="733"/>
      <c r="D87" s="731"/>
      <c r="E87" s="544" t="str">
        <f>FHD_NUM_P_45</f>
        <v>8</v>
      </c>
      <c r="F87" s="704" t="str">
        <f>FHD_P_45</f>
        <v>Объём покупной воды</v>
      </c>
      <c r="G87" s="718" t="s">
        <v>1738</v>
      </c>
      <c r="H87" s="978"/>
      <c r="I87" s="575">
        <v>2760.377</v>
      </c>
      <c r="J87" s="978">
        <v>5010.667</v>
      </c>
      <c r="K87" s="978"/>
      <c r="L87" s="732"/>
      <c r="M87" s="733"/>
      <c r="N87" s="733"/>
      <c r="S87" s="733"/>
      <c r="V87" s="734"/>
      <c r="AB87" s="735"/>
      <c r="AC87" s="735"/>
      <c r="AD87" s="735"/>
      <c r="AE87" s="735"/>
      <c r="AF87" s="735"/>
    </row>
    <row s="1389" customFormat="1" customHeight="1" ht="18.75">
      <c r="A88" s="2319"/>
      <c r="C88" s="733"/>
      <c r="D88" s="736"/>
      <c r="E88" s="544" t="str">
        <f>FHD_NUM_P_46</f>
        <v>9</v>
      </c>
      <c r="F88" s="704" t="str">
        <f>FHD_P_46</f>
        <v>Объём воды, пропущенной через очистные сооружения</v>
      </c>
      <c r="G88" s="718" t="s">
        <v>1738</v>
      </c>
      <c r="H88" s="978"/>
      <c r="I88" s="575">
        <v>0</v>
      </c>
      <c r="J88" s="978">
        <v>0</v>
      </c>
      <c r="K88" s="978"/>
      <c r="L88" s="732"/>
      <c r="M88" s="733"/>
      <c r="N88" s="733"/>
      <c r="S88" s="733"/>
      <c r="V88" s="734"/>
      <c r="AB88" s="735"/>
      <c r="AC88" s="735"/>
      <c r="AD88" s="735"/>
      <c r="AE88" s="735"/>
      <c r="AF88" s="735"/>
    </row>
    <row s="1389" customFormat="1" customHeight="1" ht="18.75">
      <c r="A89" s="2319"/>
      <c r="C89" s="733"/>
      <c r="D89" s="731"/>
      <c r="E89" s="544" t="str">
        <f>FHD_NUM_P_47</f>
        <v>10</v>
      </c>
      <c r="F89" s="704" t="str">
        <f>FHD_P_47</f>
        <v>Объём отпущенной потребителям воды, в том числе:</v>
      </c>
      <c r="G89" s="718" t="s">
        <v>1738</v>
      </c>
      <c r="H89" s="978"/>
      <c r="I89" s="575">
        <v>183.887</v>
      </c>
      <c r="J89" s="978">
        <v>184.188</v>
      </c>
      <c r="K89" s="978"/>
      <c r="L89" s="732"/>
      <c r="M89" s="733"/>
      <c r="N89" s="733"/>
      <c r="S89" s="733"/>
      <c r="V89" s="734"/>
      <c r="AB89" s="735"/>
      <c r="AC89" s="735"/>
      <c r="AD89" s="735"/>
      <c r="AE89" s="735"/>
      <c r="AF89" s="735"/>
    </row>
    <row s="1666" customFormat="1" customHeight="1" ht="18.75">
      <c r="A90" s="2319"/>
      <c r="B90" s="910"/>
      <c r="C90" s="733"/>
      <c r="D90" s="731"/>
      <c r="E90" s="544" t="str">
        <f>FHD_NUM_P_48</f>
        <v>10.1</v>
      </c>
      <c r="F90" s="704" t="str">
        <f>FHD_P_48</f>
        <v>Объём отпущенной потребителям воды, определенный по приборам учета</v>
      </c>
      <c r="G90" s="718" t="s">
        <v>1738</v>
      </c>
      <c r="H90" s="978"/>
      <c r="I90" s="575">
        <v>183.887</v>
      </c>
      <c r="J90" s="978">
        <v>184.188</v>
      </c>
      <c r="K90" s="978"/>
      <c r="L90" s="732"/>
      <c r="M90" s="733"/>
      <c r="N90" s="733"/>
      <c r="O90" s="910"/>
      <c r="P90" s="910"/>
      <c r="Q90" s="910"/>
      <c r="R90" s="910"/>
      <c r="S90" s="733"/>
      <c r="T90" s="910"/>
      <c r="U90" s="910"/>
      <c r="V90" s="734"/>
      <c r="W90" s="910"/>
      <c r="X90" s="910"/>
      <c r="Y90" s="910"/>
      <c r="Z90" s="910"/>
      <c r="AA90" s="910"/>
      <c r="AB90" s="735"/>
      <c r="AC90" s="735"/>
      <c r="AD90" s="735"/>
      <c r="AE90" s="735"/>
      <c r="AF90" s="735"/>
    </row>
    <row s="1666" customFormat="1" customHeight="1" ht="18.75">
      <c r="A91" s="2319"/>
      <c r="B91" s="910"/>
      <c r="C91" s="733"/>
      <c r="D91" s="731"/>
      <c r="E91" s="544" t="str">
        <f>FHD_NUM_P_49</f>
        <v>10.2</v>
      </c>
      <c r="F91" s="704" t="str">
        <f>FHD_P_49</f>
        <v>Объём отпущенной потребителям воды, определенный расчетным способом</v>
      </c>
      <c r="G91" s="718" t="s">
        <v>1738</v>
      </c>
      <c r="H91" s="979">
        <f>SUM(H92:H93)</f>
        <v>0</v>
      </c>
      <c r="I91" s="747">
        <f>SUM(I92:I93)</f>
        <v>0</v>
      </c>
      <c r="J91" s="979">
        <f>SUM(J92:J93)</f>
        <v>0</v>
      </c>
      <c r="K91" s="979">
        <f>SUM(K92:K93)</f>
        <v>0</v>
      </c>
      <c r="L91" s="732"/>
      <c r="M91" s="733"/>
      <c r="N91" s="733"/>
      <c r="O91" s="910"/>
      <c r="P91" s="910"/>
      <c r="Q91" s="910"/>
      <c r="R91" s="910"/>
      <c r="S91" s="733"/>
      <c r="T91" s="910"/>
      <c r="U91" s="910"/>
      <c r="V91" s="734"/>
      <c r="W91" s="910"/>
      <c r="X91" s="910"/>
      <c r="Y91" s="910"/>
      <c r="Z91" s="910"/>
      <c r="AA91" s="910"/>
      <c r="AB91" s="735"/>
      <c r="AC91" s="735"/>
      <c r="AD91" s="735"/>
      <c r="AE91" s="735"/>
      <c r="AF91" s="735"/>
    </row>
    <row s="1666" customFormat="1" customHeight="1" ht="18.75">
      <c r="A92" s="2319"/>
      <c r="B92" s="910"/>
      <c r="C92" s="733"/>
      <c r="D92" s="731"/>
      <c r="E92" s="544" t="str">
        <f>FHD_NUM_P_50</f>
        <v>10.2.1</v>
      </c>
      <c r="F92" s="704" t="str">
        <f>FHD_P_50</f>
        <v>Объём отпущенной потребителям воды, определенный по нормативам потребления коммунальных услуг</v>
      </c>
      <c r="G92" s="718" t="s">
        <v>1738</v>
      </c>
      <c r="H92" s="978"/>
      <c r="I92" s="575">
        <v>0</v>
      </c>
      <c r="J92" s="978">
        <v>0</v>
      </c>
      <c r="K92" s="978"/>
      <c r="L92" s="732"/>
      <c r="M92" s="733"/>
      <c r="N92" s="733"/>
      <c r="O92" s="910"/>
      <c r="P92" s="910"/>
      <c r="Q92" s="910"/>
      <c r="R92" s="910"/>
      <c r="S92" s="733"/>
      <c r="T92" s="910"/>
      <c r="U92" s="910"/>
      <c r="V92" s="734"/>
      <c r="W92" s="910"/>
      <c r="X92" s="910"/>
      <c r="Y92" s="910"/>
      <c r="Z92" s="910"/>
      <c r="AA92" s="910"/>
      <c r="AB92" s="735"/>
      <c r="AC92" s="735"/>
      <c r="AD92" s="735"/>
      <c r="AE92" s="735"/>
      <c r="AF92" s="735"/>
    </row>
    <row s="1666" customFormat="1" customHeight="1" ht="18.75">
      <c r="A93" s="2319"/>
      <c r="B93" s="910"/>
      <c r="C93" s="733"/>
      <c r="D93" s="731"/>
      <c r="E93" s="544" t="str">
        <f>FHD_NUM_P_51</f>
        <v>10.2.2</v>
      </c>
      <c r="F93" s="704" t="str">
        <f>FHD_P_51</f>
        <v>Объём отпущенной потребителям воды, определенный по нормативам потребления коммунальных ресурсов </v>
      </c>
      <c r="G93" s="718" t="s">
        <v>1738</v>
      </c>
      <c r="H93" s="978"/>
      <c r="I93" s="575">
        <v>0</v>
      </c>
      <c r="J93" s="978">
        <v>0</v>
      </c>
      <c r="K93" s="978"/>
      <c r="L93" s="732"/>
      <c r="M93" s="733"/>
      <c r="N93" s="733"/>
      <c r="O93" s="910"/>
      <c r="P93" s="910"/>
      <c r="Q93" s="910"/>
      <c r="R93" s="910"/>
      <c r="S93" s="733"/>
      <c r="T93" s="910"/>
      <c r="U93" s="910"/>
      <c r="V93" s="734"/>
      <c r="W93" s="910"/>
      <c r="X93" s="910"/>
      <c r="Y93" s="910"/>
      <c r="Z93" s="910"/>
      <c r="AA93" s="910"/>
      <c r="AB93" s="735"/>
      <c r="AC93" s="735"/>
      <c r="AD93" s="735"/>
      <c r="AE93" s="735"/>
      <c r="AF93" s="735"/>
    </row>
    <row s="1666" customFormat="1" customHeight="1" ht="18.75">
      <c r="A94" s="2319"/>
      <c r="B94" s="910"/>
      <c r="C94" s="733"/>
      <c r="D94" s="731"/>
      <c r="E94" s="544" t="str">
        <f>FHD_NUM_P_52</f>
        <v>11</v>
      </c>
      <c r="F94" s="704" t="str">
        <f>FHD_P_52</f>
        <v>Потери воды в сетях</v>
      </c>
      <c r="G94" s="718" t="s">
        <v>1632</v>
      </c>
      <c r="H94" s="977"/>
      <c r="I94" s="555">
        <v>0</v>
      </c>
      <c r="J94" s="977">
        <v>0</v>
      </c>
      <c r="K94" s="977"/>
      <c r="L94" s="732"/>
      <c r="M94" s="733"/>
      <c r="N94" s="733"/>
      <c r="O94" s="910"/>
      <c r="P94" s="910"/>
      <c r="Q94" s="910"/>
      <c r="R94" s="910"/>
      <c r="S94" s="733"/>
      <c r="T94" s="910"/>
      <c r="U94" s="910"/>
      <c r="V94" s="734"/>
      <c r="W94" s="910"/>
      <c r="X94" s="910"/>
      <c r="Y94" s="910"/>
      <c r="Z94" s="910"/>
      <c r="AA94" s="910"/>
      <c r="AB94" s="735"/>
      <c r="AC94" s="735"/>
      <c r="AD94" s="735"/>
      <c r="AE94" s="735"/>
      <c r="AF94" s="735"/>
    </row>
    <row s="1389" customFormat="1" customHeight="1" ht="18.75" hidden="1">
      <c r="A95" s="2321" t="s">
        <v>1739</v>
      </c>
      <c r="C95" s="733"/>
      <c r="D95" s="731"/>
      <c r="E95" s="544" t="str">
        <f>FHD_NUM_P_53</f>
        <v/>
      </c>
      <c r="F95" s="704" t="str">
        <f>FHD_P_53</f>
        <v/>
      </c>
      <c r="G95" s="718" t="s">
        <v>1738</v>
      </c>
      <c r="H95" s="978"/>
      <c r="I95" s="575">
        <v>5</v>
      </c>
      <c r="J95" s="978">
        <v>8.5</v>
      </c>
      <c r="K95" s="978"/>
      <c r="L95" s="732"/>
      <c r="M95" s="733"/>
      <c r="N95" s="733"/>
      <c r="S95" s="733"/>
      <c r="V95" s="734"/>
      <c r="AB95" s="735"/>
      <c r="AC95" s="735"/>
      <c r="AD95" s="735"/>
      <c r="AE95" s="735"/>
      <c r="AF95" s="735"/>
    </row>
    <row s="1389" customFormat="1" customHeight="1" ht="18.75" hidden="1">
      <c r="A96" s="2321"/>
      <c r="C96" s="733"/>
      <c r="D96" s="731"/>
      <c r="E96" s="544" t="str">
        <f>FHD_NUM_P_54</f>
        <v/>
      </c>
      <c r="F96" s="704" t="str">
        <f>FHD_P_54</f>
        <v/>
      </c>
      <c r="G96" s="718" t="s">
        <v>1738</v>
      </c>
      <c r="H96" s="978"/>
      <c r="I96" s="575">
        <v>1.2302</v>
      </c>
      <c r="J96" s="978">
        <v>0.6289</v>
      </c>
      <c r="K96" s="978"/>
      <c r="L96" s="732"/>
      <c r="M96" s="733"/>
      <c r="N96" s="733"/>
      <c r="S96" s="733"/>
      <c r="V96" s="734"/>
      <c r="AB96" s="735"/>
      <c r="AC96" s="735"/>
      <c r="AD96" s="735"/>
      <c r="AE96" s="735"/>
      <c r="AF96" s="735"/>
    </row>
    <row s="1389" customFormat="1" customHeight="1" ht="18.75" hidden="1">
      <c r="A97" s="2321"/>
      <c r="C97" s="733"/>
      <c r="D97" s="736"/>
      <c r="E97" s="544" t="str">
        <f>FHD_NUM_P_55</f>
        <v/>
      </c>
      <c r="F97" s="704" t="str">
        <f>FHD_P_55</f>
        <v/>
      </c>
      <c r="G97" s="889"/>
      <c r="H97" s="978"/>
      <c r="I97" s="575">
        <v>14.01</v>
      </c>
      <c r="J97" s="978">
        <v>26.2</v>
      </c>
      <c r="K97" s="978"/>
      <c r="L97" s="732"/>
      <c r="M97" s="733"/>
      <c r="N97" s="733"/>
      <c r="S97" s="733"/>
      <c r="V97" s="734"/>
      <c r="AB97" s="735"/>
      <c r="AC97" s="735"/>
      <c r="AD97" s="735"/>
      <c r="AE97" s="735"/>
      <c r="AF97" s="735"/>
    </row>
    <row s="1389" customFormat="1" customHeight="1" ht="18.75" hidden="1">
      <c r="A98" s="2321"/>
      <c r="C98" s="733"/>
      <c r="D98" s="731"/>
      <c r="E98" s="544" t="str">
        <f>FHD_NUM_P_56</f>
        <v/>
      </c>
      <c r="F98" s="704" t="str">
        <f>FHD_P_56</f>
        <v/>
      </c>
      <c r="G98" s="718" t="s">
        <v>847</v>
      </c>
      <c r="H98" s="978"/>
      <c r="I98" s="575">
        <v>0</v>
      </c>
      <c r="J98" s="978">
        <v>0</v>
      </c>
      <c r="K98" s="978"/>
      <c r="L98" s="732"/>
      <c r="M98" s="733"/>
      <c r="N98" s="733"/>
      <c r="S98" s="733"/>
      <c r="V98" s="734"/>
      <c r="AB98" s="735"/>
      <c r="AC98" s="735"/>
      <c r="AD98" s="735"/>
      <c r="AE98" s="735"/>
      <c r="AF98" s="735"/>
    </row>
    <row s="1666" customFormat="1" customHeight="1" ht="18.75" hidden="1">
      <c r="A99" s="2321"/>
      <c r="B99" s="910"/>
      <c r="C99" s="733"/>
      <c r="D99" s="731"/>
      <c r="E99" s="544" t="str">
        <f>FHD_NUM_P_57</f>
        <v/>
      </c>
      <c r="F99" s="704" t="str">
        <f>FHD_P_57</f>
        <v/>
      </c>
      <c r="G99" s="718" t="s">
        <v>1632</v>
      </c>
      <c r="H99" s="977"/>
      <c r="I99" s="555">
        <v>58.67</v>
      </c>
      <c r="J99" s="977">
        <v>77.67</v>
      </c>
      <c r="K99" s="977"/>
      <c r="L99" s="732"/>
      <c r="M99" s="733"/>
      <c r="N99" s="733"/>
      <c r="O99" s="910"/>
      <c r="P99" s="910"/>
      <c r="Q99" s="910"/>
      <c r="R99" s="910"/>
      <c r="S99" s="733"/>
      <c r="T99" s="910"/>
      <c r="U99" s="910"/>
      <c r="V99" s="734"/>
      <c r="W99" s="910"/>
      <c r="X99" s="910"/>
      <c r="Y99" s="910"/>
      <c r="Z99" s="910"/>
      <c r="AA99" s="910"/>
      <c r="AB99" s="735"/>
      <c r="AC99" s="735"/>
      <c r="AD99" s="735"/>
      <c r="AE99" s="735"/>
      <c r="AF99" s="735"/>
    </row>
    <row customHeight="1" ht="18.75" hidden="1">
      <c r="A100" s="2319" t="s">
        <v>1740</v>
      </c>
      <c r="D100" s="1669"/>
      <c r="E100" s="544" t="str">
        <f>FHD_NUM_P_58</f>
        <v/>
      </c>
      <c r="F100" s="704" t="str">
        <f>FHD_P_58</f>
        <v/>
      </c>
      <c r="G100" s="718" t="s">
        <v>1738</v>
      </c>
      <c r="H100" s="978"/>
      <c r="I100" s="575"/>
      <c r="J100" s="978"/>
      <c r="K100" s="978"/>
      <c r="L100" s="541"/>
    </row>
    <row customHeight="1" ht="18.75" hidden="1">
      <c r="A101" s="2319"/>
      <c r="D101" s="1669"/>
      <c r="E101" s="544" t="str">
        <f>FHD_NUM_P_59</f>
        <v/>
      </c>
      <c r="F101" s="704" t="str">
        <f>FHD_P_59</f>
        <v/>
      </c>
      <c r="G101" s="718" t="s">
        <v>1738</v>
      </c>
      <c r="H101" s="978"/>
      <c r="I101" s="575"/>
      <c r="J101" s="978"/>
      <c r="K101" s="978"/>
      <c r="L101" s="541"/>
    </row>
    <row customHeight="1" ht="18.75" hidden="1">
      <c r="A102" s="2319"/>
      <c r="D102" s="1669"/>
      <c r="E102" s="544" t="str">
        <f>FHD_NUM_P_60</f>
        <v/>
      </c>
      <c r="F102" s="704" t="str">
        <f>FHD_P_60</f>
        <v/>
      </c>
      <c r="G102" s="718" t="s">
        <v>1738</v>
      </c>
      <c r="H102" s="978"/>
      <c r="I102" s="575"/>
      <c r="J102" s="978"/>
      <c r="K102" s="978"/>
      <c r="L102" s="541"/>
    </row>
    <row s="1389" customFormat="1" customHeight="1" ht="18.75" hidden="1">
      <c r="A103" s="2319" t="s">
        <v>1741</v>
      </c>
      <c r="C103" s="1667"/>
      <c r="D103" s="1669"/>
      <c r="E103" s="544" t="str">
        <f>FHD_NUM_P_61</f>
        <v/>
      </c>
      <c r="F103" s="704" t="str">
        <f>FHD_P_61</f>
        <v/>
      </c>
      <c r="G103" s="1677" t="s">
        <v>630</v>
      </c>
      <c r="H103" s="980"/>
      <c r="I103" s="740"/>
      <c r="J103" s="980"/>
      <c r="K103" s="980"/>
      <c r="L103" s="541"/>
      <c r="M103" s="1667"/>
      <c r="N103" s="1667"/>
      <c r="S103" s="1667"/>
      <c r="V103" s="542"/>
      <c r="AB103" s="1663"/>
      <c r="AC103" s="1663"/>
      <c r="AD103" s="1663"/>
      <c r="AE103" s="1663"/>
      <c r="AF103" s="1663"/>
    </row>
    <row s="1673" customFormat="1" customHeight="1" ht="0.75" hidden="1">
      <c r="A104" s="2319"/>
      <c r="D104" s="546"/>
      <c r="E104" s="800" t="str">
        <f>E103&amp;".0"</f>
        <v>.0</v>
      </c>
      <c r="F104" s="995"/>
      <c r="G104" s="996"/>
      <c r="H104" s="993"/>
      <c r="I104" s="993"/>
      <c r="J104" s="993"/>
      <c r="K104" s="993"/>
    </row>
    <row customHeight="1" ht="15" hidden="1">
      <c r="A105" s="2319"/>
      <c r="D105" s="1664"/>
      <c r="E105" s="972"/>
      <c r="F105" s="973" t="s">
        <v>1571</v>
      </c>
      <c r="G105" s="570"/>
      <c r="H105" s="571"/>
      <c r="I105" s="571"/>
      <c r="J105" s="2440"/>
      <c r="K105" s="2441"/>
      <c r="L105" s="541"/>
    </row>
    <row s="1389" customFormat="1" customHeight="1" ht="18.75" hidden="1">
      <c r="A106" s="2319"/>
      <c r="C106" s="1667"/>
      <c r="D106" s="1669"/>
      <c r="E106" s="544" t="str">
        <f>FHD_NUM_P_62</f>
        <v/>
      </c>
      <c r="F106" s="704" t="str">
        <f>FHD_P_62</f>
        <v/>
      </c>
      <c r="G106" s="1674" t="s">
        <v>630</v>
      </c>
      <c r="H106" s="555"/>
      <c r="I106" s="555"/>
      <c r="J106" s="555"/>
      <c r="K106" s="555"/>
      <c r="L106" s="541"/>
      <c r="M106" s="1667"/>
      <c r="N106" s="1667"/>
      <c r="S106" s="1667"/>
      <c r="V106" s="542"/>
      <c r="AB106" s="1663"/>
      <c r="AC106" s="1663"/>
      <c r="AD106" s="1663"/>
      <c r="AE106" s="1663"/>
      <c r="AF106" s="1663"/>
    </row>
    <row s="1389" customFormat="1" customHeight="1" ht="18.75" hidden="1">
      <c r="A107" s="2319"/>
      <c r="C107" s="1667"/>
      <c r="D107" s="1669"/>
      <c r="E107" s="544" t="str">
        <f>FHD_NUM_P_63</f>
        <v/>
      </c>
      <c r="F107" s="704" t="str">
        <f>FHD_P_63</f>
        <v/>
      </c>
      <c r="G107" s="1674" t="s">
        <v>847</v>
      </c>
      <c r="H107" s="575"/>
      <c r="I107" s="575"/>
      <c r="J107" s="575"/>
      <c r="K107" s="575"/>
      <c r="L107" s="541"/>
      <c r="M107" s="1667"/>
      <c r="N107" s="1667"/>
      <c r="S107" s="1667"/>
      <c r="V107" s="542"/>
      <c r="AB107" s="1663"/>
      <c r="AC107" s="1663"/>
      <c r="AD107" s="1663"/>
      <c r="AE107" s="1663"/>
      <c r="AF107" s="1663"/>
    </row>
    <row s="1389" customFormat="1" customHeight="1" ht="18.75" hidden="1">
      <c r="A108" s="2319"/>
      <c r="C108" s="1667" t="s">
        <v>1742</v>
      </c>
      <c r="D108" s="1669"/>
      <c r="E108" s="544" t="str">
        <f>FHD_NUM_P_64</f>
        <v/>
      </c>
      <c r="F108" s="704" t="str">
        <f>FHD_P_64</f>
        <v/>
      </c>
      <c r="G108" s="1674" t="s">
        <v>847</v>
      </c>
      <c r="H108" s="543"/>
      <c r="I108" s="543"/>
      <c r="J108" s="543"/>
      <c r="K108" s="543"/>
      <c r="L108" s="541"/>
      <c r="M108" s="1667"/>
      <c r="N108" s="1667"/>
      <c r="S108" s="1667"/>
      <c r="V108" s="542"/>
      <c r="AB108" s="1663"/>
      <c r="AC108" s="1663"/>
      <c r="AD108" s="1663"/>
      <c r="AE108" s="1663"/>
      <c r="AF108" s="1663"/>
    </row>
    <row s="1389" customFormat="1" customHeight="1" ht="18.75" hidden="1">
      <c r="A109" s="2319"/>
      <c r="C109" s="1667"/>
      <c r="D109" s="1669"/>
      <c r="E109" s="544" t="str">
        <f>FHD_NUM_P_65</f>
        <v/>
      </c>
      <c r="F109" s="704" t="str">
        <f>FHD_P_65</f>
        <v/>
      </c>
      <c r="G109" s="1674" t="s">
        <v>847</v>
      </c>
      <c r="H109" s="575"/>
      <c r="I109" s="575"/>
      <c r="J109" s="575"/>
      <c r="K109" s="575"/>
      <c r="L109" s="541"/>
      <c r="M109" s="1667"/>
      <c r="N109" s="1667"/>
      <c r="S109" s="1667"/>
      <c r="V109" s="542"/>
      <c r="AB109" s="1663"/>
      <c r="AC109" s="1663"/>
      <c r="AD109" s="1663"/>
      <c r="AE109" s="1663"/>
      <c r="AF109" s="1663"/>
    </row>
    <row s="1389" customFormat="1" customHeight="1" ht="18.75" hidden="1">
      <c r="A110" s="2319"/>
      <c r="C110" s="1667"/>
      <c r="D110" s="1669"/>
      <c r="E110" s="544" t="str">
        <f>FHD_NUM_P_66</f>
        <v/>
      </c>
      <c r="F110" s="955" t="str">
        <f>FHD_P_66</f>
        <v/>
      </c>
      <c r="G110" s="1674" t="s">
        <v>847</v>
      </c>
      <c r="H110" s="575"/>
      <c r="I110" s="575"/>
      <c r="J110" s="575"/>
      <c r="K110" s="575"/>
      <c r="L110" s="541"/>
      <c r="M110" s="1667"/>
      <c r="N110" s="1667"/>
      <c r="S110" s="1667"/>
      <c r="V110" s="542"/>
      <c r="AB110" s="1663"/>
      <c r="AC110" s="1663"/>
      <c r="AD110" s="1663"/>
      <c r="AE110" s="1663"/>
      <c r="AF110" s="1663"/>
    </row>
    <row s="1389" customFormat="1" customHeight="1" ht="18.75" hidden="1">
      <c r="A111" s="2319"/>
      <c r="C111" s="1667"/>
      <c r="D111" s="1669"/>
      <c r="E111" s="544" t="str">
        <f>FHD_NUM_P_67</f>
        <v/>
      </c>
      <c r="F111" s="1681" t="str">
        <f>FHD_P_67</f>
        <v/>
      </c>
      <c r="G111" s="1674" t="s">
        <v>847</v>
      </c>
      <c r="H111" s="575"/>
      <c r="I111" s="575"/>
      <c r="J111" s="575"/>
      <c r="K111" s="575"/>
      <c r="L111" s="541"/>
      <c r="M111" s="1667"/>
      <c r="N111" s="1667"/>
      <c r="S111" s="1667"/>
      <c r="V111" s="542"/>
      <c r="AB111" s="1663"/>
      <c r="AC111" s="1663"/>
      <c r="AD111" s="1663"/>
      <c r="AE111" s="1663"/>
      <c r="AF111" s="1663"/>
    </row>
    <row s="1389" customFormat="1" customHeight="1" ht="18.75" hidden="1">
      <c r="A112" s="2319"/>
      <c r="C112" s="1667"/>
      <c r="D112" s="1669"/>
      <c r="E112" s="544" t="str">
        <f>FHD_NUM_P_68</f>
        <v/>
      </c>
      <c r="F112" s="955" t="str">
        <f>FHD_P_68</f>
        <v/>
      </c>
      <c r="G112" s="1674" t="s">
        <v>847</v>
      </c>
      <c r="H112" s="575"/>
      <c r="I112" s="575"/>
      <c r="J112" s="575"/>
      <c r="K112" s="575"/>
      <c r="L112" s="541"/>
      <c r="M112" s="1667"/>
      <c r="N112" s="1667"/>
      <c r="S112" s="1667"/>
      <c r="V112" s="542"/>
      <c r="AB112" s="1663"/>
      <c r="AC112" s="1663"/>
      <c r="AD112" s="1663"/>
      <c r="AE112" s="1663"/>
      <c r="AF112" s="1663"/>
    </row>
    <row s="1389" customFormat="1" customHeight="1" ht="18.75" hidden="1">
      <c r="A113" s="2319"/>
      <c r="C113" s="1667"/>
      <c r="D113" s="1669"/>
      <c r="E113" s="544" t="str">
        <f>FHD_NUM_P_69</f>
        <v/>
      </c>
      <c r="F113" s="955" t="str">
        <f>FHD_P_69</f>
        <v/>
      </c>
      <c r="G113" s="1674" t="s">
        <v>847</v>
      </c>
      <c r="H113" s="575"/>
      <c r="I113" s="575"/>
      <c r="J113" s="575"/>
      <c r="K113" s="575"/>
      <c r="L113" s="541"/>
      <c r="M113" s="1667"/>
      <c r="N113" s="1667"/>
      <c r="S113" s="1667"/>
      <c r="V113" s="542"/>
      <c r="AB113" s="1663"/>
      <c r="AC113" s="1663"/>
      <c r="AD113" s="1663"/>
      <c r="AE113" s="1663"/>
      <c r="AF113" s="1663"/>
    </row>
    <row s="1389" customFormat="1" customHeight="1" ht="22.5" hidden="1">
      <c r="A114" s="2319"/>
      <c r="C114" s="1667"/>
      <c r="D114" s="1669"/>
      <c r="E114" s="544" t="str">
        <f>FHD_NUM_P_70</f>
        <v/>
      </c>
      <c r="F114" s="704" t="str">
        <f>FHD_P_70</f>
        <v/>
      </c>
      <c r="G114" s="1674" t="s">
        <v>1743</v>
      </c>
      <c r="H114" s="555"/>
      <c r="I114" s="555"/>
      <c r="J114" s="555"/>
      <c r="K114" s="555"/>
      <c r="L114" s="541"/>
      <c r="M114" s="1667"/>
      <c r="N114" s="1667"/>
      <c r="S114" s="1667"/>
      <c r="V114" s="542"/>
      <c r="AB114" s="1663"/>
      <c r="AC114" s="1663"/>
      <c r="AD114" s="1663"/>
      <c r="AE114" s="1663"/>
      <c r="AF114" s="1663"/>
    </row>
    <row s="1389" customFormat="1" customHeight="1" ht="22.5" hidden="1">
      <c r="A115" s="2319"/>
      <c r="C115" s="1667"/>
      <c r="D115" s="1669"/>
      <c r="E115" s="544" t="str">
        <f>FHD_NUM_P_71</f>
        <v/>
      </c>
      <c r="F115" s="704" t="str">
        <f>FHD_P_71</f>
        <v/>
      </c>
      <c r="G115" s="1674" t="s">
        <v>1743</v>
      </c>
      <c r="H115" s="555"/>
      <c r="I115" s="555"/>
      <c r="J115" s="555"/>
      <c r="K115" s="555"/>
      <c r="L115" s="541"/>
      <c r="M115" s="1667"/>
      <c r="N115" s="1667"/>
      <c r="S115" s="1667"/>
      <c r="V115" s="542"/>
      <c r="AB115" s="1663"/>
      <c r="AC115" s="1663"/>
      <c r="AD115" s="1663"/>
      <c r="AE115" s="1663"/>
      <c r="AF115" s="1663"/>
    </row>
    <row customHeight="1" ht="18.75">
      <c r="D116" s="1669"/>
      <c r="E116" s="544" t="str">
        <f>FHD_NUM_P_72</f>
        <v>12</v>
      </c>
      <c r="F116" s="704" t="str">
        <f>FHD_P_72</f>
        <v>Среднесписочная численность основного производственного персонала</v>
      </c>
      <c r="G116" s="970" t="s">
        <v>1744</v>
      </c>
      <c r="H116" s="575"/>
      <c r="I116" s="575">
        <v>5</v>
      </c>
      <c r="J116" s="575">
        <v>8.5</v>
      </c>
      <c r="K116" s="575"/>
      <c r="L116" s="541"/>
    </row>
    <row customHeight="1" ht="18.75" hidden="1">
      <c r="A117" s="990" t="s">
        <v>1745</v>
      </c>
      <c r="D117" s="1669"/>
      <c r="E117" s="544" t="str">
        <f>FHD_NUM_P_73</f>
        <v/>
      </c>
      <c r="F117" s="704" t="str">
        <f>FHD_P_73</f>
        <v/>
      </c>
      <c r="G117" s="971" t="s">
        <v>1744</v>
      </c>
      <c r="H117" s="969"/>
      <c r="I117" s="969">
        <v>1.2302</v>
      </c>
      <c r="J117" s="969">
        <v>0.628935668644514</v>
      </c>
      <c r="K117" s="969"/>
      <c r="L117" s="541"/>
    </row>
    <row customHeight="1" ht="33.75">
      <c r="A118" s="990" t="s">
        <v>1746</v>
      </c>
      <c r="D118" s="1669"/>
      <c r="E118" s="544" t="str">
        <f>FHD_NUM_P_74</f>
        <v>13</v>
      </c>
      <c r="F118" s="704" t="str">
        <f>FHD_P_74</f>
        <v>Удельный расход электрической энергии на подачу воды в сеть</v>
      </c>
      <c r="G118" s="970" t="s">
        <v>1747</v>
      </c>
      <c r="H118" s="575"/>
      <c r="I118" s="575">
        <v>1.23019645504944</v>
      </c>
      <c r="J118" s="575">
        <v>0.628935668644514</v>
      </c>
      <c r="K118" s="575"/>
      <c r="L118" s="541"/>
    </row>
    <row s="1666" customFormat="1" customHeight="1" ht="18.75">
      <c r="A119" s="2321" t="s">
        <v>1748</v>
      </c>
      <c r="B119" s="910"/>
      <c r="C119" s="733"/>
      <c r="D119" s="731"/>
      <c r="E119" s="544" t="str">
        <f>FHD_NUM_P_75</f>
        <v>14</v>
      </c>
      <c r="F119" s="704" t="str">
        <f>FHD_P_75</f>
        <v>Расход воды на собственные нужды, в том числе:</v>
      </c>
      <c r="G119" s="970" t="s">
        <v>1632</v>
      </c>
      <c r="H119" s="555"/>
      <c r="I119" s="555">
        <v>1401.12677894577</v>
      </c>
      <c r="J119" s="555">
        <v>2620.409038591</v>
      </c>
      <c r="K119" s="555"/>
      <c r="L119" s="732"/>
      <c r="M119" s="733"/>
      <c r="N119" s="733"/>
      <c r="O119" s="910"/>
      <c r="P119" s="910"/>
      <c r="Q119" s="910"/>
      <c r="R119" s="910"/>
      <c r="S119" s="733"/>
      <c r="T119" s="910"/>
      <c r="U119" s="910"/>
      <c r="V119" s="734"/>
      <c r="W119" s="910"/>
      <c r="X119" s="910"/>
      <c r="Y119" s="910"/>
      <c r="Z119" s="910"/>
      <c r="AA119" s="910"/>
      <c r="AB119" s="735"/>
      <c r="AC119" s="735"/>
      <c r="AD119" s="735"/>
      <c r="AE119" s="735"/>
      <c r="AF119" s="735"/>
    </row>
    <row s="1666" customFormat="1" customHeight="1" ht="18.75">
      <c r="A120" s="2321"/>
      <c r="B120" s="910"/>
      <c r="C120" s="733"/>
      <c r="D120" s="731"/>
      <c r="E120" s="544" t="str">
        <f>FHD_NUM_P_76</f>
        <v>14.1</v>
      </c>
      <c r="F120" s="704" t="str">
        <f>FHD_P_76</f>
        <v>Расход воды на хозяйственно-бытовые нужды</v>
      </c>
      <c r="G120" s="970" t="s">
        <v>1632</v>
      </c>
      <c r="H120" s="555"/>
      <c r="I120" s="555">
        <v>0</v>
      </c>
      <c r="J120" s="555">
        <v>0</v>
      </c>
      <c r="K120" s="555"/>
      <c r="L120" s="732"/>
      <c r="M120" s="733"/>
      <c r="N120" s="733"/>
      <c r="O120" s="910"/>
      <c r="P120" s="910"/>
      <c r="Q120" s="910"/>
      <c r="R120" s="910"/>
      <c r="S120" s="733"/>
      <c r="T120" s="910"/>
      <c r="U120" s="910"/>
      <c r="V120" s="734"/>
      <c r="W120" s="910"/>
      <c r="X120" s="910"/>
      <c r="Y120" s="910"/>
      <c r="Z120" s="910"/>
      <c r="AA120" s="910"/>
      <c r="AB120" s="735"/>
      <c r="AC120" s="735"/>
      <c r="AD120" s="735"/>
      <c r="AE120" s="735"/>
      <c r="AF120" s="735"/>
    </row>
    <row s="1666" customFormat="1" customHeight="1" ht="18.75">
      <c r="A121" s="2321"/>
      <c r="B121" s="910"/>
      <c r="C121" s="733"/>
      <c r="D121" s="731"/>
      <c r="E121" s="544" t="str">
        <f>FHD_NUM_P_77</f>
        <v>15</v>
      </c>
      <c r="F121" s="704" t="str">
        <f>FHD_P_77</f>
        <v>Показатель использования производственных объектов (по объему перекачки), в том числе:</v>
      </c>
      <c r="G121" s="970" t="s">
        <v>1632</v>
      </c>
      <c r="H121" s="555"/>
      <c r="I121" s="555">
        <v>62.2955248132518</v>
      </c>
      <c r="J121" s="555">
        <v>86.75</v>
      </c>
      <c r="K121" s="555"/>
      <c r="L121" s="732"/>
      <c r="M121" s="733"/>
      <c r="N121" s="733"/>
      <c r="O121" s="910"/>
      <c r="P121" s="910"/>
      <c r="Q121" s="910"/>
      <c r="R121" s="910"/>
      <c r="S121" s="733"/>
      <c r="T121" s="910"/>
      <c r="U121" s="910"/>
      <c r="V121" s="734"/>
      <c r="W121" s="910"/>
      <c r="X121" s="910"/>
      <c r="Y121" s="910"/>
      <c r="Z121" s="910"/>
      <c r="AA121" s="910"/>
      <c r="AB121" s="735"/>
      <c r="AC121" s="735"/>
      <c r="AD121" s="735"/>
      <c r="AE121" s="735"/>
      <c r="AF121" s="735"/>
    </row>
    <row s="1673" customFormat="1" customHeight="1" ht="0.75">
      <c r="A122" s="2321"/>
      <c r="D122" s="546"/>
      <c r="E122" s="800" t="str">
        <f>E121&amp;".0"</f>
        <v>15.0</v>
      </c>
      <c r="F122" s="998"/>
      <c r="G122" s="1682"/>
      <c r="H122" s="993"/>
      <c r="I122" s="993"/>
      <c r="J122" s="993"/>
      <c r="K122" s="993"/>
    </row>
    <row s="1666" customFormat="1" customHeight="1" ht="15">
      <c r="A123" s="2321"/>
      <c r="B123" s="910"/>
      <c r="C123" s="733"/>
      <c r="D123" s="744"/>
      <c r="E123" s="974"/>
      <c r="F123" s="975" t="s">
        <v>1749</v>
      </c>
      <c r="G123" s="745"/>
      <c r="H123" s="746"/>
      <c r="I123" s="746"/>
      <c r="J123" s="2442"/>
      <c r="K123" s="2443"/>
      <c r="L123" s="732"/>
      <c r="M123" s="733"/>
      <c r="N123" s="733"/>
      <c r="O123" s="910"/>
      <c r="P123" s="910"/>
      <c r="Q123" s="910"/>
      <c r="R123" s="910"/>
      <c r="S123" s="733"/>
      <c r="T123" s="910"/>
      <c r="U123" s="910"/>
      <c r="V123" s="734"/>
      <c r="W123" s="910"/>
      <c r="X123" s="910"/>
      <c r="Y123" s="910"/>
      <c r="Z123" s="910"/>
      <c r="AA123" s="910"/>
      <c r="AB123" s="735"/>
      <c r="AC123" s="735"/>
      <c r="AD123" s="735"/>
      <c r="AE123" s="735"/>
      <c r="AF123" s="735"/>
    </row>
    <row customHeight="1" ht="22.5" hidden="1">
      <c r="A124" s="2319" t="s">
        <v>1750</v>
      </c>
      <c r="D124" s="1669"/>
      <c r="E124" s="544" t="str">
        <f>FHD_NUM_P_78</f>
        <v/>
      </c>
      <c r="F124" s="704" t="str">
        <f>FHD_P_78</f>
        <v/>
      </c>
      <c r="G124" s="1674" t="s">
        <v>1719</v>
      </c>
      <c r="H124" s="575"/>
      <c r="I124" s="575"/>
      <c r="J124" s="575"/>
      <c r="K124" s="575"/>
      <c r="L124" s="541"/>
    </row>
    <row s="1673" customFormat="1" customHeight="1" ht="0.75" hidden="1">
      <c r="A125" s="2319"/>
      <c r="D125" s="546"/>
      <c r="E125" s="800" t="str">
        <f>E124&amp;".0"</f>
        <v>.0</v>
      </c>
      <c r="F125" s="998"/>
      <c r="G125" s="1682"/>
      <c r="H125" s="993"/>
      <c r="I125" s="993"/>
      <c r="J125" s="993"/>
      <c r="K125" s="993"/>
    </row>
    <row customHeight="1" ht="15" hidden="1">
      <c r="A126" s="2319"/>
      <c r="D126" s="1664"/>
      <c r="E126" s="568"/>
      <c r="F126" s="578" t="s">
        <v>1571</v>
      </c>
      <c r="G126" s="570"/>
      <c r="H126" s="571"/>
      <c r="I126" s="571"/>
      <c r="J126" s="2444"/>
      <c r="K126" s="2445"/>
      <c r="L126" s="541"/>
    </row>
    <row customHeight="1" ht="22.5" hidden="1">
      <c r="A127" s="2319"/>
      <c r="D127" s="1669"/>
      <c r="E127" s="544" t="str">
        <f>FHD_NUM_P_79</f>
        <v/>
      </c>
      <c r="F127" s="704" t="str">
        <f>FHD_P_79</f>
        <v/>
      </c>
      <c r="G127" s="1677" t="s">
        <v>1720</v>
      </c>
      <c r="H127" s="575"/>
      <c r="I127" s="575"/>
      <c r="J127" s="575"/>
      <c r="K127" s="575"/>
      <c r="L127" s="541"/>
    </row>
    <row s="1673" customFormat="1" customHeight="1" ht="0.75" hidden="1">
      <c r="A128" s="2319"/>
      <c r="D128" s="546"/>
      <c r="E128" s="800" t="str">
        <f>E127&amp;".0"</f>
        <v>.0</v>
      </c>
      <c r="F128" s="999"/>
      <c r="G128" s="1682"/>
      <c r="H128" s="993"/>
      <c r="I128" s="993"/>
      <c r="J128" s="993"/>
      <c r="K128" s="993"/>
    </row>
    <row customHeight="1" ht="15" hidden="1">
      <c r="A129" s="2319"/>
      <c r="D129" s="1664"/>
      <c r="E129" s="568"/>
      <c r="F129" s="578" t="s">
        <v>1571</v>
      </c>
      <c r="G129" s="570"/>
      <c r="H129" s="571"/>
      <c r="I129" s="571"/>
      <c r="J129" s="2446"/>
      <c r="K129" s="2447"/>
      <c r="L129" s="541"/>
    </row>
    <row customHeight="1" ht="22.5" hidden="1">
      <c r="A130" s="2319"/>
      <c r="D130" s="1669"/>
      <c r="E130" s="544" t="str">
        <f>FHD_NUM_P_80</f>
        <v/>
      </c>
      <c r="F130" s="704" t="str">
        <f>FHD_P_80</f>
        <v/>
      </c>
      <c r="G130" s="1677" t="s">
        <v>1751</v>
      </c>
      <c r="H130" s="555"/>
      <c r="I130" s="555"/>
      <c r="J130" s="555"/>
      <c r="K130" s="555"/>
      <c r="L130" s="541"/>
    </row>
    <row customHeight="1" ht="18.75" hidden="1">
      <c r="A131" s="2319"/>
      <c r="D131" s="1669"/>
      <c r="E131" s="544" t="str">
        <f>FHD_NUM_P_81</f>
        <v/>
      </c>
      <c r="F131" s="704" t="str">
        <f>FHD_P_81</f>
        <v/>
      </c>
      <c r="G131" s="1677" t="s">
        <v>1752</v>
      </c>
      <c r="H131" s="555"/>
      <c r="I131" s="555"/>
      <c r="J131" s="555"/>
      <c r="K131" s="555"/>
      <c r="L131" s="541"/>
    </row>
    <row customHeight="1" ht="18.75" hidden="1">
      <c r="A132" s="2319"/>
      <c r="C132" s="1667" t="s">
        <v>1742</v>
      </c>
      <c r="D132" s="1669"/>
      <c r="E132" s="544" t="str">
        <f>FHD_NUM_P_82</f>
        <v/>
      </c>
      <c r="F132" s="704" t="str">
        <f>FHD_P_82</f>
        <v/>
      </c>
      <c r="G132" s="1677" t="s">
        <v>296</v>
      </c>
      <c r="H132" s="399"/>
      <c r="I132" s="399"/>
      <c r="J132" s="816"/>
      <c r="K132" s="816"/>
      <c r="L132" s="541"/>
    </row>
    <row customHeight="1" ht="18.75" hidden="1">
      <c r="A133" s="2319"/>
      <c r="C133" s="1667" t="s">
        <v>1742</v>
      </c>
      <c r="D133" s="1669"/>
      <c r="E133" s="544" t="str">
        <f>FHD_NUM_P_83</f>
        <v/>
      </c>
      <c r="F133" s="955" t="str">
        <f>FHD_P_83</f>
        <v/>
      </c>
      <c r="G133" s="1677" t="s">
        <v>296</v>
      </c>
      <c r="H133" s="399"/>
      <c r="I133" s="399"/>
      <c r="J133" s="816"/>
      <c r="K133" s="816"/>
      <c r="L133" s="541"/>
    </row>
    <row customHeight="1" ht="18.75" hidden="1">
      <c r="A134" s="2319"/>
      <c r="C134" s="1667" t="s">
        <v>1742</v>
      </c>
      <c r="D134" s="1669"/>
      <c r="E134" s="544" t="str">
        <f>FHD_NUM_P_84</f>
        <v/>
      </c>
      <c r="F134" s="955" t="str">
        <f>FHD_P_84</f>
        <v/>
      </c>
      <c r="G134" s="1677" t="s">
        <v>296</v>
      </c>
      <c r="H134" s="399"/>
      <c r="I134" s="399"/>
      <c r="J134" s="816"/>
      <c r="K134" s="816"/>
      <c r="L134" s="541"/>
    </row>
    <row customHeight="1" ht="11.25">
      <c r="D135" s="1669"/>
      <c r="J135" s="1666"/>
      <c r="K135" s="1666"/>
    </row>
    <row customHeight="1" ht="12.75">
      <c r="D136" s="1669"/>
      <c r="E136" s="324"/>
      <c r="F136" s="361"/>
      <c r="G136" s="361"/>
      <c r="H136" s="361"/>
      <c r="I136" s="1678"/>
      <c r="J136" s="1718"/>
      <c r="K136" s="1718"/>
    </row>
    <row s="1672" customFormat="1" customHeight="1" ht="11.25">
      <c r="A137" s="988"/>
      <c r="B137" s="1667"/>
      <c r="C137" s="1667"/>
      <c r="D137" s="339"/>
      <c r="F137" s="1671"/>
      <c r="G137" s="1662"/>
      <c r="H137" s="1662"/>
      <c r="I137" s="1662"/>
      <c r="J137" s="1666"/>
      <c r="K137" s="1666"/>
      <c r="L137" s="1161"/>
      <c r="M137" s="1667"/>
      <c r="N137" s="1667"/>
      <c r="O137" s="1161"/>
      <c r="P137" s="1161"/>
      <c r="Q137" s="1161"/>
      <c r="R137" s="1161"/>
      <c r="S137" s="1667"/>
      <c r="T137" s="1161"/>
      <c r="U137" s="1161"/>
      <c r="V137" s="542"/>
      <c r="W137" s="1161"/>
      <c r="X137" s="1161"/>
      <c r="Y137" s="1161"/>
      <c r="Z137" s="1161"/>
      <c r="AA137" s="1161"/>
      <c r="AB137" s="1663"/>
      <c r="AC137" s="564"/>
      <c r="AD137" s="564"/>
      <c r="AE137" s="564"/>
      <c r="AF137" s="564"/>
    </row>
    <row s="1672" customFormat="1" customHeight="1" ht="11.25">
      <c r="A138" s="988"/>
      <c r="B138" s="1667"/>
      <c r="C138" s="1667"/>
      <c r="D138" s="339"/>
      <c r="J138" s="1672"/>
      <c r="K138" s="1672"/>
      <c r="L138" s="1161"/>
      <c r="M138" s="1667"/>
      <c r="N138" s="1667"/>
      <c r="O138" s="1161"/>
      <c r="P138" s="1161"/>
      <c r="Q138" s="1161"/>
      <c r="R138" s="1161"/>
      <c r="S138" s="1667"/>
      <c r="T138" s="1161"/>
      <c r="U138" s="1161"/>
      <c r="V138" s="542"/>
      <c r="W138" s="1161"/>
      <c r="X138" s="1161"/>
      <c r="Y138" s="1161"/>
      <c r="Z138" s="1161"/>
      <c r="AA138" s="1161"/>
      <c r="AB138" s="1663"/>
      <c r="AC138" s="564"/>
      <c r="AD138" s="564"/>
      <c r="AE138" s="564"/>
      <c r="AF138" s="564"/>
    </row>
    <row s="1672" customFormat="1" customHeight="1" ht="11.25">
      <c r="A139" s="988"/>
      <c r="B139" s="1667"/>
      <c r="C139" s="1667"/>
      <c r="D139" s="339"/>
      <c r="J139" s="1672"/>
      <c r="K139" s="1672"/>
      <c r="L139" s="1161"/>
      <c r="M139" s="1667"/>
      <c r="N139" s="1667"/>
      <c r="O139" s="1161"/>
      <c r="P139" s="1161"/>
      <c r="Q139" s="1161"/>
      <c r="R139" s="1161"/>
      <c r="S139" s="1667"/>
      <c r="T139" s="1161"/>
      <c r="U139" s="1161"/>
      <c r="V139" s="542"/>
      <c r="W139" s="1161"/>
      <c r="X139" s="1161"/>
      <c r="Y139" s="1161"/>
      <c r="Z139" s="1161"/>
      <c r="AA139" s="1161"/>
      <c r="AB139" s="1663"/>
      <c r="AC139" s="564"/>
      <c r="AD139" s="564"/>
      <c r="AE139" s="564"/>
      <c r="AF139" s="564"/>
    </row>
    <row s="1672" customFormat="1" customHeight="1" ht="11.25">
      <c r="A140" s="988"/>
      <c r="B140" s="1667"/>
      <c r="C140" s="1667"/>
      <c r="D140" s="339"/>
      <c r="H140" s="564" t="str">
        <f>IF(H30-H31&lt;&gt;H76,"WARNING","")</f>
        <v/>
      </c>
      <c r="I140" s="564" t="str">
        <f>IF(I30-I31&lt;&gt;I76,"WARNING","")</f>
        <v>WARNING</v>
      </c>
      <c r="J140" s="620" t="str">
        <f>IF(J30-J31&lt;&gt;J76,"WARNING","")</f>
        <v>WARNING</v>
      </c>
      <c r="K140" s="620" t="str">
        <f>IF(K30-K31&lt;&gt;K76,"WARNING","")</f>
        <v/>
      </c>
      <c r="L140" s="1161"/>
      <c r="M140" s="1667"/>
      <c r="N140" s="1667"/>
      <c r="O140" s="1161"/>
      <c r="P140" s="1161"/>
      <c r="Q140" s="1161"/>
      <c r="R140" s="1161"/>
      <c r="S140" s="1667"/>
      <c r="T140" s="1161"/>
      <c r="U140" s="1161"/>
      <c r="V140" s="542"/>
      <c r="W140" s="1161"/>
      <c r="X140" s="1161"/>
      <c r="Y140" s="1161"/>
      <c r="Z140" s="1161"/>
      <c r="AA140" s="1161"/>
      <c r="AB140" s="1663"/>
      <c r="AC140" s="564"/>
      <c r="AD140" s="564"/>
      <c r="AE140" s="564"/>
      <c r="AF140" s="564"/>
    </row>
    <row s="1672" customFormat="1" customHeight="1" ht="11.25">
      <c r="A141" s="988"/>
      <c r="B141" s="1667"/>
      <c r="C141" s="1667"/>
      <c r="D141" s="339"/>
      <c r="J141" s="1672"/>
      <c r="K141" s="1672"/>
      <c r="L141" s="1161"/>
      <c r="M141" s="1667"/>
      <c r="N141" s="1667"/>
      <c r="O141" s="1161"/>
      <c r="P141" s="1161"/>
      <c r="Q141" s="1161"/>
      <c r="R141" s="1161"/>
      <c r="S141" s="1667"/>
      <c r="T141" s="1161"/>
      <c r="U141" s="1161"/>
      <c r="V141" s="542"/>
      <c r="W141" s="1161"/>
      <c r="X141" s="1161"/>
      <c r="Y141" s="1161"/>
      <c r="Z141" s="1161"/>
      <c r="AA141" s="1161"/>
      <c r="AB141" s="1663"/>
      <c r="AC141" s="564"/>
      <c r="AD141" s="564"/>
      <c r="AE141" s="564"/>
      <c r="AF141" s="564"/>
    </row>
    <row s="1672" customFormat="1" customHeight="1" ht="11.25">
      <c r="A142" s="988"/>
      <c r="B142" s="1667"/>
      <c r="C142" s="1667"/>
      <c r="D142" s="339"/>
      <c r="J142" s="1672"/>
      <c r="K142" s="1672"/>
      <c r="L142" s="1161"/>
      <c r="M142" s="1667"/>
      <c r="N142" s="1667"/>
      <c r="O142" s="1161"/>
      <c r="P142" s="1161"/>
      <c r="Q142" s="1161"/>
      <c r="R142" s="1161"/>
      <c r="S142" s="1667"/>
      <c r="T142" s="1161"/>
      <c r="U142" s="1161"/>
      <c r="V142" s="542"/>
      <c r="W142" s="1161"/>
      <c r="X142" s="1161"/>
      <c r="Y142" s="1161"/>
      <c r="Z142" s="1161"/>
      <c r="AA142" s="1161"/>
      <c r="AB142" s="1663"/>
      <c r="AC142" s="564"/>
      <c r="AD142" s="564"/>
      <c r="AE142" s="564"/>
      <c r="AF142" s="564"/>
    </row>
    <row s="1672" customFormat="1" customHeight="1" ht="11.25">
      <c r="A143" s="988"/>
      <c r="B143" s="1667"/>
      <c r="C143" s="1667"/>
      <c r="D143" s="339"/>
      <c r="J143" s="1672"/>
      <c r="K143" s="1672"/>
      <c r="L143" s="1161"/>
      <c r="M143" s="1667"/>
      <c r="N143" s="1667"/>
      <c r="O143" s="1161"/>
      <c r="P143" s="1161"/>
      <c r="Q143" s="1161"/>
      <c r="R143" s="1161"/>
      <c r="S143" s="1667"/>
      <c r="T143" s="1161"/>
      <c r="U143" s="1161"/>
      <c r="V143" s="542"/>
      <c r="W143" s="1161"/>
      <c r="X143" s="1161"/>
      <c r="Y143" s="1161"/>
      <c r="Z143" s="1161"/>
      <c r="AA143" s="1161"/>
      <c r="AB143" s="1663"/>
      <c r="AC143" s="564"/>
      <c r="AD143" s="564"/>
      <c r="AE143" s="564"/>
      <c r="AF143" s="564"/>
    </row>
    <row s="1672" customFormat="1" customHeight="1" ht="11.25">
      <c r="A144" s="988"/>
      <c r="B144" s="1667"/>
      <c r="C144" s="1667"/>
      <c r="D144" s="339"/>
      <c r="J144" s="1672"/>
      <c r="K144" s="1672"/>
      <c r="L144" s="1161"/>
      <c r="M144" s="1667"/>
      <c r="N144" s="1667"/>
      <c r="O144" s="1161"/>
      <c r="P144" s="1161"/>
      <c r="Q144" s="1161"/>
      <c r="R144" s="1161"/>
      <c r="S144" s="1667"/>
      <c r="T144" s="1161"/>
      <c r="U144" s="1161"/>
      <c r="V144" s="542"/>
      <c r="W144" s="1161"/>
      <c r="X144" s="1161"/>
      <c r="Y144" s="1161"/>
      <c r="Z144" s="1161"/>
      <c r="AA144" s="1161"/>
      <c r="AB144" s="1663"/>
      <c r="AC144" s="564"/>
      <c r="AD144" s="564"/>
      <c r="AE144" s="564"/>
      <c r="AF144" s="564"/>
    </row>
    <row s="1672" customFormat="1" customHeight="1" ht="11.25">
      <c r="A145" s="988"/>
      <c r="B145" s="1667"/>
      <c r="C145" s="1667"/>
      <c r="D145" s="339"/>
      <c r="J145" s="1672"/>
      <c r="K145" s="1672"/>
      <c r="L145" s="1161"/>
      <c r="M145" s="1667"/>
      <c r="N145" s="1667"/>
      <c r="O145" s="1161"/>
      <c r="P145" s="1161"/>
      <c r="Q145" s="1161"/>
      <c r="R145" s="1161"/>
      <c r="S145" s="1667"/>
      <c r="T145" s="1161"/>
      <c r="U145" s="1161"/>
      <c r="V145" s="542"/>
      <c r="W145" s="1161"/>
      <c r="X145" s="1161"/>
      <c r="Y145" s="1161"/>
      <c r="Z145" s="1161"/>
      <c r="AA145" s="1161"/>
      <c r="AB145" s="1663"/>
      <c r="AC145" s="564"/>
      <c r="AD145" s="564"/>
      <c r="AE145" s="564"/>
      <c r="AF145" s="564"/>
    </row>
    <row s="1672" customFormat="1" customHeight="1" ht="11.25">
      <c r="A146" s="988"/>
      <c r="B146" s="1667"/>
      <c r="C146" s="1667"/>
      <c r="D146" s="339"/>
      <c r="J146" s="1672"/>
      <c r="K146" s="1672"/>
      <c r="L146" s="1161"/>
      <c r="M146" s="1667"/>
      <c r="N146" s="1667"/>
      <c r="O146" s="1161"/>
      <c r="P146" s="1161"/>
      <c r="Q146" s="1161"/>
      <c r="R146" s="1161"/>
      <c r="S146" s="1667"/>
      <c r="T146" s="1161"/>
      <c r="U146" s="1161"/>
      <c r="V146" s="542"/>
      <c r="W146" s="1161"/>
      <c r="X146" s="1161"/>
      <c r="Y146" s="1161"/>
      <c r="Z146" s="1161"/>
      <c r="AA146" s="1161"/>
      <c r="AB146" s="1663"/>
      <c r="AC146" s="564"/>
      <c r="AD146" s="564"/>
      <c r="AE146" s="564"/>
      <c r="AF146" s="564"/>
    </row>
    <row s="1672" customFormat="1" customHeight="1" ht="11.25">
      <c r="A147" s="988"/>
      <c r="B147" s="1667"/>
      <c r="C147" s="1667"/>
      <c r="D147" s="339"/>
      <c r="J147" s="1672"/>
      <c r="K147" s="1672"/>
      <c r="L147" s="1161"/>
      <c r="M147" s="1667"/>
      <c r="N147" s="1667"/>
      <c r="O147" s="1161"/>
      <c r="P147" s="1161"/>
      <c r="Q147" s="1161"/>
      <c r="R147" s="1161"/>
      <c r="S147" s="1667"/>
      <c r="T147" s="1161"/>
      <c r="U147" s="1161"/>
      <c r="V147" s="542"/>
      <c r="W147" s="1161"/>
      <c r="X147" s="1161"/>
      <c r="Y147" s="1161"/>
      <c r="Z147" s="1161"/>
      <c r="AA147" s="1161"/>
      <c r="AB147" s="1663"/>
      <c r="AC147" s="564"/>
      <c r="AD147" s="564"/>
      <c r="AE147" s="564"/>
      <c r="AF147" s="564"/>
    </row>
    <row s="1672" customFormat="1" customHeight="1" ht="11.25">
      <c r="A148" s="988"/>
      <c r="B148" s="1667"/>
      <c r="C148" s="1667"/>
      <c r="D148" s="339"/>
      <c r="J148" s="1672"/>
      <c r="K148" s="1672"/>
      <c r="L148" s="1161"/>
      <c r="M148" s="1667"/>
      <c r="N148" s="1667"/>
      <c r="O148" s="1161"/>
      <c r="P148" s="1161"/>
      <c r="Q148" s="1161"/>
      <c r="R148" s="1161"/>
      <c r="S148" s="1667"/>
      <c r="T148" s="1161"/>
      <c r="U148" s="1161"/>
      <c r="V148" s="542"/>
      <c r="W148" s="1161"/>
      <c r="X148" s="1161"/>
      <c r="Y148" s="1161"/>
      <c r="Z148" s="1161"/>
      <c r="AA148" s="1161"/>
      <c r="AB148" s="1663"/>
      <c r="AC148" s="564"/>
      <c r="AD148" s="564"/>
      <c r="AE148" s="564"/>
      <c r="AF148" s="564"/>
    </row>
    <row s="1672" customFormat="1" customHeight="1" ht="11.25">
      <c r="A149" s="988"/>
      <c r="B149" s="1667"/>
      <c r="C149" s="1667"/>
      <c r="D149" s="339"/>
      <c r="J149" s="1672"/>
      <c r="K149" s="1672"/>
      <c r="L149" s="1161"/>
      <c r="M149" s="1667"/>
      <c r="N149" s="1667"/>
      <c r="O149" s="1161"/>
      <c r="P149" s="1161"/>
      <c r="Q149" s="1161"/>
      <c r="R149" s="1161"/>
      <c r="S149" s="1667"/>
      <c r="T149" s="1161"/>
      <c r="U149" s="1161"/>
      <c r="V149" s="542"/>
      <c r="W149" s="1161"/>
      <c r="X149" s="1161"/>
      <c r="Y149" s="1161"/>
      <c r="Z149" s="1161"/>
      <c r="AA149" s="1161"/>
      <c r="AB149" s="1663"/>
      <c r="AC149" s="564"/>
      <c r="AD149" s="564"/>
      <c r="AE149" s="564"/>
      <c r="AF149" s="564"/>
    </row>
    <row s="1672" customFormat="1" customHeight="1" ht="11.25">
      <c r="A150" s="988"/>
      <c r="B150" s="1667"/>
      <c r="C150" s="1667"/>
      <c r="D150" s="339"/>
      <c r="J150" s="1672"/>
      <c r="K150" s="1672"/>
      <c r="L150" s="1161"/>
      <c r="M150" s="1667"/>
      <c r="N150" s="1667"/>
      <c r="O150" s="1161"/>
      <c r="P150" s="1161"/>
      <c r="Q150" s="1161"/>
      <c r="R150" s="1161"/>
      <c r="S150" s="1667"/>
      <c r="T150" s="1161"/>
      <c r="U150" s="1161"/>
      <c r="V150" s="542"/>
      <c r="W150" s="1161"/>
      <c r="X150" s="1161"/>
      <c r="Y150" s="1161"/>
      <c r="Z150" s="1161"/>
      <c r="AA150" s="1161"/>
      <c r="AB150" s="1663"/>
      <c r="AC150" s="564"/>
      <c r="AD150" s="564"/>
      <c r="AE150" s="564"/>
      <c r="AF150" s="564"/>
    </row>
    <row s="1672" customFormat="1" customHeight="1" ht="11.25">
      <c r="A151" s="988"/>
      <c r="B151" s="1667"/>
      <c r="C151" s="1667"/>
      <c r="D151" s="339"/>
      <c r="J151" s="1672"/>
      <c r="K151" s="1672"/>
      <c r="L151" s="1161"/>
      <c r="M151" s="1667"/>
      <c r="N151" s="1667"/>
      <c r="O151" s="1161"/>
      <c r="P151" s="1161"/>
      <c r="Q151" s="1161"/>
      <c r="R151" s="1161"/>
      <c r="S151" s="1667"/>
      <c r="T151" s="1161"/>
      <c r="U151" s="1161"/>
      <c r="V151" s="542"/>
      <c r="W151" s="1161"/>
      <c r="X151" s="1161"/>
      <c r="Y151" s="1161"/>
      <c r="Z151" s="1161"/>
      <c r="AA151" s="1161"/>
      <c r="AB151" s="1663"/>
      <c r="AC151" s="564"/>
      <c r="AD151" s="564"/>
      <c r="AE151" s="564"/>
      <c r="AF151" s="564"/>
    </row>
    <row s="1672" customFormat="1" customHeight="1" ht="11.25">
      <c r="A152" s="988"/>
      <c r="B152" s="1667"/>
      <c r="C152" s="1667"/>
      <c r="D152" s="339"/>
      <c r="J152" s="1672"/>
      <c r="K152" s="1672"/>
      <c r="L152" s="1161"/>
      <c r="M152" s="1667"/>
      <c r="N152" s="1667"/>
      <c r="O152" s="1161"/>
      <c r="P152" s="1161"/>
      <c r="Q152" s="1161"/>
      <c r="R152" s="1161"/>
      <c r="S152" s="1667"/>
      <c r="T152" s="1161"/>
      <c r="U152" s="1161"/>
      <c r="V152" s="542"/>
      <c r="W152" s="1161"/>
      <c r="X152" s="1161"/>
      <c r="Y152" s="1161"/>
      <c r="Z152" s="1161"/>
      <c r="AA152" s="1161"/>
      <c r="AB152" s="1663"/>
      <c r="AC152" s="564"/>
      <c r="AD152" s="564"/>
      <c r="AE152" s="564"/>
      <c r="AF152" s="564"/>
    </row>
    <row s="1672" customFormat="1" customHeight="1" ht="11.25">
      <c r="A153" s="988"/>
      <c r="B153" s="1667"/>
      <c r="C153" s="1667"/>
      <c r="D153" s="339"/>
      <c r="J153" s="1672"/>
      <c r="K153" s="1672"/>
      <c r="L153" s="1161"/>
      <c r="M153" s="1667"/>
      <c r="N153" s="1667"/>
      <c r="O153" s="1161"/>
      <c r="P153" s="1161"/>
      <c r="Q153" s="1161"/>
      <c r="R153" s="1161"/>
      <c r="S153" s="1667"/>
      <c r="T153" s="1161"/>
      <c r="U153" s="1161"/>
      <c r="V153" s="542"/>
      <c r="W153" s="1161"/>
      <c r="X153" s="1161"/>
      <c r="Y153" s="1161"/>
      <c r="Z153" s="1161"/>
      <c r="AA153" s="1161"/>
      <c r="AB153" s="1663"/>
      <c r="AC153" s="564"/>
      <c r="AD153" s="564"/>
      <c r="AE153" s="564"/>
      <c r="AF153" s="564"/>
    </row>
    <row s="1672" customFormat="1" customHeight="1" ht="11.25">
      <c r="A154" s="988"/>
      <c r="B154" s="1667"/>
      <c r="C154" s="1667"/>
      <c r="D154" s="339"/>
      <c r="J154" s="1672"/>
      <c r="K154" s="1672"/>
      <c r="L154" s="1161"/>
      <c r="M154" s="1667"/>
      <c r="N154" s="1667"/>
      <c r="O154" s="1161"/>
      <c r="P154" s="1161"/>
      <c r="Q154" s="1161"/>
      <c r="R154" s="1161"/>
      <c r="S154" s="1667"/>
      <c r="T154" s="1161"/>
      <c r="U154" s="1161"/>
      <c r="V154" s="542"/>
      <c r="W154" s="1161"/>
      <c r="X154" s="1161"/>
      <c r="Y154" s="1161"/>
      <c r="Z154" s="1161"/>
      <c r="AA154" s="1161"/>
      <c r="AB154" s="1663"/>
      <c r="AC154" s="564"/>
      <c r="AD154" s="564"/>
      <c r="AE154" s="564"/>
      <c r="AF154" s="564"/>
    </row>
    <row s="1672" customFormat="1" customHeight="1" ht="11.25">
      <c r="A155" s="988"/>
      <c r="B155" s="1667"/>
      <c r="C155" s="1667"/>
      <c r="D155" s="339"/>
      <c r="J155" s="1672"/>
      <c r="K155" s="1672"/>
      <c r="L155" s="1161"/>
      <c r="M155" s="1667"/>
      <c r="N155" s="1667"/>
      <c r="O155" s="1161"/>
      <c r="P155" s="1161"/>
      <c r="Q155" s="1161"/>
      <c r="R155" s="1161"/>
      <c r="S155" s="1667"/>
      <c r="T155" s="1161"/>
      <c r="U155" s="1161"/>
      <c r="V155" s="542"/>
      <c r="W155" s="1161"/>
      <c r="X155" s="1161"/>
      <c r="Y155" s="1161"/>
      <c r="Z155" s="1161"/>
      <c r="AA155" s="1161"/>
      <c r="AB155" s="1663"/>
      <c r="AC155" s="564"/>
      <c r="AD155" s="564"/>
      <c r="AE155" s="564"/>
      <c r="AF155" s="564"/>
    </row>
    <row s="1672" customFormat="1" customHeight="1" ht="11.25">
      <c r="A156" s="988"/>
      <c r="B156" s="1667"/>
      <c r="C156" s="1667"/>
      <c r="D156" s="339"/>
      <c r="J156" s="1672"/>
      <c r="K156" s="1672"/>
      <c r="L156" s="1161"/>
      <c r="M156" s="1667"/>
      <c r="N156" s="1667"/>
      <c r="O156" s="1161"/>
      <c r="P156" s="1161"/>
      <c r="Q156" s="1161"/>
      <c r="R156" s="1161"/>
      <c r="S156" s="1667"/>
      <c r="T156" s="1161"/>
      <c r="U156" s="1161"/>
      <c r="V156" s="542"/>
      <c r="W156" s="1161"/>
      <c r="X156" s="1161"/>
      <c r="Y156" s="1161"/>
      <c r="Z156" s="1161"/>
      <c r="AA156" s="1161"/>
      <c r="AB156" s="1663"/>
      <c r="AC156" s="564"/>
      <c r="AD156" s="564"/>
      <c r="AE156" s="564"/>
      <c r="AF156" s="564"/>
    </row>
    <row s="1672" customFormat="1" customHeight="1" ht="11.25">
      <c r="A157" s="988"/>
      <c r="B157" s="1667"/>
      <c r="C157" s="1667"/>
      <c r="D157" s="339"/>
      <c r="J157" s="1672"/>
      <c r="K157" s="1672"/>
      <c r="L157" s="1161"/>
      <c r="M157" s="1667"/>
      <c r="N157" s="1667"/>
      <c r="O157" s="1161"/>
      <c r="P157" s="1161"/>
      <c r="Q157" s="1161"/>
      <c r="R157" s="1161"/>
      <c r="S157" s="1667"/>
      <c r="T157" s="1161"/>
      <c r="U157" s="1161"/>
      <c r="V157" s="542"/>
      <c r="W157" s="1161"/>
      <c r="X157" s="1161"/>
      <c r="Y157" s="1161"/>
      <c r="Z157" s="1161"/>
      <c r="AA157" s="1161"/>
      <c r="AB157" s="1663"/>
      <c r="AC157" s="564"/>
      <c r="AD157" s="564"/>
      <c r="AE157" s="564"/>
      <c r="AF157" s="564"/>
    </row>
    <row s="1672" customFormat="1" customHeight="1" ht="11.25">
      <c r="A158" s="988"/>
      <c r="B158" s="1667"/>
      <c r="C158" s="1667"/>
      <c r="D158" s="339"/>
      <c r="J158" s="1672"/>
      <c r="K158" s="1672"/>
      <c r="L158" s="1161"/>
      <c r="M158" s="1667"/>
      <c r="N158" s="1667"/>
      <c r="O158" s="1161"/>
      <c r="P158" s="1161"/>
      <c r="Q158" s="1161"/>
      <c r="R158" s="1161"/>
      <c r="S158" s="1667"/>
      <c r="T158" s="1161"/>
      <c r="U158" s="1161"/>
      <c r="V158" s="542"/>
      <c r="W158" s="1161"/>
      <c r="X158" s="1161"/>
      <c r="Y158" s="1161"/>
      <c r="Z158" s="1161"/>
      <c r="AA158" s="1161"/>
      <c r="AB158" s="1663"/>
      <c r="AC158" s="564"/>
      <c r="AD158" s="564"/>
      <c r="AE158" s="564"/>
      <c r="AF158" s="564"/>
    </row>
    <row s="1672" customFormat="1" customHeight="1" ht="11.25">
      <c r="A159" s="988"/>
      <c r="B159" s="1667"/>
      <c r="C159" s="1667"/>
      <c r="D159" s="339"/>
      <c r="J159" s="1672"/>
      <c r="K159" s="1672"/>
      <c r="L159" s="1161"/>
      <c r="M159" s="1667"/>
      <c r="N159" s="1667"/>
      <c r="O159" s="1161"/>
      <c r="P159" s="1161"/>
      <c r="Q159" s="1161"/>
      <c r="R159" s="1161"/>
      <c r="S159" s="1667"/>
      <c r="T159" s="1161"/>
      <c r="U159" s="1161"/>
      <c r="V159" s="542"/>
      <c r="W159" s="1161"/>
      <c r="X159" s="1161"/>
      <c r="Y159" s="1161"/>
      <c r="Z159" s="1161"/>
      <c r="AA159" s="1161"/>
      <c r="AB159" s="1663"/>
      <c r="AC159" s="564"/>
      <c r="AD159" s="564"/>
      <c r="AE159" s="564"/>
      <c r="AF159" s="564"/>
    </row>
    <row s="1672" customFormat="1" customHeight="1" ht="11.25">
      <c r="A160" s="988"/>
      <c r="B160" s="1667"/>
      <c r="C160" s="1667"/>
      <c r="D160" s="339"/>
      <c r="J160" s="1672"/>
      <c r="K160" s="1672"/>
      <c r="L160" s="1161"/>
      <c r="M160" s="1667"/>
      <c r="N160" s="1667"/>
      <c r="O160" s="1161"/>
      <c r="P160" s="1161"/>
      <c r="Q160" s="1161"/>
      <c r="R160" s="1161"/>
      <c r="S160" s="1667"/>
      <c r="T160" s="1161"/>
      <c r="U160" s="1161"/>
      <c r="V160" s="542"/>
      <c r="W160" s="1161"/>
      <c r="X160" s="1161"/>
      <c r="Y160" s="1161"/>
      <c r="Z160" s="1161"/>
      <c r="AA160" s="1161"/>
      <c r="AB160" s="1663"/>
      <c r="AC160" s="564"/>
      <c r="AD160" s="564"/>
      <c r="AE160" s="564"/>
      <c r="AF160" s="564"/>
    </row>
    <row s="1672" customFormat="1" customHeight="1" ht="11.25">
      <c r="A161" s="988"/>
      <c r="B161" s="1667"/>
      <c r="C161" s="1667"/>
      <c r="D161" s="339"/>
      <c r="J161" s="1672"/>
      <c r="K161" s="1672"/>
      <c r="L161" s="1161"/>
      <c r="M161" s="1667"/>
      <c r="N161" s="1667"/>
      <c r="O161" s="1161"/>
      <c r="P161" s="1161"/>
      <c r="Q161" s="1161"/>
      <c r="R161" s="1161"/>
      <c r="S161" s="1667"/>
      <c r="T161" s="1161"/>
      <c r="U161" s="1161"/>
      <c r="V161" s="542"/>
      <c r="W161" s="1161"/>
      <c r="X161" s="1161"/>
      <c r="Y161" s="1161"/>
      <c r="Z161" s="1161"/>
      <c r="AA161" s="1161"/>
      <c r="AB161" s="1663"/>
      <c r="AC161" s="564"/>
      <c r="AD161" s="564"/>
      <c r="AE161" s="564"/>
      <c r="AF161" s="564"/>
    </row>
    <row s="1672" customFormat="1" customHeight="1" ht="11.25">
      <c r="A162" s="988"/>
      <c r="B162" s="1667"/>
      <c r="C162" s="1667"/>
      <c r="D162" s="339"/>
      <c r="J162" s="1672"/>
      <c r="K162" s="1672"/>
      <c r="L162" s="1161"/>
      <c r="M162" s="1667"/>
      <c r="N162" s="1667"/>
      <c r="O162" s="1161"/>
      <c r="P162" s="1161"/>
      <c r="Q162" s="1161"/>
      <c r="R162" s="1161"/>
      <c r="S162" s="1667"/>
      <c r="T162" s="1161"/>
      <c r="U162" s="1161"/>
      <c r="V162" s="542"/>
      <c r="W162" s="1161"/>
      <c r="X162" s="1161"/>
      <c r="Y162" s="1161"/>
      <c r="Z162" s="1161"/>
      <c r="AA162" s="1161"/>
      <c r="AB162" s="1663"/>
      <c r="AC162" s="564"/>
      <c r="AD162" s="564"/>
      <c r="AE162" s="564"/>
      <c r="AF162" s="564"/>
    </row>
    <row s="1672" customFormat="1" customHeight="1" ht="11.25">
      <c r="A163" s="988"/>
      <c r="B163" s="1667"/>
      <c r="C163" s="1667"/>
      <c r="D163" s="339"/>
      <c r="J163" s="1672"/>
      <c r="K163" s="1672"/>
      <c r="L163" s="1161"/>
      <c r="M163" s="1667"/>
      <c r="N163" s="1667"/>
      <c r="O163" s="1161"/>
      <c r="P163" s="1161"/>
      <c r="Q163" s="1161"/>
      <c r="R163" s="1161"/>
      <c r="S163" s="1667"/>
      <c r="T163" s="1161"/>
      <c r="U163" s="1161"/>
      <c r="V163" s="542"/>
      <c r="W163" s="1161"/>
      <c r="X163" s="1161"/>
      <c r="Y163" s="1161"/>
      <c r="Z163" s="1161"/>
      <c r="AA163" s="1161"/>
      <c r="AB163" s="1663"/>
      <c r="AC163" s="564"/>
      <c r="AD163" s="564"/>
      <c r="AE163" s="564"/>
      <c r="AF163" s="564"/>
    </row>
    <row s="1672" customFormat="1" customHeight="1" ht="11.25">
      <c r="A164" s="988"/>
      <c r="B164" s="1667"/>
      <c r="C164" s="1667"/>
      <c r="D164" s="339"/>
      <c r="J164" s="1672"/>
      <c r="K164" s="1672"/>
      <c r="L164" s="1161"/>
      <c r="M164" s="1667"/>
      <c r="N164" s="1667"/>
      <c r="O164" s="1161"/>
      <c r="P164" s="1161"/>
      <c r="Q164" s="1161"/>
      <c r="R164" s="1161"/>
      <c r="S164" s="1667"/>
      <c r="T164" s="1161"/>
      <c r="U164" s="1161"/>
      <c r="V164" s="542"/>
      <c r="W164" s="1161"/>
      <c r="X164" s="1161"/>
      <c r="Y164" s="1161"/>
      <c r="Z164" s="1161"/>
      <c r="AA164" s="1161"/>
      <c r="AB164" s="1663"/>
      <c r="AC164" s="564"/>
      <c r="AD164" s="564"/>
      <c r="AE164" s="564"/>
      <c r="AF164" s="564"/>
    </row>
    <row s="1672" customFormat="1" customHeight="1" ht="11.25">
      <c r="A165" s="988"/>
      <c r="B165" s="1667"/>
      <c r="C165" s="1667"/>
      <c r="D165" s="339"/>
      <c r="J165" s="1672"/>
      <c r="K165" s="1672"/>
      <c r="L165" s="1161"/>
      <c r="M165" s="1667"/>
      <c r="N165" s="1667"/>
      <c r="O165" s="1161"/>
      <c r="P165" s="1161"/>
      <c r="Q165" s="1161"/>
      <c r="R165" s="1161"/>
      <c r="S165" s="1667"/>
      <c r="T165" s="1161"/>
      <c r="U165" s="1161"/>
      <c r="V165" s="542"/>
      <c r="W165" s="1161"/>
      <c r="X165" s="1161"/>
      <c r="Y165" s="1161"/>
      <c r="Z165" s="1161"/>
      <c r="AA165" s="1161"/>
      <c r="AB165" s="1663"/>
      <c r="AC165" s="564"/>
      <c r="AD165" s="564"/>
      <c r="AE165" s="564"/>
      <c r="AF165" s="564"/>
    </row>
    <row s="1672" customFormat="1" customHeight="1" ht="11.25">
      <c r="A166" s="988"/>
      <c r="B166" s="1667"/>
      <c r="C166" s="1667"/>
      <c r="D166" s="339"/>
      <c r="J166" s="1672"/>
      <c r="K166" s="1672"/>
      <c r="L166" s="1161"/>
      <c r="M166" s="1667"/>
      <c r="N166" s="1667"/>
      <c r="O166" s="1161"/>
      <c r="P166" s="1161"/>
      <c r="Q166" s="1161"/>
      <c r="R166" s="1161"/>
      <c r="S166" s="1667"/>
      <c r="T166" s="1161"/>
      <c r="U166" s="1161"/>
      <c r="V166" s="542"/>
      <c r="W166" s="1161"/>
      <c r="X166" s="1161"/>
      <c r="Y166" s="1161"/>
      <c r="Z166" s="1161"/>
      <c r="AA166" s="1161"/>
      <c r="AB166" s="1663"/>
      <c r="AC166" s="564"/>
      <c r="AD166" s="564"/>
      <c r="AE166" s="564"/>
      <c r="AF166" s="564"/>
    </row>
    <row s="1672" customFormat="1" customHeight="1" ht="11.25">
      <c r="A167" s="988"/>
      <c r="B167" s="1667"/>
      <c r="C167" s="1667"/>
      <c r="D167" s="339"/>
      <c r="J167" s="1672"/>
      <c r="K167" s="1672"/>
      <c r="L167" s="1161"/>
      <c r="M167" s="1667"/>
      <c r="N167" s="1667"/>
      <c r="O167" s="1161"/>
      <c r="P167" s="1161"/>
      <c r="Q167" s="1161"/>
      <c r="R167" s="1161"/>
      <c r="S167" s="1667"/>
      <c r="T167" s="1161"/>
      <c r="U167" s="1161"/>
      <c r="V167" s="542"/>
      <c r="W167" s="1161"/>
      <c r="X167" s="1161"/>
      <c r="Y167" s="1161"/>
      <c r="Z167" s="1161"/>
      <c r="AA167" s="1161"/>
      <c r="AB167" s="1663"/>
      <c r="AC167" s="564"/>
      <c r="AD167" s="564"/>
      <c r="AE167" s="564"/>
      <c r="AF167" s="564"/>
    </row>
    <row s="1672" customFormat="1" customHeight="1" ht="11.25">
      <c r="A168" s="988"/>
      <c r="B168" s="1667"/>
      <c r="C168" s="1667"/>
      <c r="D168" s="339"/>
      <c r="J168" s="1672"/>
      <c r="K168" s="1672"/>
      <c r="L168" s="1161"/>
      <c r="M168" s="1667"/>
      <c r="N168" s="1667"/>
      <c r="O168" s="1161"/>
      <c r="P168" s="1161"/>
      <c r="Q168" s="1161"/>
      <c r="R168" s="1161"/>
      <c r="S168" s="1667"/>
      <c r="T168" s="1161"/>
      <c r="U168" s="1161"/>
      <c r="V168" s="542"/>
      <c r="W168" s="1161"/>
      <c r="X168" s="1161"/>
      <c r="Y168" s="1161"/>
      <c r="Z168" s="1161"/>
      <c r="AA168" s="1161"/>
      <c r="AB168" s="1663"/>
      <c r="AC168" s="564"/>
      <c r="AD168" s="564"/>
      <c r="AE168" s="564"/>
      <c r="AF168" s="564"/>
    </row>
    <row s="1672" customFormat="1" customHeight="1" ht="11.25">
      <c r="A169" s="988"/>
      <c r="B169" s="1667"/>
      <c r="C169" s="1667"/>
      <c r="D169" s="339"/>
      <c r="J169" s="1672"/>
      <c r="K169" s="1672"/>
      <c r="L169" s="1161"/>
      <c r="M169" s="1667"/>
      <c r="N169" s="1667"/>
      <c r="O169" s="1161"/>
      <c r="P169" s="1161"/>
      <c r="Q169" s="1161"/>
      <c r="R169" s="1161"/>
      <c r="S169" s="1667"/>
      <c r="T169" s="1161"/>
      <c r="U169" s="1161"/>
      <c r="V169" s="542"/>
      <c r="W169" s="1161"/>
      <c r="X169" s="1161"/>
      <c r="Y169" s="1161"/>
      <c r="Z169" s="1161"/>
      <c r="AA169" s="1161"/>
      <c r="AB169" s="1663"/>
      <c r="AC169" s="564"/>
      <c r="AD169" s="564"/>
      <c r="AE169" s="564"/>
      <c r="AF169" s="564"/>
    </row>
    <row s="1672" customFormat="1" customHeight="1" ht="11.25">
      <c r="A170" s="988"/>
      <c r="B170" s="1667"/>
      <c r="C170" s="1667"/>
      <c r="D170" s="339"/>
      <c r="J170" s="1672"/>
      <c r="K170" s="1672"/>
      <c r="L170" s="1161"/>
      <c r="M170" s="1667"/>
      <c r="N170" s="1667"/>
      <c r="O170" s="1161"/>
      <c r="P170" s="1161"/>
      <c r="Q170" s="1161"/>
      <c r="R170" s="1161"/>
      <c r="S170" s="1667"/>
      <c r="T170" s="1161"/>
      <c r="U170" s="1161"/>
      <c r="V170" s="542"/>
      <c r="W170" s="1161"/>
      <c r="X170" s="1161"/>
      <c r="Y170" s="1161"/>
      <c r="Z170" s="1161"/>
      <c r="AA170" s="1161"/>
      <c r="AB170" s="1663"/>
      <c r="AC170" s="564"/>
      <c r="AD170" s="564"/>
      <c r="AE170" s="564"/>
      <c r="AF170" s="564"/>
    </row>
    <row s="1672" customFormat="1" customHeight="1" ht="11.25">
      <c r="A171" s="988"/>
      <c r="B171" s="1667"/>
      <c r="C171" s="1667"/>
      <c r="D171" s="339"/>
      <c r="J171" s="1672"/>
      <c r="K171" s="1672"/>
      <c r="L171" s="1161"/>
      <c r="M171" s="1667"/>
      <c r="N171" s="1667"/>
      <c r="O171" s="1161"/>
      <c r="P171" s="1161"/>
      <c r="Q171" s="1161"/>
      <c r="R171" s="1161"/>
      <c r="S171" s="1667"/>
      <c r="T171" s="1161"/>
      <c r="U171" s="1161"/>
      <c r="V171" s="542"/>
      <c r="W171" s="1161"/>
      <c r="X171" s="1161"/>
      <c r="Y171" s="1161"/>
      <c r="Z171" s="1161"/>
      <c r="AA171" s="1161"/>
      <c r="AB171" s="1663"/>
      <c r="AC171" s="564"/>
      <c r="AD171" s="564"/>
      <c r="AE171" s="564"/>
      <c r="AF171" s="564"/>
    </row>
    <row s="1672" customFormat="1" customHeight="1" ht="11.25">
      <c r="A172" s="988"/>
      <c r="B172" s="1667"/>
      <c r="C172" s="1667"/>
      <c r="D172" s="339"/>
      <c r="J172" s="1672"/>
      <c r="K172" s="1672"/>
      <c r="L172" s="1161"/>
      <c r="M172" s="1667"/>
      <c r="N172" s="1667"/>
      <c r="O172" s="1161"/>
      <c r="P172" s="1161"/>
      <c r="Q172" s="1161"/>
      <c r="R172" s="1161"/>
      <c r="S172" s="1667"/>
      <c r="T172" s="1161"/>
      <c r="U172" s="1161"/>
      <c r="V172" s="542"/>
      <c r="W172" s="1161"/>
      <c r="X172" s="1161"/>
      <c r="Y172" s="1161"/>
      <c r="Z172" s="1161"/>
      <c r="AA172" s="1161"/>
      <c r="AB172" s="1663"/>
      <c r="AC172" s="564"/>
      <c r="AD172" s="564"/>
      <c r="AE172" s="564"/>
      <c r="AF172" s="564"/>
    </row>
    <row s="1672" customFormat="1" customHeight="1" ht="11.25">
      <c r="A173" s="988"/>
      <c r="B173" s="1667"/>
      <c r="C173" s="1667"/>
      <c r="D173" s="339"/>
      <c r="J173" s="1672"/>
      <c r="K173" s="1672"/>
      <c r="L173" s="1161"/>
      <c r="M173" s="1667"/>
      <c r="N173" s="1667"/>
      <c r="O173" s="1161"/>
      <c r="P173" s="1161"/>
      <c r="Q173" s="1161"/>
      <c r="R173" s="1161"/>
      <c r="S173" s="1667"/>
      <c r="T173" s="1161"/>
      <c r="U173" s="1161"/>
      <c r="V173" s="542"/>
      <c r="W173" s="1161"/>
      <c r="X173" s="1161"/>
      <c r="Y173" s="1161"/>
      <c r="Z173" s="1161"/>
      <c r="AA173" s="1161"/>
      <c r="AB173" s="1663"/>
      <c r="AC173" s="564"/>
      <c r="AD173" s="564"/>
      <c r="AE173" s="564"/>
      <c r="AF173" s="564"/>
    </row>
    <row s="1672" customFormat="1" customHeight="1" ht="11.25">
      <c r="A174" s="988"/>
      <c r="B174" s="1667"/>
      <c r="C174" s="1667"/>
      <c r="D174" s="339"/>
      <c r="J174" s="1672"/>
      <c r="K174" s="1672"/>
      <c r="L174" s="1161"/>
      <c r="M174" s="1667"/>
      <c r="N174" s="1667"/>
      <c r="O174" s="1161"/>
      <c r="P174" s="1161"/>
      <c r="Q174" s="1161"/>
      <c r="R174" s="1161"/>
      <c r="S174" s="1667"/>
      <c r="T174" s="1161"/>
      <c r="U174" s="1161"/>
      <c r="V174" s="542"/>
      <c r="W174" s="1161"/>
      <c r="X174" s="1161"/>
      <c r="Y174" s="1161"/>
      <c r="Z174" s="1161"/>
      <c r="AA174" s="1161"/>
      <c r="AB174" s="1663"/>
      <c r="AC174" s="564"/>
      <c r="AD174" s="564"/>
      <c r="AE174" s="564"/>
      <c r="AF174" s="564"/>
    </row>
    <row s="1672" customFormat="1" customHeight="1" ht="11.25">
      <c r="A175" s="988"/>
      <c r="B175" s="1667"/>
      <c r="C175" s="1667"/>
      <c r="D175" s="339"/>
      <c r="J175" s="1672"/>
      <c r="K175" s="1672"/>
      <c r="L175" s="1161"/>
      <c r="M175" s="1667"/>
      <c r="N175" s="1667"/>
      <c r="O175" s="1161"/>
      <c r="P175" s="1161"/>
      <c r="Q175" s="1161"/>
      <c r="R175" s="1161"/>
      <c r="S175" s="1667"/>
      <c r="T175" s="1161"/>
      <c r="U175" s="1161"/>
      <c r="V175" s="542"/>
      <c r="W175" s="1161"/>
      <c r="X175" s="1161"/>
      <c r="Y175" s="1161"/>
      <c r="Z175" s="1161"/>
      <c r="AA175" s="1161"/>
      <c r="AB175" s="1663"/>
      <c r="AC175" s="564"/>
      <c r="AD175" s="564"/>
      <c r="AE175" s="564"/>
      <c r="AF175" s="564"/>
    </row>
    <row s="1672" customFormat="1" customHeight="1" ht="11.25">
      <c r="A176" s="988"/>
      <c r="B176" s="1667"/>
      <c r="C176" s="1667"/>
      <c r="D176" s="339"/>
      <c r="J176" s="1672"/>
      <c r="K176" s="1672"/>
      <c r="L176" s="1161"/>
      <c r="M176" s="1667"/>
      <c r="N176" s="1667"/>
      <c r="O176" s="1161"/>
      <c r="P176" s="1161"/>
      <c r="Q176" s="1161"/>
      <c r="R176" s="1161"/>
      <c r="S176" s="1667"/>
      <c r="T176" s="1161"/>
      <c r="U176" s="1161"/>
      <c r="V176" s="542"/>
      <c r="W176" s="1161"/>
      <c r="X176" s="1161"/>
      <c r="Y176" s="1161"/>
      <c r="Z176" s="1161"/>
      <c r="AA176" s="1161"/>
      <c r="AB176" s="1663"/>
      <c r="AC176" s="564"/>
      <c r="AD176" s="564"/>
      <c r="AE176" s="564"/>
      <c r="AF176" s="564"/>
    </row>
    <row s="1672" customFormat="1" customHeight="1" ht="11.25">
      <c r="A177" s="988"/>
      <c r="B177" s="1667"/>
      <c r="C177" s="1667"/>
      <c r="D177" s="339"/>
      <c r="J177" s="1672"/>
      <c r="K177" s="1672"/>
      <c r="L177" s="1161"/>
      <c r="M177" s="1667"/>
      <c r="N177" s="1667"/>
      <c r="O177" s="1161"/>
      <c r="P177" s="1161"/>
      <c r="Q177" s="1161"/>
      <c r="R177" s="1161"/>
      <c r="S177" s="1667"/>
      <c r="T177" s="1161"/>
      <c r="U177" s="1161"/>
      <c r="V177" s="542"/>
      <c r="W177" s="1161"/>
      <c r="X177" s="1161"/>
      <c r="Y177" s="1161"/>
      <c r="Z177" s="1161"/>
      <c r="AA177" s="1161"/>
      <c r="AB177" s="1663"/>
      <c r="AC177" s="564"/>
      <c r="AD177" s="564"/>
      <c r="AE177" s="564"/>
      <c r="AF177" s="564"/>
    </row>
    <row s="1672" customFormat="1" customHeight="1" ht="11.25">
      <c r="A178" s="988"/>
      <c r="B178" s="1667"/>
      <c r="C178" s="1667"/>
      <c r="D178" s="339"/>
      <c r="J178" s="1672"/>
      <c r="K178" s="1672"/>
      <c r="L178" s="1161"/>
      <c r="M178" s="1667"/>
      <c r="N178" s="1667"/>
      <c r="O178" s="1161"/>
      <c r="P178" s="1161"/>
      <c r="Q178" s="1161"/>
      <c r="R178" s="1161"/>
      <c r="S178" s="1667"/>
      <c r="T178" s="1161"/>
      <c r="U178" s="1161"/>
      <c r="V178" s="542"/>
      <c r="W178" s="1161"/>
      <c r="X178" s="1161"/>
      <c r="Y178" s="1161"/>
      <c r="Z178" s="1161"/>
      <c r="AA178" s="1161"/>
      <c r="AB178" s="1663"/>
      <c r="AC178" s="564"/>
      <c r="AD178" s="564"/>
      <c r="AE178" s="564"/>
      <c r="AF178" s="564"/>
    </row>
    <row s="1672" customFormat="1" customHeight="1" ht="11.25">
      <c r="A179" s="988"/>
      <c r="B179" s="1667"/>
      <c r="C179" s="1667"/>
      <c r="D179" s="339"/>
      <c r="J179" s="1672"/>
      <c r="K179" s="1672"/>
      <c r="L179" s="1161"/>
      <c r="M179" s="1667"/>
      <c r="N179" s="1667"/>
      <c r="O179" s="1161"/>
      <c r="P179" s="1161"/>
      <c r="Q179" s="1161"/>
      <c r="R179" s="1161"/>
      <c r="S179" s="1667"/>
      <c r="T179" s="1161"/>
      <c r="U179" s="1161"/>
      <c r="V179" s="542"/>
      <c r="W179" s="1161"/>
      <c r="X179" s="1161"/>
      <c r="Y179" s="1161"/>
      <c r="Z179" s="1161"/>
      <c r="AA179" s="1161"/>
      <c r="AB179" s="1663"/>
      <c r="AC179" s="564"/>
      <c r="AD179" s="564"/>
      <c r="AE179" s="564"/>
      <c r="AF179" s="564"/>
    </row>
    <row s="1672" customFormat="1" customHeight="1" ht="11.25">
      <c r="A180" s="988"/>
      <c r="B180" s="1667"/>
      <c r="C180" s="1667"/>
      <c r="D180" s="339"/>
      <c r="J180" s="1672"/>
      <c r="K180" s="1672"/>
      <c r="L180" s="1161"/>
      <c r="M180" s="1667"/>
      <c r="N180" s="1667"/>
      <c r="O180" s="1161"/>
      <c r="P180" s="1161"/>
      <c r="Q180" s="1161"/>
      <c r="R180" s="1161"/>
      <c r="S180" s="1667"/>
      <c r="T180" s="1161"/>
      <c r="U180" s="1161"/>
      <c r="V180" s="542"/>
      <c r="W180" s="1161"/>
      <c r="X180" s="1161"/>
      <c r="Y180" s="1161"/>
      <c r="Z180" s="1161"/>
      <c r="AA180" s="1161"/>
      <c r="AB180" s="1663"/>
      <c r="AC180" s="564"/>
      <c r="AD180" s="564"/>
      <c r="AE180" s="564"/>
      <c r="AF180" s="564"/>
    </row>
    <row s="1672" customFormat="1" customHeight="1" ht="11.25">
      <c r="A181" s="988"/>
      <c r="B181" s="1667"/>
      <c r="C181" s="1667"/>
      <c r="D181" s="339"/>
      <c r="J181" s="1672"/>
      <c r="K181" s="1672"/>
      <c r="L181" s="1161"/>
      <c r="M181" s="1667"/>
      <c r="N181" s="1667"/>
      <c r="O181" s="1161"/>
      <c r="P181" s="1161"/>
      <c r="Q181" s="1161"/>
      <c r="R181" s="1161"/>
      <c r="S181" s="1667"/>
      <c r="T181" s="1161"/>
      <c r="U181" s="1161"/>
      <c r="V181" s="542"/>
      <c r="W181" s="1161"/>
      <c r="X181" s="1161"/>
      <c r="Y181" s="1161"/>
      <c r="Z181" s="1161"/>
      <c r="AA181" s="1161"/>
      <c r="AB181" s="1663"/>
      <c r="AC181" s="564"/>
      <c r="AD181" s="564"/>
      <c r="AE181" s="564"/>
      <c r="AF181" s="564"/>
    </row>
    <row s="1672" customFormat="1" customHeight="1" ht="11.25">
      <c r="A182" s="988"/>
      <c r="B182" s="1667"/>
      <c r="C182" s="1667"/>
      <c r="D182" s="339"/>
      <c r="J182" s="1672"/>
      <c r="K182" s="1672"/>
      <c r="L182" s="1161"/>
      <c r="M182" s="1667"/>
      <c r="N182" s="1667"/>
      <c r="O182" s="1161"/>
      <c r="P182" s="1161"/>
      <c r="Q182" s="1161"/>
      <c r="R182" s="1161"/>
      <c r="S182" s="1667"/>
      <c r="T182" s="1161"/>
      <c r="U182" s="1161"/>
      <c r="V182" s="542"/>
      <c r="W182" s="1161"/>
      <c r="X182" s="1161"/>
      <c r="Y182" s="1161"/>
      <c r="Z182" s="1161"/>
      <c r="AA182" s="1161"/>
      <c r="AB182" s="1663"/>
      <c r="AC182" s="564"/>
      <c r="AD182" s="564"/>
      <c r="AE182" s="564"/>
      <c r="AF182" s="564"/>
    </row>
    <row s="1672" customFormat="1" customHeight="1" ht="11.25">
      <c r="A183" s="988"/>
      <c r="B183" s="1667"/>
      <c r="C183" s="1667"/>
      <c r="D183" s="339"/>
      <c r="J183" s="1672"/>
      <c r="K183" s="1672"/>
      <c r="L183" s="1161"/>
      <c r="M183" s="1667"/>
      <c r="N183" s="1667"/>
      <c r="O183" s="1161"/>
      <c r="P183" s="1161"/>
      <c r="Q183" s="1161"/>
      <c r="R183" s="1161"/>
      <c r="S183" s="1667"/>
      <c r="T183" s="1161"/>
      <c r="U183" s="1161"/>
      <c r="V183" s="542"/>
      <c r="W183" s="1161"/>
      <c r="X183" s="1161"/>
      <c r="Y183" s="1161"/>
      <c r="Z183" s="1161"/>
      <c r="AA183" s="1161"/>
      <c r="AB183" s="1663"/>
      <c r="AC183" s="564"/>
      <c r="AD183" s="564"/>
      <c r="AE183" s="564"/>
      <c r="AF183" s="564"/>
    </row>
    <row s="1672" customFormat="1" customHeight="1" ht="11.25">
      <c r="A184" s="988"/>
      <c r="B184" s="1667"/>
      <c r="C184" s="1667"/>
      <c r="D184" s="339"/>
      <c r="J184" s="1672"/>
      <c r="K184" s="1672"/>
      <c r="L184" s="1161"/>
      <c r="M184" s="1667"/>
      <c r="N184" s="1667"/>
      <c r="O184" s="1161"/>
      <c r="P184" s="1161"/>
      <c r="Q184" s="1161"/>
      <c r="R184" s="1161"/>
      <c r="S184" s="1667"/>
      <c r="T184" s="1161"/>
      <c r="U184" s="1161"/>
      <c r="V184" s="542"/>
      <c r="W184" s="1161"/>
      <c r="X184" s="1161"/>
      <c r="Y184" s="1161"/>
      <c r="Z184" s="1161"/>
      <c r="AA184" s="1161"/>
      <c r="AB184" s="1663"/>
      <c r="AC184" s="564"/>
      <c r="AD184" s="564"/>
      <c r="AE184" s="564"/>
      <c r="AF184" s="564"/>
    </row>
    <row s="1672" customFormat="1" customHeight="1" ht="11.25">
      <c r="A185" s="988"/>
      <c r="B185" s="1667"/>
      <c r="C185" s="1667"/>
      <c r="D185" s="339"/>
      <c r="J185" s="1672"/>
      <c r="K185" s="1672"/>
      <c r="L185" s="1161"/>
      <c r="M185" s="1667"/>
      <c r="N185" s="1667"/>
      <c r="O185" s="1161"/>
      <c r="P185" s="1161"/>
      <c r="Q185" s="1161"/>
      <c r="R185" s="1161"/>
      <c r="S185" s="1667"/>
      <c r="T185" s="1161"/>
      <c r="U185" s="1161"/>
      <c r="V185" s="542"/>
      <c r="W185" s="1161"/>
      <c r="X185" s="1161"/>
      <c r="Y185" s="1161"/>
      <c r="Z185" s="1161"/>
      <c r="AA185" s="1161"/>
      <c r="AB185" s="1663"/>
      <c r="AC185" s="564"/>
      <c r="AD185" s="564"/>
      <c r="AE185" s="564"/>
      <c r="AF185" s="564"/>
    </row>
    <row s="1672" customFormat="1" customHeight="1" ht="11.25">
      <c r="A186" s="988"/>
      <c r="B186" s="1667"/>
      <c r="C186" s="1667"/>
      <c r="D186" s="339"/>
      <c r="J186" s="1672"/>
      <c r="K186" s="1672"/>
      <c r="L186" s="1161"/>
      <c r="M186" s="1667"/>
      <c r="N186" s="1667"/>
      <c r="O186" s="1161"/>
      <c r="P186" s="1161"/>
      <c r="Q186" s="1161"/>
      <c r="R186" s="1161"/>
      <c r="S186" s="1667"/>
      <c r="T186" s="1161"/>
      <c r="U186" s="1161"/>
      <c r="V186" s="542"/>
      <c r="W186" s="1161"/>
      <c r="X186" s="1161"/>
      <c r="Y186" s="1161"/>
      <c r="Z186" s="1161"/>
      <c r="AA186" s="1161"/>
      <c r="AB186" s="1663"/>
      <c r="AC186" s="564"/>
      <c r="AD186" s="564"/>
      <c r="AE186" s="564"/>
      <c r="AF186" s="564"/>
    </row>
    <row s="1672" customFormat="1" customHeight="1" ht="11.25">
      <c r="A187" s="988"/>
      <c r="B187" s="1667"/>
      <c r="C187" s="1667"/>
      <c r="D187" s="339"/>
      <c r="J187" s="1672"/>
      <c r="K187" s="1672"/>
      <c r="L187" s="1161"/>
      <c r="M187" s="1667"/>
      <c r="N187" s="1667"/>
      <c r="O187" s="1161"/>
      <c r="P187" s="1161"/>
      <c r="Q187" s="1161"/>
      <c r="R187" s="1161"/>
      <c r="S187" s="1667"/>
      <c r="T187" s="1161"/>
      <c r="U187" s="1161"/>
      <c r="V187" s="542"/>
      <c r="W187" s="1161"/>
      <c r="X187" s="1161"/>
      <c r="Y187" s="1161"/>
      <c r="Z187" s="1161"/>
      <c r="AA187" s="1161"/>
      <c r="AB187" s="1663"/>
      <c r="AC187" s="564"/>
      <c r="AD187" s="564"/>
      <c r="AE187" s="564"/>
      <c r="AF187" s="564"/>
    </row>
    <row s="1672" customFormat="1" customHeight="1" ht="11.25">
      <c r="A188" s="988"/>
      <c r="B188" s="1667"/>
      <c r="C188" s="1667"/>
      <c r="D188" s="339"/>
      <c r="J188" s="1672"/>
      <c r="K188" s="1672"/>
      <c r="L188" s="1161"/>
      <c r="M188" s="1667"/>
      <c r="N188" s="1667"/>
      <c r="O188" s="1161"/>
      <c r="P188" s="1161"/>
      <c r="Q188" s="1161"/>
      <c r="R188" s="1161"/>
      <c r="S188" s="1667"/>
      <c r="T188" s="1161"/>
      <c r="U188" s="1161"/>
      <c r="V188" s="542"/>
      <c r="W188" s="1161"/>
      <c r="X188" s="1161"/>
      <c r="Y188" s="1161"/>
      <c r="Z188" s="1161"/>
      <c r="AA188" s="1161"/>
      <c r="AB188" s="1663"/>
      <c r="AC188" s="564"/>
      <c r="AD188" s="564"/>
      <c r="AE188" s="564"/>
      <c r="AF188" s="564"/>
    </row>
    <row s="1672" customFormat="1" customHeight="1" ht="11.25">
      <c r="A189" s="988"/>
      <c r="B189" s="1667"/>
      <c r="C189" s="1667"/>
      <c r="D189" s="339"/>
      <c r="J189" s="1672"/>
      <c r="K189" s="1672"/>
      <c r="L189" s="1161"/>
      <c r="M189" s="1667"/>
      <c r="N189" s="1667"/>
      <c r="O189" s="1161"/>
      <c r="P189" s="1161"/>
      <c r="Q189" s="1161"/>
      <c r="R189" s="1161"/>
      <c r="S189" s="1667"/>
      <c r="T189" s="1161"/>
      <c r="U189" s="1161"/>
      <c r="V189" s="542"/>
      <c r="W189" s="1161"/>
      <c r="X189" s="1161"/>
      <c r="Y189" s="1161"/>
      <c r="Z189" s="1161"/>
      <c r="AA189" s="1161"/>
      <c r="AB189" s="1663"/>
      <c r="AC189" s="564"/>
      <c r="AD189" s="564"/>
      <c r="AE189" s="564"/>
      <c r="AF189" s="564"/>
    </row>
    <row s="1672" customFormat="1" customHeight="1" ht="11.25">
      <c r="A190" s="988"/>
      <c r="B190" s="1667"/>
      <c r="C190" s="1667"/>
      <c r="D190" s="339"/>
      <c r="J190" s="1672"/>
      <c r="K190" s="1672"/>
      <c r="L190" s="1161"/>
      <c r="M190" s="1667"/>
      <c r="N190" s="1667"/>
      <c r="O190" s="1161"/>
      <c r="P190" s="1161"/>
      <c r="Q190" s="1161"/>
      <c r="R190" s="1161"/>
      <c r="S190" s="1667"/>
      <c r="T190" s="1161"/>
      <c r="U190" s="1161"/>
      <c r="V190" s="542"/>
      <c r="W190" s="1161"/>
      <c r="X190" s="1161"/>
      <c r="Y190" s="1161"/>
      <c r="Z190" s="1161"/>
      <c r="AA190" s="1161"/>
      <c r="AB190" s="1663"/>
      <c r="AC190" s="564"/>
      <c r="AD190" s="564"/>
      <c r="AE190" s="564"/>
      <c r="AF190" s="564"/>
    </row>
    <row s="1672" customFormat="1" customHeight="1" ht="11.25">
      <c r="A191" s="988"/>
      <c r="B191" s="1667"/>
      <c r="C191" s="1667"/>
      <c r="D191" s="339"/>
      <c r="J191" s="1672"/>
      <c r="K191" s="1672"/>
      <c r="L191" s="1161"/>
      <c r="M191" s="1667"/>
      <c r="N191" s="1667"/>
      <c r="O191" s="1161"/>
      <c r="P191" s="1161"/>
      <c r="Q191" s="1161"/>
      <c r="R191" s="1161"/>
      <c r="S191" s="1667"/>
      <c r="T191" s="1161"/>
      <c r="U191" s="1161"/>
      <c r="V191" s="542"/>
      <c r="W191" s="1161"/>
      <c r="X191" s="1161"/>
      <c r="Y191" s="1161"/>
      <c r="Z191" s="1161"/>
      <c r="AA191" s="1161"/>
      <c r="AB191" s="1663"/>
      <c r="AC191" s="564"/>
      <c r="AD191" s="564"/>
      <c r="AE191" s="564"/>
      <c r="AF191" s="564"/>
    </row>
    <row s="1672" customFormat="1" customHeight="1" ht="11.25">
      <c r="A192" s="988"/>
      <c r="B192" s="1667"/>
      <c r="C192" s="1667"/>
      <c r="D192" s="339"/>
      <c r="J192" s="1672"/>
      <c r="K192" s="1672"/>
      <c r="L192" s="1161"/>
      <c r="M192" s="1667"/>
      <c r="N192" s="1667"/>
      <c r="O192" s="1161"/>
      <c r="P192" s="1161"/>
      <c r="Q192" s="1161"/>
      <c r="R192" s="1161"/>
      <c r="S192" s="1667"/>
      <c r="T192" s="1161"/>
      <c r="U192" s="1161"/>
      <c r="V192" s="542"/>
      <c r="W192" s="1161"/>
      <c r="X192" s="1161"/>
      <c r="Y192" s="1161"/>
      <c r="Z192" s="1161"/>
      <c r="AA192" s="1161"/>
      <c r="AB192" s="1663"/>
      <c r="AC192" s="564"/>
      <c r="AD192" s="564"/>
      <c r="AE192" s="564"/>
      <c r="AF192" s="564"/>
    </row>
    <row s="1672" customFormat="1" customHeight="1" ht="11.25">
      <c r="A193" s="988"/>
      <c r="B193" s="1667"/>
      <c r="C193" s="1667"/>
      <c r="D193" s="339"/>
      <c r="J193" s="1672"/>
      <c r="K193" s="1672"/>
      <c r="L193" s="1161"/>
      <c r="M193" s="1667"/>
      <c r="N193" s="1667"/>
      <c r="O193" s="1161"/>
      <c r="P193" s="1161"/>
      <c r="Q193" s="1161"/>
      <c r="R193" s="1161"/>
      <c r="S193" s="1667"/>
      <c r="T193" s="1161"/>
      <c r="U193" s="1161"/>
      <c r="V193" s="542"/>
      <c r="W193" s="1161"/>
      <c r="X193" s="1161"/>
      <c r="Y193" s="1161"/>
      <c r="Z193" s="1161"/>
      <c r="AA193" s="1161"/>
      <c r="AB193" s="1663"/>
      <c r="AC193" s="564"/>
      <c r="AD193" s="564"/>
      <c r="AE193" s="564"/>
      <c r="AF193" s="564"/>
    </row>
    <row s="1672" customFormat="1" customHeight="1" ht="11.25">
      <c r="A194" s="988"/>
      <c r="B194" s="1667"/>
      <c r="C194" s="1667"/>
      <c r="D194" s="339"/>
      <c r="J194" s="1672"/>
      <c r="K194" s="1672"/>
      <c r="L194" s="1161"/>
      <c r="M194" s="1667"/>
      <c r="N194" s="1667"/>
      <c r="O194" s="1161"/>
      <c r="P194" s="1161"/>
      <c r="Q194" s="1161"/>
      <c r="R194" s="1161"/>
      <c r="S194" s="1667"/>
      <c r="T194" s="1161"/>
      <c r="U194" s="1161"/>
      <c r="V194" s="542"/>
      <c r="W194" s="1161"/>
      <c r="X194" s="1161"/>
      <c r="Y194" s="1161"/>
      <c r="Z194" s="1161"/>
      <c r="AA194" s="1161"/>
      <c r="AB194" s="1663"/>
      <c r="AC194" s="564"/>
      <c r="AD194" s="564"/>
      <c r="AE194" s="564"/>
      <c r="AF194" s="564"/>
    </row>
    <row s="1672" customFormat="1" customHeight="1" ht="11.25">
      <c r="A195" s="988"/>
      <c r="B195" s="1667"/>
      <c r="C195" s="1667"/>
      <c r="D195" s="339"/>
      <c r="J195" s="1672"/>
      <c r="K195" s="1672"/>
      <c r="L195" s="1161"/>
      <c r="M195" s="1667"/>
      <c r="N195" s="1667"/>
      <c r="O195" s="1161"/>
      <c r="P195" s="1161"/>
      <c r="Q195" s="1161"/>
      <c r="R195" s="1161"/>
      <c r="S195" s="1667"/>
      <c r="T195" s="1161"/>
      <c r="U195" s="1161"/>
      <c r="V195" s="542"/>
      <c r="W195" s="1161"/>
      <c r="X195" s="1161"/>
      <c r="Y195" s="1161"/>
      <c r="Z195" s="1161"/>
      <c r="AA195" s="1161"/>
      <c r="AB195" s="1663"/>
      <c r="AC195" s="564"/>
      <c r="AD195" s="564"/>
      <c r="AE195" s="564"/>
      <c r="AF195" s="564"/>
    </row>
    <row s="1672" customFormat="1" customHeight="1" ht="11.25">
      <c r="A196" s="988"/>
      <c r="B196" s="1667"/>
      <c r="C196" s="1667"/>
      <c r="D196" s="339"/>
      <c r="J196" s="1672"/>
      <c r="K196" s="1672"/>
      <c r="L196" s="1161"/>
      <c r="M196" s="1667"/>
      <c r="N196" s="1667"/>
      <c r="O196" s="1161"/>
      <c r="P196" s="1161"/>
      <c r="Q196" s="1161"/>
      <c r="R196" s="1161"/>
      <c r="S196" s="1667"/>
      <c r="T196" s="1161"/>
      <c r="U196" s="1161"/>
      <c r="V196" s="542"/>
      <c r="W196" s="1161"/>
      <c r="X196" s="1161"/>
      <c r="Y196" s="1161"/>
      <c r="Z196" s="1161"/>
      <c r="AA196" s="1161"/>
      <c r="AB196" s="1663"/>
      <c r="AC196" s="564"/>
      <c r="AD196" s="564"/>
      <c r="AE196" s="564"/>
      <c r="AF196" s="564"/>
    </row>
    <row s="1672" customFormat="1" customHeight="1" ht="11.25">
      <c r="A197" s="988"/>
      <c r="B197" s="1667"/>
      <c r="C197" s="1667"/>
      <c r="D197" s="339"/>
      <c r="J197" s="1672"/>
      <c r="K197" s="1672"/>
      <c r="L197" s="1161"/>
      <c r="M197" s="1667"/>
      <c r="N197" s="1667"/>
      <c r="O197" s="1161"/>
      <c r="P197" s="1161"/>
      <c r="Q197" s="1161"/>
      <c r="R197" s="1161"/>
      <c r="S197" s="1667"/>
      <c r="T197" s="1161"/>
      <c r="U197" s="1161"/>
      <c r="V197" s="542"/>
      <c r="W197" s="1161"/>
      <c r="X197" s="1161"/>
      <c r="Y197" s="1161"/>
      <c r="Z197" s="1161"/>
      <c r="AA197" s="1161"/>
      <c r="AB197" s="1663"/>
      <c r="AC197" s="564"/>
      <c r="AD197" s="564"/>
      <c r="AE197" s="564"/>
      <c r="AF197" s="564"/>
    </row>
    <row s="1672" customFormat="1" customHeight="1" ht="11.25">
      <c r="A198" s="988"/>
      <c r="B198" s="1667"/>
      <c r="C198" s="1667"/>
      <c r="D198" s="339"/>
      <c r="J198" s="1672"/>
      <c r="K198" s="1672"/>
      <c r="L198" s="1161"/>
      <c r="M198" s="1667"/>
      <c r="N198" s="1667"/>
      <c r="O198" s="1161"/>
      <c r="P198" s="1161"/>
      <c r="Q198" s="1161"/>
      <c r="R198" s="1161"/>
      <c r="S198" s="1667"/>
      <c r="T198" s="1161"/>
      <c r="U198" s="1161"/>
      <c r="V198" s="542"/>
      <c r="W198" s="1161"/>
      <c r="X198" s="1161"/>
      <c r="Y198" s="1161"/>
      <c r="Z198" s="1161"/>
      <c r="AA198" s="1161"/>
      <c r="AB198" s="1663"/>
      <c r="AC198" s="564"/>
      <c r="AD198" s="564"/>
      <c r="AE198" s="564"/>
      <c r="AF198" s="564"/>
    </row>
    <row s="1672" customFormat="1" customHeight="1" ht="11.25">
      <c r="A199" s="988"/>
      <c r="B199" s="1667"/>
      <c r="C199" s="1667"/>
      <c r="D199" s="339"/>
      <c r="J199" s="1672"/>
      <c r="K199" s="1672"/>
      <c r="L199" s="1161"/>
      <c r="M199" s="1667"/>
      <c r="N199" s="1667"/>
      <c r="O199" s="1161"/>
      <c r="P199" s="1161"/>
      <c r="Q199" s="1161"/>
      <c r="R199" s="1161"/>
      <c r="S199" s="1667"/>
      <c r="T199" s="1161"/>
      <c r="U199" s="1161"/>
      <c r="V199" s="542"/>
      <c r="W199" s="1161"/>
      <c r="X199" s="1161"/>
      <c r="Y199" s="1161"/>
      <c r="Z199" s="1161"/>
      <c r="AA199" s="1161"/>
      <c r="AB199" s="1663"/>
      <c r="AC199" s="564"/>
      <c r="AD199" s="564"/>
      <c r="AE199" s="564"/>
      <c r="AF199" s="564"/>
    </row>
    <row s="1672" customFormat="1" customHeight="1" ht="11.25">
      <c r="A200" s="988"/>
      <c r="B200" s="1667"/>
      <c r="C200" s="1667"/>
      <c r="D200" s="339"/>
      <c r="J200" s="1672"/>
      <c r="K200" s="1672"/>
      <c r="L200" s="1161"/>
      <c r="M200" s="1667"/>
      <c r="N200" s="1667"/>
      <c r="O200" s="1161"/>
      <c r="P200" s="1161"/>
      <c r="Q200" s="1161"/>
      <c r="R200" s="1161"/>
      <c r="S200" s="1667"/>
      <c r="T200" s="1161"/>
      <c r="U200" s="1161"/>
      <c r="V200" s="542"/>
      <c r="W200" s="1161"/>
      <c r="X200" s="1161"/>
      <c r="Y200" s="1161"/>
      <c r="Z200" s="1161"/>
      <c r="AA200" s="1161"/>
      <c r="AB200" s="1663"/>
      <c r="AC200" s="564"/>
      <c r="AD200" s="564"/>
      <c r="AE200" s="564"/>
      <c r="AF200" s="564"/>
    </row>
    <row s="1672" customFormat="1" customHeight="1" ht="11.25">
      <c r="A201" s="988"/>
      <c r="B201" s="1667"/>
      <c r="C201" s="1667"/>
      <c r="D201" s="339"/>
      <c r="J201" s="1672"/>
      <c r="K201" s="1672"/>
      <c r="L201" s="1161"/>
      <c r="M201" s="1667"/>
      <c r="N201" s="1667"/>
      <c r="O201" s="1161"/>
      <c r="P201" s="1161"/>
      <c r="Q201" s="1161"/>
      <c r="R201" s="1161"/>
      <c r="S201" s="1667"/>
      <c r="T201" s="1161"/>
      <c r="U201" s="1161"/>
      <c r="V201" s="542"/>
      <c r="W201" s="1161"/>
      <c r="X201" s="1161"/>
      <c r="Y201" s="1161"/>
      <c r="Z201" s="1161"/>
      <c r="AA201" s="1161"/>
      <c r="AB201" s="1663"/>
      <c r="AC201" s="564"/>
      <c r="AD201" s="564"/>
      <c r="AE201" s="564"/>
      <c r="AF201" s="564"/>
    </row>
    <row s="1672" customFormat="1" customHeight="1" ht="11.25">
      <c r="A202" s="988"/>
      <c r="B202" s="1667"/>
      <c r="C202" s="1667"/>
      <c r="D202" s="339"/>
      <c r="J202" s="1672"/>
      <c r="K202" s="1672"/>
      <c r="L202" s="1161"/>
      <c r="M202" s="1667"/>
      <c r="N202" s="1667"/>
      <c r="O202" s="1161"/>
      <c r="P202" s="1161"/>
      <c r="Q202" s="1161"/>
      <c r="R202" s="1161"/>
      <c r="S202" s="1667"/>
      <c r="T202" s="1161"/>
      <c r="U202" s="1161"/>
      <c r="V202" s="542"/>
      <c r="W202" s="1161"/>
      <c r="X202" s="1161"/>
      <c r="Y202" s="1161"/>
      <c r="Z202" s="1161"/>
      <c r="AA202" s="1161"/>
      <c r="AB202" s="1663"/>
      <c r="AC202" s="564"/>
      <c r="AD202" s="564"/>
      <c r="AE202" s="564"/>
      <c r="AF202" s="564"/>
    </row>
    <row s="1672" customFormat="1" customHeight="1" ht="11.25">
      <c r="A203" s="988"/>
      <c r="B203" s="1667"/>
      <c r="C203" s="1667"/>
      <c r="D203" s="339"/>
      <c r="J203" s="1672"/>
      <c r="K203" s="1672"/>
      <c r="L203" s="1161"/>
      <c r="M203" s="1667"/>
      <c r="N203" s="1667"/>
      <c r="O203" s="1161"/>
      <c r="P203" s="1161"/>
      <c r="Q203" s="1161"/>
      <c r="R203" s="1161"/>
      <c r="S203" s="1667"/>
      <c r="T203" s="1161"/>
      <c r="U203" s="1161"/>
      <c r="V203" s="542"/>
      <c r="W203" s="1161"/>
      <c r="X203" s="1161"/>
      <c r="Y203" s="1161"/>
      <c r="Z203" s="1161"/>
      <c r="AA203" s="1161"/>
      <c r="AB203" s="1663"/>
      <c r="AC203" s="564"/>
      <c r="AD203" s="564"/>
      <c r="AE203" s="564"/>
      <c r="AF203" s="564"/>
    </row>
    <row s="1672" customFormat="1" customHeight="1" ht="11.25">
      <c r="A204" s="988"/>
      <c r="B204" s="1667"/>
      <c r="C204" s="1667"/>
      <c r="D204" s="339"/>
      <c r="J204" s="1672"/>
      <c r="K204" s="1672"/>
      <c r="L204" s="1161"/>
      <c r="M204" s="1667"/>
      <c r="N204" s="1667"/>
      <c r="O204" s="1161"/>
      <c r="P204" s="1161"/>
      <c r="Q204" s="1161"/>
      <c r="R204" s="1161"/>
      <c r="S204" s="1667"/>
      <c r="T204" s="1161"/>
      <c r="U204" s="1161"/>
      <c r="V204" s="542"/>
      <c r="W204" s="1161"/>
      <c r="X204" s="1161"/>
      <c r="Y204" s="1161"/>
      <c r="Z204" s="1161"/>
      <c r="AA204" s="1161"/>
      <c r="AB204" s="1663"/>
      <c r="AC204" s="564"/>
      <c r="AD204" s="564"/>
      <c r="AE204" s="564"/>
      <c r="AF204" s="564"/>
    </row>
    <row s="1672" customFormat="1" customHeight="1" ht="11.25">
      <c r="A205" s="988"/>
      <c r="B205" s="1667"/>
      <c r="C205" s="1667"/>
      <c r="D205" s="339"/>
      <c r="J205" s="1672"/>
      <c r="K205" s="1672"/>
      <c r="L205" s="1161"/>
      <c r="M205" s="1667"/>
      <c r="N205" s="1667"/>
      <c r="O205" s="1161"/>
      <c r="P205" s="1161"/>
      <c r="Q205" s="1161"/>
      <c r="R205" s="1161"/>
      <c r="S205" s="1667"/>
      <c r="T205" s="1161"/>
      <c r="U205" s="1161"/>
      <c r="V205" s="542"/>
      <c r="W205" s="1161"/>
      <c r="X205" s="1161"/>
      <c r="Y205" s="1161"/>
      <c r="Z205" s="1161"/>
      <c r="AA205" s="1161"/>
      <c r="AB205" s="1663"/>
      <c r="AC205" s="564"/>
      <c r="AD205" s="564"/>
      <c r="AE205" s="564"/>
      <c r="AF205" s="564"/>
    </row>
    <row s="1672" customFormat="1" customHeight="1" ht="11.25">
      <c r="A206" s="988"/>
      <c r="B206" s="1667"/>
      <c r="C206" s="1667"/>
      <c r="D206" s="339"/>
      <c r="J206" s="1672"/>
      <c r="K206" s="1672"/>
      <c r="L206" s="1161"/>
      <c r="M206" s="1667"/>
      <c r="N206" s="1667"/>
      <c r="O206" s="1161"/>
      <c r="P206" s="1161"/>
      <c r="Q206" s="1161"/>
      <c r="R206" s="1161"/>
      <c r="S206" s="1667"/>
      <c r="T206" s="1161"/>
      <c r="U206" s="1161"/>
      <c r="V206" s="542"/>
      <c r="W206" s="1161"/>
      <c r="X206" s="1161"/>
      <c r="Y206" s="1161"/>
      <c r="Z206" s="1161"/>
      <c r="AA206" s="1161"/>
      <c r="AB206" s="1663"/>
      <c r="AC206" s="564"/>
      <c r="AD206" s="564"/>
      <c r="AE206" s="564"/>
      <c r="AF206" s="564"/>
    </row>
    <row s="1672" customFormat="1" customHeight="1" ht="11.25">
      <c r="A207" s="988"/>
      <c r="B207" s="1667"/>
      <c r="C207" s="1667"/>
      <c r="D207" s="339"/>
      <c r="J207" s="1672"/>
      <c r="K207" s="1672"/>
      <c r="L207" s="1161"/>
      <c r="M207" s="1667"/>
      <c r="N207" s="1667"/>
      <c r="O207" s="1161"/>
      <c r="P207" s="1161"/>
      <c r="Q207" s="1161"/>
      <c r="R207" s="1161"/>
      <c r="S207" s="1667"/>
      <c r="T207" s="1161"/>
      <c r="U207" s="1161"/>
      <c r="V207" s="542"/>
      <c r="W207" s="1161"/>
      <c r="X207" s="1161"/>
      <c r="Y207" s="1161"/>
      <c r="Z207" s="1161"/>
      <c r="AA207" s="1161"/>
      <c r="AB207" s="1663"/>
      <c r="AC207" s="564"/>
      <c r="AD207" s="564"/>
      <c r="AE207" s="564"/>
      <c r="AF207" s="564"/>
    </row>
    <row s="1672" customFormat="1" customHeight="1" ht="11.25">
      <c r="A208" s="988"/>
      <c r="B208" s="1667"/>
      <c r="C208" s="1667"/>
      <c r="D208" s="339"/>
      <c r="J208" s="1672"/>
      <c r="K208" s="1672"/>
      <c r="L208" s="1161"/>
      <c r="M208" s="1667"/>
      <c r="N208" s="1667"/>
      <c r="O208" s="1161"/>
      <c r="P208" s="1161"/>
      <c r="Q208" s="1161"/>
      <c r="R208" s="1161"/>
      <c r="S208" s="1667"/>
      <c r="T208" s="1161"/>
      <c r="U208" s="1161"/>
      <c r="V208" s="542"/>
      <c r="W208" s="1161"/>
      <c r="X208" s="1161"/>
      <c r="Y208" s="1161"/>
      <c r="Z208" s="1161"/>
      <c r="AA208" s="1161"/>
      <c r="AB208" s="1663"/>
      <c r="AC208" s="564"/>
      <c r="AD208" s="564"/>
      <c r="AE208" s="564"/>
      <c r="AF208" s="564"/>
    </row>
    <row s="1672" customFormat="1" customHeight="1" ht="11.25">
      <c r="A209" s="988"/>
      <c r="B209" s="1667"/>
      <c r="C209" s="1667"/>
      <c r="D209" s="339"/>
      <c r="J209" s="1672"/>
      <c r="K209" s="1672"/>
      <c r="L209" s="1161"/>
      <c r="M209" s="1667"/>
      <c r="N209" s="1667"/>
      <c r="O209" s="1161"/>
      <c r="P209" s="1161"/>
      <c r="Q209" s="1161"/>
      <c r="R209" s="1161"/>
      <c r="S209" s="1667"/>
      <c r="T209" s="1161"/>
      <c r="U209" s="1161"/>
      <c r="V209" s="542"/>
      <c r="W209" s="1161"/>
      <c r="X209" s="1161"/>
      <c r="Y209" s="1161"/>
      <c r="Z209" s="1161"/>
      <c r="AA209" s="1161"/>
      <c r="AB209" s="1663"/>
      <c r="AC209" s="564"/>
      <c r="AD209" s="564"/>
      <c r="AE209" s="564"/>
      <c r="AF209" s="564"/>
    </row>
    <row s="1672" customFormat="1" customHeight="1" ht="11.25">
      <c r="A210" s="988"/>
      <c r="B210" s="1667"/>
      <c r="C210" s="1667"/>
      <c r="D210" s="339"/>
      <c r="J210" s="1672"/>
      <c r="K210" s="1672"/>
      <c r="L210" s="1161"/>
      <c r="M210" s="1667"/>
      <c r="N210" s="1667"/>
      <c r="O210" s="1161"/>
      <c r="P210" s="1161"/>
      <c r="Q210" s="1161"/>
      <c r="R210" s="1161"/>
      <c r="S210" s="1667"/>
      <c r="T210" s="1161"/>
      <c r="U210" s="1161"/>
      <c r="V210" s="542"/>
      <c r="W210" s="1161"/>
      <c r="X210" s="1161"/>
      <c r="Y210" s="1161"/>
      <c r="Z210" s="1161"/>
      <c r="AA210" s="1161"/>
      <c r="AB210" s="1663"/>
      <c r="AC210" s="564"/>
      <c r="AD210" s="564"/>
      <c r="AE210" s="564"/>
      <c r="AF210" s="564"/>
    </row>
    <row s="1672" customFormat="1" customHeight="1" ht="11.25">
      <c r="A211" s="988"/>
      <c r="B211" s="1667"/>
      <c r="C211" s="1667"/>
      <c r="D211" s="339"/>
      <c r="J211" s="1672"/>
      <c r="K211" s="1672"/>
      <c r="L211" s="1161"/>
      <c r="M211" s="1667"/>
      <c r="N211" s="1667"/>
      <c r="O211" s="1161"/>
      <c r="P211" s="1161"/>
      <c r="Q211" s="1161"/>
      <c r="R211" s="1161"/>
      <c r="S211" s="1667"/>
      <c r="T211" s="1161"/>
      <c r="U211" s="1161"/>
      <c r="V211" s="542"/>
      <c r="W211" s="1161"/>
      <c r="X211" s="1161"/>
      <c r="Y211" s="1161"/>
      <c r="Z211" s="1161"/>
      <c r="AA211" s="1161"/>
      <c r="AB211" s="1663"/>
      <c r="AC211" s="564"/>
      <c r="AD211" s="564"/>
      <c r="AE211" s="564"/>
      <c r="AF211" s="564"/>
    </row>
    <row s="1672" customFormat="1" customHeight="1" ht="11.25">
      <c r="A212" s="988"/>
      <c r="B212" s="1667"/>
      <c r="C212" s="1667"/>
      <c r="D212" s="339"/>
      <c r="J212" s="1672"/>
      <c r="K212" s="1672"/>
      <c r="L212" s="1161"/>
      <c r="M212" s="1667"/>
      <c r="N212" s="1667"/>
      <c r="O212" s="1161"/>
      <c r="P212" s="1161"/>
      <c r="Q212" s="1161"/>
      <c r="R212" s="1161"/>
      <c r="S212" s="1667"/>
      <c r="T212" s="1161"/>
      <c r="U212" s="1161"/>
      <c r="V212" s="542"/>
      <c r="W212" s="1161"/>
      <c r="X212" s="1161"/>
      <c r="Y212" s="1161"/>
      <c r="Z212" s="1161"/>
      <c r="AA212" s="1161"/>
      <c r="AB212" s="1663"/>
      <c r="AC212" s="564"/>
      <c r="AD212" s="564"/>
      <c r="AE212" s="564"/>
      <c r="AF212" s="564"/>
    </row>
    <row s="1672" customFormat="1" customHeight="1" ht="11.25">
      <c r="A213" s="988"/>
      <c r="B213" s="1667"/>
      <c r="C213" s="1667"/>
      <c r="D213" s="339"/>
      <c r="J213" s="1672"/>
      <c r="K213" s="1672"/>
      <c r="L213" s="1161"/>
      <c r="M213" s="1667"/>
      <c r="N213" s="1667"/>
      <c r="O213" s="1161"/>
      <c r="P213" s="1161"/>
      <c r="Q213" s="1161"/>
      <c r="R213" s="1161"/>
      <c r="S213" s="1667"/>
      <c r="T213" s="1161"/>
      <c r="U213" s="1161"/>
      <c r="V213" s="542"/>
      <c r="W213" s="1161"/>
      <c r="X213" s="1161"/>
      <c r="Y213" s="1161"/>
      <c r="Z213" s="1161"/>
      <c r="AA213" s="1161"/>
      <c r="AB213" s="1663"/>
      <c r="AC213" s="564"/>
      <c r="AD213" s="564"/>
      <c r="AE213" s="564"/>
      <c r="AF213" s="564"/>
    </row>
    <row s="1672" customFormat="1" customHeight="1" ht="11.25">
      <c r="A214" s="988"/>
      <c r="B214" s="1667"/>
      <c r="C214" s="1667"/>
      <c r="D214" s="339"/>
      <c r="J214" s="1672"/>
      <c r="K214" s="1672"/>
      <c r="L214" s="1161"/>
      <c r="M214" s="1667"/>
      <c r="N214" s="1667"/>
      <c r="O214" s="1161"/>
      <c r="P214" s="1161"/>
      <c r="Q214" s="1161"/>
      <c r="R214" s="1161"/>
      <c r="S214" s="1667"/>
      <c r="T214" s="1161"/>
      <c r="U214" s="1161"/>
      <c r="V214" s="542"/>
      <c r="W214" s="1161"/>
      <c r="X214" s="1161"/>
      <c r="Y214" s="1161"/>
      <c r="Z214" s="1161"/>
      <c r="AA214" s="1161"/>
      <c r="AB214" s="1663"/>
      <c r="AC214" s="564"/>
      <c r="AD214" s="564"/>
      <c r="AE214" s="564"/>
      <c r="AF214" s="564"/>
    </row>
    <row s="1672" customFormat="1" customHeight="1" ht="11.25">
      <c r="A215" s="988"/>
      <c r="B215" s="1667"/>
      <c r="C215" s="1667"/>
      <c r="D215" s="339"/>
      <c r="J215" s="1672"/>
      <c r="K215" s="1672"/>
      <c r="L215" s="1161"/>
      <c r="M215" s="1667"/>
      <c r="N215" s="1667"/>
      <c r="O215" s="1161"/>
      <c r="P215" s="1161"/>
      <c r="Q215" s="1161"/>
      <c r="R215" s="1161"/>
      <c r="S215" s="1667"/>
      <c r="T215" s="1161"/>
      <c r="U215" s="1161"/>
      <c r="V215" s="542"/>
      <c r="W215" s="1161"/>
      <c r="X215" s="1161"/>
      <c r="Y215" s="1161"/>
      <c r="Z215" s="1161"/>
      <c r="AA215" s="1161"/>
      <c r="AB215" s="1663"/>
      <c r="AC215" s="564"/>
      <c r="AD215" s="564"/>
      <c r="AE215" s="564"/>
      <c r="AF215" s="564"/>
    </row>
    <row s="1672" customFormat="1" customHeight="1" ht="11.25">
      <c r="A216" s="988"/>
      <c r="B216" s="1667"/>
      <c r="C216" s="1667"/>
      <c r="D216" s="339"/>
      <c r="J216" s="1672"/>
      <c r="K216" s="1672"/>
      <c r="L216" s="1161"/>
      <c r="M216" s="1667"/>
      <c r="N216" s="1667"/>
      <c r="O216" s="1161"/>
      <c r="P216" s="1161"/>
      <c r="Q216" s="1161"/>
      <c r="R216" s="1161"/>
      <c r="S216" s="1667"/>
      <c r="T216" s="1161"/>
      <c r="U216" s="1161"/>
      <c r="V216" s="542"/>
      <c r="W216" s="1161"/>
      <c r="X216" s="1161"/>
      <c r="Y216" s="1161"/>
      <c r="Z216" s="1161"/>
      <c r="AA216" s="1161"/>
      <c r="AB216" s="1663"/>
      <c r="AC216" s="564"/>
      <c r="AD216" s="564"/>
      <c r="AE216" s="564"/>
      <c r="AF216" s="564"/>
    </row>
    <row s="1672" customFormat="1" customHeight="1" ht="11.25">
      <c r="A217" s="988"/>
      <c r="B217" s="1667"/>
      <c r="C217" s="1667"/>
      <c r="D217" s="339"/>
      <c r="J217" s="1672"/>
      <c r="K217" s="1672"/>
      <c r="L217" s="1161"/>
      <c r="M217" s="1667"/>
      <c r="N217" s="1667"/>
      <c r="O217" s="1161"/>
      <c r="P217" s="1161"/>
      <c r="Q217" s="1161"/>
      <c r="R217" s="1161"/>
      <c r="S217" s="1667"/>
      <c r="T217" s="1161"/>
      <c r="U217" s="1161"/>
      <c r="V217" s="542"/>
      <c r="W217" s="1161"/>
      <c r="X217" s="1161"/>
      <c r="Y217" s="1161"/>
      <c r="Z217" s="1161"/>
      <c r="AA217" s="1161"/>
      <c r="AB217" s="1663"/>
      <c r="AC217" s="564"/>
      <c r="AD217" s="564"/>
      <c r="AE217" s="564"/>
      <c r="AF217" s="564"/>
    </row>
    <row s="1672" customFormat="1" customHeight="1" ht="11.25">
      <c r="A218" s="988"/>
      <c r="B218" s="1667"/>
      <c r="C218" s="1667"/>
      <c r="D218" s="339"/>
      <c r="J218" s="1672"/>
      <c r="K218" s="1672"/>
      <c r="L218" s="1161"/>
      <c r="M218" s="1667"/>
      <c r="N218" s="1667"/>
      <c r="O218" s="1161"/>
      <c r="P218" s="1161"/>
      <c r="Q218" s="1161"/>
      <c r="R218" s="1161"/>
      <c r="S218" s="1667"/>
      <c r="T218" s="1161"/>
      <c r="U218" s="1161"/>
      <c r="V218" s="542"/>
      <c r="W218" s="1161"/>
      <c r="X218" s="1161"/>
      <c r="Y218" s="1161"/>
      <c r="Z218" s="1161"/>
      <c r="AA218" s="1161"/>
      <c r="AB218" s="1663"/>
      <c r="AC218" s="564"/>
      <c r="AD218" s="564"/>
      <c r="AE218" s="564"/>
      <c r="AF218" s="564"/>
    </row>
    <row s="1672" customFormat="1" customHeight="1" ht="11.25">
      <c r="A219" s="988"/>
      <c r="B219" s="1667"/>
      <c r="C219" s="1667"/>
      <c r="D219" s="339"/>
      <c r="J219" s="1672"/>
      <c r="K219" s="1672"/>
      <c r="L219" s="1161"/>
      <c r="M219" s="1667"/>
      <c r="N219" s="1667"/>
      <c r="O219" s="1161"/>
      <c r="P219" s="1161"/>
      <c r="Q219" s="1161"/>
      <c r="R219" s="1161"/>
      <c r="S219" s="1667"/>
      <c r="T219" s="1161"/>
      <c r="U219" s="1161"/>
      <c r="V219" s="542"/>
      <c r="W219" s="1161"/>
      <c r="X219" s="1161"/>
      <c r="Y219" s="1161"/>
      <c r="Z219" s="1161"/>
      <c r="AA219" s="1161"/>
      <c r="AB219" s="1663"/>
      <c r="AC219" s="564"/>
      <c r="AD219" s="564"/>
      <c r="AE219" s="564"/>
      <c r="AF219" s="564"/>
    </row>
    <row s="1672" customFormat="1" customHeight="1" ht="11.25">
      <c r="A220" s="988"/>
      <c r="B220" s="1667"/>
      <c r="C220" s="1667"/>
      <c r="D220" s="339"/>
      <c r="J220" s="1672"/>
      <c r="K220" s="1672"/>
      <c r="L220" s="1161"/>
      <c r="M220" s="1667"/>
      <c r="N220" s="1667"/>
      <c r="O220" s="1161"/>
      <c r="P220" s="1161"/>
      <c r="Q220" s="1161"/>
      <c r="R220" s="1161"/>
      <c r="S220" s="1667"/>
      <c r="T220" s="1161"/>
      <c r="U220" s="1161"/>
      <c r="V220" s="542"/>
      <c r="W220" s="1161"/>
      <c r="X220" s="1161"/>
      <c r="Y220" s="1161"/>
      <c r="Z220" s="1161"/>
      <c r="AA220" s="1161"/>
      <c r="AB220" s="1663"/>
      <c r="AC220" s="564"/>
      <c r="AD220" s="564"/>
      <c r="AE220" s="564"/>
      <c r="AF220" s="564"/>
    </row>
    <row s="1672" customFormat="1" customHeight="1" ht="11.25">
      <c r="A221" s="988"/>
      <c r="B221" s="1667"/>
      <c r="C221" s="1667"/>
      <c r="D221" s="339"/>
      <c r="J221" s="1672"/>
      <c r="K221" s="1672"/>
      <c r="L221" s="1161"/>
      <c r="M221" s="1667"/>
      <c r="N221" s="1667"/>
      <c r="O221" s="1161"/>
      <c r="P221" s="1161"/>
      <c r="Q221" s="1161"/>
      <c r="R221" s="1161"/>
      <c r="S221" s="1667"/>
      <c r="T221" s="1161"/>
      <c r="U221" s="1161"/>
      <c r="V221" s="542"/>
      <c r="W221" s="1161"/>
      <c r="X221" s="1161"/>
      <c r="Y221" s="1161"/>
      <c r="Z221" s="1161"/>
      <c r="AA221" s="1161"/>
      <c r="AB221" s="1663"/>
      <c r="AC221" s="564"/>
      <c r="AD221" s="564"/>
      <c r="AE221" s="564"/>
      <c r="AF221" s="564"/>
    </row>
    <row s="1672" customFormat="1" customHeight="1" ht="11.25">
      <c r="A222" s="988"/>
      <c r="B222" s="1667"/>
      <c r="C222" s="1667"/>
      <c r="D222" s="339"/>
      <c r="J222" s="1672"/>
      <c r="K222" s="1672"/>
      <c r="L222" s="1161"/>
      <c r="M222" s="1667"/>
      <c r="N222" s="1667"/>
      <c r="O222" s="1161"/>
      <c r="P222" s="1161"/>
      <c r="Q222" s="1161"/>
      <c r="R222" s="1161"/>
      <c r="S222" s="1667"/>
      <c r="T222" s="1161"/>
      <c r="U222" s="1161"/>
      <c r="V222" s="542"/>
      <c r="W222" s="1161"/>
      <c r="X222" s="1161"/>
      <c r="Y222" s="1161"/>
      <c r="Z222" s="1161"/>
      <c r="AA222" s="1161"/>
      <c r="AB222" s="1663"/>
      <c r="AC222" s="564"/>
      <c r="AD222" s="564"/>
      <c r="AE222" s="564"/>
      <c r="AF222" s="564"/>
    </row>
    <row s="1672" customFormat="1" customHeight="1" ht="11.25">
      <c r="A223" s="988"/>
      <c r="B223" s="1667"/>
      <c r="C223" s="1667"/>
      <c r="D223" s="339"/>
      <c r="J223" s="1672"/>
      <c r="K223" s="1672"/>
      <c r="L223" s="1161"/>
      <c r="M223" s="1667"/>
      <c r="N223" s="1667"/>
      <c r="O223" s="1161"/>
      <c r="P223" s="1161"/>
      <c r="Q223" s="1161"/>
      <c r="R223" s="1161"/>
      <c r="S223" s="1667"/>
      <c r="T223" s="1161"/>
      <c r="U223" s="1161"/>
      <c r="V223" s="542"/>
      <c r="W223" s="1161"/>
      <c r="X223" s="1161"/>
      <c r="Y223" s="1161"/>
      <c r="Z223" s="1161"/>
      <c r="AA223" s="1161"/>
      <c r="AB223" s="1663"/>
      <c r="AC223" s="564"/>
      <c r="AD223" s="564"/>
      <c r="AE223" s="564"/>
      <c r="AF223" s="564"/>
    </row>
    <row s="1672" customFormat="1" customHeight="1" ht="11.25">
      <c r="A224" s="988"/>
      <c r="B224" s="1667"/>
      <c r="C224" s="1667"/>
      <c r="D224" s="339"/>
      <c r="J224" s="1672"/>
      <c r="K224" s="1672"/>
      <c r="L224" s="1161"/>
      <c r="M224" s="1667"/>
      <c r="N224" s="1667"/>
      <c r="O224" s="1161"/>
      <c r="P224" s="1161"/>
      <c r="Q224" s="1161"/>
      <c r="R224" s="1161"/>
      <c r="S224" s="1667"/>
      <c r="T224" s="1161"/>
      <c r="U224" s="1161"/>
      <c r="V224" s="542"/>
      <c r="W224" s="1161"/>
      <c r="X224" s="1161"/>
      <c r="Y224" s="1161"/>
      <c r="Z224" s="1161"/>
      <c r="AA224" s="1161"/>
      <c r="AB224" s="1663"/>
      <c r="AC224" s="564"/>
      <c r="AD224" s="564"/>
      <c r="AE224" s="564"/>
      <c r="AF224" s="564"/>
    </row>
    <row s="1672" customFormat="1" customHeight="1" ht="11.25">
      <c r="A225" s="988"/>
      <c r="B225" s="1667"/>
      <c r="C225" s="1667"/>
      <c r="D225" s="339"/>
      <c r="J225" s="1672"/>
      <c r="K225" s="1672"/>
      <c r="L225" s="1161"/>
      <c r="M225" s="1667"/>
      <c r="N225" s="1667"/>
      <c r="O225" s="1161"/>
      <c r="P225" s="1161"/>
      <c r="Q225" s="1161"/>
      <c r="R225" s="1161"/>
      <c r="S225" s="1667"/>
      <c r="T225" s="1161"/>
      <c r="U225" s="1161"/>
      <c r="V225" s="542"/>
      <c r="W225" s="1161"/>
      <c r="X225" s="1161"/>
      <c r="Y225" s="1161"/>
      <c r="Z225" s="1161"/>
      <c r="AA225" s="1161"/>
      <c r="AB225" s="1663"/>
      <c r="AC225" s="564"/>
      <c r="AD225" s="564"/>
      <c r="AE225" s="564"/>
      <c r="AF225" s="564"/>
    </row>
    <row s="1672" customFormat="1" customHeight="1" ht="11.25">
      <c r="A226" s="988"/>
      <c r="B226" s="1667"/>
      <c r="C226" s="1667"/>
      <c r="D226" s="339"/>
      <c r="J226" s="1672"/>
      <c r="K226" s="1672"/>
      <c r="L226" s="1161"/>
      <c r="M226" s="1667"/>
      <c r="N226" s="1667"/>
      <c r="O226" s="1161"/>
      <c r="P226" s="1161"/>
      <c r="Q226" s="1161"/>
      <c r="R226" s="1161"/>
      <c r="S226" s="1667"/>
      <c r="T226" s="1161"/>
      <c r="U226" s="1161"/>
      <c r="V226" s="542"/>
      <c r="W226" s="1161"/>
      <c r="X226" s="1161"/>
      <c r="Y226" s="1161"/>
      <c r="Z226" s="1161"/>
      <c r="AA226" s="1161"/>
      <c r="AB226" s="1663"/>
      <c r="AC226" s="564"/>
      <c r="AD226" s="564"/>
      <c r="AE226" s="564"/>
      <c r="AF226" s="564"/>
    </row>
    <row s="1672" customFormat="1" customHeight="1" ht="11.25">
      <c r="A227" s="988"/>
      <c r="B227" s="1667"/>
      <c r="C227" s="1667"/>
      <c r="D227" s="339"/>
      <c r="J227" s="1672"/>
      <c r="K227" s="1672"/>
      <c r="L227" s="1161"/>
      <c r="M227" s="1667"/>
      <c r="N227" s="1667"/>
      <c r="O227" s="1161"/>
      <c r="P227" s="1161"/>
      <c r="Q227" s="1161"/>
      <c r="R227" s="1161"/>
      <c r="S227" s="1667"/>
      <c r="T227" s="1161"/>
      <c r="U227" s="1161"/>
      <c r="V227" s="542"/>
      <c r="W227" s="1161"/>
      <c r="X227" s="1161"/>
      <c r="Y227" s="1161"/>
      <c r="Z227" s="1161"/>
      <c r="AA227" s="1161"/>
      <c r="AB227" s="1663"/>
      <c r="AC227" s="564"/>
      <c r="AD227" s="564"/>
      <c r="AE227" s="564"/>
      <c r="AF227" s="564"/>
    </row>
    <row s="1672" customFormat="1" customHeight="1" ht="11.25">
      <c r="A228" s="988"/>
      <c r="B228" s="1667"/>
      <c r="C228" s="1667"/>
      <c r="D228" s="339"/>
      <c r="J228" s="1672"/>
      <c r="K228" s="1672"/>
      <c r="L228" s="1161"/>
      <c r="M228" s="1667"/>
      <c r="N228" s="1667"/>
      <c r="O228" s="1161"/>
      <c r="P228" s="1161"/>
      <c r="Q228" s="1161"/>
      <c r="R228" s="1161"/>
      <c r="S228" s="1667"/>
      <c r="T228" s="1161"/>
      <c r="U228" s="1161"/>
      <c r="V228" s="542"/>
      <c r="W228" s="1161"/>
      <c r="X228" s="1161"/>
      <c r="Y228" s="1161"/>
      <c r="Z228" s="1161"/>
      <c r="AA228" s="1161"/>
      <c r="AB228" s="1663"/>
      <c r="AC228" s="564"/>
      <c r="AD228" s="564"/>
      <c r="AE228" s="564"/>
      <c r="AF228" s="564"/>
    </row>
    <row s="1672" customFormat="1" customHeight="1" ht="11.25">
      <c r="A229" s="988"/>
      <c r="B229" s="1667"/>
      <c r="C229" s="1667"/>
      <c r="D229" s="339"/>
      <c r="J229" s="1672"/>
      <c r="K229" s="1672"/>
      <c r="L229" s="1161"/>
      <c r="M229" s="1667"/>
      <c r="N229" s="1667"/>
      <c r="O229" s="1161"/>
      <c r="P229" s="1161"/>
      <c r="Q229" s="1161"/>
      <c r="R229" s="1161"/>
      <c r="S229" s="1667"/>
      <c r="T229" s="1161"/>
      <c r="U229" s="1161"/>
      <c r="V229" s="542"/>
      <c r="W229" s="1161"/>
      <c r="X229" s="1161"/>
      <c r="Y229" s="1161"/>
      <c r="Z229" s="1161"/>
      <c r="AA229" s="1161"/>
      <c r="AB229" s="1663"/>
      <c r="AC229" s="564"/>
      <c r="AD229" s="564"/>
      <c r="AE229" s="564"/>
      <c r="AF229" s="564"/>
    </row>
    <row s="1672" customFormat="1" customHeight="1" ht="11.25">
      <c r="A230" s="988"/>
      <c r="B230" s="1667"/>
      <c r="C230" s="1667"/>
      <c r="D230" s="339"/>
      <c r="J230" s="1672"/>
      <c r="K230" s="1672"/>
      <c r="L230" s="1161"/>
      <c r="M230" s="1667"/>
      <c r="N230" s="1667"/>
      <c r="O230" s="1161"/>
      <c r="P230" s="1161"/>
      <c r="Q230" s="1161"/>
      <c r="R230" s="1161"/>
      <c r="S230" s="1667"/>
      <c r="T230" s="1161"/>
      <c r="U230" s="1161"/>
      <c r="V230" s="542"/>
      <c r="W230" s="1161"/>
      <c r="X230" s="1161"/>
      <c r="Y230" s="1161"/>
      <c r="Z230" s="1161"/>
      <c r="AA230" s="1161"/>
      <c r="AB230" s="1663"/>
      <c r="AC230" s="564"/>
      <c r="AD230" s="564"/>
      <c r="AE230" s="564"/>
      <c r="AF230" s="564"/>
    </row>
    <row s="1672" customFormat="1" customHeight="1" ht="11.25">
      <c r="A231" s="988"/>
      <c r="B231" s="1667"/>
      <c r="C231" s="1667"/>
      <c r="D231" s="339"/>
      <c r="J231" s="1672"/>
      <c r="K231" s="1672"/>
      <c r="L231" s="1161"/>
      <c r="M231" s="1667"/>
      <c r="N231" s="1667"/>
      <c r="O231" s="1161"/>
      <c r="P231" s="1161"/>
      <c r="Q231" s="1161"/>
      <c r="R231" s="1161"/>
      <c r="S231" s="1667"/>
      <c r="T231" s="1161"/>
      <c r="U231" s="1161"/>
      <c r="V231" s="542"/>
      <c r="W231" s="1161"/>
      <c r="X231" s="1161"/>
      <c r="Y231" s="1161"/>
      <c r="Z231" s="1161"/>
      <c r="AA231" s="1161"/>
      <c r="AB231" s="1663"/>
      <c r="AC231" s="564"/>
      <c r="AD231" s="564"/>
      <c r="AE231" s="564"/>
      <c r="AF231" s="564"/>
    </row>
    <row s="1672" customFormat="1" customHeight="1" ht="11.25">
      <c r="A232" s="988"/>
      <c r="B232" s="1667"/>
      <c r="C232" s="1667"/>
      <c r="D232" s="339"/>
      <c r="J232" s="1672"/>
      <c r="K232" s="1672"/>
      <c r="L232" s="1161"/>
      <c r="M232" s="1667"/>
      <c r="N232" s="1667"/>
      <c r="O232" s="1161"/>
      <c r="P232" s="1161"/>
      <c r="Q232" s="1161"/>
      <c r="R232" s="1161"/>
      <c r="S232" s="1667"/>
      <c r="T232" s="1161"/>
      <c r="U232" s="1161"/>
      <c r="V232" s="542"/>
      <c r="W232" s="1161"/>
      <c r="X232" s="1161"/>
      <c r="Y232" s="1161"/>
      <c r="Z232" s="1161"/>
      <c r="AA232" s="1161"/>
      <c r="AB232" s="1663"/>
      <c r="AC232" s="564"/>
      <c r="AD232" s="564"/>
      <c r="AE232" s="564"/>
      <c r="AF232" s="564"/>
    </row>
    <row s="1672" customFormat="1" customHeight="1" ht="11.25">
      <c r="A233" s="988"/>
      <c r="B233" s="1667"/>
      <c r="C233" s="1667"/>
      <c r="D233" s="339"/>
      <c r="J233" s="1672"/>
      <c r="K233" s="1672"/>
      <c r="L233" s="1161"/>
      <c r="M233" s="1667"/>
      <c r="N233" s="1667"/>
      <c r="O233" s="1161"/>
      <c r="P233" s="1161"/>
      <c r="Q233" s="1161"/>
      <c r="R233" s="1161"/>
      <c r="S233" s="1667"/>
      <c r="T233" s="1161"/>
      <c r="U233" s="1161"/>
      <c r="V233" s="542"/>
      <c r="W233" s="1161"/>
      <c r="X233" s="1161"/>
      <c r="Y233" s="1161"/>
      <c r="Z233" s="1161"/>
      <c r="AA233" s="1161"/>
      <c r="AB233" s="1663"/>
      <c r="AC233" s="564"/>
      <c r="AD233" s="564"/>
      <c r="AE233" s="564"/>
      <c r="AF233" s="564"/>
    </row>
    <row s="1672" customFormat="1" customHeight="1" ht="11.25">
      <c r="A234" s="988"/>
      <c r="B234" s="1667"/>
      <c r="C234" s="1667"/>
      <c r="D234" s="339"/>
      <c r="J234" s="1672"/>
      <c r="K234" s="1672"/>
      <c r="L234" s="1161"/>
      <c r="M234" s="1667"/>
      <c r="N234" s="1667"/>
      <c r="O234" s="1161"/>
      <c r="P234" s="1161"/>
      <c r="Q234" s="1161"/>
      <c r="R234" s="1161"/>
      <c r="S234" s="1667"/>
      <c r="T234" s="1161"/>
      <c r="U234" s="1161"/>
      <c r="V234" s="542"/>
      <c r="W234" s="1161"/>
      <c r="X234" s="1161"/>
      <c r="Y234" s="1161"/>
      <c r="Z234" s="1161"/>
      <c r="AA234" s="1161"/>
      <c r="AB234" s="1663"/>
      <c r="AC234" s="564"/>
      <c r="AD234" s="564"/>
      <c r="AE234" s="564"/>
      <c r="AF234" s="564"/>
    </row>
    <row s="1672" customFormat="1" customHeight="1" ht="11.25">
      <c r="A235" s="988"/>
      <c r="B235" s="1667"/>
      <c r="C235" s="1667"/>
      <c r="D235" s="339"/>
      <c r="J235" s="1672"/>
      <c r="K235" s="1672"/>
      <c r="L235" s="1161"/>
      <c r="M235" s="1667"/>
      <c r="N235" s="1667"/>
      <c r="O235" s="1161"/>
      <c r="P235" s="1161"/>
      <c r="Q235" s="1161"/>
      <c r="R235" s="1161"/>
      <c r="S235" s="1667"/>
      <c r="T235" s="1161"/>
      <c r="U235" s="1161"/>
      <c r="V235" s="542"/>
      <c r="W235" s="1161"/>
      <c r="X235" s="1161"/>
      <c r="Y235" s="1161"/>
      <c r="Z235" s="1161"/>
      <c r="AA235" s="1161"/>
      <c r="AB235" s="1663"/>
      <c r="AC235" s="564"/>
      <c r="AD235" s="564"/>
      <c r="AE235" s="564"/>
      <c r="AF235" s="564"/>
    </row>
    <row s="1672" customFormat="1" customHeight="1" ht="11.25">
      <c r="A236" s="988"/>
      <c r="B236" s="1667"/>
      <c r="C236" s="1667"/>
      <c r="D236" s="339"/>
      <c r="J236" s="1672"/>
      <c r="K236" s="1672"/>
      <c r="L236" s="1161"/>
      <c r="M236" s="1667"/>
      <c r="N236" s="1667"/>
      <c r="O236" s="1161"/>
      <c r="P236" s="1161"/>
      <c r="Q236" s="1161"/>
      <c r="R236" s="1161"/>
      <c r="S236" s="1667"/>
      <c r="T236" s="1161"/>
      <c r="U236" s="1161"/>
      <c r="V236" s="542"/>
      <c r="W236" s="1161"/>
      <c r="X236" s="1161"/>
      <c r="Y236" s="1161"/>
      <c r="Z236" s="1161"/>
      <c r="AA236" s="1161"/>
      <c r="AB236" s="1663"/>
      <c r="AC236" s="564"/>
      <c r="AD236" s="564"/>
      <c r="AE236" s="564"/>
      <c r="AF236" s="564"/>
    </row>
    <row s="1672" customFormat="1" customHeight="1" ht="11.25">
      <c r="A237" s="988"/>
      <c r="B237" s="1667"/>
      <c r="C237" s="1667"/>
      <c r="D237" s="339"/>
      <c r="J237" s="1672"/>
      <c r="K237" s="1672"/>
      <c r="L237" s="1161"/>
      <c r="M237" s="1667"/>
      <c r="N237" s="1667"/>
      <c r="O237" s="1161"/>
      <c r="P237" s="1161"/>
      <c r="Q237" s="1161"/>
      <c r="R237" s="1161"/>
      <c r="S237" s="1667"/>
      <c r="T237" s="1161"/>
      <c r="U237" s="1161"/>
      <c r="V237" s="542"/>
      <c r="W237" s="1161"/>
      <c r="X237" s="1161"/>
      <c r="Y237" s="1161"/>
      <c r="Z237" s="1161"/>
      <c r="AA237" s="1161"/>
      <c r="AB237" s="1663"/>
      <c r="AC237" s="564"/>
      <c r="AD237" s="564"/>
      <c r="AE237" s="564"/>
      <c r="AF237" s="564"/>
    </row>
    <row s="1672" customFormat="1" customHeight="1" ht="11.25">
      <c r="A238" s="988"/>
      <c r="B238" s="1667"/>
      <c r="C238" s="1667"/>
      <c r="D238" s="339"/>
      <c r="J238" s="1672"/>
      <c r="K238" s="1672"/>
      <c r="L238" s="1161"/>
      <c r="M238" s="1667"/>
      <c r="N238" s="1667"/>
      <c r="O238" s="1161"/>
      <c r="P238" s="1161"/>
      <c r="Q238" s="1161"/>
      <c r="R238" s="1161"/>
      <c r="S238" s="1667"/>
      <c r="T238" s="1161"/>
      <c r="U238" s="1161"/>
      <c r="V238" s="542"/>
      <c r="W238" s="1161"/>
      <c r="X238" s="1161"/>
      <c r="Y238" s="1161"/>
      <c r="Z238" s="1161"/>
      <c r="AA238" s="1161"/>
      <c r="AB238" s="1663"/>
      <c r="AC238" s="564"/>
      <c r="AD238" s="564"/>
      <c r="AE238" s="564"/>
      <c r="AF238" s="564"/>
    </row>
    <row s="1672" customFormat="1" customHeight="1" ht="11.25">
      <c r="A239" s="988"/>
      <c r="B239" s="1667"/>
      <c r="C239" s="1667"/>
      <c r="D239" s="339"/>
      <c r="J239" s="1672"/>
      <c r="K239" s="1672"/>
      <c r="L239" s="1161"/>
      <c r="M239" s="1667"/>
      <c r="N239" s="1667"/>
      <c r="O239" s="1161"/>
      <c r="P239" s="1161"/>
      <c r="Q239" s="1161"/>
      <c r="R239" s="1161"/>
      <c r="S239" s="1667"/>
      <c r="T239" s="1161"/>
      <c r="U239" s="1161"/>
      <c r="V239" s="542"/>
      <c r="W239" s="1161"/>
      <c r="X239" s="1161"/>
      <c r="Y239" s="1161"/>
      <c r="Z239" s="1161"/>
      <c r="AA239" s="1161"/>
      <c r="AB239" s="1663"/>
      <c r="AC239" s="564"/>
      <c r="AD239" s="564"/>
      <c r="AE239" s="564"/>
      <c r="AF239" s="564"/>
    </row>
    <row s="1672" customFormat="1" customHeight="1" ht="11.25">
      <c r="A240" s="988"/>
      <c r="B240" s="1667"/>
      <c r="C240" s="1667"/>
      <c r="D240" s="339"/>
      <c r="J240" s="1672"/>
      <c r="K240" s="1672"/>
      <c r="L240" s="1161"/>
      <c r="M240" s="1667"/>
      <c r="N240" s="1667"/>
      <c r="O240" s="1161"/>
      <c r="P240" s="1161"/>
      <c r="Q240" s="1161"/>
      <c r="R240" s="1161"/>
      <c r="S240" s="1667"/>
      <c r="T240" s="1161"/>
      <c r="U240" s="1161"/>
      <c r="V240" s="542"/>
      <c r="W240" s="1161"/>
      <c r="X240" s="1161"/>
      <c r="Y240" s="1161"/>
      <c r="Z240" s="1161"/>
      <c r="AA240" s="1161"/>
      <c r="AB240" s="1663"/>
      <c r="AC240" s="564"/>
      <c r="AD240" s="564"/>
      <c r="AE240" s="564"/>
      <c r="AF240" s="564"/>
    </row>
    <row s="1672" customFormat="1" customHeight="1" ht="11.25">
      <c r="A241" s="988"/>
      <c r="B241" s="1667"/>
      <c r="C241" s="1667"/>
      <c r="D241" s="339"/>
      <c r="J241" s="1672"/>
      <c r="K241" s="1672"/>
      <c r="L241" s="1161"/>
      <c r="M241" s="1667"/>
      <c r="N241" s="1667"/>
      <c r="O241" s="1161"/>
      <c r="P241" s="1161"/>
      <c r="Q241" s="1161"/>
      <c r="R241" s="1161"/>
      <c r="S241" s="1667"/>
      <c r="T241" s="1161"/>
      <c r="U241" s="1161"/>
      <c r="V241" s="542"/>
      <c r="W241" s="1161"/>
      <c r="X241" s="1161"/>
      <c r="Y241" s="1161"/>
      <c r="Z241" s="1161"/>
      <c r="AA241" s="1161"/>
      <c r="AB241" s="1663"/>
      <c r="AC241" s="564"/>
      <c r="AD241" s="564"/>
      <c r="AE241" s="564"/>
      <c r="AF241" s="564"/>
    </row>
    <row s="1672" customFormat="1" customHeight="1" ht="11.25">
      <c r="A242" s="988"/>
      <c r="B242" s="1667"/>
      <c r="C242" s="1667"/>
      <c r="D242" s="339"/>
      <c r="J242" s="1672"/>
      <c r="K242" s="1672"/>
      <c r="L242" s="1161"/>
      <c r="M242" s="1667"/>
      <c r="N242" s="1667"/>
      <c r="O242" s="1161"/>
      <c r="P242" s="1161"/>
      <c r="Q242" s="1161"/>
      <c r="R242" s="1161"/>
      <c r="S242" s="1667"/>
      <c r="T242" s="1161"/>
      <c r="U242" s="1161"/>
      <c r="V242" s="542"/>
      <c r="W242" s="1161"/>
      <c r="X242" s="1161"/>
      <c r="Y242" s="1161"/>
      <c r="Z242" s="1161"/>
      <c r="AA242" s="1161"/>
      <c r="AB242" s="1663"/>
      <c r="AC242" s="564"/>
      <c r="AD242" s="564"/>
      <c r="AE242" s="564"/>
      <c r="AF242" s="564"/>
    </row>
    <row s="1672" customFormat="1" customHeight="1" ht="11.25">
      <c r="A243" s="988"/>
      <c r="B243" s="1667"/>
      <c r="C243" s="1667"/>
      <c r="D243" s="339"/>
      <c r="J243" s="1672"/>
      <c r="K243" s="1672"/>
      <c r="L243" s="1161"/>
      <c r="M243" s="1667"/>
      <c r="N243" s="1667"/>
      <c r="O243" s="1161"/>
      <c r="P243" s="1161"/>
      <c r="Q243" s="1161"/>
      <c r="R243" s="1161"/>
      <c r="S243" s="1667"/>
      <c r="T243" s="1161"/>
      <c r="U243" s="1161"/>
      <c r="V243" s="542"/>
      <c r="W243" s="1161"/>
      <c r="X243" s="1161"/>
      <c r="Y243" s="1161"/>
      <c r="Z243" s="1161"/>
      <c r="AA243" s="1161"/>
      <c r="AB243" s="1663"/>
      <c r="AC243" s="564"/>
      <c r="AD243" s="564"/>
      <c r="AE243" s="564"/>
      <c r="AF243" s="564"/>
    </row>
    <row s="1672" customFormat="1" customHeight="1" ht="11.25">
      <c r="A244" s="988"/>
      <c r="B244" s="1667"/>
      <c r="C244" s="1667"/>
      <c r="D244" s="339"/>
      <c r="J244" s="1672"/>
      <c r="K244" s="1672"/>
      <c r="L244" s="1161"/>
      <c r="M244" s="1667"/>
      <c r="N244" s="1667"/>
      <c r="O244" s="1161"/>
      <c r="P244" s="1161"/>
      <c r="Q244" s="1161"/>
      <c r="R244" s="1161"/>
      <c r="S244" s="1667"/>
      <c r="T244" s="1161"/>
      <c r="U244" s="1161"/>
      <c r="V244" s="542"/>
      <c r="W244" s="1161"/>
      <c r="X244" s="1161"/>
      <c r="Y244" s="1161"/>
      <c r="Z244" s="1161"/>
      <c r="AA244" s="1161"/>
      <c r="AB244" s="1663"/>
      <c r="AC244" s="564"/>
      <c r="AD244" s="564"/>
      <c r="AE244" s="564"/>
      <c r="AF244" s="564"/>
    </row>
    <row s="1672" customFormat="1" customHeight="1" ht="11.25">
      <c r="A245" s="988"/>
      <c r="B245" s="1667"/>
      <c r="C245" s="1667"/>
      <c r="D245" s="339"/>
      <c r="J245" s="1672"/>
      <c r="K245" s="1672"/>
      <c r="L245" s="1161"/>
      <c r="M245" s="1667"/>
      <c r="N245" s="1667"/>
      <c r="O245" s="1161"/>
      <c r="P245" s="1161"/>
      <c r="Q245" s="1161"/>
      <c r="R245" s="1161"/>
      <c r="S245" s="1667"/>
      <c r="T245" s="1161"/>
      <c r="U245" s="1161"/>
      <c r="V245" s="542"/>
      <c r="W245" s="1161"/>
      <c r="X245" s="1161"/>
      <c r="Y245" s="1161"/>
      <c r="Z245" s="1161"/>
      <c r="AA245" s="1161"/>
      <c r="AB245" s="1663"/>
      <c r="AC245" s="564"/>
      <c r="AD245" s="564"/>
      <c r="AE245" s="564"/>
      <c r="AF245" s="564"/>
    </row>
    <row s="1672" customFormat="1" customHeight="1" ht="11.25">
      <c r="A246" s="988"/>
      <c r="B246" s="1667"/>
      <c r="C246" s="1667"/>
      <c r="D246" s="339"/>
      <c r="J246" s="1672"/>
      <c r="K246" s="1672"/>
      <c r="L246" s="1161"/>
      <c r="M246" s="1667"/>
      <c r="N246" s="1667"/>
      <c r="O246" s="1161"/>
      <c r="P246" s="1161"/>
      <c r="Q246" s="1161"/>
      <c r="R246" s="1161"/>
      <c r="S246" s="1667"/>
      <c r="T246" s="1161"/>
      <c r="U246" s="1161"/>
      <c r="V246" s="542"/>
      <c r="W246" s="1161"/>
      <c r="X246" s="1161"/>
      <c r="Y246" s="1161"/>
      <c r="Z246" s="1161"/>
      <c r="AA246" s="1161"/>
      <c r="AB246" s="1663"/>
      <c r="AC246" s="564"/>
      <c r="AD246" s="564"/>
      <c r="AE246" s="564"/>
      <c r="AF246" s="564"/>
    </row>
    <row s="1672" customFormat="1" customHeight="1" ht="11.25">
      <c r="A247" s="988"/>
      <c r="B247" s="1667"/>
      <c r="C247" s="1667"/>
      <c r="D247" s="339"/>
      <c r="J247" s="1672"/>
      <c r="K247" s="1672"/>
      <c r="L247" s="1161"/>
      <c r="M247" s="1667"/>
      <c r="N247" s="1667"/>
      <c r="O247" s="1161"/>
      <c r="P247" s="1161"/>
      <c r="Q247" s="1161"/>
      <c r="R247" s="1161"/>
      <c r="S247" s="1667"/>
      <c r="T247" s="1161"/>
      <c r="U247" s="1161"/>
      <c r="V247" s="542"/>
      <c r="W247" s="1161"/>
      <c r="X247" s="1161"/>
      <c r="Y247" s="1161"/>
      <c r="Z247" s="1161"/>
      <c r="AA247" s="1161"/>
      <c r="AB247" s="1663"/>
      <c r="AC247" s="564"/>
      <c r="AD247" s="564"/>
      <c r="AE247" s="564"/>
      <c r="AF247" s="564"/>
    </row>
    <row s="1672" customFormat="1" customHeight="1" ht="11.25">
      <c r="A248" s="988"/>
      <c r="B248" s="1667"/>
      <c r="C248" s="1667"/>
      <c r="D248" s="339"/>
      <c r="J248" s="1672"/>
      <c r="K248" s="1672"/>
      <c r="L248" s="1161"/>
      <c r="M248" s="1667"/>
      <c r="N248" s="1667"/>
      <c r="O248" s="1161"/>
      <c r="P248" s="1161"/>
      <c r="Q248" s="1161"/>
      <c r="R248" s="1161"/>
      <c r="S248" s="1667"/>
      <c r="T248" s="1161"/>
      <c r="U248" s="1161"/>
      <c r="V248" s="542"/>
      <c r="W248" s="1161"/>
      <c r="X248" s="1161"/>
      <c r="Y248" s="1161"/>
      <c r="Z248" s="1161"/>
      <c r="AA248" s="1161"/>
      <c r="AB248" s="1663"/>
      <c r="AC248" s="564"/>
      <c r="AD248" s="564"/>
      <c r="AE248" s="564"/>
      <c r="AF248" s="564"/>
    </row>
    <row s="1672" customFormat="1" customHeight="1" ht="11.25">
      <c r="A249" s="988"/>
      <c r="B249" s="1667"/>
      <c r="C249" s="1667"/>
      <c r="D249" s="339"/>
      <c r="J249" s="1672"/>
      <c r="K249" s="1672"/>
      <c r="L249" s="1161"/>
      <c r="M249" s="1667"/>
      <c r="N249" s="1667"/>
      <c r="O249" s="1161"/>
      <c r="P249" s="1161"/>
      <c r="Q249" s="1161"/>
      <c r="R249" s="1161"/>
      <c r="S249" s="1667"/>
      <c r="T249" s="1161"/>
      <c r="U249" s="1161"/>
      <c r="V249" s="542"/>
      <c r="W249" s="1161"/>
      <c r="X249" s="1161"/>
      <c r="Y249" s="1161"/>
      <c r="Z249" s="1161"/>
      <c r="AA249" s="1161"/>
      <c r="AB249" s="1663"/>
      <c r="AC249" s="564"/>
      <c r="AD249" s="564"/>
      <c r="AE249" s="564"/>
      <c r="AF249" s="564"/>
    </row>
    <row s="1672" customFormat="1" customHeight="1" ht="11.25">
      <c r="A250" s="988"/>
      <c r="B250" s="1667"/>
      <c r="C250" s="1667"/>
      <c r="D250" s="339"/>
      <c r="J250" s="1672"/>
      <c r="K250" s="1672"/>
      <c r="L250" s="1161"/>
      <c r="M250" s="1667"/>
      <c r="N250" s="1667"/>
      <c r="O250" s="1161"/>
      <c r="P250" s="1161"/>
      <c r="Q250" s="1161"/>
      <c r="R250" s="1161"/>
      <c r="S250" s="1667"/>
      <c r="T250" s="1161"/>
      <c r="U250" s="1161"/>
      <c r="V250" s="542"/>
      <c r="W250" s="1161"/>
      <c r="X250" s="1161"/>
      <c r="Y250" s="1161"/>
      <c r="Z250" s="1161"/>
      <c r="AA250" s="1161"/>
      <c r="AB250" s="1663"/>
      <c r="AC250" s="564"/>
      <c r="AD250" s="564"/>
      <c r="AE250" s="564"/>
      <c r="AF250" s="564"/>
    </row>
    <row s="1672" customFormat="1" customHeight="1" ht="11.25">
      <c r="A251" s="988"/>
      <c r="B251" s="1667"/>
      <c r="C251" s="1667"/>
      <c r="D251" s="339"/>
      <c r="J251" s="1672"/>
      <c r="K251" s="1672"/>
      <c r="L251" s="1161"/>
      <c r="M251" s="1667"/>
      <c r="N251" s="1667"/>
      <c r="O251" s="1161"/>
      <c r="P251" s="1161"/>
      <c r="Q251" s="1161"/>
      <c r="R251" s="1161"/>
      <c r="S251" s="1667"/>
      <c r="T251" s="1161"/>
      <c r="U251" s="1161"/>
      <c r="V251" s="542"/>
      <c r="W251" s="1161"/>
      <c r="X251" s="1161"/>
      <c r="Y251" s="1161"/>
      <c r="Z251" s="1161"/>
      <c r="AA251" s="1161"/>
      <c r="AB251" s="1663"/>
      <c r="AC251" s="564"/>
      <c r="AD251" s="564"/>
      <c r="AE251" s="564"/>
      <c r="AF251" s="564"/>
    </row>
    <row s="1672" customFormat="1" customHeight="1" ht="11.25">
      <c r="A252" s="988"/>
      <c r="B252" s="1667"/>
      <c r="C252" s="1667"/>
      <c r="D252" s="339"/>
      <c r="J252" s="1672"/>
      <c r="K252" s="1672"/>
      <c r="L252" s="1161"/>
      <c r="M252" s="1667"/>
      <c r="N252" s="1667"/>
      <c r="O252" s="1161"/>
      <c r="P252" s="1161"/>
      <c r="Q252" s="1161"/>
      <c r="R252" s="1161"/>
      <c r="S252" s="1667"/>
      <c r="T252" s="1161"/>
      <c r="U252" s="1161"/>
      <c r="V252" s="542"/>
      <c r="W252" s="1161"/>
      <c r="X252" s="1161"/>
      <c r="Y252" s="1161"/>
      <c r="Z252" s="1161"/>
      <c r="AA252" s="1161"/>
      <c r="AB252" s="1663"/>
      <c r="AC252" s="564"/>
      <c r="AD252" s="564"/>
      <c r="AE252" s="564"/>
      <c r="AF252" s="564"/>
    </row>
    <row s="1672" customFormat="1" customHeight="1" ht="11.25">
      <c r="A253" s="988"/>
      <c r="B253" s="1667"/>
      <c r="C253" s="1667"/>
      <c r="D253" s="339"/>
      <c r="J253" s="1672"/>
      <c r="K253" s="1672"/>
      <c r="L253" s="1161"/>
      <c r="M253" s="1667"/>
      <c r="N253" s="1667"/>
      <c r="O253" s="1161"/>
      <c r="P253" s="1161"/>
      <c r="Q253" s="1161"/>
      <c r="R253" s="1161"/>
      <c r="S253" s="1667"/>
      <c r="T253" s="1161"/>
      <c r="U253" s="1161"/>
      <c r="V253" s="542"/>
      <c r="W253" s="1161"/>
      <c r="X253" s="1161"/>
      <c r="Y253" s="1161"/>
      <c r="Z253" s="1161"/>
      <c r="AA253" s="1161"/>
      <c r="AB253" s="1663"/>
      <c r="AC253" s="564"/>
      <c r="AD253" s="564"/>
      <c r="AE253" s="564"/>
      <c r="AF253" s="564"/>
    </row>
    <row s="1672" customFormat="1" customHeight="1" ht="11.25">
      <c r="A254" s="988"/>
      <c r="B254" s="1667"/>
      <c r="C254" s="1667"/>
      <c r="D254" s="339"/>
      <c r="J254" s="1672"/>
      <c r="K254" s="1672"/>
      <c r="L254" s="1161"/>
      <c r="M254" s="1667"/>
      <c r="N254" s="1667"/>
      <c r="O254" s="1161"/>
      <c r="P254" s="1161"/>
      <c r="Q254" s="1161"/>
      <c r="R254" s="1161"/>
      <c r="S254" s="1667"/>
      <c r="T254" s="1161"/>
      <c r="U254" s="1161"/>
      <c r="V254" s="542"/>
      <c r="W254" s="1161"/>
      <c r="X254" s="1161"/>
      <c r="Y254" s="1161"/>
      <c r="Z254" s="1161"/>
      <c r="AA254" s="1161"/>
      <c r="AB254" s="1663"/>
      <c r="AC254" s="564"/>
      <c r="AD254" s="564"/>
      <c r="AE254" s="564"/>
      <c r="AF254" s="564"/>
    </row>
    <row s="1672" customFormat="1" customHeight="1" ht="11.25">
      <c r="A255" s="988"/>
      <c r="B255" s="1667"/>
      <c r="C255" s="1667"/>
      <c r="D255" s="339"/>
      <c r="J255" s="1672"/>
      <c r="K255" s="1672"/>
      <c r="L255" s="1161"/>
      <c r="M255" s="1667"/>
      <c r="N255" s="1667"/>
      <c r="O255" s="1161"/>
      <c r="P255" s="1161"/>
      <c r="Q255" s="1161"/>
      <c r="R255" s="1161"/>
      <c r="S255" s="1667"/>
      <c r="T255" s="1161"/>
      <c r="U255" s="1161"/>
      <c r="V255" s="542"/>
      <c r="W255" s="1161"/>
      <c r="X255" s="1161"/>
      <c r="Y255" s="1161"/>
      <c r="Z255" s="1161"/>
      <c r="AA255" s="1161"/>
      <c r="AB255" s="1663"/>
      <c r="AC255" s="564"/>
      <c r="AD255" s="564"/>
      <c r="AE255" s="564"/>
      <c r="AF255" s="564"/>
    </row>
    <row s="1672" customFormat="1" customHeight="1" ht="11.25">
      <c r="A256" s="988"/>
      <c r="B256" s="1667"/>
      <c r="C256" s="1667"/>
      <c r="D256" s="339"/>
      <c r="J256" s="1672"/>
      <c r="K256" s="1672"/>
      <c r="L256" s="1161"/>
      <c r="M256" s="1667"/>
      <c r="N256" s="1667"/>
      <c r="O256" s="1161"/>
      <c r="P256" s="1161"/>
      <c r="Q256" s="1161"/>
      <c r="R256" s="1161"/>
      <c r="S256" s="1667"/>
      <c r="T256" s="1161"/>
      <c r="U256" s="1161"/>
      <c r="V256" s="542"/>
      <c r="W256" s="1161"/>
      <c r="X256" s="1161"/>
      <c r="Y256" s="1161"/>
      <c r="Z256" s="1161"/>
      <c r="AA256" s="1161"/>
      <c r="AB256" s="1663"/>
      <c r="AC256" s="564"/>
      <c r="AD256" s="564"/>
      <c r="AE256" s="564"/>
      <c r="AF256" s="564"/>
    </row>
    <row s="1672" customFormat="1" customHeight="1" ht="11.25">
      <c r="A257" s="988"/>
      <c r="B257" s="1667"/>
      <c r="C257" s="1667"/>
      <c r="D257" s="339"/>
      <c r="J257" s="1672"/>
      <c r="K257" s="1672"/>
      <c r="L257" s="1161"/>
      <c r="M257" s="1667"/>
      <c r="N257" s="1667"/>
      <c r="O257" s="1161"/>
      <c r="P257" s="1161"/>
      <c r="Q257" s="1161"/>
      <c r="R257" s="1161"/>
      <c r="S257" s="1667"/>
      <c r="T257" s="1161"/>
      <c r="U257" s="1161"/>
      <c r="V257" s="542"/>
      <c r="W257" s="1161"/>
      <c r="X257" s="1161"/>
      <c r="Y257" s="1161"/>
      <c r="Z257" s="1161"/>
      <c r="AA257" s="1161"/>
      <c r="AB257" s="1663"/>
      <c r="AC257" s="564"/>
      <c r="AD257" s="564"/>
      <c r="AE257" s="564"/>
      <c r="AF257" s="564"/>
    </row>
    <row s="1672" customFormat="1" customHeight="1" ht="11.25">
      <c r="A258" s="988"/>
      <c r="B258" s="1667"/>
      <c r="C258" s="1667"/>
      <c r="D258" s="339"/>
      <c r="J258" s="1672"/>
      <c r="K258" s="1672"/>
      <c r="L258" s="1161"/>
      <c r="M258" s="1667"/>
      <c r="N258" s="1667"/>
      <c r="O258" s="1161"/>
      <c r="P258" s="1161"/>
      <c r="Q258" s="1161"/>
      <c r="R258" s="1161"/>
      <c r="S258" s="1667"/>
      <c r="T258" s="1161"/>
      <c r="U258" s="1161"/>
      <c r="V258" s="542"/>
      <c r="W258" s="1161"/>
      <c r="X258" s="1161"/>
      <c r="Y258" s="1161"/>
      <c r="Z258" s="1161"/>
      <c r="AA258" s="1161"/>
      <c r="AB258" s="1663"/>
      <c r="AC258" s="564"/>
      <c r="AD258" s="564"/>
      <c r="AE258" s="564"/>
      <c r="AF258" s="564"/>
    </row>
    <row s="1672" customFormat="1" customHeight="1" ht="11.25">
      <c r="A259" s="988"/>
      <c r="B259" s="1667"/>
      <c r="C259" s="1667"/>
      <c r="D259" s="339"/>
      <c r="J259" s="1672"/>
      <c r="K259" s="1672"/>
      <c r="L259" s="1161"/>
      <c r="M259" s="1667"/>
      <c r="N259" s="1667"/>
      <c r="O259" s="1161"/>
      <c r="P259" s="1161"/>
      <c r="Q259" s="1161"/>
      <c r="R259" s="1161"/>
      <c r="S259" s="1667"/>
      <c r="T259" s="1161"/>
      <c r="U259" s="1161"/>
      <c r="V259" s="542"/>
      <c r="W259" s="1161"/>
      <c r="X259" s="1161"/>
      <c r="Y259" s="1161"/>
      <c r="Z259" s="1161"/>
      <c r="AA259" s="1161"/>
      <c r="AB259" s="1663"/>
      <c r="AC259" s="564"/>
      <c r="AD259" s="564"/>
      <c r="AE259" s="564"/>
      <c r="AF259" s="564"/>
    </row>
    <row s="1672" customFormat="1" customHeight="1" ht="11.25">
      <c r="A260" s="988"/>
      <c r="B260" s="1667"/>
      <c r="C260" s="1667"/>
      <c r="D260" s="339"/>
      <c r="J260" s="1672"/>
      <c r="K260" s="1672"/>
      <c r="L260" s="1161"/>
      <c r="M260" s="1667"/>
      <c r="N260" s="1667"/>
      <c r="O260" s="1161"/>
      <c r="P260" s="1161"/>
      <c r="Q260" s="1161"/>
      <c r="R260" s="1161"/>
      <c r="S260" s="1667"/>
      <c r="T260" s="1161"/>
      <c r="U260" s="1161"/>
      <c r="V260" s="542"/>
      <c r="W260" s="1161"/>
      <c r="X260" s="1161"/>
      <c r="Y260" s="1161"/>
      <c r="Z260" s="1161"/>
      <c r="AA260" s="1161"/>
      <c r="AB260" s="1663"/>
      <c r="AC260" s="564"/>
      <c r="AD260" s="564"/>
      <c r="AE260" s="564"/>
      <c r="AF260" s="564"/>
    </row>
    <row s="1672" customFormat="1" customHeight="1" ht="11.25">
      <c r="A261" s="988"/>
      <c r="B261" s="1667"/>
      <c r="C261" s="1667"/>
      <c r="D261" s="339"/>
      <c r="J261" s="1672"/>
      <c r="K261" s="1672"/>
      <c r="L261" s="1161"/>
      <c r="M261" s="1667"/>
      <c r="N261" s="1667"/>
      <c r="O261" s="1161"/>
      <c r="P261" s="1161"/>
      <c r="Q261" s="1161"/>
      <c r="R261" s="1161"/>
      <c r="S261" s="1667"/>
      <c r="T261" s="1161"/>
      <c r="U261" s="1161"/>
      <c r="V261" s="542"/>
      <c r="W261" s="1161"/>
      <c r="X261" s="1161"/>
      <c r="Y261" s="1161"/>
      <c r="Z261" s="1161"/>
      <c r="AA261" s="1161"/>
      <c r="AB261" s="1663"/>
      <c r="AC261" s="564"/>
      <c r="AD261" s="564"/>
      <c r="AE261" s="564"/>
      <c r="AF261" s="564"/>
    </row>
    <row s="1672" customFormat="1" customHeight="1" ht="11.25">
      <c r="A262" s="988"/>
      <c r="B262" s="1667"/>
      <c r="C262" s="1667"/>
      <c r="D262" s="339"/>
      <c r="J262" s="1672"/>
      <c r="K262" s="1672"/>
      <c r="L262" s="1161"/>
      <c r="M262" s="1667"/>
      <c r="N262" s="1667"/>
      <c r="O262" s="1161"/>
      <c r="P262" s="1161"/>
      <c r="Q262" s="1161"/>
      <c r="R262" s="1161"/>
      <c r="S262" s="1667"/>
      <c r="T262" s="1161"/>
      <c r="U262" s="1161"/>
      <c r="V262" s="542"/>
      <c r="W262" s="1161"/>
      <c r="X262" s="1161"/>
      <c r="Y262" s="1161"/>
      <c r="Z262" s="1161"/>
      <c r="AA262" s="1161"/>
      <c r="AB262" s="1663"/>
      <c r="AC262" s="564"/>
      <c r="AD262" s="564"/>
      <c r="AE262" s="564"/>
      <c r="AF262" s="564"/>
    </row>
    <row s="1672" customFormat="1" customHeight="1" ht="11.25">
      <c r="A263" s="988"/>
      <c r="B263" s="1667"/>
      <c r="C263" s="1667"/>
      <c r="D263" s="339"/>
      <c r="J263" s="1672"/>
      <c r="K263" s="1672"/>
      <c r="L263" s="1161"/>
      <c r="M263" s="1667"/>
      <c r="N263" s="1667"/>
      <c r="O263" s="1161"/>
      <c r="P263" s="1161"/>
      <c r="Q263" s="1161"/>
      <c r="R263" s="1161"/>
      <c r="S263" s="1667"/>
      <c r="T263" s="1161"/>
      <c r="U263" s="1161"/>
      <c r="V263" s="542"/>
      <c r="W263" s="1161"/>
      <c r="X263" s="1161"/>
      <c r="Y263" s="1161"/>
      <c r="Z263" s="1161"/>
      <c r="AA263" s="1161"/>
      <c r="AB263" s="1663"/>
      <c r="AC263" s="564"/>
      <c r="AD263" s="564"/>
      <c r="AE263" s="564"/>
      <c r="AF263" s="564"/>
    </row>
    <row s="1672" customFormat="1" customHeight="1" ht="11.25">
      <c r="A264" s="988"/>
      <c r="B264" s="1667"/>
      <c r="C264" s="1667"/>
      <c r="D264" s="339"/>
      <c r="J264" s="1672"/>
      <c r="K264" s="1672"/>
      <c r="L264" s="1161"/>
      <c r="M264" s="1667"/>
      <c r="N264" s="1667"/>
      <c r="O264" s="1161"/>
      <c r="P264" s="1161"/>
      <c r="Q264" s="1161"/>
      <c r="R264" s="1161"/>
      <c r="S264" s="1667"/>
      <c r="T264" s="1161"/>
      <c r="U264" s="1161"/>
      <c r="V264" s="542"/>
      <c r="W264" s="1161"/>
      <c r="X264" s="1161"/>
      <c r="Y264" s="1161"/>
      <c r="Z264" s="1161"/>
      <c r="AA264" s="1161"/>
      <c r="AB264" s="1663"/>
      <c r="AC264" s="564"/>
      <c r="AD264" s="564"/>
      <c r="AE264" s="564"/>
      <c r="AF264" s="564"/>
    </row>
    <row s="1672" customFormat="1" customHeight="1" ht="11.25">
      <c r="A265" s="988"/>
      <c r="B265" s="1667"/>
      <c r="C265" s="1667"/>
      <c r="D265" s="339"/>
      <c r="J265" s="1672"/>
      <c r="K265" s="1672"/>
      <c r="L265" s="1161"/>
      <c r="M265" s="1667"/>
      <c r="N265" s="1667"/>
      <c r="O265" s="1161"/>
      <c r="P265" s="1161"/>
      <c r="Q265" s="1161"/>
      <c r="R265" s="1161"/>
      <c r="S265" s="1667"/>
      <c r="T265" s="1161"/>
      <c r="U265" s="1161"/>
      <c r="V265" s="542"/>
      <c r="W265" s="1161"/>
      <c r="X265" s="1161"/>
      <c r="Y265" s="1161"/>
      <c r="Z265" s="1161"/>
      <c r="AA265" s="1161"/>
      <c r="AB265" s="1663"/>
      <c r="AC265" s="564"/>
      <c r="AD265" s="564"/>
      <c r="AE265" s="564"/>
      <c r="AF265" s="564"/>
    </row>
    <row s="1672" customFormat="1" customHeight="1" ht="11.25">
      <c r="A266" s="988"/>
      <c r="B266" s="1667"/>
      <c r="C266" s="1667"/>
      <c r="D266" s="339"/>
      <c r="J266" s="1672"/>
      <c r="K266" s="1672"/>
      <c r="L266" s="1161"/>
      <c r="M266" s="1667"/>
      <c r="N266" s="1667"/>
      <c r="O266" s="1161"/>
      <c r="P266" s="1161"/>
      <c r="Q266" s="1161"/>
      <c r="R266" s="1161"/>
      <c r="S266" s="1667"/>
      <c r="T266" s="1161"/>
      <c r="U266" s="1161"/>
      <c r="V266" s="542"/>
      <c r="W266" s="1161"/>
      <c r="X266" s="1161"/>
      <c r="Y266" s="1161"/>
      <c r="Z266" s="1161"/>
      <c r="AA266" s="1161"/>
      <c r="AB266" s="1663"/>
      <c r="AC266" s="564"/>
      <c r="AD266" s="564"/>
      <c r="AE266" s="564"/>
      <c r="AF266" s="564"/>
    </row>
    <row s="1672" customFormat="1" customHeight="1" ht="11.25">
      <c r="A267" s="988"/>
      <c r="B267" s="1667"/>
      <c r="C267" s="1667"/>
      <c r="D267" s="339"/>
      <c r="J267" s="1672"/>
      <c r="K267" s="1672"/>
      <c r="L267" s="1161"/>
      <c r="M267" s="1667"/>
      <c r="N267" s="1667"/>
      <c r="O267" s="1161"/>
      <c r="P267" s="1161"/>
      <c r="Q267" s="1161"/>
      <c r="R267" s="1161"/>
      <c r="S267" s="1667"/>
      <c r="T267" s="1161"/>
      <c r="U267" s="1161"/>
      <c r="V267" s="542"/>
      <c r="W267" s="1161"/>
      <c r="X267" s="1161"/>
      <c r="Y267" s="1161"/>
      <c r="Z267" s="1161"/>
      <c r="AA267" s="1161"/>
      <c r="AB267" s="1663"/>
      <c r="AC267" s="564"/>
      <c r="AD267" s="564"/>
      <c r="AE267" s="564"/>
      <c r="AF267" s="564"/>
    </row>
    <row s="1672" customFormat="1" customHeight="1" ht="11.25">
      <c r="A268" s="988"/>
      <c r="B268" s="1667"/>
      <c r="C268" s="1667"/>
      <c r="D268" s="339"/>
      <c r="J268" s="1672"/>
      <c r="K268" s="1672"/>
      <c r="L268" s="1161"/>
      <c r="M268" s="1667"/>
      <c r="N268" s="1667"/>
      <c r="O268" s="1161"/>
      <c r="P268" s="1161"/>
      <c r="Q268" s="1161"/>
      <c r="R268" s="1161"/>
      <c r="S268" s="1667"/>
      <c r="T268" s="1161"/>
      <c r="U268" s="1161"/>
      <c r="V268" s="542"/>
      <c r="W268" s="1161"/>
      <c r="X268" s="1161"/>
      <c r="Y268" s="1161"/>
      <c r="Z268" s="1161"/>
      <c r="AA268" s="1161"/>
      <c r="AB268" s="1663"/>
      <c r="AC268" s="564"/>
      <c r="AD268" s="564"/>
      <c r="AE268" s="564"/>
      <c r="AF268" s="564"/>
    </row>
    <row s="1672" customFormat="1" customHeight="1" ht="11.25">
      <c r="A269" s="988"/>
      <c r="B269" s="1667"/>
      <c r="C269" s="1667"/>
      <c r="D269" s="339"/>
      <c r="J269" s="1672"/>
      <c r="K269" s="1672"/>
      <c r="L269" s="1161"/>
      <c r="M269" s="1667"/>
      <c r="N269" s="1667"/>
      <c r="O269" s="1161"/>
      <c r="P269" s="1161"/>
      <c r="Q269" s="1161"/>
      <c r="R269" s="1161"/>
      <c r="S269" s="1667"/>
      <c r="T269" s="1161"/>
      <c r="U269" s="1161"/>
      <c r="V269" s="542"/>
      <c r="W269" s="1161"/>
      <c r="X269" s="1161"/>
      <c r="Y269" s="1161"/>
      <c r="Z269" s="1161"/>
      <c r="AA269" s="1161"/>
      <c r="AB269" s="1663"/>
      <c r="AC269" s="564"/>
      <c r="AD269" s="564"/>
      <c r="AE269" s="564"/>
      <c r="AF269" s="564"/>
    </row>
    <row s="1672" customFormat="1" customHeight="1" ht="11.25">
      <c r="A270" s="988"/>
      <c r="B270" s="1667"/>
      <c r="C270" s="1667"/>
      <c r="D270" s="339"/>
      <c r="J270" s="1672"/>
      <c r="K270" s="1672"/>
      <c r="L270" s="1161"/>
      <c r="M270" s="1667"/>
      <c r="N270" s="1667"/>
      <c r="O270" s="1161"/>
      <c r="P270" s="1161"/>
      <c r="Q270" s="1161"/>
      <c r="R270" s="1161"/>
      <c r="S270" s="1667"/>
      <c r="T270" s="1161"/>
      <c r="U270" s="1161"/>
      <c r="V270" s="542"/>
      <c r="W270" s="1161"/>
      <c r="X270" s="1161"/>
      <c r="Y270" s="1161"/>
      <c r="Z270" s="1161"/>
      <c r="AA270" s="1161"/>
      <c r="AB270" s="1663"/>
      <c r="AC270" s="564"/>
      <c r="AD270" s="564"/>
      <c r="AE270" s="564"/>
      <c r="AF270" s="564"/>
    </row>
    <row s="1672" customFormat="1" customHeight="1" ht="11.25">
      <c r="A271" s="988"/>
      <c r="B271" s="1667"/>
      <c r="C271" s="1667"/>
      <c r="D271" s="339"/>
      <c r="J271" s="1672"/>
      <c r="K271" s="1672"/>
      <c r="L271" s="1161"/>
      <c r="M271" s="1667"/>
      <c r="N271" s="1667"/>
      <c r="O271" s="1161"/>
      <c r="P271" s="1161"/>
      <c r="Q271" s="1161"/>
      <c r="R271" s="1161"/>
      <c r="S271" s="1667"/>
      <c r="T271" s="1161"/>
      <c r="U271" s="1161"/>
      <c r="V271" s="542"/>
      <c r="W271" s="1161"/>
      <c r="X271" s="1161"/>
      <c r="Y271" s="1161"/>
      <c r="Z271" s="1161"/>
      <c r="AA271" s="1161"/>
      <c r="AB271" s="1663"/>
      <c r="AC271" s="564"/>
      <c r="AD271" s="564"/>
      <c r="AE271" s="564"/>
      <c r="AF271" s="564"/>
    </row>
    <row s="1672" customFormat="1" customHeight="1" ht="11.25">
      <c r="A272" s="988"/>
      <c r="B272" s="1667"/>
      <c r="C272" s="1667"/>
      <c r="D272" s="339"/>
      <c r="J272" s="1672"/>
      <c r="K272" s="1672"/>
      <c r="L272" s="1161"/>
      <c r="M272" s="1667"/>
      <c r="N272" s="1667"/>
      <c r="O272" s="1161"/>
      <c r="P272" s="1161"/>
      <c r="Q272" s="1161"/>
      <c r="R272" s="1161"/>
      <c r="S272" s="1667"/>
      <c r="T272" s="1161"/>
      <c r="U272" s="1161"/>
      <c r="V272" s="542"/>
      <c r="W272" s="1161"/>
      <c r="X272" s="1161"/>
      <c r="Y272" s="1161"/>
      <c r="Z272" s="1161"/>
      <c r="AA272" s="1161"/>
      <c r="AB272" s="1663"/>
      <c r="AC272" s="564"/>
      <c r="AD272" s="564"/>
      <c r="AE272" s="564"/>
      <c r="AF272" s="564"/>
    </row>
    <row s="1672" customFormat="1" customHeight="1" ht="11.25">
      <c r="A273" s="988"/>
      <c r="B273" s="1667"/>
      <c r="C273" s="1667"/>
      <c r="D273" s="339"/>
      <c r="J273" s="1672"/>
      <c r="K273" s="1672"/>
      <c r="L273" s="1161"/>
      <c r="M273" s="1667"/>
      <c r="N273" s="1667"/>
      <c r="O273" s="1161"/>
      <c r="P273" s="1161"/>
      <c r="Q273" s="1161"/>
      <c r="R273" s="1161"/>
      <c r="S273" s="1667"/>
      <c r="T273" s="1161"/>
      <c r="U273" s="1161"/>
      <c r="V273" s="542"/>
      <c r="W273" s="1161"/>
      <c r="X273" s="1161"/>
      <c r="Y273" s="1161"/>
      <c r="Z273" s="1161"/>
      <c r="AA273" s="1161"/>
      <c r="AB273" s="1663"/>
      <c r="AC273" s="564"/>
      <c r="AD273" s="564"/>
      <c r="AE273" s="564"/>
      <c r="AF273" s="564"/>
    </row>
    <row s="1672" customFormat="1" customHeight="1" ht="11.25">
      <c r="A274" s="988"/>
      <c r="B274" s="1667"/>
      <c r="C274" s="1667"/>
      <c r="D274" s="339"/>
      <c r="J274" s="1672"/>
      <c r="K274" s="1672"/>
      <c r="L274" s="1161"/>
      <c r="M274" s="1667"/>
      <c r="N274" s="1667"/>
      <c r="O274" s="1161"/>
      <c r="P274" s="1161"/>
      <c r="Q274" s="1161"/>
      <c r="R274" s="1161"/>
      <c r="S274" s="1667"/>
      <c r="T274" s="1161"/>
      <c r="U274" s="1161"/>
      <c r="V274" s="542"/>
      <c r="W274" s="1161"/>
      <c r="X274" s="1161"/>
      <c r="Y274" s="1161"/>
      <c r="Z274" s="1161"/>
      <c r="AA274" s="1161"/>
      <c r="AB274" s="1663"/>
      <c r="AC274" s="564"/>
      <c r="AD274" s="564"/>
      <c r="AE274" s="564"/>
      <c r="AF274" s="564"/>
    </row>
    <row s="1672" customFormat="1" customHeight="1" ht="11.25">
      <c r="A275" s="988"/>
      <c r="B275" s="1667"/>
      <c r="C275" s="1667"/>
      <c r="D275" s="339"/>
      <c r="J275" s="1672"/>
      <c r="K275" s="1672"/>
      <c r="L275" s="1161"/>
      <c r="M275" s="1667"/>
      <c r="N275" s="1667"/>
      <c r="O275" s="1161"/>
      <c r="P275" s="1161"/>
      <c r="Q275" s="1161"/>
      <c r="R275" s="1161"/>
      <c r="S275" s="1667"/>
      <c r="T275" s="1161"/>
      <c r="U275" s="1161"/>
      <c r="V275" s="542"/>
      <c r="W275" s="1161"/>
      <c r="X275" s="1161"/>
      <c r="Y275" s="1161"/>
      <c r="Z275" s="1161"/>
      <c r="AA275" s="1161"/>
      <c r="AB275" s="1663"/>
      <c r="AC275" s="564"/>
      <c r="AD275" s="564"/>
      <c r="AE275" s="564"/>
      <c r="AF275" s="564"/>
    </row>
    <row s="1672" customFormat="1" customHeight="1" ht="11.25">
      <c r="A276" s="988"/>
      <c r="B276" s="1667"/>
      <c r="C276" s="1667"/>
      <c r="D276" s="339"/>
      <c r="J276" s="1672"/>
      <c r="K276" s="1672"/>
      <c r="L276" s="1161"/>
      <c r="M276" s="1667"/>
      <c r="N276" s="1667"/>
      <c r="O276" s="1161"/>
      <c r="P276" s="1161"/>
      <c r="Q276" s="1161"/>
      <c r="R276" s="1161"/>
      <c r="S276" s="1667"/>
      <c r="T276" s="1161"/>
      <c r="U276" s="1161"/>
      <c r="V276" s="542"/>
      <c r="W276" s="1161"/>
      <c r="X276" s="1161"/>
      <c r="Y276" s="1161"/>
      <c r="Z276" s="1161"/>
      <c r="AA276" s="1161"/>
      <c r="AB276" s="1663"/>
      <c r="AC276" s="564"/>
      <c r="AD276" s="564"/>
      <c r="AE276" s="564"/>
      <c r="AF276" s="564"/>
    </row>
    <row s="1672" customFormat="1" customHeight="1" ht="11.25">
      <c r="A277" s="988"/>
      <c r="B277" s="1667"/>
      <c r="C277" s="1667"/>
      <c r="D277" s="339"/>
      <c r="J277" s="1672"/>
      <c r="K277" s="1672"/>
      <c r="L277" s="1161"/>
      <c r="M277" s="1667"/>
      <c r="N277" s="1667"/>
      <c r="O277" s="1161"/>
      <c r="P277" s="1161"/>
      <c r="Q277" s="1161"/>
      <c r="R277" s="1161"/>
      <c r="S277" s="1667"/>
      <c r="T277" s="1161"/>
      <c r="U277" s="1161"/>
      <c r="V277" s="542"/>
      <c r="W277" s="1161"/>
      <c r="X277" s="1161"/>
      <c r="Y277" s="1161"/>
      <c r="Z277" s="1161"/>
      <c r="AA277" s="1161"/>
      <c r="AB277" s="1663"/>
      <c r="AC277" s="564"/>
      <c r="AD277" s="564"/>
      <c r="AE277" s="564"/>
      <c r="AF277" s="564"/>
    </row>
    <row s="1672" customFormat="1" customHeight="1" ht="11.25">
      <c r="A278" s="988"/>
      <c r="B278" s="1667"/>
      <c r="C278" s="1667"/>
      <c r="D278" s="339"/>
      <c r="J278" s="1672"/>
      <c r="K278" s="1672"/>
      <c r="L278" s="1161"/>
      <c r="M278" s="1667"/>
      <c r="N278" s="1667"/>
      <c r="O278" s="1161"/>
      <c r="P278" s="1161"/>
      <c r="Q278" s="1161"/>
      <c r="R278" s="1161"/>
      <c r="S278" s="1667"/>
      <c r="T278" s="1161"/>
      <c r="U278" s="1161"/>
      <c r="V278" s="542"/>
      <c r="W278" s="1161"/>
      <c r="X278" s="1161"/>
      <c r="Y278" s="1161"/>
      <c r="Z278" s="1161"/>
      <c r="AA278" s="1161"/>
      <c r="AB278" s="1663"/>
      <c r="AC278" s="564"/>
      <c r="AD278" s="564"/>
      <c r="AE278" s="564"/>
      <c r="AF278" s="564"/>
    </row>
    <row s="1672" customFormat="1" customHeight="1" ht="11.25">
      <c r="A279" s="988"/>
      <c r="B279" s="1667"/>
      <c r="C279" s="1667"/>
      <c r="D279" s="339"/>
      <c r="J279" s="1672"/>
      <c r="K279" s="1672"/>
      <c r="L279" s="1161"/>
      <c r="M279" s="1667"/>
      <c r="N279" s="1667"/>
      <c r="O279" s="1161"/>
      <c r="P279" s="1161"/>
      <c r="Q279" s="1161"/>
      <c r="R279" s="1161"/>
      <c r="S279" s="1667"/>
      <c r="T279" s="1161"/>
      <c r="U279" s="1161"/>
      <c r="V279" s="542"/>
      <c r="W279" s="1161"/>
      <c r="X279" s="1161"/>
      <c r="Y279" s="1161"/>
      <c r="Z279" s="1161"/>
      <c r="AA279" s="1161"/>
      <c r="AB279" s="1663"/>
      <c r="AC279" s="564"/>
      <c r="AD279" s="564"/>
      <c r="AE279" s="564"/>
      <c r="AF279" s="564"/>
    </row>
    <row s="1672" customFormat="1" customHeight="1" ht="11.25">
      <c r="A280" s="988"/>
      <c r="B280" s="1667"/>
      <c r="C280" s="1667"/>
      <c r="D280" s="339"/>
      <c r="J280" s="1672"/>
      <c r="K280" s="1672"/>
      <c r="L280" s="1161"/>
      <c r="M280" s="1667"/>
      <c r="N280" s="1667"/>
      <c r="O280" s="1161"/>
      <c r="P280" s="1161"/>
      <c r="Q280" s="1161"/>
      <c r="R280" s="1161"/>
      <c r="S280" s="1667"/>
      <c r="T280" s="1161"/>
      <c r="U280" s="1161"/>
      <c r="V280" s="542"/>
      <c r="W280" s="1161"/>
      <c r="X280" s="1161"/>
      <c r="Y280" s="1161"/>
      <c r="Z280" s="1161"/>
      <c r="AA280" s="1161"/>
      <c r="AB280" s="1663"/>
      <c r="AC280" s="564"/>
      <c r="AD280" s="564"/>
      <c r="AE280" s="564"/>
      <c r="AF280" s="564"/>
    </row>
    <row s="1672" customFormat="1" customHeight="1" ht="11.25">
      <c r="A281" s="988"/>
      <c r="B281" s="1667"/>
      <c r="C281" s="1667"/>
      <c r="D281" s="339"/>
      <c r="J281" s="1672"/>
      <c r="K281" s="1672"/>
      <c r="L281" s="1161"/>
      <c r="M281" s="1667"/>
      <c r="N281" s="1667"/>
      <c r="O281" s="1161"/>
      <c r="P281" s="1161"/>
      <c r="Q281" s="1161"/>
      <c r="R281" s="1161"/>
      <c r="S281" s="1667"/>
      <c r="T281" s="1161"/>
      <c r="U281" s="1161"/>
      <c r="V281" s="542"/>
      <c r="W281" s="1161"/>
      <c r="X281" s="1161"/>
      <c r="Y281" s="1161"/>
      <c r="Z281" s="1161"/>
      <c r="AA281" s="1161"/>
      <c r="AB281" s="1663"/>
      <c r="AC281" s="564"/>
      <c r="AD281" s="564"/>
      <c r="AE281" s="564"/>
      <c r="AF281" s="564"/>
    </row>
    <row s="1672" customFormat="1" customHeight="1" ht="11.25">
      <c r="A282" s="988"/>
      <c r="B282" s="1667"/>
      <c r="C282" s="1667"/>
      <c r="D282" s="339"/>
      <c r="J282" s="1672"/>
      <c r="K282" s="1672"/>
      <c r="L282" s="1161"/>
      <c r="M282" s="1667"/>
      <c r="N282" s="1667"/>
      <c r="O282" s="1161"/>
      <c r="P282" s="1161"/>
      <c r="Q282" s="1161"/>
      <c r="R282" s="1161"/>
      <c r="S282" s="1667"/>
      <c r="T282" s="1161"/>
      <c r="U282" s="1161"/>
      <c r="V282" s="542"/>
      <c r="W282" s="1161"/>
      <c r="X282" s="1161"/>
      <c r="Y282" s="1161"/>
      <c r="Z282" s="1161"/>
      <c r="AA282" s="1161"/>
      <c r="AB282" s="1663"/>
      <c r="AC282" s="564"/>
      <c r="AD282" s="564"/>
      <c r="AE282" s="564"/>
      <c r="AF282" s="564"/>
    </row>
    <row s="1672" customFormat="1" customHeight="1" ht="11.25">
      <c r="A283" s="988"/>
      <c r="B283" s="1667"/>
      <c r="C283" s="1667"/>
      <c r="D283" s="339"/>
      <c r="J283" s="1672"/>
      <c r="K283" s="1672"/>
      <c r="L283" s="1161"/>
      <c r="M283" s="1667"/>
      <c r="N283" s="1667"/>
      <c r="O283" s="1161"/>
      <c r="P283" s="1161"/>
      <c r="Q283" s="1161"/>
      <c r="R283" s="1161"/>
      <c r="S283" s="1667"/>
      <c r="T283" s="1161"/>
      <c r="U283" s="1161"/>
      <c r="V283" s="542"/>
      <c r="W283" s="1161"/>
      <c r="X283" s="1161"/>
      <c r="Y283" s="1161"/>
      <c r="Z283" s="1161"/>
      <c r="AA283" s="1161"/>
      <c r="AB283" s="1663"/>
      <c r="AC283" s="564"/>
      <c r="AD283" s="564"/>
      <c r="AE283" s="564"/>
      <c r="AF283" s="564"/>
    </row>
    <row s="1672" customFormat="1" customHeight="1" ht="11.25">
      <c r="A284" s="988"/>
      <c r="B284" s="1667"/>
      <c r="C284" s="1667"/>
      <c r="D284" s="339"/>
      <c r="J284" s="1672"/>
      <c r="K284" s="1672"/>
      <c r="L284" s="1161"/>
      <c r="M284" s="1667"/>
      <c r="N284" s="1667"/>
      <c r="O284" s="1161"/>
      <c r="P284" s="1161"/>
      <c r="Q284" s="1161"/>
      <c r="R284" s="1161"/>
      <c r="S284" s="1667"/>
      <c r="T284" s="1161"/>
      <c r="U284" s="1161"/>
      <c r="V284" s="542"/>
      <c r="W284" s="1161"/>
      <c r="X284" s="1161"/>
      <c r="Y284" s="1161"/>
      <c r="Z284" s="1161"/>
      <c r="AA284" s="1161"/>
      <c r="AB284" s="1663"/>
      <c r="AC284" s="564"/>
      <c r="AD284" s="564"/>
      <c r="AE284" s="564"/>
      <c r="AF284" s="564"/>
    </row>
    <row s="1672" customFormat="1" customHeight="1" ht="11.25">
      <c r="A285" s="988"/>
      <c r="B285" s="1667"/>
      <c r="C285" s="1667"/>
      <c r="D285" s="339"/>
      <c r="J285" s="1672"/>
      <c r="K285" s="1672"/>
      <c r="L285" s="1161"/>
      <c r="M285" s="1667"/>
      <c r="N285" s="1667"/>
      <c r="O285" s="1161"/>
      <c r="P285" s="1161"/>
      <c r="Q285" s="1161"/>
      <c r="R285" s="1161"/>
      <c r="S285" s="1667"/>
      <c r="T285" s="1161"/>
      <c r="U285" s="1161"/>
      <c r="V285" s="542"/>
      <c r="W285" s="1161"/>
      <c r="X285" s="1161"/>
      <c r="Y285" s="1161"/>
      <c r="Z285" s="1161"/>
      <c r="AA285" s="1161"/>
      <c r="AB285" s="1663"/>
      <c r="AC285" s="564"/>
      <c r="AD285" s="564"/>
      <c r="AE285" s="564"/>
      <c r="AF285" s="564"/>
    </row>
    <row s="1672" customFormat="1" customHeight="1" ht="11.25">
      <c r="A286" s="988"/>
      <c r="B286" s="1667"/>
      <c r="C286" s="1667"/>
      <c r="D286" s="339"/>
      <c r="J286" s="1672"/>
      <c r="K286" s="1672"/>
      <c r="L286" s="1161"/>
      <c r="M286" s="1667"/>
      <c r="N286" s="1667"/>
      <c r="O286" s="1161"/>
      <c r="P286" s="1161"/>
      <c r="Q286" s="1161"/>
      <c r="R286" s="1161"/>
      <c r="S286" s="1667"/>
      <c r="T286" s="1161"/>
      <c r="U286" s="1161"/>
      <c r="V286" s="542"/>
      <c r="W286" s="1161"/>
      <c r="X286" s="1161"/>
      <c r="Y286" s="1161"/>
      <c r="Z286" s="1161"/>
      <c r="AA286" s="1161"/>
      <c r="AB286" s="1663"/>
      <c r="AC286" s="564"/>
      <c r="AD286" s="564"/>
      <c r="AE286" s="564"/>
      <c r="AF286" s="564"/>
    </row>
    <row s="1672" customFormat="1" customHeight="1" ht="11.25">
      <c r="A287" s="988"/>
      <c r="B287" s="1667"/>
      <c r="C287" s="1667"/>
      <c r="D287" s="339"/>
      <c r="J287" s="1672"/>
      <c r="K287" s="1672"/>
      <c r="L287" s="1161"/>
      <c r="M287" s="1667"/>
      <c r="N287" s="1667"/>
      <c r="O287" s="1161"/>
      <c r="P287" s="1161"/>
      <c r="Q287" s="1161"/>
      <c r="R287" s="1161"/>
      <c r="S287" s="1667"/>
      <c r="T287" s="1161"/>
      <c r="U287" s="1161"/>
      <c r="V287" s="542"/>
      <c r="W287" s="1161"/>
      <c r="X287" s="1161"/>
      <c r="Y287" s="1161"/>
      <c r="Z287" s="1161"/>
      <c r="AA287" s="1161"/>
      <c r="AB287" s="1663"/>
      <c r="AC287" s="564"/>
      <c r="AD287" s="564"/>
      <c r="AE287" s="564"/>
      <c r="AF287" s="564"/>
    </row>
    <row s="1672" customFormat="1" customHeight="1" ht="11.25">
      <c r="A288" s="988"/>
      <c r="B288" s="1667"/>
      <c r="C288" s="1667"/>
      <c r="D288" s="339"/>
      <c r="J288" s="1672"/>
      <c r="K288" s="1672"/>
      <c r="L288" s="1161"/>
      <c r="M288" s="1667"/>
      <c r="N288" s="1667"/>
      <c r="O288" s="1161"/>
      <c r="P288" s="1161"/>
      <c r="Q288" s="1161"/>
      <c r="R288" s="1161"/>
      <c r="S288" s="1667"/>
      <c r="T288" s="1161"/>
      <c r="U288" s="1161"/>
      <c r="V288" s="542"/>
      <c r="W288" s="1161"/>
      <c r="X288" s="1161"/>
      <c r="Y288" s="1161"/>
      <c r="Z288" s="1161"/>
      <c r="AA288" s="1161"/>
      <c r="AB288" s="1663"/>
      <c r="AC288" s="564"/>
      <c r="AD288" s="564"/>
      <c r="AE288" s="564"/>
      <c r="AF288" s="564"/>
    </row>
    <row s="1672" customFormat="1" customHeight="1" ht="11.25">
      <c r="A289" s="988"/>
      <c r="B289" s="1667"/>
      <c r="C289" s="1667"/>
      <c r="D289" s="339"/>
      <c r="J289" s="1672"/>
      <c r="K289" s="1672"/>
      <c r="L289" s="1161"/>
      <c r="M289" s="1667"/>
      <c r="N289" s="1667"/>
      <c r="O289" s="1161"/>
      <c r="P289" s="1161"/>
      <c r="Q289" s="1161"/>
      <c r="R289" s="1161"/>
      <c r="S289" s="1667"/>
      <c r="T289" s="1161"/>
      <c r="U289" s="1161"/>
      <c r="V289" s="542"/>
      <c r="W289" s="1161"/>
      <c r="X289" s="1161"/>
      <c r="Y289" s="1161"/>
      <c r="Z289" s="1161"/>
      <c r="AA289" s="1161"/>
      <c r="AB289" s="1663"/>
      <c r="AC289" s="564"/>
      <c r="AD289" s="564"/>
      <c r="AE289" s="564"/>
      <c r="AF289" s="564"/>
    </row>
    <row s="1672" customFormat="1" customHeight="1" ht="11.25">
      <c r="A290" s="988"/>
      <c r="B290" s="1667"/>
      <c r="C290" s="1667"/>
      <c r="D290" s="339"/>
      <c r="J290" s="1672"/>
      <c r="K290" s="1672"/>
      <c r="L290" s="1161"/>
      <c r="M290" s="1667"/>
      <c r="N290" s="1667"/>
      <c r="O290" s="1161"/>
      <c r="P290" s="1161"/>
      <c r="Q290" s="1161"/>
      <c r="R290" s="1161"/>
      <c r="S290" s="1667"/>
      <c r="T290" s="1161"/>
      <c r="U290" s="1161"/>
      <c r="V290" s="542"/>
      <c r="W290" s="1161"/>
      <c r="X290" s="1161"/>
      <c r="Y290" s="1161"/>
      <c r="Z290" s="1161"/>
      <c r="AA290" s="1161"/>
      <c r="AB290" s="1663"/>
      <c r="AC290" s="564"/>
      <c r="AD290" s="564"/>
      <c r="AE290" s="564"/>
      <c r="AF290" s="564"/>
    </row>
    <row s="1672" customFormat="1" customHeight="1" ht="11.25">
      <c r="A291" s="988"/>
      <c r="B291" s="1667"/>
      <c r="C291" s="1667"/>
      <c r="D291" s="339"/>
      <c r="J291" s="1672"/>
      <c r="K291" s="1672"/>
      <c r="L291" s="1161"/>
      <c r="M291" s="1667"/>
      <c r="N291" s="1667"/>
      <c r="O291" s="1161"/>
      <c r="P291" s="1161"/>
      <c r="Q291" s="1161"/>
      <c r="R291" s="1161"/>
      <c r="S291" s="1667"/>
      <c r="T291" s="1161"/>
      <c r="U291" s="1161"/>
      <c r="V291" s="542"/>
      <c r="W291" s="1161"/>
      <c r="X291" s="1161"/>
      <c r="Y291" s="1161"/>
      <c r="Z291" s="1161"/>
      <c r="AA291" s="1161"/>
      <c r="AB291" s="1663"/>
      <c r="AC291" s="564"/>
      <c r="AD291" s="564"/>
      <c r="AE291" s="564"/>
      <c r="AF291" s="564"/>
    </row>
    <row s="1672" customFormat="1" customHeight="1" ht="11.25">
      <c r="A292" s="988"/>
      <c r="B292" s="1667"/>
      <c r="C292" s="1667"/>
      <c r="D292" s="339"/>
      <c r="J292" s="1672"/>
      <c r="K292" s="1672"/>
      <c r="L292" s="1161"/>
      <c r="M292" s="1667"/>
      <c r="N292" s="1667"/>
      <c r="O292" s="1161"/>
      <c r="P292" s="1161"/>
      <c r="Q292" s="1161"/>
      <c r="R292" s="1161"/>
      <c r="S292" s="1667"/>
      <c r="T292" s="1161"/>
      <c r="U292" s="1161"/>
      <c r="V292" s="542"/>
      <c r="W292" s="1161"/>
      <c r="X292" s="1161"/>
      <c r="Y292" s="1161"/>
      <c r="Z292" s="1161"/>
      <c r="AA292" s="1161"/>
      <c r="AB292" s="1663"/>
      <c r="AC292" s="564"/>
      <c r="AD292" s="564"/>
      <c r="AE292" s="564"/>
      <c r="AF292" s="564"/>
    </row>
    <row customHeight="1" ht="11.25">
      <c r="J293" s="1666"/>
      <c r="K293" s="1666"/>
    </row>
    <row customHeight="1" ht="11.25">
      <c r="J294" s="1666"/>
      <c r="K294" s="1666"/>
    </row>
    <row customHeight="1" ht="11.25">
      <c r="J295" s="1666"/>
      <c r="K295" s="1666"/>
    </row>
    <row customHeight="1" ht="11.25">
      <c r="A296" s="991"/>
      <c r="B296" s="1662"/>
      <c r="D296" s="1662"/>
      <c r="J296" s="1666"/>
      <c r="K296" s="1666"/>
      <c r="L296" s="1662"/>
      <c r="O296" s="1662"/>
      <c r="P296" s="1662"/>
      <c r="Q296" s="1662"/>
      <c r="R296" s="1662"/>
      <c r="T296" s="1662"/>
      <c r="U296" s="1662"/>
      <c r="V296" s="1662"/>
      <c r="W296" s="1662"/>
      <c r="X296" s="1662"/>
      <c r="Y296" s="1662"/>
      <c r="Z296" s="1662"/>
      <c r="AA296" s="1662"/>
      <c r="AB296" s="1662"/>
      <c r="AC296" s="1662"/>
      <c r="AD296" s="1662"/>
      <c r="AE296" s="1662"/>
      <c r="AF296" s="1662"/>
    </row>
    <row customHeight="1" ht="11.25">
      <c r="A297" s="991"/>
      <c r="B297" s="1662"/>
      <c r="D297" s="1662"/>
      <c r="J297" s="1666"/>
      <c r="K297" s="1666"/>
      <c r="L297" s="1662"/>
      <c r="O297" s="1662"/>
      <c r="P297" s="1662"/>
      <c r="Q297" s="1662"/>
      <c r="R297" s="1662"/>
      <c r="T297" s="1662"/>
      <c r="U297" s="1662"/>
      <c r="V297" s="1662"/>
      <c r="W297" s="1662"/>
      <c r="X297" s="1662"/>
      <c r="Y297" s="1662"/>
      <c r="Z297" s="1662"/>
      <c r="AA297" s="1662"/>
      <c r="AB297" s="1662"/>
      <c r="AC297" s="1662"/>
      <c r="AD297" s="1662"/>
      <c r="AE297" s="1662"/>
      <c r="AF297" s="1662"/>
    </row>
    <row customHeight="1" ht="11.25">
      <c r="A298" s="991"/>
      <c r="B298" s="1662"/>
      <c r="D298" s="1662"/>
      <c r="J298" s="1666"/>
      <c r="K298" s="1666"/>
      <c r="L298" s="1662"/>
      <c r="O298" s="1662"/>
      <c r="P298" s="1662"/>
      <c r="Q298" s="1662"/>
      <c r="R298" s="1662"/>
      <c r="T298" s="1662"/>
      <c r="U298" s="1662"/>
      <c r="V298" s="1662"/>
      <c r="W298" s="1662"/>
      <c r="X298" s="1662"/>
      <c r="Y298" s="1662"/>
      <c r="Z298" s="1662"/>
      <c r="AA298" s="1662"/>
      <c r="AB298" s="1662"/>
      <c r="AC298" s="1662"/>
      <c r="AD298" s="1662"/>
      <c r="AE298" s="1662"/>
      <c r="AF298" s="1662"/>
    </row>
    <row customHeight="1" ht="11.25">
      <c r="A299" s="991"/>
      <c r="B299" s="1662"/>
      <c r="D299" s="1662"/>
      <c r="J299" s="1666"/>
      <c r="K299" s="1666"/>
      <c r="L299" s="1662"/>
      <c r="O299" s="1662"/>
      <c r="P299" s="1662"/>
      <c r="Q299" s="1662"/>
      <c r="R299" s="1662"/>
      <c r="T299" s="1662"/>
      <c r="U299" s="1662"/>
      <c r="V299" s="1662"/>
      <c r="W299" s="1662"/>
      <c r="X299" s="1662"/>
      <c r="Y299" s="1662"/>
      <c r="Z299" s="1662"/>
      <c r="AA299" s="1662"/>
      <c r="AB299" s="1662"/>
      <c r="AC299" s="1662"/>
      <c r="AD299" s="1662"/>
      <c r="AE299" s="1662"/>
      <c r="AF299" s="1662"/>
    </row>
    <row customHeight="1" ht="11.25">
      <c r="A300" s="991"/>
      <c r="B300" s="1662"/>
      <c r="D300" s="1662"/>
      <c r="J300" s="1666"/>
      <c r="K300" s="1666"/>
      <c r="L300" s="1662"/>
      <c r="O300" s="1662"/>
      <c r="P300" s="1662"/>
      <c r="Q300" s="1662"/>
      <c r="R300" s="1662"/>
      <c r="T300" s="1662"/>
      <c r="U300" s="1662"/>
      <c r="V300" s="1662"/>
      <c r="W300" s="1662"/>
      <c r="X300" s="1662"/>
      <c r="Y300" s="1662"/>
      <c r="Z300" s="1662"/>
      <c r="AA300" s="1662"/>
      <c r="AB300" s="1662"/>
      <c r="AC300" s="1662"/>
      <c r="AD300" s="1662"/>
      <c r="AE300" s="1662"/>
      <c r="AF300" s="1662"/>
    </row>
    <row customHeight="1" ht="11.25">
      <c r="A301" s="991"/>
      <c r="B301" s="1662"/>
      <c r="D301" s="1662"/>
      <c r="J301" s="1666"/>
      <c r="K301" s="1666"/>
      <c r="L301" s="1662"/>
      <c r="O301" s="1662"/>
      <c r="P301" s="1662"/>
      <c r="Q301" s="1662"/>
      <c r="R301" s="1662"/>
      <c r="T301" s="1662"/>
      <c r="U301" s="1662"/>
      <c r="V301" s="1662"/>
      <c r="W301" s="1662"/>
      <c r="X301" s="1662"/>
      <c r="Y301" s="1662"/>
      <c r="Z301" s="1662"/>
      <c r="AA301" s="1662"/>
      <c r="AB301" s="1662"/>
      <c r="AC301" s="1662"/>
      <c r="AD301" s="1662"/>
      <c r="AE301" s="1662"/>
      <c r="AF301" s="1662"/>
    </row>
    <row customHeight="1" ht="11.25">
      <c r="A302" s="991"/>
      <c r="B302" s="1662"/>
      <c r="D302" s="1662"/>
      <c r="J302" s="1666"/>
      <c r="K302" s="1666"/>
      <c r="L302" s="1662"/>
      <c r="O302" s="1662"/>
      <c r="P302" s="1662"/>
      <c r="Q302" s="1662"/>
      <c r="R302" s="1662"/>
      <c r="T302" s="1662"/>
      <c r="U302" s="1662"/>
      <c r="V302" s="1662"/>
      <c r="W302" s="1662"/>
      <c r="X302" s="1662"/>
      <c r="Y302" s="1662"/>
      <c r="Z302" s="1662"/>
      <c r="AA302" s="1662"/>
      <c r="AB302" s="1662"/>
      <c r="AC302" s="1662"/>
      <c r="AD302" s="1662"/>
      <c r="AE302" s="1662"/>
      <c r="AF302" s="1662"/>
    </row>
    <row customHeight="1" ht="11.25">
      <c r="A303" s="991"/>
      <c r="B303" s="1662"/>
      <c r="D303" s="1662"/>
      <c r="J303" s="1666"/>
      <c r="K303" s="1666"/>
      <c r="L303" s="1662"/>
      <c r="O303" s="1662"/>
      <c r="P303" s="1662"/>
      <c r="Q303" s="1662"/>
      <c r="R303" s="1662"/>
      <c r="T303" s="1662"/>
      <c r="U303" s="1662"/>
      <c r="V303" s="1662"/>
      <c r="W303" s="1662"/>
      <c r="X303" s="1662"/>
      <c r="Y303" s="1662"/>
      <c r="Z303" s="1662"/>
      <c r="AA303" s="1662"/>
      <c r="AB303" s="1662"/>
      <c r="AC303" s="1662"/>
      <c r="AD303" s="1662"/>
      <c r="AE303" s="1662"/>
      <c r="AF303" s="1662"/>
    </row>
    <row customHeight="1" ht="11.25">
      <c r="A304" s="991"/>
      <c r="B304" s="1662"/>
      <c r="D304" s="1662"/>
      <c r="J304" s="1666"/>
      <c r="K304" s="1666"/>
      <c r="L304" s="1662"/>
      <c r="O304" s="1662"/>
      <c r="P304" s="1662"/>
      <c r="Q304" s="1662"/>
      <c r="R304" s="1662"/>
      <c r="T304" s="1662"/>
      <c r="U304" s="1662"/>
      <c r="V304" s="1662"/>
      <c r="W304" s="1662"/>
      <c r="X304" s="1662"/>
      <c r="Y304" s="1662"/>
      <c r="Z304" s="1662"/>
      <c r="AA304" s="1662"/>
      <c r="AB304" s="1662"/>
      <c r="AC304" s="1662"/>
      <c r="AD304" s="1662"/>
      <c r="AE304" s="1662"/>
      <c r="AF304" s="1662"/>
    </row>
    <row customHeight="1" ht="11.25">
      <c r="A305" s="991"/>
      <c r="B305" s="1662"/>
      <c r="D305" s="1662"/>
      <c r="J305" s="1666"/>
      <c r="K305" s="1666"/>
      <c r="L305" s="1662"/>
      <c r="O305" s="1662"/>
      <c r="P305" s="1662"/>
      <c r="Q305" s="1662"/>
      <c r="R305" s="1662"/>
      <c r="T305" s="1662"/>
      <c r="U305" s="1662"/>
      <c r="V305" s="1662"/>
      <c r="W305" s="1662"/>
      <c r="X305" s="1662"/>
      <c r="Y305" s="1662"/>
      <c r="Z305" s="1662"/>
      <c r="AA305" s="1662"/>
      <c r="AB305" s="1662"/>
      <c r="AC305" s="1662"/>
      <c r="AD305" s="1662"/>
      <c r="AE305" s="1662"/>
      <c r="AF305" s="1662"/>
    </row>
    <row customHeight="1" ht="11.25">
      <c r="A306" s="991"/>
      <c r="B306" s="1662"/>
      <c r="D306" s="1662"/>
      <c r="J306" s="1666"/>
      <c r="K306" s="1666"/>
      <c r="L306" s="1662"/>
      <c r="O306" s="1662"/>
      <c r="P306" s="1662"/>
      <c r="Q306" s="1662"/>
      <c r="R306" s="1662"/>
      <c r="T306" s="1662"/>
      <c r="U306" s="1662"/>
      <c r="V306" s="1662"/>
      <c r="W306" s="1662"/>
      <c r="X306" s="1662"/>
      <c r="Y306" s="1662"/>
      <c r="Z306" s="1662"/>
      <c r="AA306" s="1662"/>
      <c r="AB306" s="1662"/>
      <c r="AC306" s="1662"/>
      <c r="AD306" s="1662"/>
      <c r="AE306" s="1662"/>
      <c r="AF306" s="1662"/>
    </row>
  </sheetData>
  <sheetProtection formatColumns="0" formatRows="0" autoFilter="0" sort="0" insertRows="0" insertColumns="1" deleteRows="0" deleteColumns="0"/>
  <mergeCells count="17">
    <mergeCell ref="A124:A134"/>
    <mergeCell ref="E21:I21"/>
    <mergeCell ref="E22:I22"/>
    <mergeCell ref="A33:A40"/>
    <mergeCell ref="B34:B39"/>
    <mergeCell ref="A41:A43"/>
    <mergeCell ref="A67:A68"/>
    <mergeCell ref="A86:A94"/>
    <mergeCell ref="A95:A99"/>
    <mergeCell ref="A100:A102"/>
    <mergeCell ref="A103:A115"/>
    <mergeCell ref="A119:A123"/>
    <mergeCell ref="B2:B7"/>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K66 K68"/>
    <dataValidation type="decimal" allowBlank="1" showErrorMessage="1" errorTitle="Ошибка" error="Введите значение от 0 до 100%" sqref="H94:J94 H99:J99 K94 K99">
      <formula1>0</formula1>
      <formula2>100</formula2>
    </dataValidation>
    <dataValidation type="decimal" allowBlank="1" showErrorMessage="1" errorTitle="Ошибка" error="Допускается ввод только действительных чисел!" sqref="H127:J127 H124:J124 H130:J130 H79:J84 K79 K80 K81 K82 K83 K84 K124 K127 K130">
      <formula1>-9.99999999999999E+37</formula1>
      <formula2>9.99999999999999E+37</formula2>
    </dataValidation>
    <dataValidation type="decimal" allowBlank="1" showErrorMessage="1" errorTitle="Ошибка" error="Допускается ввод только действительных чисел!" sqref="H76:J77 K76 K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5:J85 H132:J134 K85 K132 K133 K134">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100:J123 H78:J78 H92:J93 H4:J6 K4 K5 K6 K9 K10 K11 K12 K13 K15 K17 K30 K32 K33 K35 K36 K37 K38 K40 K41 K42 K43 K44 K45 K46 K47 K48 K49 K50 K51 K52 K53 K54 K55 K56 K57 K58 K59 K60 K61 K62 K63 K64 K65 K67 K69 K78 K86 K87 K88 K89 K90 K92 K93 K95 K96 K97 K98 K100 K101 K102 K103 K104 K105 K106 K107 K108 K109 K110 K111 K112 K113 K114 K115 K116 K117 K118 K119 K120 K121 K122 K123 K131 H71:H74 I71:I74 J71:J74 K71:K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K34 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K70">
      <formula1>900</formula1>
    </dataValidation>
    <dataValidation type="list" allowBlank="1" showInputMessage="1" showErrorMessage="1" errorTitle="Ошибка" error="Выберите значение из списка" prompt="Выберите значение из списка" sqref="H7:J7 K7">
      <formula1>kind_of_purchase_method</formula1>
    </dataValidation>
  </dataValidations>
  <hyperlinks>
    <hyperlink ref="I85" r:id="rId1" xr:uid="{6335AA3F-B663-3546-D8EC-1B2146B58683}"/>
    <hyperlink ref="J85" r:id="rId2" xr:uid="{429063F2-9928-CD52-64A2-DD74E273377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AA0E8-090D-C6A4-8093-85B15E75356B}" mc:Ignorable="x14ac xr xr2 xr3">
  <sheetPr>
    <tabColor theme="9" tint="-0.25"/>
  </sheetPr>
  <dimension ref="A1:CE37"/>
  <sheetViews>
    <sheetView topLeftCell="C4" showGridLines="0" zoomScale="90" workbookViewId="0">
      <selection activeCell="A23" sqref="A23:XFD31"/>
    </sheetView>
  </sheetViews>
  <sheetFormatPr defaultColWidth="9.140625" customHeight="1" defaultRowHeight="11.25"/>
  <cols>
    <col min="1" max="1" style="944" width="14.7109375" hidden="1" customWidth="1"/>
    <col min="2" max="2" style="1663" width="17.00390625" hidden="1" customWidth="1"/>
    <col min="3" max="3" style="1666" width="3.7109375" customWidth="1"/>
    <col min="4" max="4" style="1666" width="1.8515625" hidden="1" customWidth="1"/>
    <col min="5" max="6" style="1666" width="7.7109375" customWidth="1"/>
    <col min="7" max="7" style="1666" width="29.7109375" customWidth="1"/>
    <col min="8" max="8" style="1666" width="3.7109375" customWidth="1"/>
    <col min="9" max="9" style="1666" width="5.421875" customWidth="1"/>
    <col min="10" max="10" style="1666" width="24.57421875" customWidth="1"/>
    <col min="11" max="11" style="1666" width="24.421875" customWidth="1"/>
    <col min="12" max="12" style="1666" width="3.7109375" customWidth="1"/>
    <col min="13" max="13" style="1666" width="6.28125" customWidth="1"/>
    <col min="14" max="14" style="1666" width="25.8515625" customWidth="1"/>
    <col min="15" max="18" style="1666" width="18.7109375" customWidth="1"/>
    <col min="19" max="19" style="1666" width="93.421875" customWidth="1"/>
    <col min="20" max="20" style="1666" width="10.57421875" customWidth="1"/>
    <col min="21" max="21" style="1673" width="10.57421875" customWidth="1"/>
    <col min="22" max="22" style="1673" width="11.7109375" customWidth="1"/>
    <col min="23" max="27" style="1663" width="10.57421875" customWidth="1"/>
    <col min="28" max="83" style="1666" width="9.140625"/>
  </cols>
  <sheetData>
    <row customHeight="1" ht="11.25" hidden="1"/>
    <row customHeight="1" ht="11.25" hidden="1"/>
    <row customHeight="1" ht="11.25" hidden="1"/>
    <row customHeight="1" ht="3">
      <c r="C4" s="507"/>
      <c r="D4" s="507"/>
      <c r="E4" s="507"/>
      <c r="F4" s="507"/>
      <c r="G4" s="507"/>
      <c r="H4" s="507"/>
      <c r="I4" s="507"/>
      <c r="J4" s="507"/>
      <c r="K4" s="146"/>
      <c r="L4" s="146"/>
      <c r="M4" s="146"/>
    </row>
    <row customHeight="1" ht="33.75">
      <c r="C5" s="507"/>
      <c r="D5" s="1058"/>
      <c r="E5" s="2294" t="str">
        <f>FHD20_NAME_FORM</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94"/>
      <c r="G5" s="2294"/>
      <c r="H5" s="2294"/>
      <c r="I5" s="2294"/>
      <c r="J5" s="2294"/>
      <c r="K5" s="2294"/>
      <c r="L5" s="611"/>
      <c r="M5" s="611"/>
    </row>
    <row s="1666" customFormat="1" customHeight="1" ht="16.5">
      <c r="A6" s="608"/>
      <c r="B6" s="758"/>
      <c r="C6" s="507"/>
      <c r="D6" s="1059"/>
      <c r="E6" s="2031" t="str">
        <f>IF(org=0,"Не определено",org)</f>
        <v>ПАО "ТГК-2"</v>
      </c>
      <c r="F6" s="2031"/>
      <c r="G6" s="2031"/>
      <c r="H6" s="2031"/>
      <c r="I6" s="2031"/>
      <c r="J6" s="2031"/>
      <c r="K6" s="2031"/>
      <c r="L6" s="611"/>
      <c r="M6" s="611"/>
      <c r="U6" s="609"/>
      <c r="V6" s="609"/>
      <c r="W6" s="610"/>
      <c r="X6" s="758"/>
      <c r="Y6" s="758"/>
      <c r="Z6" s="758"/>
      <c r="AA6" s="758"/>
    </row>
    <row customHeight="1" ht="11.25">
      <c r="C7" s="507"/>
      <c r="D7" s="507"/>
      <c r="E7" s="507"/>
      <c r="F7" s="507"/>
      <c r="G7" s="520"/>
      <c r="H7" s="520"/>
      <c r="I7" s="520"/>
      <c r="J7" s="520"/>
      <c r="K7" s="612"/>
      <c r="L7" s="612"/>
      <c r="M7" s="612"/>
      <c r="R7" s="751"/>
    </row>
    <row s="1672" customFormat="1" customHeight="1" ht="5.25">
      <c r="A8" s="619"/>
      <c r="B8" s="564"/>
      <c r="C8" s="339"/>
      <c r="D8" s="339"/>
      <c r="E8" s="339"/>
      <c r="F8" s="339"/>
      <c r="G8" s="976"/>
      <c r="H8" s="976"/>
      <c r="I8" s="976"/>
      <c r="J8" s="976"/>
      <c r="K8" s="1019"/>
      <c r="L8" s="1019"/>
      <c r="M8" s="1019"/>
      <c r="R8" s="1020"/>
      <c r="U8" s="609"/>
      <c r="V8" s="609"/>
      <c r="W8" s="620"/>
      <c r="X8" s="564"/>
      <c r="Y8" s="564"/>
      <c r="Z8" s="564"/>
      <c r="AA8" s="564"/>
    </row>
    <row customHeight="1" ht="18.75">
      <c r="D9" s="270"/>
      <c r="E9" s="1922" t="s">
        <v>290</v>
      </c>
      <c r="F9" s="1923"/>
      <c r="G9" s="1923"/>
      <c r="H9" s="1923"/>
      <c r="I9" s="1923"/>
      <c r="J9" s="1923"/>
      <c r="K9" s="1923"/>
      <c r="L9" s="1923"/>
      <c r="M9" s="1923"/>
      <c r="N9" s="1923"/>
      <c r="O9" s="1923"/>
      <c r="P9" s="1923"/>
      <c r="Q9" s="1923"/>
      <c r="R9" s="1924"/>
      <c r="S9" s="1948" t="s">
        <v>291</v>
      </c>
      <c r="T9" s="322"/>
    </row>
    <row customHeight="1" ht="33.75">
      <c r="D10" s="549" t="s">
        <v>87</v>
      </c>
      <c r="E10" s="1948" t="s">
        <v>87</v>
      </c>
      <c r="F10" s="1948"/>
      <c r="G10" s="519" t="s">
        <v>292</v>
      </c>
      <c r="H10" s="1948" t="s">
        <v>87</v>
      </c>
      <c r="I10" s="1948"/>
      <c r="J10" s="519" t="s">
        <v>1753</v>
      </c>
      <c r="K10" s="519" t="s">
        <v>1754</v>
      </c>
      <c r="L10" s="1948" t="s">
        <v>87</v>
      </c>
      <c r="M10" s="1948"/>
      <c r="N10" s="519" t="s">
        <v>1755</v>
      </c>
      <c r="O10" s="519" t="s">
        <v>1756</v>
      </c>
      <c r="P10" s="519" t="s">
        <v>1757</v>
      </c>
      <c r="Q10" s="519" t="s">
        <v>1758</v>
      </c>
      <c r="R10" s="519" t="s">
        <v>1759</v>
      </c>
      <c r="S10" s="1948"/>
      <c r="T10" s="322"/>
    </row>
    <row s="167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152</v>
      </c>
      <c r="P11" s="1026" t="s">
        <v>153</v>
      </c>
      <c r="Q11" s="1026" t="s">
        <v>154</v>
      </c>
      <c r="R11" s="1026" t="s">
        <v>155</v>
      </c>
      <c r="S11" s="1026" t="s">
        <v>156</v>
      </c>
      <c r="U11" s="609"/>
      <c r="V11" s="609"/>
      <c r="W11" s="609"/>
    </row>
    <row s="1666" customFormat="1" customHeight="1" ht="0.75">
      <c r="A12" s="613"/>
      <c r="B12" s="352"/>
      <c r="D12" s="546"/>
      <c r="E12" s="334"/>
      <c r="F12" s="334"/>
      <c r="Q12" s="614"/>
      <c r="R12" s="615"/>
      <c r="T12" s="616"/>
      <c r="U12" s="617"/>
      <c r="V12" s="617"/>
      <c r="W12" s="618"/>
      <c r="X12" s="352"/>
      <c r="Y12" s="352"/>
      <c r="Z12" s="352"/>
      <c r="AA12" s="352"/>
    </row>
    <row s="1672" customFormat="1" customHeight="1" ht="0.75">
      <c r="A13" s="619"/>
      <c r="B13" s="564"/>
      <c r="D13" s="546" t="s">
        <v>368</v>
      </c>
      <c r="E13" s="558"/>
      <c r="F13" s="558"/>
      <c r="G13" s="558"/>
      <c r="H13" s="558"/>
      <c r="I13" s="558"/>
      <c r="J13" s="558"/>
      <c r="K13" s="558"/>
      <c r="L13" s="558"/>
      <c r="M13" s="558"/>
      <c r="N13" s="558"/>
      <c r="O13" s="558"/>
      <c r="P13" s="558"/>
      <c r="Q13" s="558"/>
      <c r="R13" s="558"/>
      <c r="T13" s="322"/>
      <c r="U13" s="609"/>
      <c r="V13" s="609"/>
      <c r="W13" s="620"/>
      <c r="X13" s="564"/>
      <c r="Y13" s="564"/>
      <c r="Z13" s="564"/>
      <c r="AA13" s="564"/>
    </row>
    <row s="2412" customFormat="1" customHeight="1" ht="15" hidden="1">
      <c r="A14" s="621" t="s">
        <v>117</v>
      </c>
      <c r="B14" s="0"/>
      <c r="C14" s="0"/>
      <c r="D14" s="2322" t="s">
        <v>108</v>
      </c>
      <c r="E14" s="2124" t="s">
        <v>104</v>
      </c>
      <c r="F14" s="2125"/>
      <c r="G14" s="2126"/>
      <c r="H14" s="2127" t="str">
        <f>IF(A14="","",INDEX(DIFFERENTIATION_UNMERGE_VD,MATCH(A14,DIFFERENTIATION_ID_DIFF,0)))</f>
        <v>Холодное водоснабжение. Техническая вода</v>
      </c>
      <c r="I14" s="2127"/>
      <c r="J14" s="2127"/>
      <c r="K14" s="2127"/>
      <c r="L14" s="2127"/>
      <c r="M14" s="2127"/>
      <c r="N14" s="2127"/>
      <c r="O14" s="2127"/>
      <c r="P14" s="2127"/>
      <c r="Q14" s="2127"/>
      <c r="R14" s="2127"/>
      <c r="S14" s="716"/>
      <c r="T14" s="713"/>
      <c r="U14" s="622"/>
      <c r="V14" s="622"/>
      <c r="W14" s="623"/>
      <c r="X14" s="623"/>
      <c r="Y14" s="623"/>
      <c r="Z14" s="623"/>
      <c r="AA14" s="624"/>
      <c r="AB14" s="625"/>
      <c r="AC14" s="2123"/>
      <c r="AD14" s="626"/>
      <c r="AE14" s="627" t="s">
        <v>18</v>
      </c>
      <c r="AF14" s="627"/>
      <c r="AG14" s="628" t="s">
        <v>414</v>
      </c>
      <c r="AH14" s="629">
        <v>3</v>
      </c>
      <c r="AI14" s="622"/>
      <c r="AJ14" s="622"/>
      <c r="AK14" s="622"/>
      <c r="AL14" s="622"/>
      <c r="AM14" s="622"/>
      <c r="AN14" s="622"/>
      <c r="AO14" s="622"/>
      <c r="AP14" s="622"/>
      <c r="AQ14" s="622"/>
      <c r="AR14" s="622"/>
      <c r="AS14" s="622"/>
      <c r="AT14" s="622"/>
      <c r="AU14" s="622"/>
      <c r="AV14" s="622"/>
      <c r="AW14" s="622"/>
      <c r="AX14" s="622"/>
      <c r="AY14" s="622"/>
      <c r="AZ14" s="622"/>
      <c r="BA14" s="622"/>
      <c r="BB14" s="622"/>
      <c r="BC14" s="622"/>
      <c r="BD14" s="622"/>
      <c r="BE14" s="622"/>
      <c r="BF14" s="622"/>
      <c r="BG14" s="622"/>
      <c r="BH14" s="622"/>
      <c r="BI14" s="622"/>
      <c r="BJ14" s="622"/>
      <c r="BK14" s="622"/>
      <c r="BL14" s="622"/>
      <c r="BM14" s="622"/>
      <c r="BN14" s="622"/>
      <c r="BO14" s="622"/>
      <c r="BP14" s="622"/>
      <c r="BQ14" s="622"/>
      <c r="BR14" s="622"/>
      <c r="BS14" s="622"/>
      <c r="BT14" s="622"/>
      <c r="BU14" s="622"/>
      <c r="BV14" s="623"/>
      <c r="BW14" s="623"/>
      <c r="BX14" s="623"/>
      <c r="BY14" s="623"/>
      <c r="BZ14" s="623"/>
      <c r="CA14" s="623"/>
      <c r="CB14" s="623"/>
      <c r="CC14" s="623"/>
      <c r="CD14" s="623"/>
      <c r="CE14" s="623"/>
    </row>
    <row s="2412" customFormat="1" customHeight="1" ht="15" hidden="1">
      <c r="A15" s="621"/>
      <c r="B15" s="0"/>
      <c r="C15" s="0"/>
      <c r="D15" s="2323"/>
      <c r="E15" s="2124" t="s">
        <v>415</v>
      </c>
      <c r="F15" s="2125"/>
      <c r="G15" s="2126"/>
      <c r="H15" s="2127" t="str">
        <f>IF(A14="","",INDEX(DIFFERENTIATION_UNMERGE_AREA,MATCH(A14,DIFFERENTIATION_ID_DIFF,0)))</f>
        <v>городской округ город Кострома</v>
      </c>
      <c r="I15" s="2127"/>
      <c r="J15" s="2127"/>
      <c r="K15" s="2127"/>
      <c r="L15" s="2127"/>
      <c r="M15" s="2127"/>
      <c r="N15" s="2127"/>
      <c r="O15" s="2127"/>
      <c r="P15" s="2127"/>
      <c r="Q15" s="2127"/>
      <c r="R15" s="2127"/>
      <c r="S15" s="716"/>
      <c r="T15" s="713"/>
      <c r="U15" s="622"/>
      <c r="V15" s="622"/>
      <c r="W15" s="623"/>
      <c r="X15" s="623"/>
      <c r="Y15" s="623"/>
      <c r="Z15" s="623"/>
      <c r="AA15" s="624"/>
      <c r="AB15" s="625"/>
      <c r="AC15" s="2123"/>
      <c r="AD15" s="626"/>
      <c r="AE15" s="627"/>
      <c r="AF15" s="627"/>
      <c r="AG15" s="628"/>
      <c r="AH15" s="629"/>
      <c r="AI15" s="622"/>
      <c r="AJ15" s="622"/>
      <c r="AK15" s="622"/>
      <c r="AL15" s="622"/>
      <c r="AM15" s="622"/>
      <c r="AN15" s="622"/>
      <c r="AO15" s="622"/>
      <c r="AP15" s="622"/>
      <c r="AQ15" s="622"/>
      <c r="AR15" s="622"/>
      <c r="AS15" s="622"/>
      <c r="AT15" s="622"/>
      <c r="AU15" s="622"/>
      <c r="AV15" s="622"/>
      <c r="AW15" s="622"/>
      <c r="AX15" s="622"/>
      <c r="AY15" s="622"/>
      <c r="AZ15" s="622"/>
      <c r="BA15" s="622"/>
      <c r="BB15" s="622"/>
      <c r="BC15" s="622"/>
      <c r="BD15" s="622"/>
      <c r="BE15" s="622"/>
      <c r="BF15" s="622"/>
      <c r="BG15" s="622"/>
      <c r="BH15" s="622"/>
      <c r="BI15" s="622"/>
      <c r="BJ15" s="622"/>
      <c r="BK15" s="622"/>
      <c r="BL15" s="622"/>
      <c r="BM15" s="622"/>
      <c r="BN15" s="622"/>
      <c r="BO15" s="622"/>
      <c r="BP15" s="622"/>
      <c r="BQ15" s="622"/>
      <c r="BR15" s="622"/>
      <c r="BS15" s="622"/>
      <c r="BT15" s="622"/>
      <c r="BU15" s="622"/>
      <c r="BV15" s="623"/>
      <c r="BW15" s="623"/>
      <c r="BX15" s="623"/>
      <c r="BY15" s="623"/>
      <c r="BZ15" s="623"/>
      <c r="CA15" s="623"/>
      <c r="CB15" s="623"/>
      <c r="CC15" s="623"/>
      <c r="CD15" s="623"/>
      <c r="CE15" s="623"/>
    </row>
    <row s="2412" customFormat="1" customHeight="1" ht="15" hidden="1">
      <c r="A16" s="621"/>
      <c r="B16" s="0"/>
      <c r="C16" s="0"/>
      <c r="D16" s="2323"/>
      <c r="E16" s="2124" t="s">
        <v>416</v>
      </c>
      <c r="F16" s="2125"/>
      <c r="G16" s="2126"/>
      <c r="H16" s="2127" t="str">
        <f>IF(A14="","",INDEX(DIFFERENTIATION_UNMERGE_SYSTEM,MATCH(A14,DIFFERENTIATION_ID_DIFF,0)))</f>
        <v>система холодного водоснабжения Костромской ТЭЦ-1</v>
      </c>
      <c r="I16" s="2127"/>
      <c r="J16" s="2127"/>
      <c r="K16" s="2127"/>
      <c r="L16" s="2127"/>
      <c r="M16" s="2127"/>
      <c r="N16" s="2127"/>
      <c r="O16" s="2127"/>
      <c r="P16" s="2127"/>
      <c r="Q16" s="2127"/>
      <c r="R16" s="2127"/>
      <c r="S16" s="716"/>
      <c r="T16" s="713"/>
      <c r="U16" s="622"/>
      <c r="V16" s="622"/>
      <c r="W16" s="623"/>
      <c r="X16" s="623"/>
      <c r="Y16" s="623"/>
      <c r="Z16" s="623"/>
      <c r="AA16" s="624"/>
      <c r="AB16" s="625"/>
      <c r="AC16" s="2123"/>
      <c r="AD16" s="626"/>
      <c r="AE16" s="627"/>
      <c r="AF16" s="627"/>
      <c r="AG16" s="628"/>
      <c r="AH16" s="629"/>
      <c r="AI16" s="622"/>
      <c r="AJ16" s="622"/>
      <c r="AK16" s="622"/>
      <c r="AL16" s="622"/>
      <c r="AM16" s="622"/>
      <c r="AN16" s="622"/>
      <c r="AO16" s="622"/>
      <c r="AP16" s="622"/>
      <c r="AQ16" s="622"/>
      <c r="AR16" s="622"/>
      <c r="AS16" s="622"/>
      <c r="AT16" s="622"/>
      <c r="AU16" s="622"/>
      <c r="AV16" s="622"/>
      <c r="AW16" s="622"/>
      <c r="AX16" s="622"/>
      <c r="AY16" s="622"/>
      <c r="AZ16" s="622"/>
      <c r="BA16" s="622"/>
      <c r="BB16" s="622"/>
      <c r="BC16" s="622"/>
      <c r="BD16" s="622"/>
      <c r="BE16" s="622"/>
      <c r="BF16" s="622"/>
      <c r="BG16" s="622"/>
      <c r="BH16" s="622"/>
      <c r="BI16" s="622"/>
      <c r="BJ16" s="622"/>
      <c r="BK16" s="622"/>
      <c r="BL16" s="622"/>
      <c r="BM16" s="622"/>
      <c r="BN16" s="622"/>
      <c r="BO16" s="622"/>
      <c r="BP16" s="622"/>
      <c r="BQ16" s="622"/>
      <c r="BR16" s="622"/>
      <c r="BS16" s="622"/>
      <c r="BT16" s="622"/>
      <c r="BU16" s="622"/>
      <c r="BV16" s="623"/>
      <c r="BW16" s="623"/>
      <c r="BX16" s="623"/>
      <c r="BY16" s="623"/>
      <c r="BZ16" s="623"/>
      <c r="CA16" s="623"/>
      <c r="CB16" s="623"/>
      <c r="CC16" s="623"/>
      <c r="CD16" s="623"/>
      <c r="CE16" s="623"/>
    </row>
    <row s="2412" customFormat="1" customHeight="1" ht="22.5" hidden="1">
      <c r="A17" s="630"/>
      <c r="B17" s="415"/>
      <c r="C17" s="410"/>
      <c r="D17" s="2323"/>
      <c r="E17" s="2137" t="s">
        <v>417</v>
      </c>
      <c r="F17" s="2137"/>
      <c r="G17" s="2137"/>
      <c r="H17" s="2137"/>
      <c r="I17" s="2137"/>
      <c r="J17" s="2137"/>
      <c r="K17" s="2137"/>
      <c r="L17" s="2137"/>
      <c r="M17" s="2137"/>
      <c r="N17" s="2137"/>
      <c r="O17" s="2137"/>
      <c r="P17" s="2137"/>
      <c r="Q17" s="556">
        <f>SUMIF(T18:T19,"i",Q18:Q19)</f>
        <v>0</v>
      </c>
      <c r="R17" s="1018"/>
      <c r="S17" s="897" t="s">
        <v>418</v>
      </c>
      <c r="T17" s="714" t="s">
        <v>419</v>
      </c>
      <c r="U17" s="2138">
        <v>1</v>
      </c>
      <c r="V17" s="2138" t="str">
        <f>INDEX(B_FHD_FLAG_INDEX_1,1,MATCH(A14,B_FHD_FLAG_DIFFERENTIATION,0))</f>
        <v>отсутствует</v>
      </c>
      <c r="W17" s="415"/>
      <c r="X17" s="415"/>
      <c r="Y17" s="415"/>
      <c r="Z17" s="415"/>
      <c r="AA17" s="509"/>
      <c r="AB17" s="415"/>
      <c r="AC17" s="2123"/>
      <c r="AD17" s="626"/>
      <c r="AE17" s="415"/>
      <c r="AF17" s="415"/>
      <c r="AG17" s="509"/>
      <c r="AH17" s="509"/>
      <c r="AI17" s="509"/>
      <c r="AJ17" s="509"/>
      <c r="AK17" s="509"/>
      <c r="AL17" s="509"/>
      <c r="AM17" s="509"/>
      <c r="AN17" s="509"/>
      <c r="AO17" s="509"/>
      <c r="AP17" s="509"/>
      <c r="AQ17" s="509"/>
      <c r="AR17" s="509"/>
      <c r="AS17" s="509"/>
      <c r="AT17" s="509"/>
      <c r="AU17" s="509"/>
      <c r="AV17" s="509"/>
      <c r="AW17" s="509"/>
      <c r="AX17" s="509"/>
      <c r="AY17" s="509"/>
      <c r="AZ17" s="509"/>
      <c r="BA17" s="509"/>
      <c r="BB17" s="509"/>
      <c r="BC17" s="509"/>
      <c r="BD17" s="509"/>
      <c r="BE17" s="509"/>
      <c r="BF17" s="509"/>
      <c r="BG17" s="509"/>
      <c r="BH17" s="509"/>
      <c r="BI17" s="509"/>
      <c r="BJ17" s="509"/>
      <c r="BK17" s="509"/>
      <c r="BL17" s="509"/>
      <c r="BM17" s="509"/>
      <c r="BN17" s="509"/>
      <c r="BO17" s="509"/>
      <c r="BP17" s="509"/>
      <c r="BQ17" s="509"/>
      <c r="BR17" s="509"/>
      <c r="BS17" s="509"/>
      <c r="BT17" s="509"/>
      <c r="BU17" s="509"/>
      <c r="BV17" s="415"/>
      <c r="BW17" s="415"/>
      <c r="BX17" s="415"/>
      <c r="BY17" s="415"/>
      <c r="BZ17" s="415"/>
      <c r="CA17" s="415"/>
      <c r="CB17" s="415"/>
      <c r="CC17" s="415"/>
      <c r="CD17" s="415"/>
      <c r="CE17" s="415"/>
    </row>
    <row s="2412" customFormat="1" customHeight="1" ht="11.25" hidden="1">
      <c r="A18" s="631"/>
      <c r="B18" s="509"/>
      <c r="C18" s="509"/>
      <c r="D18" s="2323"/>
      <c r="E18" s="632"/>
      <c r="F18" s="632">
        <v>0</v>
      </c>
      <c r="G18" s="632"/>
      <c r="H18" s="632"/>
      <c r="I18" s="632"/>
      <c r="J18" s="632"/>
      <c r="K18" s="632"/>
      <c r="L18" s="632"/>
      <c r="M18" s="632"/>
      <c r="N18" s="632"/>
      <c r="O18" s="632"/>
      <c r="P18" s="632"/>
      <c r="Q18" s="632"/>
      <c r="R18" s="632"/>
      <c r="S18" s="633"/>
      <c r="T18" s="715"/>
      <c r="U18" s="2138"/>
      <c r="V18" s="2138"/>
      <c r="W18" s="509"/>
      <c r="X18" s="509"/>
      <c r="Y18" s="509"/>
      <c r="Z18" s="509"/>
      <c r="AA18" s="509"/>
      <c r="AB18" s="415"/>
      <c r="AC18" s="2123"/>
      <c r="AD18" s="626"/>
      <c r="AE18" s="415"/>
      <c r="AF18" s="415"/>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09"/>
      <c r="BH18" s="509"/>
      <c r="BI18" s="509"/>
      <c r="BJ18" s="509"/>
      <c r="BK18" s="509"/>
      <c r="BL18" s="509"/>
      <c r="BM18" s="509"/>
      <c r="BN18" s="509"/>
      <c r="BO18" s="509"/>
      <c r="BP18" s="509"/>
      <c r="BQ18" s="509"/>
      <c r="BR18" s="509"/>
      <c r="BS18" s="509"/>
      <c r="BT18" s="509"/>
      <c r="BU18" s="509"/>
      <c r="BV18" s="509"/>
      <c r="BW18" s="509"/>
      <c r="BX18" s="509"/>
      <c r="BY18" s="509"/>
      <c r="BZ18" s="509"/>
      <c r="CA18" s="509"/>
      <c r="CB18" s="509"/>
      <c r="CC18" s="509"/>
      <c r="CD18" s="509"/>
      <c r="CE18" s="509"/>
    </row>
    <row s="2412" customFormat="1" customHeight="1" ht="11.25" hidden="1">
      <c r="A19" s="630"/>
      <c r="B19" s="415"/>
      <c r="C19" s="410"/>
      <c r="D19" s="2323"/>
      <c r="E19" s="646" t="s">
        <v>18</v>
      </c>
      <c r="F19" s="647" t="s">
        <v>18</v>
      </c>
      <c r="G19" s="647" t="s">
        <v>18</v>
      </c>
      <c r="H19" s="648" t="s">
        <v>18</v>
      </c>
      <c r="I19" s="648"/>
      <c r="J19" s="648"/>
      <c r="K19" s="648"/>
      <c r="L19" s="648"/>
      <c r="M19" s="648"/>
      <c r="N19" s="648"/>
      <c r="O19" s="648"/>
      <c r="P19" s="648"/>
      <c r="Q19" s="648"/>
      <c r="R19" s="649"/>
      <c r="S19" s="1021"/>
      <c r="T19" s="715"/>
      <c r="U19" s="2138"/>
      <c r="V19" s="2138"/>
      <c r="W19" s="415"/>
      <c r="X19" s="415"/>
      <c r="Y19" s="415"/>
      <c r="Z19" s="415"/>
      <c r="AA19" s="509"/>
      <c r="AB19" s="415"/>
      <c r="AC19" s="2123"/>
      <c r="AD19" s="626"/>
      <c r="AE19" s="415"/>
      <c r="AF19" s="415"/>
      <c r="AG19" s="509"/>
      <c r="AH19" s="509"/>
      <c r="AI19" s="509"/>
      <c r="AJ19" s="509"/>
      <c r="AK19" s="509"/>
      <c r="AL19" s="509"/>
      <c r="AM19" s="509"/>
      <c r="AN19" s="509"/>
      <c r="AO19" s="509"/>
      <c r="AP19" s="509"/>
      <c r="AQ19" s="509"/>
      <c r="AR19" s="509"/>
      <c r="AS19" s="509"/>
      <c r="AT19" s="509"/>
      <c r="AU19" s="509"/>
      <c r="AV19" s="509"/>
      <c r="AW19" s="509"/>
      <c r="AX19" s="509"/>
      <c r="AY19" s="509"/>
      <c r="AZ19" s="509"/>
      <c r="BA19" s="509"/>
      <c r="BB19" s="509"/>
      <c r="BC19" s="509"/>
      <c r="BD19" s="509"/>
      <c r="BE19" s="509"/>
      <c r="BF19" s="509"/>
      <c r="BG19" s="509"/>
      <c r="BH19" s="509"/>
      <c r="BI19" s="509"/>
      <c r="BJ19" s="509"/>
      <c r="BK19" s="509"/>
      <c r="BL19" s="509"/>
      <c r="BM19" s="509"/>
      <c r="BN19" s="509"/>
      <c r="BO19" s="509"/>
      <c r="BP19" s="509"/>
      <c r="BQ19" s="509"/>
      <c r="BR19" s="509"/>
      <c r="BS19" s="509"/>
      <c r="BT19" s="509"/>
      <c r="BU19" s="509"/>
      <c r="BV19" s="415"/>
      <c r="BW19" s="415"/>
      <c r="BX19" s="415"/>
      <c r="BY19" s="415"/>
      <c r="BZ19" s="415"/>
      <c r="CA19" s="415"/>
      <c r="CB19" s="415"/>
      <c r="CC19" s="415"/>
      <c r="CD19" s="415"/>
      <c r="CE19" s="415"/>
    </row>
    <row s="2412" customFormat="1" customHeight="1" ht="22.5" hidden="1">
      <c r="A20" s="630"/>
      <c r="B20" s="415"/>
      <c r="C20" s="410"/>
      <c r="D20" s="2323"/>
      <c r="E20" s="2137" t="s">
        <v>422</v>
      </c>
      <c r="F20" s="2137"/>
      <c r="G20" s="2137"/>
      <c r="H20" s="2137"/>
      <c r="I20" s="2137"/>
      <c r="J20" s="2137"/>
      <c r="K20" s="2137"/>
      <c r="L20" s="2137"/>
      <c r="M20" s="2137"/>
      <c r="N20" s="2137"/>
      <c r="O20" s="2137"/>
      <c r="P20" s="2137"/>
      <c r="Q20" s="556">
        <f>SUMIF(T21:T22,"i",Q21:Q22)</f>
        <v>0</v>
      </c>
      <c r="R20" s="1018"/>
      <c r="S20" s="706" t="s">
        <v>423</v>
      </c>
      <c r="T20" s="714" t="s">
        <v>419</v>
      </c>
      <c r="U20" s="2138">
        <v>2</v>
      </c>
      <c r="V20" s="2138" t="str">
        <f>INDEX(B_FHD_FLAG_INDEX_2,1,MATCH(A14,B_FHD_FLAG_DIFFERENTIATION,0))</f>
        <v>отсутствует</v>
      </c>
      <c r="W20" s="415"/>
      <c r="X20" s="415"/>
      <c r="Y20" s="415"/>
      <c r="Z20" s="415"/>
      <c r="AA20" s="509"/>
      <c r="AB20" s="415"/>
      <c r="AC20" s="703"/>
      <c r="AD20" s="626"/>
      <c r="AE20" s="415"/>
      <c r="AF20" s="415"/>
      <c r="AG20" s="509"/>
      <c r="AH20" s="509"/>
      <c r="AI20" s="509"/>
      <c r="AJ20" s="509"/>
      <c r="AK20" s="509"/>
      <c r="AL20" s="509"/>
      <c r="AM20" s="509"/>
      <c r="AN20" s="509"/>
      <c r="AO20" s="509"/>
      <c r="AP20" s="509"/>
      <c r="AQ20" s="509"/>
      <c r="AR20" s="509"/>
      <c r="AS20" s="509"/>
      <c r="AT20" s="509"/>
      <c r="AU20" s="509"/>
      <c r="AV20" s="509"/>
      <c r="AW20" s="509"/>
      <c r="AX20" s="509"/>
      <c r="AY20" s="509"/>
      <c r="AZ20" s="509"/>
      <c r="BA20" s="509"/>
      <c r="BB20" s="509"/>
      <c r="BC20" s="509"/>
      <c r="BD20" s="509"/>
      <c r="BE20" s="509"/>
      <c r="BF20" s="509"/>
      <c r="BG20" s="509"/>
      <c r="BH20" s="509"/>
      <c r="BI20" s="509"/>
      <c r="BJ20" s="509"/>
      <c r="BK20" s="509"/>
      <c r="BL20" s="509"/>
      <c r="BM20" s="509"/>
      <c r="BN20" s="509"/>
      <c r="BO20" s="509"/>
      <c r="BP20" s="509"/>
      <c r="BQ20" s="509"/>
      <c r="BR20" s="509"/>
      <c r="BS20" s="509"/>
      <c r="BT20" s="509"/>
      <c r="BU20" s="509"/>
      <c r="BV20" s="415"/>
      <c r="BW20" s="415"/>
      <c r="BX20" s="415"/>
      <c r="BY20" s="415"/>
      <c r="BZ20" s="415"/>
      <c r="CA20" s="415"/>
      <c r="CB20" s="415"/>
      <c r="CC20" s="415"/>
      <c r="CD20" s="415"/>
      <c r="CE20" s="415"/>
    </row>
    <row s="2412" customFormat="1" customHeight="1" ht="11.25" hidden="1">
      <c r="A21" s="705"/>
      <c r="B21" s="509"/>
      <c r="C21" s="509"/>
      <c r="D21" s="2323"/>
      <c r="E21" s="632"/>
      <c r="F21" s="632">
        <v>0</v>
      </c>
      <c r="G21" s="632"/>
      <c r="H21" s="632"/>
      <c r="I21" s="632"/>
      <c r="J21" s="632"/>
      <c r="K21" s="632"/>
      <c r="L21" s="632"/>
      <c r="M21" s="632"/>
      <c r="N21" s="632"/>
      <c r="O21" s="632"/>
      <c r="P21" s="632"/>
      <c r="Q21" s="632"/>
      <c r="R21" s="632"/>
      <c r="S21" s="633"/>
      <c r="T21" s="715"/>
      <c r="U21" s="2138"/>
      <c r="V21" s="2138"/>
      <c r="W21" s="509"/>
      <c r="X21" s="509"/>
      <c r="Y21" s="509"/>
      <c r="Z21" s="509"/>
      <c r="AA21" s="509"/>
      <c r="AB21" s="415"/>
      <c r="AC21" s="703"/>
      <c r="AD21" s="626"/>
      <c r="AE21" s="415"/>
      <c r="AF21" s="415"/>
      <c r="AG21" s="509"/>
      <c r="AH21" s="509"/>
      <c r="AI21" s="509"/>
      <c r="AJ21" s="509"/>
      <c r="AK21" s="509"/>
      <c r="AL21" s="509"/>
      <c r="AM21" s="509"/>
      <c r="AN21" s="509"/>
      <c r="AO21" s="509"/>
      <c r="AP21" s="509"/>
      <c r="AQ21" s="509"/>
      <c r="AR21" s="509"/>
      <c r="AS21" s="509"/>
      <c r="AT21" s="509"/>
      <c r="AU21" s="509"/>
      <c r="AV21" s="509"/>
      <c r="AW21" s="509"/>
      <c r="AX21" s="509"/>
      <c r="AY21" s="509"/>
      <c r="AZ21" s="509"/>
      <c r="BA21" s="509"/>
      <c r="BB21" s="509"/>
      <c r="BC21" s="509"/>
      <c r="BD21" s="509"/>
      <c r="BE21" s="509"/>
      <c r="BF21" s="509"/>
      <c r="BG21" s="509"/>
      <c r="BH21" s="509"/>
      <c r="BI21" s="509"/>
      <c r="BJ21" s="509"/>
      <c r="BK21" s="509"/>
      <c r="BL21" s="509"/>
      <c r="BM21" s="509"/>
      <c r="BN21" s="509"/>
      <c r="BO21" s="509"/>
      <c r="BP21" s="509"/>
      <c r="BQ21" s="509"/>
      <c r="BR21" s="509"/>
      <c r="BS21" s="509"/>
      <c r="BT21" s="509"/>
      <c r="BU21" s="509"/>
      <c r="BV21" s="509"/>
      <c r="BW21" s="509"/>
      <c r="BX21" s="509"/>
      <c r="BY21" s="509"/>
      <c r="BZ21" s="509"/>
      <c r="CA21" s="509"/>
      <c r="CB21" s="509"/>
      <c r="CC21" s="509"/>
      <c r="CD21" s="509"/>
      <c r="CE21" s="509"/>
    </row>
    <row s="2412" customFormat="1" customHeight="1" ht="11.25" hidden="1">
      <c r="A22" s="630"/>
      <c r="B22" s="415"/>
      <c r="C22" s="410"/>
      <c r="D22" s="2324"/>
      <c r="E22" s="646" t="s">
        <v>18</v>
      </c>
      <c r="F22" s="647" t="s">
        <v>18</v>
      </c>
      <c r="G22" s="647" t="s">
        <v>18</v>
      </c>
      <c r="H22" s="648" t="s">
        <v>18</v>
      </c>
      <c r="I22" s="648"/>
      <c r="J22" s="648"/>
      <c r="K22" s="648"/>
      <c r="L22" s="648"/>
      <c r="M22" s="648"/>
      <c r="N22" s="648"/>
      <c r="O22" s="648"/>
      <c r="P22" s="648"/>
      <c r="Q22" s="648"/>
      <c r="R22" s="649"/>
      <c r="S22" s="1021"/>
      <c r="T22" s="715"/>
      <c r="U22" s="2138"/>
      <c r="V22" s="2138"/>
      <c r="W22" s="415"/>
      <c r="X22" s="415"/>
      <c r="Y22" s="415"/>
      <c r="Z22" s="415"/>
      <c r="AA22" s="509"/>
      <c r="AB22" s="415"/>
      <c r="AC22" s="703"/>
      <c r="AD22" s="626"/>
      <c r="AE22" s="415"/>
      <c r="AF22" s="415"/>
      <c r="AG22" s="509"/>
      <c r="AH22" s="509"/>
      <c r="AI22" s="509"/>
      <c r="AJ22" s="509"/>
      <c r="AK22" s="509"/>
      <c r="AL22" s="509"/>
      <c r="AM22" s="509"/>
      <c r="AN22" s="509"/>
      <c r="AO22" s="509"/>
      <c r="AP22" s="509"/>
      <c r="AQ22" s="509"/>
      <c r="AR22" s="509"/>
      <c r="AS22" s="509"/>
      <c r="AT22" s="509"/>
      <c r="AU22" s="509"/>
      <c r="AV22" s="509"/>
      <c r="AW22" s="509"/>
      <c r="AX22" s="509"/>
      <c r="AY22" s="509"/>
      <c r="AZ22" s="509"/>
      <c r="BA22" s="509"/>
      <c r="BB22" s="509"/>
      <c r="BC22" s="509"/>
      <c r="BD22" s="509"/>
      <c r="BE22" s="509"/>
      <c r="BF22" s="509"/>
      <c r="BG22" s="509"/>
      <c r="BH22" s="509"/>
      <c r="BI22" s="509"/>
      <c r="BJ22" s="509"/>
      <c r="BK22" s="509"/>
      <c r="BL22" s="509"/>
      <c r="BM22" s="509"/>
      <c r="BN22" s="509"/>
      <c r="BO22" s="509"/>
      <c r="BP22" s="509"/>
      <c r="BQ22" s="509"/>
      <c r="BR22" s="509"/>
      <c r="BS22" s="509"/>
      <c r="BT22" s="509"/>
      <c r="BU22" s="509"/>
      <c r="BV22" s="415"/>
      <c r="BW22" s="415"/>
      <c r="BX22" s="415"/>
      <c r="BY22" s="415"/>
      <c r="BZ22" s="415"/>
      <c r="CA22" s="415"/>
      <c r="CB22" s="415"/>
      <c r="CC22" s="415"/>
      <c r="CD22" s="415"/>
      <c r="CE22" s="415"/>
    </row>
    <row customHeight="1" ht="15" hidden="1">
      <c r="A23" s="621" t="s">
        <v>122</v>
      </c>
      <c r="B23" s="0"/>
      <c r="C23" s="0" t="s">
        <v>18</v>
      </c>
      <c r="D23" s="2139" t="s">
        <v>154</v>
      </c>
      <c r="E23" s="2124" t="s">
        <v>104</v>
      </c>
      <c r="F23" s="2125"/>
      <c r="G23" s="2126"/>
      <c r="H23" s="2127" t="str">
        <f>IF(A23="","",INDEX(DIFFERENTIATION_UNMERGE_VD,MATCH(A23,DIFFERENTIATION_ID_DIFF,0)))</f>
        <v>Холодное водоснабжение. Техническая вода</v>
      </c>
      <c r="I23" s="2127"/>
      <c r="J23" s="2127"/>
      <c r="K23" s="2127"/>
      <c r="L23" s="2127"/>
      <c r="M23" s="2127"/>
      <c r="N23" s="2127"/>
      <c r="O23" s="2127"/>
      <c r="P23" s="2127"/>
      <c r="Q23" s="2127"/>
      <c r="R23" s="2127"/>
      <c r="S23" s="716"/>
      <c r="T23" s="713"/>
      <c r="U23" s="622"/>
      <c r="V23" s="622"/>
      <c r="W23" s="623"/>
      <c r="X23" s="623"/>
      <c r="Y23" s="623"/>
      <c r="Z23" s="623"/>
      <c r="AA23" s="624"/>
      <c r="AB23" s="625"/>
      <c r="AC23" s="2123"/>
      <c r="AD23" s="626"/>
      <c r="AE23" s="627" t="s">
        <v>18</v>
      </c>
      <c r="AF23" s="627"/>
      <c r="AG23" s="628" t="s">
        <v>414</v>
      </c>
      <c r="AH23" s="629">
        <v>3</v>
      </c>
      <c r="AI23" s="622"/>
      <c r="AJ23" s="622"/>
      <c r="AK23" s="622"/>
      <c r="AL23" s="622"/>
      <c r="AM23" s="622"/>
      <c r="AN23" s="622"/>
      <c r="AO23" s="622"/>
      <c r="AP23" s="622"/>
      <c r="AQ23" s="622"/>
      <c r="AR23" s="622"/>
      <c r="AS23" s="622"/>
      <c r="AT23" s="622"/>
      <c r="AU23" s="622"/>
      <c r="AV23" s="622"/>
      <c r="AW23" s="622"/>
      <c r="AX23" s="622"/>
      <c r="AY23" s="622"/>
      <c r="AZ23" s="622"/>
      <c r="BA23" s="622"/>
      <c r="BB23" s="622"/>
      <c r="BC23" s="622"/>
      <c r="BD23" s="622"/>
      <c r="BE23" s="622"/>
      <c r="BF23" s="622"/>
      <c r="BG23" s="622"/>
      <c r="BH23" s="622"/>
      <c r="BI23" s="622"/>
      <c r="BJ23" s="622"/>
      <c r="BK23" s="622"/>
      <c r="BL23" s="622"/>
      <c r="BM23" s="622"/>
      <c r="BN23" s="622"/>
      <c r="BO23" s="622"/>
      <c r="BP23" s="622"/>
      <c r="BQ23" s="622"/>
      <c r="BR23" s="622"/>
      <c r="BS23" s="622"/>
      <c r="BT23" s="622"/>
      <c r="BU23" s="622"/>
      <c r="BV23" s="623"/>
      <c r="BW23" s="623"/>
      <c r="BX23" s="623"/>
      <c r="BY23" s="623"/>
      <c r="BZ23" s="623"/>
      <c r="CA23" s="623"/>
      <c r="CB23" s="623"/>
      <c r="CC23" s="623"/>
      <c r="CD23" s="623"/>
      <c r="CE23" s="623"/>
    </row>
    <row customHeight="1" ht="15" hidden="1">
      <c r="A24" s="621"/>
      <c r="B24" s="0"/>
      <c r="C24" s="0"/>
      <c r="D24" s="2140"/>
      <c r="E24" s="2124" t="s">
        <v>415</v>
      </c>
      <c r="F24" s="2125"/>
      <c r="G24" s="2126"/>
      <c r="H24" s="2127" t="str">
        <f>IF(A23="","",INDEX(DIFFERENTIATION_UNMERGE_AREA,MATCH(A23,DIFFERENTIATION_ID_DIFF,0)))</f>
        <v>городской округ город Кострома</v>
      </c>
      <c r="I24" s="2127"/>
      <c r="J24" s="2127"/>
      <c r="K24" s="2127"/>
      <c r="L24" s="2127"/>
      <c r="M24" s="2127"/>
      <c r="N24" s="2127"/>
      <c r="O24" s="2127"/>
      <c r="P24" s="2127"/>
      <c r="Q24" s="2127"/>
      <c r="R24" s="2127"/>
      <c r="S24" s="716"/>
      <c r="T24" s="713"/>
      <c r="U24" s="622"/>
      <c r="V24" s="622"/>
      <c r="W24" s="623"/>
      <c r="X24" s="623"/>
      <c r="Y24" s="623"/>
      <c r="Z24" s="623"/>
      <c r="AA24" s="624"/>
      <c r="AB24" s="625"/>
      <c r="AC24" s="2123"/>
      <c r="AD24" s="626"/>
      <c r="AE24" s="627"/>
      <c r="AF24" s="627"/>
      <c r="AG24" s="628"/>
      <c r="AH24" s="629"/>
      <c r="AI24" s="622"/>
      <c r="AJ24" s="622"/>
      <c r="AK24" s="622"/>
      <c r="AL24" s="622"/>
      <c r="AM24" s="622"/>
      <c r="AN24" s="622"/>
      <c r="AO24" s="622"/>
      <c r="AP24" s="622"/>
      <c r="AQ24" s="622"/>
      <c r="AR24" s="622"/>
      <c r="AS24" s="622"/>
      <c r="AT24" s="622"/>
      <c r="AU24" s="622"/>
      <c r="AV24" s="622"/>
      <c r="AW24" s="622"/>
      <c r="AX24" s="622"/>
      <c r="AY24" s="622"/>
      <c r="AZ24" s="622"/>
      <c r="BA24" s="622"/>
      <c r="BB24" s="622"/>
      <c r="BC24" s="622"/>
      <c r="BD24" s="622"/>
      <c r="BE24" s="622"/>
      <c r="BF24" s="622"/>
      <c r="BG24" s="622"/>
      <c r="BH24" s="622"/>
      <c r="BI24" s="622"/>
      <c r="BJ24" s="622"/>
      <c r="BK24" s="622"/>
      <c r="BL24" s="622"/>
      <c r="BM24" s="622"/>
      <c r="BN24" s="622"/>
      <c r="BO24" s="622"/>
      <c r="BP24" s="622"/>
      <c r="BQ24" s="622"/>
      <c r="BR24" s="622"/>
      <c r="BS24" s="622"/>
      <c r="BT24" s="622"/>
      <c r="BU24" s="622"/>
      <c r="BV24" s="623"/>
      <c r="BW24" s="623"/>
      <c r="BX24" s="623"/>
      <c r="BY24" s="623"/>
      <c r="BZ24" s="623"/>
      <c r="CA24" s="623"/>
      <c r="CB24" s="623"/>
      <c r="CC24" s="623"/>
      <c r="CD24" s="623"/>
      <c r="CE24" s="623"/>
    </row>
    <row customHeight="1" ht="15" hidden="1">
      <c r="A25" s="621"/>
      <c r="B25" s="0"/>
      <c r="C25" s="0"/>
      <c r="D25" s="2140"/>
      <c r="E25" s="2124" t="s">
        <v>416</v>
      </c>
      <c r="F25" s="2125"/>
      <c r="G25" s="2126"/>
      <c r="H25" s="2127" t="str">
        <f>IF(A23="","",INDEX(DIFFERENTIATION_UNMERGE_SYSTEM,MATCH(A23,DIFFERENTIATION_ID_DIFF,0)))</f>
        <v>система холодного водоснабжения Костромской ТЭЦ-2</v>
      </c>
      <c r="I25" s="2127"/>
      <c r="J25" s="2127"/>
      <c r="K25" s="2127"/>
      <c r="L25" s="2127"/>
      <c r="M25" s="2127"/>
      <c r="N25" s="2127"/>
      <c r="O25" s="2127"/>
      <c r="P25" s="2127"/>
      <c r="Q25" s="2127"/>
      <c r="R25" s="2127"/>
      <c r="S25" s="716"/>
      <c r="T25" s="713"/>
      <c r="U25" s="622"/>
      <c r="V25" s="622"/>
      <c r="W25" s="623"/>
      <c r="X25" s="623"/>
      <c r="Y25" s="623"/>
      <c r="Z25" s="623"/>
      <c r="AA25" s="624"/>
      <c r="AB25" s="625"/>
      <c r="AC25" s="2123"/>
      <c r="AD25" s="626"/>
      <c r="AE25" s="627"/>
      <c r="AF25" s="627"/>
      <c r="AG25" s="628"/>
      <c r="AH25" s="629"/>
      <c r="AI25" s="622"/>
      <c r="AJ25" s="622"/>
      <c r="AK25" s="622"/>
      <c r="AL25" s="622"/>
      <c r="AM25" s="622"/>
      <c r="AN25" s="622"/>
      <c r="AO25" s="622"/>
      <c r="AP25" s="622"/>
      <c r="AQ25" s="622"/>
      <c r="AR25" s="622"/>
      <c r="AS25" s="622"/>
      <c r="AT25" s="622"/>
      <c r="AU25" s="622"/>
      <c r="AV25" s="622"/>
      <c r="AW25" s="622"/>
      <c r="AX25" s="622"/>
      <c r="AY25" s="622"/>
      <c r="AZ25" s="622"/>
      <c r="BA25" s="622"/>
      <c r="BB25" s="622"/>
      <c r="BC25" s="622"/>
      <c r="BD25" s="622"/>
      <c r="BE25" s="622"/>
      <c r="BF25" s="622"/>
      <c r="BG25" s="622"/>
      <c r="BH25" s="622"/>
      <c r="BI25" s="622"/>
      <c r="BJ25" s="622"/>
      <c r="BK25" s="622"/>
      <c r="BL25" s="622"/>
      <c r="BM25" s="622"/>
      <c r="BN25" s="622"/>
      <c r="BO25" s="622"/>
      <c r="BP25" s="622"/>
      <c r="BQ25" s="622"/>
      <c r="BR25" s="622"/>
      <c r="BS25" s="622"/>
      <c r="BT25" s="622"/>
      <c r="BU25" s="622"/>
      <c r="BV25" s="623"/>
      <c r="BW25" s="623"/>
      <c r="BX25" s="623"/>
      <c r="BY25" s="623"/>
      <c r="BZ25" s="623"/>
      <c r="CA25" s="623"/>
      <c r="CB25" s="623"/>
      <c r="CC25" s="623"/>
      <c r="CD25" s="623"/>
      <c r="CE25" s="623"/>
    </row>
    <row customHeight="1" ht="24.75" hidden="1">
      <c r="A26" s="1841"/>
      <c r="B26" s="1161"/>
      <c r="C26" s="410"/>
      <c r="D26" s="2140"/>
      <c r="E26" s="2137" t="s">
        <v>417</v>
      </c>
      <c r="F26" s="2137"/>
      <c r="G26" s="2137"/>
      <c r="H26" s="2137"/>
      <c r="I26" s="2137"/>
      <c r="J26" s="2137"/>
      <c r="K26" s="2137"/>
      <c r="L26" s="2137"/>
      <c r="M26" s="2137"/>
      <c r="N26" s="2137"/>
      <c r="O26" s="2137"/>
      <c r="P26" s="2137"/>
      <c r="Q26" s="556">
        <f>SUMIF(T27:T28,"i",Q27:Q28)</f>
        <v>0</v>
      </c>
      <c r="R26" s="1018"/>
      <c r="S26" s="1833" t="s">
        <v>418</v>
      </c>
      <c r="T26" s="714" t="s">
        <v>419</v>
      </c>
      <c r="U26" s="2138">
        <v>1</v>
      </c>
      <c r="V26" s="2138" t="s">
        <v>420</v>
      </c>
      <c r="W26" s="1161"/>
      <c r="X26" s="1161"/>
      <c r="Y26" s="1161"/>
      <c r="Z26" s="1161"/>
      <c r="AA26" s="1667"/>
      <c r="AB26" s="1161"/>
      <c r="AC26" s="2123"/>
      <c r="AD26" s="626"/>
      <c r="AE26" s="1161"/>
      <c r="AF26" s="1161"/>
      <c r="AG26" s="1667"/>
      <c r="AH26" s="1667"/>
      <c r="AI26" s="1667"/>
      <c r="AJ26" s="1667"/>
      <c r="AK26" s="1667"/>
      <c r="AL26" s="1667"/>
      <c r="AM26" s="1667"/>
      <c r="AN26" s="1667"/>
      <c r="AO26" s="1667"/>
      <c r="AP26" s="1667"/>
      <c r="AQ26" s="1667"/>
      <c r="AR26" s="1667"/>
      <c r="AS26" s="1667"/>
      <c r="AT26" s="1667"/>
      <c r="AU26" s="1667"/>
      <c r="AV26" s="1667"/>
      <c r="AW26" s="1667"/>
      <c r="AX26" s="1667"/>
      <c r="AY26" s="1667"/>
      <c r="AZ26" s="1667"/>
      <c r="BA26" s="1667"/>
      <c r="BB26" s="1667"/>
      <c r="BC26" s="1667"/>
      <c r="BD26" s="1667"/>
      <c r="BE26" s="1667"/>
      <c r="BF26" s="1667"/>
      <c r="BG26" s="1667"/>
      <c r="BH26" s="1667"/>
      <c r="BI26" s="1667"/>
      <c r="BJ26" s="1667"/>
      <c r="BK26" s="1667"/>
      <c r="BL26" s="1667"/>
      <c r="BM26" s="1667"/>
      <c r="BN26" s="1667"/>
      <c r="BO26" s="1667"/>
      <c r="BP26" s="1667"/>
      <c r="BQ26" s="1667"/>
      <c r="BR26" s="1667"/>
      <c r="BS26" s="1667"/>
      <c r="BT26" s="1667"/>
      <c r="BU26" s="1667"/>
      <c r="BV26" s="1161"/>
      <c r="BW26" s="1161"/>
      <c r="BX26" s="1161"/>
      <c r="BY26" s="1161"/>
      <c r="BZ26" s="1161"/>
      <c r="CA26" s="1161"/>
      <c r="CB26" s="1161"/>
      <c r="CC26" s="1161"/>
      <c r="CD26" s="1161"/>
      <c r="CE26" s="1161"/>
    </row>
    <row customHeight="1" ht="11.25" hidden="1">
      <c r="A27" s="1828"/>
      <c r="B27" s="1667"/>
      <c r="C27" s="1667"/>
      <c r="D27" s="2140"/>
      <c r="E27" s="632"/>
      <c r="F27" s="632">
        <v>0</v>
      </c>
      <c r="G27" s="632"/>
      <c r="H27" s="632"/>
      <c r="I27" s="632"/>
      <c r="J27" s="632"/>
      <c r="K27" s="632"/>
      <c r="L27" s="632"/>
      <c r="M27" s="632"/>
      <c r="N27" s="632"/>
      <c r="O27" s="632"/>
      <c r="P27" s="632"/>
      <c r="Q27" s="632"/>
      <c r="R27" s="632"/>
      <c r="S27" s="633"/>
      <c r="T27" s="715"/>
      <c r="U27" s="2138"/>
      <c r="V27" s="2138"/>
      <c r="W27" s="1667"/>
      <c r="X27" s="1667"/>
      <c r="Y27" s="1667"/>
      <c r="Z27" s="1667"/>
      <c r="AA27" s="1667"/>
      <c r="AB27" s="1161"/>
      <c r="AC27" s="2123"/>
      <c r="AD27" s="626"/>
      <c r="AE27" s="1161"/>
      <c r="AF27" s="1161"/>
      <c r="AG27" s="1667"/>
      <c r="AH27" s="1667"/>
      <c r="AI27" s="1667"/>
      <c r="AJ27" s="1667"/>
      <c r="AK27" s="1667"/>
      <c r="AL27" s="1667"/>
      <c r="AM27" s="1667"/>
      <c r="AN27" s="1667"/>
      <c r="AO27" s="1667"/>
      <c r="AP27" s="1667"/>
      <c r="AQ27" s="1667"/>
      <c r="AR27" s="1667"/>
      <c r="AS27" s="1667"/>
      <c r="AT27" s="1667"/>
      <c r="AU27" s="1667"/>
      <c r="AV27" s="1667"/>
      <c r="AW27" s="1667"/>
      <c r="AX27" s="1667"/>
      <c r="AY27" s="1667"/>
      <c r="AZ27" s="1667"/>
      <c r="BA27" s="1667"/>
      <c r="BB27" s="1667"/>
      <c r="BC27" s="1667"/>
      <c r="BD27" s="1667"/>
      <c r="BE27" s="1667"/>
      <c r="BF27" s="1667"/>
      <c r="BG27" s="1667"/>
      <c r="BH27" s="1667"/>
      <c r="BI27" s="1667"/>
      <c r="BJ27" s="1667"/>
      <c r="BK27" s="1667"/>
      <c r="BL27" s="1667"/>
      <c r="BM27" s="1667"/>
      <c r="BN27" s="1667"/>
      <c r="BO27" s="1667"/>
      <c r="BP27" s="1667"/>
      <c r="BQ27" s="1667"/>
      <c r="BR27" s="1667"/>
      <c r="BS27" s="1667"/>
      <c r="BT27" s="1667"/>
      <c r="BU27" s="1667"/>
      <c r="BV27" s="1667"/>
      <c r="BW27" s="1667"/>
      <c r="BX27" s="1667"/>
      <c r="BY27" s="1667"/>
      <c r="BZ27" s="1667"/>
      <c r="CA27" s="1667"/>
      <c r="CB27" s="1667"/>
      <c r="CC27" s="1667"/>
      <c r="CD27" s="1667"/>
      <c r="CE27" s="1667"/>
    </row>
    <row customHeight="1" ht="11.25" hidden="1">
      <c r="A28" s="1841"/>
      <c r="B28" s="1161"/>
      <c r="C28" s="410"/>
      <c r="D28" s="2140"/>
      <c r="E28" s="646" t="s">
        <v>18</v>
      </c>
      <c r="F28" s="1169" t="s">
        <v>18</v>
      </c>
      <c r="G28" s="1169" t="s">
        <v>421</v>
      </c>
      <c r="H28" s="648" t="s">
        <v>18</v>
      </c>
      <c r="I28" s="648"/>
      <c r="J28" s="648"/>
      <c r="K28" s="648"/>
      <c r="L28" s="648"/>
      <c r="M28" s="648"/>
      <c r="N28" s="648"/>
      <c r="O28" s="648"/>
      <c r="P28" s="648"/>
      <c r="Q28" s="648"/>
      <c r="R28" s="649"/>
      <c r="S28" s="650"/>
      <c r="T28" s="715"/>
      <c r="U28" s="2138"/>
      <c r="V28" s="2138"/>
      <c r="W28" s="1161"/>
      <c r="X28" s="1161"/>
      <c r="Y28" s="1161"/>
      <c r="Z28" s="1161"/>
      <c r="AA28" s="1667"/>
      <c r="AB28" s="1161"/>
      <c r="AC28" s="2123"/>
      <c r="AD28" s="626"/>
      <c r="AE28" s="1161"/>
      <c r="AF28" s="1161"/>
      <c r="AG28" s="1667"/>
      <c r="AH28" s="1667"/>
      <c r="AI28" s="1667"/>
      <c r="AJ28" s="1667"/>
      <c r="AK28" s="1667"/>
      <c r="AL28" s="1667"/>
      <c r="AM28" s="1667"/>
      <c r="AN28" s="1667"/>
      <c r="AO28" s="1667"/>
      <c r="AP28" s="1667"/>
      <c r="AQ28" s="1667"/>
      <c r="AR28" s="1667"/>
      <c r="AS28" s="1667"/>
      <c r="AT28" s="1667"/>
      <c r="AU28" s="1667"/>
      <c r="AV28" s="1667"/>
      <c r="AW28" s="1667"/>
      <c r="AX28" s="1667"/>
      <c r="AY28" s="1667"/>
      <c r="AZ28" s="1667"/>
      <c r="BA28" s="1667"/>
      <c r="BB28" s="1667"/>
      <c r="BC28" s="1667"/>
      <c r="BD28" s="1667"/>
      <c r="BE28" s="1667"/>
      <c r="BF28" s="1667"/>
      <c r="BG28" s="1667"/>
      <c r="BH28" s="1667"/>
      <c r="BI28" s="1667"/>
      <c r="BJ28" s="1667"/>
      <c r="BK28" s="1667"/>
      <c r="BL28" s="1667"/>
      <c r="BM28" s="1667"/>
      <c r="BN28" s="1667"/>
      <c r="BO28" s="1667"/>
      <c r="BP28" s="1667"/>
      <c r="BQ28" s="1667"/>
      <c r="BR28" s="1667"/>
      <c r="BS28" s="1667"/>
      <c r="BT28" s="1667"/>
      <c r="BU28" s="1667"/>
      <c r="BV28" s="1161"/>
      <c r="BW28" s="1161"/>
      <c r="BX28" s="1161"/>
      <c r="BY28" s="1161"/>
      <c r="BZ28" s="1161"/>
      <c r="CA28" s="1161"/>
      <c r="CB28" s="1161"/>
      <c r="CC28" s="1161"/>
      <c r="CD28" s="1161"/>
      <c r="CE28" s="1161"/>
    </row>
    <row customHeight="1" ht="24.75" hidden="1">
      <c r="A29" s="1841"/>
      <c r="B29" s="1161"/>
      <c r="C29" s="410"/>
      <c r="D29" s="2140"/>
      <c r="E29" s="2137" t="s">
        <v>422</v>
      </c>
      <c r="F29" s="2137"/>
      <c r="G29" s="2137"/>
      <c r="H29" s="2137"/>
      <c r="I29" s="2137"/>
      <c r="J29" s="2137"/>
      <c r="K29" s="2137"/>
      <c r="L29" s="2137"/>
      <c r="M29" s="2137"/>
      <c r="N29" s="2137"/>
      <c r="O29" s="2137"/>
      <c r="P29" s="2137"/>
      <c r="Q29" s="556">
        <f>SUMIF(T30:T31,"i",Q30:Q31)</f>
        <v>0</v>
      </c>
      <c r="R29" s="1018"/>
      <c r="S29" s="1833" t="s">
        <v>423</v>
      </c>
      <c r="T29" s="714" t="s">
        <v>419</v>
      </c>
      <c r="U29" s="2138">
        <v>1</v>
      </c>
      <c r="V29" s="2138" t="s">
        <v>420</v>
      </c>
      <c r="W29" s="1161"/>
      <c r="X29" s="1161"/>
      <c r="Y29" s="1161"/>
      <c r="Z29" s="1161"/>
      <c r="AA29" s="1667"/>
      <c r="AB29" s="1161"/>
      <c r="AC29" s="1831"/>
      <c r="AD29" s="626"/>
      <c r="AE29" s="1161"/>
      <c r="AF29" s="1161"/>
      <c r="AG29" s="1667"/>
      <c r="AH29" s="1667"/>
      <c r="AI29" s="1667"/>
      <c r="AJ29" s="1667"/>
      <c r="AK29" s="1667"/>
      <c r="AL29" s="1667"/>
      <c r="AM29" s="1667"/>
      <c r="AN29" s="1667"/>
      <c r="AO29" s="1667"/>
      <c r="AP29" s="1667"/>
      <c r="AQ29" s="1667"/>
      <c r="AR29" s="1667"/>
      <c r="AS29" s="1667"/>
      <c r="AT29" s="1667"/>
      <c r="AU29" s="1667"/>
      <c r="AV29" s="1667"/>
      <c r="AW29" s="1667"/>
      <c r="AX29" s="1667"/>
      <c r="AY29" s="1667"/>
      <c r="AZ29" s="1667"/>
      <c r="BA29" s="1667"/>
      <c r="BB29" s="1667"/>
      <c r="BC29" s="1667"/>
      <c r="BD29" s="1667"/>
      <c r="BE29" s="1667"/>
      <c r="BF29" s="1667"/>
      <c r="BG29" s="1667"/>
      <c r="BH29" s="1667"/>
      <c r="BI29" s="1667"/>
      <c r="BJ29" s="1667"/>
      <c r="BK29" s="1667"/>
      <c r="BL29" s="1667"/>
      <c r="BM29" s="1667"/>
      <c r="BN29" s="1667"/>
      <c r="BO29" s="1667"/>
      <c r="BP29" s="1667"/>
      <c r="BQ29" s="1667"/>
      <c r="BR29" s="1667"/>
      <c r="BS29" s="1667"/>
      <c r="BT29" s="1667"/>
      <c r="BU29" s="1667"/>
      <c r="BV29" s="1161"/>
      <c r="BW29" s="1161"/>
      <c r="BX29" s="1161"/>
      <c r="BY29" s="1161"/>
      <c r="BZ29" s="1161"/>
      <c r="CA29" s="1161"/>
      <c r="CB29" s="1161"/>
      <c r="CC29" s="1161"/>
      <c r="CD29" s="1161"/>
      <c r="CE29" s="1161"/>
    </row>
    <row customHeight="1" ht="11.25" hidden="1">
      <c r="A30" s="1828"/>
      <c r="B30" s="1667"/>
      <c r="C30" s="1667"/>
      <c r="D30" s="2140"/>
      <c r="E30" s="632"/>
      <c r="F30" s="632">
        <v>0</v>
      </c>
      <c r="G30" s="632"/>
      <c r="H30" s="632"/>
      <c r="I30" s="632"/>
      <c r="J30" s="632"/>
      <c r="K30" s="632"/>
      <c r="L30" s="632"/>
      <c r="M30" s="632"/>
      <c r="N30" s="632"/>
      <c r="O30" s="632"/>
      <c r="P30" s="632"/>
      <c r="Q30" s="632"/>
      <c r="R30" s="632"/>
      <c r="S30" s="633"/>
      <c r="T30" s="715"/>
      <c r="U30" s="2138"/>
      <c r="V30" s="2138"/>
      <c r="W30" s="1667"/>
      <c r="X30" s="1667"/>
      <c r="Y30" s="1667"/>
      <c r="Z30" s="1667"/>
      <c r="AA30" s="1667"/>
      <c r="AB30" s="1161"/>
      <c r="AC30" s="1831"/>
      <c r="AD30" s="626"/>
      <c r="AE30" s="1161"/>
      <c r="AF30" s="1161"/>
      <c r="AG30" s="1667"/>
      <c r="AH30" s="1667"/>
      <c r="AI30" s="1667"/>
      <c r="AJ30" s="1667"/>
      <c r="AK30" s="1667"/>
      <c r="AL30" s="1667"/>
      <c r="AM30" s="1667"/>
      <c r="AN30" s="1667"/>
      <c r="AO30" s="1667"/>
      <c r="AP30" s="1667"/>
      <c r="AQ30" s="1667"/>
      <c r="AR30" s="1667"/>
      <c r="AS30" s="1667"/>
      <c r="AT30" s="1667"/>
      <c r="AU30" s="1667"/>
      <c r="AV30" s="1667"/>
      <c r="AW30" s="1667"/>
      <c r="AX30" s="1667"/>
      <c r="AY30" s="1667"/>
      <c r="AZ30" s="1667"/>
      <c r="BA30" s="1667"/>
      <c r="BB30" s="1667"/>
      <c r="BC30" s="1667"/>
      <c r="BD30" s="1667"/>
      <c r="BE30" s="1667"/>
      <c r="BF30" s="1667"/>
      <c r="BG30" s="1667"/>
      <c r="BH30" s="1667"/>
      <c r="BI30" s="1667"/>
      <c r="BJ30" s="1667"/>
      <c r="BK30" s="1667"/>
      <c r="BL30" s="1667"/>
      <c r="BM30" s="1667"/>
      <c r="BN30" s="1667"/>
      <c r="BO30" s="1667"/>
      <c r="BP30" s="1667"/>
      <c r="BQ30" s="1667"/>
      <c r="BR30" s="1667"/>
      <c r="BS30" s="1667"/>
      <c r="BT30" s="1667"/>
      <c r="BU30" s="1667"/>
      <c r="BV30" s="1667"/>
      <c r="BW30" s="1667"/>
      <c r="BX30" s="1667"/>
      <c r="BY30" s="1667"/>
      <c r="BZ30" s="1667"/>
      <c r="CA30" s="1667"/>
      <c r="CB30" s="1667"/>
      <c r="CC30" s="1667"/>
      <c r="CD30" s="1667"/>
      <c r="CE30" s="1667"/>
    </row>
    <row customHeight="1" ht="11.25" hidden="1">
      <c r="A31" s="1841"/>
      <c r="B31" s="1161"/>
      <c r="C31" s="410"/>
      <c r="D31" s="2141"/>
      <c r="E31" s="646" t="s">
        <v>18</v>
      </c>
      <c r="F31" s="1169" t="s">
        <v>18</v>
      </c>
      <c r="G31" s="1169" t="s">
        <v>421</v>
      </c>
      <c r="H31" s="648" t="s">
        <v>18</v>
      </c>
      <c r="I31" s="648"/>
      <c r="J31" s="648"/>
      <c r="K31" s="648"/>
      <c r="L31" s="648"/>
      <c r="M31" s="648"/>
      <c r="N31" s="648"/>
      <c r="O31" s="648"/>
      <c r="P31" s="648"/>
      <c r="Q31" s="648"/>
      <c r="R31" s="649"/>
      <c r="S31" s="650"/>
      <c r="T31" s="715"/>
      <c r="U31" s="2138"/>
      <c r="V31" s="2138"/>
      <c r="W31" s="1161"/>
      <c r="X31" s="1161"/>
      <c r="Y31" s="1161"/>
      <c r="Z31" s="1161"/>
      <c r="AA31" s="1667"/>
      <c r="AB31" s="1161"/>
      <c r="AC31" s="1831"/>
      <c r="AD31" s="626"/>
      <c r="AE31" s="1161"/>
      <c r="AF31" s="1161"/>
      <c r="AG31" s="1667"/>
      <c r="AH31" s="1667"/>
      <c r="AI31" s="1667"/>
      <c r="AJ31" s="1667"/>
      <c r="AK31" s="1667"/>
      <c r="AL31" s="1667"/>
      <c r="AM31" s="1667"/>
      <c r="AN31" s="1667"/>
      <c r="AO31" s="1667"/>
      <c r="AP31" s="1667"/>
      <c r="AQ31" s="1667"/>
      <c r="AR31" s="1667"/>
      <c r="AS31" s="1667"/>
      <c r="AT31" s="1667"/>
      <c r="AU31" s="1667"/>
      <c r="AV31" s="1667"/>
      <c r="AW31" s="1667"/>
      <c r="AX31" s="1667"/>
      <c r="AY31" s="1667"/>
      <c r="AZ31" s="1667"/>
      <c r="BA31" s="1667"/>
      <c r="BB31" s="1667"/>
      <c r="BC31" s="1667"/>
      <c r="BD31" s="1667"/>
      <c r="BE31" s="1667"/>
      <c r="BF31" s="1667"/>
      <c r="BG31" s="1667"/>
      <c r="BH31" s="1667"/>
      <c r="BI31" s="1667"/>
      <c r="BJ31" s="1667"/>
      <c r="BK31" s="1667"/>
      <c r="BL31" s="1667"/>
      <c r="BM31" s="1667"/>
      <c r="BN31" s="1667"/>
      <c r="BO31" s="1667"/>
      <c r="BP31" s="1667"/>
      <c r="BQ31" s="1667"/>
      <c r="BR31" s="1667"/>
      <c r="BS31" s="1667"/>
      <c r="BT31" s="1667"/>
      <c r="BU31" s="1667"/>
      <c r="BV31" s="1161"/>
      <c r="BW31" s="1161"/>
      <c r="BX31" s="1161"/>
      <c r="BY31" s="1161"/>
      <c r="BZ31" s="1161"/>
      <c r="CA31" s="1161"/>
      <c r="CB31" s="1161"/>
      <c r="CC31" s="1161"/>
      <c r="CD31" s="1161"/>
      <c r="CE31" s="1161"/>
    </row>
    <row customHeight="1" ht="18.75">
      <c r="D32" s="1048"/>
      <c r="E32" s="1048"/>
      <c r="F32" s="1048"/>
      <c r="G32" s="1048"/>
      <c r="H32" s="1048"/>
      <c r="I32" s="1048"/>
      <c r="J32" s="1048"/>
      <c r="K32" s="1048"/>
      <c r="L32" s="1048"/>
      <c r="M32" s="1048"/>
      <c r="N32" s="1048"/>
      <c r="O32" s="1048"/>
      <c r="P32" s="1048"/>
      <c r="Q32" s="1048"/>
      <c r="R32" s="1048"/>
      <c r="S32" s="1048"/>
      <c r="T32" s="322"/>
    </row>
    <row customHeight="1" ht="11.25">
      <c r="D33" s="507"/>
    </row>
    <row customHeight="1" ht="11.25">
      <c r="D34" s="651"/>
      <c r="E34" s="651"/>
      <c r="F34" s="651"/>
      <c r="G34" s="652"/>
    </row>
    <row r="36" customHeight="1" ht="11.25">
      <c r="D36" s="653"/>
      <c r="E36" s="2325"/>
      <c r="F36" s="2325"/>
      <c r="G36" s="2325"/>
      <c r="H36" s="2325"/>
      <c r="I36" s="2325"/>
      <c r="J36" s="2325"/>
      <c r="K36" s="2325"/>
      <c r="L36" s="2325"/>
      <c r="M36" s="2325"/>
      <c r="N36" s="2325"/>
      <c r="O36" s="2325"/>
      <c r="P36" s="2325"/>
      <c r="Q36" s="2325"/>
      <c r="R36" s="2325"/>
    </row>
    <row customHeight="1" ht="11.25">
      <c r="F37" s="757"/>
      <c r="G37" s="757"/>
    </row>
  </sheetData>
  <sheetProtection formatColumns="0" formatRows="0" autoFilter="0" sort="0" insertRows="0" insertColumns="1" deleteRows="0" deleteColumns="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ECCA21-0F07-35CA-B7F6-FD51FCF767C7}" mc:Ignorable="x14ac xr xr2 xr3">
  <sheetPr>
    <tabColor theme="9" tint="-0.25"/>
  </sheetPr>
  <dimension ref="A1:AF218"/>
  <sheetViews>
    <sheetView topLeftCell="D5" showGridLines="0" zoomScale="90" workbookViewId="0">
      <selection activeCell="J1" sqref="J1:J1048576"/>
    </sheetView>
  </sheetViews>
  <sheetFormatPr defaultColWidth="9.140625" customHeight="1" defaultRowHeight="11.25"/>
  <cols>
    <col min="1" max="1" style="988" width="10.7109375" hidden="1" customWidth="1"/>
    <col min="2" max="2" style="1389" width="16.8515625" hidden="1" customWidth="1"/>
    <col min="3" max="3" style="1673" width="5.57421875" hidden="1" customWidth="1"/>
    <col min="4" max="4" style="1666" width="3.7109375" customWidth="1"/>
    <col min="5" max="5" style="1666" width="7.7109375" customWidth="1"/>
    <col min="6" max="6" style="1666" width="56.140625" customWidth="1"/>
    <col min="7" max="7" style="1666" width="10.421875" customWidth="1"/>
    <col min="8" max="8" style="1666" width="40.7109375" hidden="1" customWidth="1"/>
    <col min="9" max="10" style="1666" width="40.7109375" customWidth="1"/>
    <col min="11" max="11" style="1666" width="40.7109375" hidden="1" customWidth="1"/>
    <col min="12" max="12" style="1389" width="9.7109375" customWidth="1"/>
    <col min="13" max="13" style="1673" width="5.28125" customWidth="1"/>
    <col min="14" max="14" style="1673" width="3.7109375" customWidth="1"/>
    <col min="15" max="18" style="1389" width="3.7109375" customWidth="1"/>
    <col min="19" max="19" style="1673" width="10.57421875" customWidth="1"/>
    <col min="20" max="20" style="1389" width="34.7109375" customWidth="1"/>
    <col min="21" max="21" style="1389" width="9.421875" customWidth="1"/>
    <col min="22" max="22" style="734" width="9.140625"/>
    <col min="23" max="27" style="1389" width="9.140625"/>
    <col min="28" max="32" style="1663" width="9.140625"/>
  </cols>
  <sheetData>
    <row s="1389" customFormat="1" customHeight="1" ht="11.25" hidden="1">
      <c r="A1" s="988"/>
      <c r="C1" s="1667"/>
      <c r="D1" s="535"/>
      <c r="H1" s="1161">
        <v>4</v>
      </c>
      <c r="I1" s="1161">
        <v>4</v>
      </c>
      <c r="J1" s="1389">
        <v>4</v>
      </c>
      <c r="K1" s="1389">
        <v>4</v>
      </c>
      <c r="M1" s="1667"/>
      <c r="N1" s="1667"/>
      <c r="S1" s="1667"/>
    </row>
    <row s="1389" customFormat="1" customHeight="1" ht="22.5" hidden="1">
      <c r="A2" s="988"/>
      <c r="C2" s="1667"/>
      <c r="D2" s="536"/>
      <c r="E2" s="1668"/>
      <c r="F2" s="538"/>
      <c r="G2" s="1670" t="s">
        <v>1716</v>
      </c>
      <c r="H2" s="539"/>
      <c r="I2" s="539"/>
      <c r="J2" s="749"/>
      <c r="K2" s="749"/>
      <c r="L2" s="541"/>
      <c r="M2" s="1667"/>
      <c r="N2" s="1667"/>
      <c r="S2" s="1667"/>
      <c r="V2" s="542"/>
      <c r="AB2" s="1663"/>
      <c r="AC2" s="1663"/>
      <c r="AD2" s="1663"/>
      <c r="AE2" s="1663"/>
      <c r="AF2" s="1663"/>
    </row>
    <row customHeight="1" ht="11.25" hidden="1">
      <c r="J3" s="1666"/>
      <c r="K3" s="1666"/>
    </row>
    <row s="1663" customFormat="1" customHeight="1" ht="11.25" hidden="1">
      <c r="A4" s="988"/>
      <c r="B4" s="1161"/>
      <c r="C4" s="1667"/>
      <c r="D4" s="352"/>
      <c r="J4" s="1663"/>
      <c r="K4" s="1663"/>
      <c r="L4" s="1161"/>
      <c r="M4" s="1667"/>
      <c r="N4" s="1667"/>
      <c r="O4" s="1161"/>
      <c r="P4" s="1161"/>
      <c r="Q4" s="1161"/>
      <c r="R4" s="1161"/>
      <c r="S4" s="1667"/>
      <c r="T4" s="1161"/>
      <c r="U4" s="1161"/>
      <c r="V4" s="542"/>
      <c r="W4" s="1161"/>
      <c r="X4" s="1161"/>
      <c r="Y4" s="1161"/>
      <c r="Z4" s="1161"/>
      <c r="AA4" s="1161"/>
    </row>
    <row customHeight="1" ht="11.25">
      <c r="J5" s="1666"/>
      <c r="K5" s="1666"/>
    </row>
    <row customHeight="1" ht="24">
      <c r="E6" s="2150" t="s">
        <v>1760</v>
      </c>
      <c r="F6" s="2151"/>
      <c r="G6" s="2151"/>
      <c r="H6" s="2151"/>
      <c r="I6" s="2152"/>
      <c r="J6" s="2151"/>
      <c r="K6" s="2151"/>
    </row>
    <row customHeight="1" ht="24">
      <c r="E7" s="2153" t="str">
        <f>IF(org=0,"Не определено",org)</f>
        <v>ПАО "ТГК-2"</v>
      </c>
      <c r="F7" s="2154"/>
      <c r="G7" s="2154"/>
      <c r="H7" s="2154"/>
      <c r="I7" s="2155"/>
      <c r="J7" s="2154"/>
      <c r="K7" s="2154"/>
    </row>
    <row customHeight="1" ht="11.25">
      <c r="E8" s="1136"/>
      <c r="F8" s="1136"/>
      <c r="G8" s="1136"/>
      <c r="H8" s="1136"/>
      <c r="I8" s="1136"/>
      <c r="J8" s="1137"/>
      <c r="K8" s="1137"/>
    </row>
    <row s="1673" customFormat="1" customHeight="1" ht="0.75">
      <c r="A9" s="1168"/>
      <c r="D9" s="1673"/>
      <c r="H9" s="888"/>
      <c r="I9" s="888" t="s">
        <v>117</v>
      </c>
      <c r="J9" s="888" t="s">
        <v>122</v>
      </c>
      <c r="K9" s="888"/>
    </row>
    <row customHeight="1" ht="11.25">
      <c r="E10" s="708"/>
      <c r="F10" s="2290" t="s">
        <v>104</v>
      </c>
      <c r="G10" s="2291"/>
      <c r="H10" s="1585" t="str">
        <f>IF(H9="","",INDEX(DIFFERENTIATION_UNMERGE_VD,MATCH(H9,DIFFERENTIATION_ID_DIFF,0)))</f>
        <v/>
      </c>
      <c r="I10" s="1585" t="str">
        <f>IF(I9="","",INDEX(DIFFERENTIATION_UNMERGE_VD,MATCH(I9,DIFFERENTIATION_ID_DIFF,0)))</f>
        <v>Холодное водоснабжение. Техническая вода</v>
      </c>
      <c r="J10" s="2329" t="str">
        <f>IF(J9="","",INDEX(DIFFERENTIATION_UNMERGE_VD,MATCH(J9,DIFFERENTIATION_ID_DIFF,0)))</f>
        <v>Холодное водоснабжение. Техническая вода</v>
      </c>
      <c r="K10" s="2329" t="str">
        <f>IF(K9="","",INDEX(DIFFERENTIATION_UNMERGE_VD,MATCH(K9,DIFFERENTIATION_ID_DIFF,0)))</f>
        <v/>
      </c>
    </row>
    <row customHeight="1" ht="11.25">
      <c r="E11" s="708"/>
      <c r="F11" s="2290" t="s">
        <v>415</v>
      </c>
      <c r="G11" s="2291"/>
      <c r="H11" s="1585" t="str">
        <f>IF(H9="","",INDEX(DIFFERENTIATION_UNMERGE_AREA,MATCH(H9,DIFFERENTIATION_ID_DIFF,0)))</f>
        <v/>
      </c>
      <c r="I11" s="1585" t="str">
        <f>IF(I9="","",INDEX(DIFFERENTIATION_UNMERGE_AREA,MATCH(I9,DIFFERENTIATION_ID_DIFF,0)))</f>
        <v>городской округ город Кострома</v>
      </c>
      <c r="J11" s="2329" t="str">
        <f>IF(J9="","",INDEX(DIFFERENTIATION_UNMERGE_AREA,MATCH(J9,DIFFERENTIATION_ID_DIFF,0)))</f>
        <v>городской округ город Кострома</v>
      </c>
      <c r="K11" s="2329" t="str">
        <f>IF(K9="","",INDEX(DIFFERENTIATION_UNMERGE_AREA,MATCH(K9,DIFFERENTIATION_ID_DIFF,0)))</f>
        <v/>
      </c>
    </row>
    <row customHeight="1" ht="11.25" hidden="1">
      <c r="E12" s="1693"/>
      <c r="F12" s="2326" t="s">
        <v>416</v>
      </c>
      <c r="G12" s="2327"/>
      <c r="H12" s="1694" t="str">
        <f>IF(H9="","",INDEX(DIFFERENTIATION_UNMERGE_SYSTEM,MATCH(H9,DIFFERENTIATION_ID_DIFF,0)))</f>
        <v/>
      </c>
      <c r="I12" s="1694" t="str">
        <f>IF(I9="","",INDEX(DIFFERENTIATION_UNMERGE_SYSTEM,MATCH(I9,DIFFERENTIATION_ID_DIFF,0)))</f>
        <v>система холодного водоснабжения Костромской ТЭЦ-1</v>
      </c>
      <c r="J12" s="1694" t="str">
        <f>IF(J9="","",INDEX(DIFFERENTIATION_UNMERGE_SYSTEM,MATCH(J9,DIFFERENTIATION_ID_DIFF,0)))</f>
        <v>система холодного водоснабжения Костромской ТЭЦ-2</v>
      </c>
      <c r="K12" s="1694" t="str">
        <f>IF(K9="","",INDEX(DIFFERENTIATION_UNMERGE_SYSTEM,MATCH(K9,DIFFERENTIATION_ID_DIFF,0)))</f>
        <v/>
      </c>
    </row>
    <row customHeight="1" ht="11.25">
      <c r="E13" s="2292" t="s">
        <v>290</v>
      </c>
      <c r="F13" s="2293"/>
      <c r="G13" s="2293"/>
      <c r="H13" s="1584"/>
      <c r="I13" s="1584"/>
      <c r="J13" s="2290"/>
      <c r="K13" s="2290"/>
    </row>
    <row customHeight="1" ht="22.5">
      <c r="E14" s="1670" t="s">
        <v>87</v>
      </c>
      <c r="F14" s="1665" t="s">
        <v>292</v>
      </c>
      <c r="G14" s="1665" t="s">
        <v>1614</v>
      </c>
      <c r="H14" s="1665" t="s">
        <v>293</v>
      </c>
      <c r="I14" s="1665" t="s">
        <v>293</v>
      </c>
      <c r="J14" s="2017" t="s">
        <v>293</v>
      </c>
      <c r="K14" s="2017" t="s">
        <v>293</v>
      </c>
    </row>
    <row customHeight="1" ht="18.75">
      <c r="D15" s="1669"/>
      <c r="E15" s="1661" t="s">
        <v>108</v>
      </c>
      <c r="F15" s="704" t="s">
        <v>1761</v>
      </c>
      <c r="G15" s="1677" t="s">
        <v>1716</v>
      </c>
      <c r="H15" s="555"/>
      <c r="I15" s="555"/>
      <c r="J15" s="555"/>
      <c r="K15" s="555"/>
      <c r="L15" s="541" t="s">
        <v>1762</v>
      </c>
    </row>
    <row customHeight="1" ht="33.75">
      <c r="D16" s="1669"/>
      <c r="E16" s="1661" t="s">
        <v>109</v>
      </c>
      <c r="F16" s="704" t="s">
        <v>1763</v>
      </c>
      <c r="G16" s="1677" t="s">
        <v>1716</v>
      </c>
      <c r="H16" s="556">
        <f>SUM(H17,H20:H32)</f>
        <v>0</v>
      </c>
      <c r="I16" s="556">
        <f>SUM(I17,I20:I32)</f>
        <v>0</v>
      </c>
      <c r="J16" s="556">
        <f>SUM(J17,J20:J32)</f>
        <v>0</v>
      </c>
      <c r="K16" s="556">
        <f>SUM(K17,K20:K32)</f>
        <v>0</v>
      </c>
      <c r="L16" s="541" t="s">
        <v>1762</v>
      </c>
    </row>
    <row customHeight="1" ht="18.75">
      <c r="D17" s="1669"/>
      <c r="E17" s="1695" t="s">
        <v>453</v>
      </c>
      <c r="F17" s="955" t="s">
        <v>1764</v>
      </c>
      <c r="G17" s="1674" t="s">
        <v>1716</v>
      </c>
      <c r="H17" s="555"/>
      <c r="I17" s="555"/>
      <c r="J17" s="555"/>
      <c r="K17" s="555"/>
      <c r="L17" s="541"/>
    </row>
    <row customHeight="1" ht="22.5">
      <c r="D18" s="1669"/>
      <c r="E18" s="1695" t="s">
        <v>455</v>
      </c>
      <c r="F18" s="1681" t="s">
        <v>1765</v>
      </c>
      <c r="G18" s="1674" t="s">
        <v>1716</v>
      </c>
      <c r="H18" s="555"/>
      <c r="I18" s="555"/>
      <c r="J18" s="555"/>
      <c r="K18" s="555"/>
      <c r="L18" s="541"/>
    </row>
    <row customHeight="1" ht="33.75">
      <c r="D19" s="1669"/>
      <c r="E19" s="1695" t="s">
        <v>1766</v>
      </c>
      <c r="F19" s="1681" t="s">
        <v>1767</v>
      </c>
      <c r="G19" s="1674" t="s">
        <v>1716</v>
      </c>
      <c r="H19" s="555"/>
      <c r="I19" s="555"/>
      <c r="J19" s="555"/>
      <c r="K19" s="555"/>
      <c r="L19" s="541"/>
    </row>
    <row customHeight="1" ht="18.75">
      <c r="D20" s="1669"/>
      <c r="E20" s="1695" t="s">
        <v>297</v>
      </c>
      <c r="F20" s="955" t="s">
        <v>1768</v>
      </c>
      <c r="G20" s="1674" t="s">
        <v>1716</v>
      </c>
      <c r="H20" s="555"/>
      <c r="I20" s="555"/>
      <c r="J20" s="555"/>
      <c r="K20" s="555"/>
      <c r="L20" s="541"/>
    </row>
    <row customHeight="1" ht="18.75">
      <c r="D21" s="1669"/>
      <c r="E21" s="1695" t="s">
        <v>1371</v>
      </c>
      <c r="F21" s="1681" t="s">
        <v>1769</v>
      </c>
      <c r="G21" s="1674" t="s">
        <v>1716</v>
      </c>
      <c r="H21" s="555"/>
      <c r="I21" s="555"/>
      <c r="J21" s="555"/>
      <c r="K21" s="555"/>
      <c r="L21" s="541"/>
    </row>
    <row customHeight="1" ht="18.75">
      <c r="D22" s="1669"/>
      <c r="E22" s="1695" t="s">
        <v>1376</v>
      </c>
      <c r="F22" s="1681" t="s">
        <v>1770</v>
      </c>
      <c r="G22" s="1674" t="s">
        <v>1716</v>
      </c>
      <c r="H22" s="555"/>
      <c r="I22" s="555"/>
      <c r="J22" s="555"/>
      <c r="K22" s="555"/>
      <c r="L22" s="541"/>
    </row>
    <row customHeight="1" ht="22.5">
      <c r="D23" s="1669"/>
      <c r="E23" s="1695" t="s">
        <v>300</v>
      </c>
      <c r="F23" s="955" t="s">
        <v>1771</v>
      </c>
      <c r="G23" s="1674" t="s">
        <v>1716</v>
      </c>
      <c r="H23" s="555"/>
      <c r="I23" s="555"/>
      <c r="J23" s="555"/>
      <c r="K23" s="555"/>
      <c r="L23" s="541"/>
    </row>
    <row customHeight="1" ht="18.75">
      <c r="D24" s="1669"/>
      <c r="E24" s="1695" t="s">
        <v>1370</v>
      </c>
      <c r="F24" s="1681" t="s">
        <v>1772</v>
      </c>
      <c r="G24" s="1674" t="s">
        <v>1716</v>
      </c>
      <c r="H24" s="555"/>
      <c r="I24" s="555"/>
      <c r="J24" s="555"/>
      <c r="K24" s="555"/>
      <c r="L24" s="541"/>
    </row>
    <row customHeight="1" ht="33.75">
      <c r="D25" s="1669"/>
      <c r="E25" s="1695" t="s">
        <v>1375</v>
      </c>
      <c r="F25" s="1681" t="s">
        <v>1773</v>
      </c>
      <c r="G25" s="1674" t="s">
        <v>1716</v>
      </c>
      <c r="H25" s="555"/>
      <c r="I25" s="555"/>
      <c r="J25" s="555"/>
      <c r="K25" s="555"/>
      <c r="L25" s="541"/>
    </row>
    <row customHeight="1" ht="22.5">
      <c r="D26" s="1669"/>
      <c r="E26" s="1695" t="s">
        <v>1365</v>
      </c>
      <c r="F26" s="955" t="s">
        <v>1774</v>
      </c>
      <c r="G26" s="1674" t="s">
        <v>1716</v>
      </c>
      <c r="H26" s="555"/>
      <c r="I26" s="555"/>
      <c r="J26" s="555"/>
      <c r="K26" s="555"/>
      <c r="L26" s="541"/>
    </row>
    <row customHeight="1" ht="18.75">
      <c r="D27" s="1669"/>
      <c r="E27" s="1706" t="s">
        <v>1386</v>
      </c>
      <c r="F27" s="1681" t="s">
        <v>1775</v>
      </c>
      <c r="G27" s="1685" t="s">
        <v>1716</v>
      </c>
      <c r="H27" s="1707"/>
      <c r="I27" s="1707"/>
      <c r="J27" s="1707"/>
      <c r="K27" s="1707"/>
      <c r="L27" s="541"/>
    </row>
    <row customHeight="1" ht="18.75">
      <c r="D28" s="1669"/>
      <c r="E28" s="1706" t="s">
        <v>1390</v>
      </c>
      <c r="F28" s="1681" t="s">
        <v>1776</v>
      </c>
      <c r="G28" s="1685" t="s">
        <v>1716</v>
      </c>
      <c r="H28" s="1707"/>
      <c r="I28" s="1707"/>
      <c r="J28" s="1707"/>
      <c r="K28" s="1707"/>
      <c r="L28" s="541"/>
    </row>
    <row customHeight="1" ht="18.75">
      <c r="D29" s="1669"/>
      <c r="E29" s="1706" t="s">
        <v>1367</v>
      </c>
      <c r="F29" s="955" t="s">
        <v>1777</v>
      </c>
      <c r="G29" s="1685" t="s">
        <v>1716</v>
      </c>
      <c r="H29" s="1707"/>
      <c r="I29" s="1707"/>
      <c r="J29" s="1707"/>
      <c r="K29" s="1707"/>
      <c r="L29" s="541"/>
    </row>
    <row customHeight="1" ht="18.75">
      <c r="D30" s="1669"/>
      <c r="E30" s="1706" t="s">
        <v>1381</v>
      </c>
      <c r="F30" s="955" t="s">
        <v>1778</v>
      </c>
      <c r="G30" s="1685" t="s">
        <v>1716</v>
      </c>
      <c r="H30" s="1707"/>
      <c r="I30" s="1707"/>
      <c r="J30" s="1707"/>
      <c r="K30" s="1707"/>
      <c r="L30" s="541"/>
    </row>
    <row customHeight="1" ht="18.75">
      <c r="D31" s="1669"/>
      <c r="E31" s="1706" t="s">
        <v>1392</v>
      </c>
      <c r="F31" s="955" t="s">
        <v>1779</v>
      </c>
      <c r="G31" s="1685" t="s">
        <v>1716</v>
      </c>
      <c r="H31" s="1707"/>
      <c r="I31" s="1707"/>
      <c r="J31" s="1707"/>
      <c r="K31" s="1707"/>
      <c r="L31" s="541"/>
    </row>
    <row s="1389" customFormat="1" customHeight="1" ht="22.5">
      <c r="A32" s="988"/>
      <c r="C32" s="1667"/>
      <c r="D32" s="1669"/>
      <c r="E32" s="1706" t="s">
        <v>1403</v>
      </c>
      <c r="F32" s="955" t="s">
        <v>1780</v>
      </c>
      <c r="G32" s="1675" t="s">
        <v>1716</v>
      </c>
      <c r="H32" s="577">
        <f>SUM(H33:H34)</f>
        <v>0</v>
      </c>
      <c r="I32" s="577">
        <f>SUM(I33:I34)</f>
        <v>0</v>
      </c>
      <c r="J32" s="577">
        <f>SUM(J33:J34)</f>
        <v>0</v>
      </c>
      <c r="K32" s="577">
        <f>SUM(K33:K34)</f>
        <v>0</v>
      </c>
      <c r="L32" s="541"/>
      <c r="M32" s="1667"/>
      <c r="N32" s="1667"/>
      <c r="S32" s="1667"/>
      <c r="V32" s="542"/>
      <c r="AB32" s="1663"/>
      <c r="AC32" s="1663"/>
      <c r="AD32" s="1663"/>
      <c r="AE32" s="1663"/>
      <c r="AF32" s="1663"/>
    </row>
    <row s="1673" customFormat="1" customHeight="1" ht="0.75">
      <c r="A33" s="1168"/>
      <c r="D33" s="546"/>
      <c r="E33" s="800" t="str">
        <f>E32&amp;".0"</f>
        <v>2.8.0</v>
      </c>
      <c r="F33" s="992"/>
      <c r="G33" s="549"/>
      <c r="H33" s="993"/>
      <c r="I33" s="993"/>
      <c r="J33" s="993"/>
      <c r="K33" s="993"/>
    </row>
    <row s="1389" customFormat="1" customHeight="1" ht="18.75">
      <c r="A34" s="988"/>
      <c r="C34" s="1667"/>
      <c r="D34" s="1664"/>
      <c r="E34" s="568"/>
      <c r="F34" s="1697" t="s">
        <v>1733</v>
      </c>
      <c r="G34" s="570"/>
      <c r="H34" s="571"/>
      <c r="I34" s="571"/>
      <c r="J34" s="2448"/>
      <c r="K34" s="2449"/>
      <c r="L34" s="541"/>
      <c r="M34" s="1667"/>
      <c r="N34" s="1667"/>
      <c r="S34" s="1667"/>
      <c r="V34" s="542"/>
      <c r="AB34" s="1663"/>
      <c r="AC34" s="1663"/>
      <c r="AD34" s="1663"/>
      <c r="AE34" s="1663"/>
      <c r="AF34" s="1663"/>
    </row>
    <row customHeight="1" ht="56.25">
      <c r="D35" s="1669"/>
      <c r="E35" s="1706" t="s">
        <v>1411</v>
      </c>
      <c r="F35" s="955" t="s">
        <v>1781</v>
      </c>
      <c r="G35" s="1685" t="s">
        <v>1716</v>
      </c>
      <c r="H35" s="1707"/>
      <c r="I35" s="1707"/>
      <c r="J35" s="1707"/>
      <c r="K35" s="1707"/>
      <c r="L35" s="541"/>
    </row>
    <row s="1389" customFormat="1" customHeight="1" ht="22.5">
      <c r="A36" s="990" t="s">
        <v>1734</v>
      </c>
      <c r="C36" s="1667"/>
      <c r="D36" s="1669"/>
      <c r="E36" s="1695" t="s">
        <v>89</v>
      </c>
      <c r="F36" s="704" t="s">
        <v>1782</v>
      </c>
      <c r="G36" s="1674" t="s">
        <v>1716</v>
      </c>
      <c r="H36" s="555"/>
      <c r="I36" s="555"/>
      <c r="J36" s="555"/>
      <c r="K36" s="555"/>
      <c r="L36" s="541"/>
      <c r="M36" s="1667"/>
      <c r="N36" s="1667"/>
      <c r="S36" s="1667"/>
      <c r="V36" s="542"/>
      <c r="AB36" s="1663"/>
      <c r="AC36" s="1663"/>
      <c r="AD36" s="1663"/>
      <c r="AE36" s="1663"/>
      <c r="AF36" s="1663"/>
    </row>
    <row s="1389" customFormat="1" customHeight="1" ht="22.5">
      <c r="A37" s="990"/>
      <c r="C37" s="1667"/>
      <c r="D37" s="1669"/>
      <c r="E37" s="1695" t="s">
        <v>316</v>
      </c>
      <c r="F37" s="955" t="s">
        <v>1783</v>
      </c>
      <c r="G37" s="1685"/>
      <c r="H37" s="555"/>
      <c r="I37" s="555"/>
      <c r="J37" s="555"/>
      <c r="K37" s="555"/>
      <c r="L37" s="541"/>
      <c r="M37" s="1667"/>
      <c r="N37" s="1667"/>
      <c r="S37" s="1667"/>
      <c r="V37" s="542"/>
      <c r="AB37" s="1663"/>
      <c r="AC37" s="1663"/>
      <c r="AD37" s="1663"/>
      <c r="AE37" s="1663"/>
      <c r="AF37" s="1663"/>
    </row>
    <row s="1389" customFormat="1" customHeight="1" ht="18.75">
      <c r="A38" s="988"/>
      <c r="C38" s="1667"/>
      <c r="D38" s="573"/>
      <c r="E38" s="1695" t="s">
        <v>90</v>
      </c>
      <c r="F38" s="704" t="s">
        <v>1466</v>
      </c>
      <c r="G38" s="1674" t="s">
        <v>1716</v>
      </c>
      <c r="H38" s="555"/>
      <c r="I38" s="555"/>
      <c r="J38" s="555"/>
      <c r="K38" s="555"/>
      <c r="L38" s="541"/>
      <c r="M38" s="1667"/>
      <c r="N38" s="1667"/>
      <c r="S38" s="1667"/>
      <c r="V38" s="542"/>
      <c r="AB38" s="1663"/>
      <c r="AC38" s="1663"/>
      <c r="AD38" s="1663"/>
      <c r="AE38" s="1663"/>
      <c r="AF38" s="1663"/>
    </row>
    <row s="1389" customFormat="1" customHeight="1" ht="22.5">
      <c r="A39" s="988"/>
      <c r="C39" s="1667"/>
      <c r="D39" s="573"/>
      <c r="E39" s="1695" t="s">
        <v>1464</v>
      </c>
      <c r="F39" s="955" t="s">
        <v>1784</v>
      </c>
      <c r="G39" s="1685" t="s">
        <v>1716</v>
      </c>
      <c r="H39" s="555"/>
      <c r="I39" s="555"/>
      <c r="J39" s="555"/>
      <c r="K39" s="555"/>
      <c r="L39" s="541"/>
      <c r="M39" s="1667"/>
      <c r="N39" s="1667"/>
      <c r="S39" s="1667"/>
      <c r="V39" s="542"/>
      <c r="AB39" s="1663"/>
      <c r="AC39" s="1663"/>
      <c r="AD39" s="1663"/>
      <c r="AE39" s="1663"/>
      <c r="AF39" s="1663"/>
    </row>
    <row s="1389" customFormat="1" customHeight="1" ht="22.5">
      <c r="A40" s="988"/>
      <c r="C40" s="1667"/>
      <c r="D40" s="1669"/>
      <c r="E40" s="1695" t="s">
        <v>1472</v>
      </c>
      <c r="F40" s="1681" t="s">
        <v>1785</v>
      </c>
      <c r="G40" s="1674" t="s">
        <v>1716</v>
      </c>
      <c r="H40" s="555"/>
      <c r="I40" s="555"/>
      <c r="J40" s="555"/>
      <c r="K40" s="555"/>
      <c r="L40" s="541"/>
      <c r="M40" s="1667"/>
      <c r="N40" s="1667"/>
      <c r="S40" s="1667"/>
      <c r="V40" s="542"/>
      <c r="AB40" s="1663"/>
      <c r="AC40" s="1663"/>
      <c r="AD40" s="1663"/>
      <c r="AE40" s="1663"/>
      <c r="AF40" s="1663"/>
    </row>
    <row s="1389" customFormat="1" customHeight="1" ht="22.5">
      <c r="A41" s="988"/>
      <c r="C41" s="1667"/>
      <c r="D41" s="1669"/>
      <c r="E41" s="1695" t="s">
        <v>1477</v>
      </c>
      <c r="F41" s="1681" t="s">
        <v>1786</v>
      </c>
      <c r="G41" s="1674" t="s">
        <v>1716</v>
      </c>
      <c r="H41" s="555"/>
      <c r="I41" s="555"/>
      <c r="J41" s="555"/>
      <c r="K41" s="555"/>
      <c r="L41" s="541"/>
      <c r="M41" s="1667"/>
      <c r="N41" s="1667"/>
      <c r="S41" s="1667"/>
      <c r="V41" s="542"/>
      <c r="AB41" s="1663"/>
      <c r="AC41" s="1663"/>
      <c r="AD41" s="1663"/>
      <c r="AE41" s="1663"/>
      <c r="AF41" s="1663"/>
    </row>
    <row s="1389" customFormat="1" customHeight="1" ht="22.5">
      <c r="A42" s="988"/>
      <c r="C42" s="1667"/>
      <c r="D42" s="1669"/>
      <c r="E42" s="1695" t="s">
        <v>1787</v>
      </c>
      <c r="F42" s="1681" t="s">
        <v>1788</v>
      </c>
      <c r="G42" s="1674" t="s">
        <v>1716</v>
      </c>
      <c r="H42" s="555"/>
      <c r="I42" s="555"/>
      <c r="J42" s="555"/>
      <c r="K42" s="555"/>
      <c r="L42" s="541"/>
      <c r="M42" s="1667"/>
      <c r="N42" s="1667"/>
      <c r="S42" s="1667"/>
      <c r="V42" s="542"/>
      <c r="AB42" s="1663"/>
      <c r="AC42" s="1663"/>
      <c r="AD42" s="1663"/>
      <c r="AE42" s="1663"/>
      <c r="AF42" s="1663"/>
    </row>
    <row s="1389" customFormat="1" customHeight="1" ht="33.75">
      <c r="A43" s="988"/>
      <c r="C43" s="1667" t="s">
        <v>1742</v>
      </c>
      <c r="D43" s="1669"/>
      <c r="E43" s="1695" t="s">
        <v>110</v>
      </c>
      <c r="F43" s="704" t="s">
        <v>1487</v>
      </c>
      <c r="G43" s="1677" t="s">
        <v>1789</v>
      </c>
      <c r="H43" s="399"/>
      <c r="I43" s="399"/>
      <c r="J43" s="816"/>
      <c r="K43" s="816"/>
      <c r="L43" s="541"/>
      <c r="M43" s="1667"/>
      <c r="N43" s="1667"/>
      <c r="S43" s="1667"/>
      <c r="V43" s="542"/>
      <c r="AB43" s="1663"/>
      <c r="AC43" s="1663"/>
      <c r="AD43" s="1663"/>
      <c r="AE43" s="1663"/>
      <c r="AF43" s="1663"/>
    </row>
    <row s="1389" customFormat="1" customHeight="1" ht="22.5">
      <c r="A44" s="988"/>
      <c r="C44" s="1667"/>
      <c r="D44" s="1669"/>
      <c r="E44" s="1695" t="s">
        <v>91</v>
      </c>
      <c r="F44" s="704" t="s">
        <v>1790</v>
      </c>
      <c r="G44" s="1674" t="s">
        <v>1791</v>
      </c>
      <c r="H44" s="543"/>
      <c r="I44" s="543"/>
      <c r="J44" s="543"/>
      <c r="K44" s="543"/>
      <c r="L44" s="541"/>
      <c r="M44" s="1667"/>
      <c r="N44" s="1667"/>
      <c r="S44" s="1667"/>
      <c r="V44" s="542"/>
      <c r="AB44" s="1663"/>
      <c r="AC44" s="1663"/>
      <c r="AD44" s="1663"/>
      <c r="AE44" s="1663"/>
      <c r="AF44" s="1663"/>
    </row>
    <row s="1389" customFormat="1" customHeight="1" ht="22.5">
      <c r="A45" s="988"/>
      <c r="C45" s="1667"/>
      <c r="D45" s="1669"/>
      <c r="E45" s="1695" t="s">
        <v>92</v>
      </c>
      <c r="F45" s="704" t="s">
        <v>1792</v>
      </c>
      <c r="G45" s="1685" t="s">
        <v>1793</v>
      </c>
      <c r="H45" s="543"/>
      <c r="I45" s="543"/>
      <c r="J45" s="543"/>
      <c r="K45" s="543"/>
      <c r="L45" s="541"/>
      <c r="M45" s="1667"/>
      <c r="N45" s="1667"/>
      <c r="S45" s="1667"/>
      <c r="V45" s="542"/>
      <c r="AB45" s="1663"/>
      <c r="AC45" s="1663"/>
      <c r="AD45" s="1663"/>
      <c r="AE45" s="1663"/>
      <c r="AF45" s="1663"/>
    </row>
    <row s="1389" customFormat="1" customHeight="1" ht="18.75">
      <c r="A46" s="988"/>
      <c r="C46" s="1667"/>
      <c r="D46" s="1669"/>
      <c r="E46" s="1695" t="s">
        <v>111</v>
      </c>
      <c r="F46" s="704" t="s">
        <v>1794</v>
      </c>
      <c r="G46" s="1674" t="s">
        <v>1744</v>
      </c>
      <c r="H46" s="575"/>
      <c r="I46" s="575"/>
      <c r="J46" s="575"/>
      <c r="K46" s="575"/>
      <c r="L46" s="541"/>
      <c r="M46" s="1667"/>
      <c r="N46" s="1667"/>
      <c r="S46" s="1667"/>
      <c r="V46" s="542"/>
      <c r="AB46" s="1663"/>
      <c r="AC46" s="1663"/>
      <c r="AD46" s="1663"/>
      <c r="AE46" s="1663"/>
      <c r="AF46" s="1663"/>
    </row>
    <row customHeight="1" ht="11.25">
      <c r="D47" s="1669"/>
      <c r="J47" s="1666"/>
      <c r="K47" s="1666"/>
    </row>
    <row customHeight="1" ht="26.25">
      <c r="D48" s="1669"/>
      <c r="E48" s="1266"/>
      <c r="F48" s="2200"/>
      <c r="G48" s="2200"/>
      <c r="H48" s="2200"/>
      <c r="I48" s="2200"/>
      <c r="J48" s="2287"/>
      <c r="K48" s="2287"/>
    </row>
    <row s="1672" customFormat="1" customHeight="1" ht="37.5">
      <c r="A49" s="988"/>
      <c r="B49" s="1667"/>
      <c r="C49" s="1667"/>
      <c r="D49" s="339"/>
      <c r="F49" s="2200"/>
      <c r="G49" s="2200"/>
      <c r="H49" s="2200"/>
      <c r="I49" s="2200"/>
      <c r="J49" s="2287"/>
      <c r="K49" s="2287"/>
      <c r="L49" s="1161"/>
      <c r="M49" s="1667"/>
      <c r="N49" s="1667"/>
      <c r="O49" s="1161"/>
      <c r="P49" s="1161"/>
      <c r="Q49" s="1161"/>
      <c r="R49" s="1161"/>
      <c r="S49" s="1667"/>
      <c r="T49" s="1161"/>
      <c r="U49" s="1161"/>
      <c r="V49" s="542"/>
      <c r="W49" s="1161"/>
      <c r="X49" s="1161"/>
      <c r="Y49" s="1161"/>
      <c r="Z49" s="1161"/>
      <c r="AA49" s="1161"/>
      <c r="AB49" s="1663"/>
      <c r="AC49" s="564"/>
      <c r="AD49" s="564"/>
      <c r="AE49" s="564"/>
      <c r="AF49" s="564"/>
    </row>
    <row s="1672" customFormat="1" customHeight="1" ht="11.25">
      <c r="A50" s="988"/>
      <c r="B50" s="1667"/>
      <c r="C50" s="1667"/>
      <c r="D50" s="339"/>
      <c r="J50" s="1672"/>
      <c r="K50" s="1672"/>
      <c r="L50" s="1161"/>
      <c r="M50" s="1667"/>
      <c r="N50" s="1667"/>
      <c r="O50" s="1161"/>
      <c r="P50" s="1161"/>
      <c r="Q50" s="1161"/>
      <c r="R50" s="1161"/>
      <c r="S50" s="1667"/>
      <c r="T50" s="1161"/>
      <c r="U50" s="1161"/>
      <c r="V50" s="542"/>
      <c r="W50" s="1161"/>
      <c r="X50" s="1161"/>
      <c r="Y50" s="1161"/>
      <c r="Z50" s="1161"/>
      <c r="AA50" s="1161"/>
      <c r="AB50" s="1663"/>
      <c r="AC50" s="564"/>
      <c r="AD50" s="564"/>
      <c r="AE50" s="564"/>
      <c r="AF50" s="564"/>
    </row>
    <row s="1672" customFormat="1" customHeight="1" ht="11.25">
      <c r="A51" s="988"/>
      <c r="B51" s="1667"/>
      <c r="C51" s="1667"/>
      <c r="D51" s="339"/>
      <c r="J51" s="1672"/>
      <c r="K51" s="1672"/>
      <c r="L51" s="1161"/>
      <c r="M51" s="1667"/>
      <c r="N51" s="1667"/>
      <c r="O51" s="1161"/>
      <c r="P51" s="1161"/>
      <c r="Q51" s="1161"/>
      <c r="R51" s="1161"/>
      <c r="S51" s="1667"/>
      <c r="T51" s="1161"/>
      <c r="U51" s="1161"/>
      <c r="V51" s="542"/>
      <c r="W51" s="1161"/>
      <c r="X51" s="1161"/>
      <c r="Y51" s="1161"/>
      <c r="Z51" s="1161"/>
      <c r="AA51" s="1161"/>
      <c r="AB51" s="1663"/>
      <c r="AC51" s="564"/>
      <c r="AD51" s="564"/>
      <c r="AE51" s="564"/>
      <c r="AF51" s="564"/>
    </row>
    <row s="1672" customFormat="1" customHeight="1" ht="11.25">
      <c r="A52" s="988"/>
      <c r="B52" s="1667"/>
      <c r="C52" s="1667"/>
      <c r="D52" s="339"/>
      <c r="H52" s="564"/>
      <c r="I52" s="564"/>
      <c r="J52" s="620"/>
      <c r="K52" s="620"/>
      <c r="L52" s="1161"/>
      <c r="M52" s="1667"/>
      <c r="N52" s="1667"/>
      <c r="O52" s="1161"/>
      <c r="P52" s="1161"/>
      <c r="Q52" s="1161"/>
      <c r="R52" s="1161"/>
      <c r="S52" s="1667"/>
      <c r="T52" s="1161"/>
      <c r="U52" s="1161"/>
      <c r="V52" s="542"/>
      <c r="W52" s="1161"/>
      <c r="X52" s="1161"/>
      <c r="Y52" s="1161"/>
      <c r="Z52" s="1161"/>
      <c r="AA52" s="1161"/>
      <c r="AB52" s="1663"/>
      <c r="AC52" s="564"/>
      <c r="AD52" s="564"/>
      <c r="AE52" s="564"/>
      <c r="AF52" s="564"/>
    </row>
    <row s="1672" customFormat="1" customHeight="1" ht="11.25">
      <c r="A53" s="988"/>
      <c r="B53" s="1667"/>
      <c r="C53" s="1667"/>
      <c r="D53" s="339"/>
      <c r="J53" s="1672"/>
      <c r="K53" s="1672"/>
      <c r="L53" s="1161"/>
      <c r="M53" s="1667"/>
      <c r="N53" s="1667"/>
      <c r="O53" s="1161"/>
      <c r="P53" s="1161"/>
      <c r="Q53" s="1161"/>
      <c r="R53" s="1161"/>
      <c r="S53" s="1667"/>
      <c r="T53" s="1161"/>
      <c r="U53" s="1161"/>
      <c r="V53" s="542"/>
      <c r="W53" s="1161"/>
      <c r="X53" s="1161"/>
      <c r="Y53" s="1161"/>
      <c r="Z53" s="1161"/>
      <c r="AA53" s="1161"/>
      <c r="AB53" s="1663"/>
      <c r="AC53" s="564"/>
      <c r="AD53" s="564"/>
      <c r="AE53" s="564"/>
      <c r="AF53" s="564"/>
    </row>
    <row s="1672" customFormat="1" customHeight="1" ht="11.25">
      <c r="A54" s="988"/>
      <c r="B54" s="1667"/>
      <c r="C54" s="1667"/>
      <c r="D54" s="339"/>
      <c r="J54" s="1672"/>
      <c r="K54" s="1672"/>
      <c r="L54" s="1161"/>
      <c r="M54" s="1667"/>
      <c r="N54" s="1667"/>
      <c r="O54" s="1161"/>
      <c r="P54" s="1161"/>
      <c r="Q54" s="1161"/>
      <c r="R54" s="1161"/>
      <c r="S54" s="1667"/>
      <c r="T54" s="1161"/>
      <c r="U54" s="1161"/>
      <c r="V54" s="542"/>
      <c r="W54" s="1161"/>
      <c r="X54" s="1161"/>
      <c r="Y54" s="1161"/>
      <c r="Z54" s="1161"/>
      <c r="AA54" s="1161"/>
      <c r="AB54" s="1663"/>
      <c r="AC54" s="564"/>
      <c r="AD54" s="564"/>
      <c r="AE54" s="564"/>
      <c r="AF54" s="564"/>
    </row>
    <row s="1672" customFormat="1" customHeight="1" ht="11.25">
      <c r="A55" s="988"/>
      <c r="B55" s="1667"/>
      <c r="C55" s="1667"/>
      <c r="D55" s="339"/>
      <c r="J55" s="1672"/>
      <c r="K55" s="1672"/>
      <c r="L55" s="1161"/>
      <c r="M55" s="1667"/>
      <c r="N55" s="1667"/>
      <c r="O55" s="1161"/>
      <c r="P55" s="1161"/>
      <c r="Q55" s="1161"/>
      <c r="R55" s="1161"/>
      <c r="S55" s="1667"/>
      <c r="T55" s="1161"/>
      <c r="U55" s="1161"/>
      <c r="V55" s="542"/>
      <c r="W55" s="1161"/>
      <c r="X55" s="1161"/>
      <c r="Y55" s="1161"/>
      <c r="Z55" s="1161"/>
      <c r="AA55" s="1161"/>
      <c r="AB55" s="1663"/>
      <c r="AC55" s="564"/>
      <c r="AD55" s="564"/>
      <c r="AE55" s="564"/>
      <c r="AF55" s="564"/>
    </row>
    <row s="1672" customFormat="1" customHeight="1" ht="11.25">
      <c r="A56" s="988"/>
      <c r="B56" s="1667"/>
      <c r="C56" s="1667"/>
      <c r="D56" s="339"/>
      <c r="J56" s="1672"/>
      <c r="K56" s="1672"/>
      <c r="L56" s="1161"/>
      <c r="M56" s="1667"/>
      <c r="N56" s="1667"/>
      <c r="O56" s="1161"/>
      <c r="P56" s="1161"/>
      <c r="Q56" s="1161"/>
      <c r="R56" s="1161"/>
      <c r="S56" s="1667"/>
      <c r="T56" s="1161"/>
      <c r="U56" s="1161"/>
      <c r="V56" s="542"/>
      <c r="W56" s="1161"/>
      <c r="X56" s="1161"/>
      <c r="Y56" s="1161"/>
      <c r="Z56" s="1161"/>
      <c r="AA56" s="1161"/>
      <c r="AB56" s="1663"/>
      <c r="AC56" s="564"/>
      <c r="AD56" s="564"/>
      <c r="AE56" s="564"/>
      <c r="AF56" s="564"/>
    </row>
    <row s="1672" customFormat="1" customHeight="1" ht="11.25">
      <c r="A57" s="988"/>
      <c r="B57" s="1667"/>
      <c r="C57" s="1667"/>
      <c r="D57" s="339"/>
      <c r="J57" s="1672"/>
      <c r="K57" s="1672"/>
      <c r="L57" s="1161"/>
      <c r="M57" s="1667"/>
      <c r="N57" s="1667"/>
      <c r="O57" s="1161"/>
      <c r="P57" s="1161"/>
      <c r="Q57" s="1161"/>
      <c r="R57" s="1161"/>
      <c r="S57" s="1667"/>
      <c r="T57" s="1161"/>
      <c r="U57" s="1161"/>
      <c r="V57" s="542"/>
      <c r="W57" s="1161"/>
      <c r="X57" s="1161"/>
      <c r="Y57" s="1161"/>
      <c r="Z57" s="1161"/>
      <c r="AA57" s="1161"/>
      <c r="AB57" s="1663"/>
      <c r="AC57" s="564"/>
      <c r="AD57" s="564"/>
      <c r="AE57" s="564"/>
      <c r="AF57" s="564"/>
    </row>
    <row s="1672" customFormat="1" customHeight="1" ht="11.25">
      <c r="A58" s="988"/>
      <c r="B58" s="1667"/>
      <c r="C58" s="1667"/>
      <c r="D58" s="339"/>
      <c r="J58" s="1672"/>
      <c r="K58" s="1672"/>
      <c r="L58" s="1161"/>
      <c r="M58" s="1667"/>
      <c r="N58" s="1667"/>
      <c r="O58" s="1161"/>
      <c r="P58" s="1161"/>
      <c r="Q58" s="1161"/>
      <c r="R58" s="1161"/>
      <c r="S58" s="1667"/>
      <c r="T58" s="1161"/>
      <c r="U58" s="1161"/>
      <c r="V58" s="542"/>
      <c r="W58" s="1161"/>
      <c r="X58" s="1161"/>
      <c r="Y58" s="1161"/>
      <c r="Z58" s="1161"/>
      <c r="AA58" s="1161"/>
      <c r="AB58" s="1663"/>
      <c r="AC58" s="564"/>
      <c r="AD58" s="564"/>
      <c r="AE58" s="564"/>
      <c r="AF58" s="564"/>
    </row>
    <row s="1672" customFormat="1" customHeight="1" ht="11.25">
      <c r="A59" s="988"/>
      <c r="B59" s="1667"/>
      <c r="C59" s="1667"/>
      <c r="D59" s="339"/>
      <c r="J59" s="1672"/>
      <c r="K59" s="1672"/>
      <c r="L59" s="1161"/>
      <c r="M59" s="1667"/>
      <c r="N59" s="1667"/>
      <c r="O59" s="1161"/>
      <c r="P59" s="1161"/>
      <c r="Q59" s="1161"/>
      <c r="R59" s="1161"/>
      <c r="S59" s="1667"/>
      <c r="T59" s="1161"/>
      <c r="U59" s="1161"/>
      <c r="V59" s="542"/>
      <c r="W59" s="1161"/>
      <c r="X59" s="1161"/>
      <c r="Y59" s="1161"/>
      <c r="Z59" s="1161"/>
      <c r="AA59" s="1161"/>
      <c r="AB59" s="1663"/>
      <c r="AC59" s="564"/>
      <c r="AD59" s="564"/>
      <c r="AE59" s="564"/>
      <c r="AF59" s="564"/>
    </row>
    <row s="1672" customFormat="1" customHeight="1" ht="11.25">
      <c r="A60" s="988"/>
      <c r="B60" s="1667"/>
      <c r="C60" s="1667"/>
      <c r="D60" s="339"/>
      <c r="J60" s="1672"/>
      <c r="K60" s="1672"/>
      <c r="L60" s="1161"/>
      <c r="M60" s="1667"/>
      <c r="N60" s="1667"/>
      <c r="O60" s="1161"/>
      <c r="P60" s="1161"/>
      <c r="Q60" s="1161"/>
      <c r="R60" s="1161"/>
      <c r="S60" s="1667"/>
      <c r="T60" s="1161"/>
      <c r="U60" s="1161"/>
      <c r="V60" s="542"/>
      <c r="W60" s="1161"/>
      <c r="X60" s="1161"/>
      <c r="Y60" s="1161"/>
      <c r="Z60" s="1161"/>
      <c r="AA60" s="1161"/>
      <c r="AB60" s="1663"/>
      <c r="AC60" s="564"/>
      <c r="AD60" s="564"/>
      <c r="AE60" s="564"/>
      <c r="AF60" s="564"/>
    </row>
    <row s="1672" customFormat="1" customHeight="1" ht="11.25">
      <c r="A61" s="988"/>
      <c r="B61" s="1667"/>
      <c r="C61" s="1667"/>
      <c r="D61" s="339"/>
      <c r="J61" s="1672"/>
      <c r="K61" s="1672"/>
      <c r="L61" s="1161"/>
      <c r="M61" s="1667"/>
      <c r="N61" s="1667"/>
      <c r="O61" s="1161"/>
      <c r="P61" s="1161"/>
      <c r="Q61" s="1161"/>
      <c r="R61" s="1161"/>
      <c r="S61" s="1667"/>
      <c r="T61" s="1161"/>
      <c r="U61" s="1161"/>
      <c r="V61" s="542"/>
      <c r="W61" s="1161"/>
      <c r="X61" s="1161"/>
      <c r="Y61" s="1161"/>
      <c r="Z61" s="1161"/>
      <c r="AA61" s="1161"/>
      <c r="AB61" s="1663"/>
      <c r="AC61" s="564"/>
      <c r="AD61" s="564"/>
      <c r="AE61" s="564"/>
      <c r="AF61" s="564"/>
    </row>
    <row s="1672" customFormat="1" customHeight="1" ht="11.25">
      <c r="A62" s="988"/>
      <c r="B62" s="1667"/>
      <c r="C62" s="1667"/>
      <c r="D62" s="339"/>
      <c r="J62" s="1672"/>
      <c r="K62" s="1672"/>
      <c r="L62" s="1161"/>
      <c r="M62" s="1667"/>
      <c r="N62" s="1667"/>
      <c r="O62" s="1161"/>
      <c r="P62" s="1161"/>
      <c r="Q62" s="1161"/>
      <c r="R62" s="1161"/>
      <c r="S62" s="1667"/>
      <c r="T62" s="1161"/>
      <c r="U62" s="1161"/>
      <c r="V62" s="542"/>
      <c r="W62" s="1161"/>
      <c r="X62" s="1161"/>
      <c r="Y62" s="1161"/>
      <c r="Z62" s="1161"/>
      <c r="AA62" s="1161"/>
      <c r="AB62" s="1663"/>
      <c r="AC62" s="564"/>
      <c r="AD62" s="564"/>
      <c r="AE62" s="564"/>
      <c r="AF62" s="564"/>
    </row>
    <row s="1672" customFormat="1" customHeight="1" ht="11.25">
      <c r="A63" s="988"/>
      <c r="B63" s="1667"/>
      <c r="C63" s="1667"/>
      <c r="D63" s="339"/>
      <c r="J63" s="1672"/>
      <c r="K63" s="1672"/>
      <c r="L63" s="1161"/>
      <c r="M63" s="1667"/>
      <c r="N63" s="1667"/>
      <c r="O63" s="1161"/>
      <c r="P63" s="1161"/>
      <c r="Q63" s="1161"/>
      <c r="R63" s="1161"/>
      <c r="S63" s="1667"/>
      <c r="T63" s="1161"/>
      <c r="U63" s="1161"/>
      <c r="V63" s="542"/>
      <c r="W63" s="1161"/>
      <c r="X63" s="1161"/>
      <c r="Y63" s="1161"/>
      <c r="Z63" s="1161"/>
      <c r="AA63" s="1161"/>
      <c r="AB63" s="1663"/>
      <c r="AC63" s="564"/>
      <c r="AD63" s="564"/>
      <c r="AE63" s="564"/>
      <c r="AF63" s="564"/>
    </row>
    <row s="1672" customFormat="1" customHeight="1" ht="11.25">
      <c r="A64" s="988"/>
      <c r="B64" s="1667"/>
      <c r="C64" s="1667"/>
      <c r="D64" s="339"/>
      <c r="J64" s="1672"/>
      <c r="K64" s="1672"/>
      <c r="L64" s="1161"/>
      <c r="M64" s="1667"/>
      <c r="N64" s="1667"/>
      <c r="O64" s="1161"/>
      <c r="P64" s="1161"/>
      <c r="Q64" s="1161"/>
      <c r="R64" s="1161"/>
      <c r="S64" s="1667"/>
      <c r="T64" s="1161"/>
      <c r="U64" s="1161"/>
      <c r="V64" s="542"/>
      <c r="W64" s="1161"/>
      <c r="X64" s="1161"/>
      <c r="Y64" s="1161"/>
      <c r="Z64" s="1161"/>
      <c r="AA64" s="1161"/>
      <c r="AB64" s="1663"/>
      <c r="AC64" s="564"/>
      <c r="AD64" s="564"/>
      <c r="AE64" s="564"/>
      <c r="AF64" s="564"/>
    </row>
    <row s="1672" customFormat="1" customHeight="1" ht="11.25">
      <c r="A65" s="988"/>
      <c r="B65" s="1667"/>
      <c r="C65" s="1667"/>
      <c r="D65" s="339"/>
      <c r="J65" s="1672"/>
      <c r="K65" s="1672"/>
      <c r="L65" s="1161"/>
      <c r="M65" s="1667"/>
      <c r="N65" s="1667"/>
      <c r="O65" s="1161"/>
      <c r="P65" s="1161"/>
      <c r="Q65" s="1161"/>
      <c r="R65" s="1161"/>
      <c r="S65" s="1667"/>
      <c r="T65" s="1161"/>
      <c r="U65" s="1161"/>
      <c r="V65" s="542"/>
      <c r="W65" s="1161"/>
      <c r="X65" s="1161"/>
      <c r="Y65" s="1161"/>
      <c r="Z65" s="1161"/>
      <c r="AA65" s="1161"/>
      <c r="AB65" s="1663"/>
      <c r="AC65" s="564"/>
      <c r="AD65" s="564"/>
      <c r="AE65" s="564"/>
      <c r="AF65" s="564"/>
    </row>
    <row s="1672" customFormat="1" customHeight="1" ht="11.25">
      <c r="A66" s="988"/>
      <c r="B66" s="1667"/>
      <c r="C66" s="1667"/>
      <c r="D66" s="339"/>
      <c r="J66" s="1672"/>
      <c r="K66" s="1672"/>
      <c r="L66" s="1161"/>
      <c r="M66" s="1667"/>
      <c r="N66" s="1667"/>
      <c r="O66" s="1161"/>
      <c r="P66" s="1161"/>
      <c r="Q66" s="1161"/>
      <c r="R66" s="1161"/>
      <c r="S66" s="1667"/>
      <c r="T66" s="1161"/>
      <c r="U66" s="1161"/>
      <c r="V66" s="542"/>
      <c r="W66" s="1161"/>
      <c r="X66" s="1161"/>
      <c r="Y66" s="1161"/>
      <c r="Z66" s="1161"/>
      <c r="AA66" s="1161"/>
      <c r="AB66" s="1663"/>
      <c r="AC66" s="564"/>
      <c r="AD66" s="564"/>
      <c r="AE66" s="564"/>
      <c r="AF66" s="564"/>
    </row>
    <row s="1672" customFormat="1" customHeight="1" ht="11.25">
      <c r="A67" s="988"/>
      <c r="B67" s="1667"/>
      <c r="C67" s="1667"/>
      <c r="D67" s="339"/>
      <c r="J67" s="1672"/>
      <c r="K67" s="1672"/>
      <c r="L67" s="1161"/>
      <c r="M67" s="1667"/>
      <c r="N67" s="1667"/>
      <c r="O67" s="1161"/>
      <c r="P67" s="1161"/>
      <c r="Q67" s="1161"/>
      <c r="R67" s="1161"/>
      <c r="S67" s="1667"/>
      <c r="T67" s="1161"/>
      <c r="U67" s="1161"/>
      <c r="V67" s="542"/>
      <c r="W67" s="1161"/>
      <c r="X67" s="1161"/>
      <c r="Y67" s="1161"/>
      <c r="Z67" s="1161"/>
      <c r="AA67" s="1161"/>
      <c r="AB67" s="1663"/>
      <c r="AC67" s="564"/>
      <c r="AD67" s="564"/>
      <c r="AE67" s="564"/>
      <c r="AF67" s="564"/>
    </row>
    <row s="1672" customFormat="1" customHeight="1" ht="11.25">
      <c r="A68" s="988"/>
      <c r="B68" s="1667"/>
      <c r="C68" s="1667"/>
      <c r="D68" s="339"/>
      <c r="J68" s="1672"/>
      <c r="K68" s="1672"/>
      <c r="L68" s="1161"/>
      <c r="M68" s="1667"/>
      <c r="N68" s="1667"/>
      <c r="O68" s="1161"/>
      <c r="P68" s="1161"/>
      <c r="Q68" s="1161"/>
      <c r="R68" s="1161"/>
      <c r="S68" s="1667"/>
      <c r="T68" s="1161"/>
      <c r="U68" s="1161"/>
      <c r="V68" s="542"/>
      <c r="W68" s="1161"/>
      <c r="X68" s="1161"/>
      <c r="Y68" s="1161"/>
      <c r="Z68" s="1161"/>
      <c r="AA68" s="1161"/>
      <c r="AB68" s="1663"/>
      <c r="AC68" s="564"/>
      <c r="AD68" s="564"/>
      <c r="AE68" s="564"/>
      <c r="AF68" s="564"/>
    </row>
    <row s="1672" customFormat="1" customHeight="1" ht="11.25">
      <c r="A69" s="988"/>
      <c r="B69" s="1667"/>
      <c r="C69" s="1667"/>
      <c r="D69" s="339"/>
      <c r="J69" s="1672"/>
      <c r="K69" s="1672"/>
      <c r="L69" s="1161"/>
      <c r="M69" s="1667"/>
      <c r="N69" s="1667"/>
      <c r="O69" s="1161"/>
      <c r="P69" s="1161"/>
      <c r="Q69" s="1161"/>
      <c r="R69" s="1161"/>
      <c r="S69" s="1667"/>
      <c r="T69" s="1161"/>
      <c r="U69" s="1161"/>
      <c r="V69" s="542"/>
      <c r="W69" s="1161"/>
      <c r="X69" s="1161"/>
      <c r="Y69" s="1161"/>
      <c r="Z69" s="1161"/>
      <c r="AA69" s="1161"/>
      <c r="AB69" s="1663"/>
      <c r="AC69" s="564"/>
      <c r="AD69" s="564"/>
      <c r="AE69" s="564"/>
      <c r="AF69" s="564"/>
    </row>
    <row s="1672" customFormat="1" customHeight="1" ht="11.25">
      <c r="A70" s="988"/>
      <c r="B70" s="1667"/>
      <c r="C70" s="1667"/>
      <c r="D70" s="339"/>
      <c r="J70" s="1672"/>
      <c r="K70" s="1672"/>
      <c r="L70" s="1161"/>
      <c r="M70" s="1667"/>
      <c r="N70" s="1667"/>
      <c r="O70" s="1161"/>
      <c r="P70" s="1161"/>
      <c r="Q70" s="1161"/>
      <c r="R70" s="1161"/>
      <c r="S70" s="1667"/>
      <c r="T70" s="1161"/>
      <c r="U70" s="1161"/>
      <c r="V70" s="542"/>
      <c r="W70" s="1161"/>
      <c r="X70" s="1161"/>
      <c r="Y70" s="1161"/>
      <c r="Z70" s="1161"/>
      <c r="AA70" s="1161"/>
      <c r="AB70" s="1663"/>
      <c r="AC70" s="564"/>
      <c r="AD70" s="564"/>
      <c r="AE70" s="564"/>
      <c r="AF70" s="564"/>
    </row>
    <row s="1672" customFormat="1" customHeight="1" ht="11.25">
      <c r="A71" s="988"/>
      <c r="B71" s="1667"/>
      <c r="C71" s="1667"/>
      <c r="D71" s="339"/>
      <c r="J71" s="1672"/>
      <c r="K71" s="1672"/>
      <c r="L71" s="1161"/>
      <c r="M71" s="1667"/>
      <c r="N71" s="1667"/>
      <c r="O71" s="1161"/>
      <c r="P71" s="1161"/>
      <c r="Q71" s="1161"/>
      <c r="R71" s="1161"/>
      <c r="S71" s="1667"/>
      <c r="T71" s="1161"/>
      <c r="U71" s="1161"/>
      <c r="V71" s="542"/>
      <c r="W71" s="1161"/>
      <c r="X71" s="1161"/>
      <c r="Y71" s="1161"/>
      <c r="Z71" s="1161"/>
      <c r="AA71" s="1161"/>
      <c r="AB71" s="1663"/>
      <c r="AC71" s="564"/>
      <c r="AD71" s="564"/>
      <c r="AE71" s="564"/>
      <c r="AF71" s="564"/>
    </row>
    <row s="1672" customFormat="1" customHeight="1" ht="11.25">
      <c r="A72" s="988"/>
      <c r="B72" s="1667"/>
      <c r="C72" s="1667"/>
      <c r="D72" s="339"/>
      <c r="J72" s="1672"/>
      <c r="K72" s="1672"/>
      <c r="L72" s="1161"/>
      <c r="M72" s="1667"/>
      <c r="N72" s="1667"/>
      <c r="O72" s="1161"/>
      <c r="P72" s="1161"/>
      <c r="Q72" s="1161"/>
      <c r="R72" s="1161"/>
      <c r="S72" s="1667"/>
      <c r="T72" s="1161"/>
      <c r="U72" s="1161"/>
      <c r="V72" s="542"/>
      <c r="W72" s="1161"/>
      <c r="X72" s="1161"/>
      <c r="Y72" s="1161"/>
      <c r="Z72" s="1161"/>
      <c r="AA72" s="1161"/>
      <c r="AB72" s="1663"/>
      <c r="AC72" s="564"/>
      <c r="AD72" s="564"/>
      <c r="AE72" s="564"/>
      <c r="AF72" s="564"/>
    </row>
    <row s="1672" customFormat="1" customHeight="1" ht="11.25">
      <c r="A73" s="988"/>
      <c r="B73" s="1667"/>
      <c r="C73" s="1667"/>
      <c r="D73" s="339"/>
      <c r="J73" s="1672"/>
      <c r="K73" s="1672"/>
      <c r="L73" s="1161"/>
      <c r="M73" s="1667"/>
      <c r="N73" s="1667"/>
      <c r="O73" s="1161"/>
      <c r="P73" s="1161"/>
      <c r="Q73" s="1161"/>
      <c r="R73" s="1161"/>
      <c r="S73" s="1667"/>
      <c r="T73" s="1161"/>
      <c r="U73" s="1161"/>
      <c r="V73" s="542"/>
      <c r="W73" s="1161"/>
      <c r="X73" s="1161"/>
      <c r="Y73" s="1161"/>
      <c r="Z73" s="1161"/>
      <c r="AA73" s="1161"/>
      <c r="AB73" s="1663"/>
      <c r="AC73" s="564"/>
      <c r="AD73" s="564"/>
      <c r="AE73" s="564"/>
      <c r="AF73" s="564"/>
    </row>
    <row s="1672" customFormat="1" customHeight="1" ht="11.25">
      <c r="A74" s="988"/>
      <c r="B74" s="1667"/>
      <c r="C74" s="1667"/>
      <c r="D74" s="339"/>
      <c r="J74" s="1672"/>
      <c r="K74" s="1672"/>
      <c r="L74" s="1161"/>
      <c r="M74" s="1667"/>
      <c r="N74" s="1667"/>
      <c r="O74" s="1161"/>
      <c r="P74" s="1161"/>
      <c r="Q74" s="1161"/>
      <c r="R74" s="1161"/>
      <c r="S74" s="1667"/>
      <c r="T74" s="1161"/>
      <c r="U74" s="1161"/>
      <c r="V74" s="542"/>
      <c r="W74" s="1161"/>
      <c r="X74" s="1161"/>
      <c r="Y74" s="1161"/>
      <c r="Z74" s="1161"/>
      <c r="AA74" s="1161"/>
      <c r="AB74" s="1663"/>
      <c r="AC74" s="564"/>
      <c r="AD74" s="564"/>
      <c r="AE74" s="564"/>
      <c r="AF74" s="564"/>
    </row>
    <row s="1672" customFormat="1" customHeight="1" ht="11.25">
      <c r="A75" s="988"/>
      <c r="B75" s="1667"/>
      <c r="C75" s="1667"/>
      <c r="D75" s="339"/>
      <c r="J75" s="1672"/>
      <c r="K75" s="1672"/>
      <c r="L75" s="1161"/>
      <c r="M75" s="1667"/>
      <c r="N75" s="1667"/>
      <c r="O75" s="1161"/>
      <c r="P75" s="1161"/>
      <c r="Q75" s="1161"/>
      <c r="R75" s="1161"/>
      <c r="S75" s="1667"/>
      <c r="T75" s="1161"/>
      <c r="U75" s="1161"/>
      <c r="V75" s="542"/>
      <c r="W75" s="1161"/>
      <c r="X75" s="1161"/>
      <c r="Y75" s="1161"/>
      <c r="Z75" s="1161"/>
      <c r="AA75" s="1161"/>
      <c r="AB75" s="1663"/>
      <c r="AC75" s="564"/>
      <c r="AD75" s="564"/>
      <c r="AE75" s="564"/>
      <c r="AF75" s="564"/>
    </row>
    <row s="1672" customFormat="1" customHeight="1" ht="11.25">
      <c r="A76" s="988"/>
      <c r="B76" s="1667"/>
      <c r="C76" s="1667"/>
      <c r="D76" s="339"/>
      <c r="J76" s="1672"/>
      <c r="K76" s="1672"/>
      <c r="L76" s="1161"/>
      <c r="M76" s="1667"/>
      <c r="N76" s="1667"/>
      <c r="O76" s="1161"/>
      <c r="P76" s="1161"/>
      <c r="Q76" s="1161"/>
      <c r="R76" s="1161"/>
      <c r="S76" s="1667"/>
      <c r="T76" s="1161"/>
      <c r="U76" s="1161"/>
      <c r="V76" s="542"/>
      <c r="W76" s="1161"/>
      <c r="X76" s="1161"/>
      <c r="Y76" s="1161"/>
      <c r="Z76" s="1161"/>
      <c r="AA76" s="1161"/>
      <c r="AB76" s="1663"/>
      <c r="AC76" s="564"/>
      <c r="AD76" s="564"/>
      <c r="AE76" s="564"/>
      <c r="AF76" s="564"/>
    </row>
    <row s="1672" customFormat="1" customHeight="1" ht="11.25">
      <c r="A77" s="988"/>
      <c r="B77" s="1667"/>
      <c r="C77" s="1667"/>
      <c r="D77" s="339"/>
      <c r="J77" s="1672"/>
      <c r="K77" s="1672"/>
      <c r="L77" s="1161"/>
      <c r="M77" s="1667"/>
      <c r="N77" s="1667"/>
      <c r="O77" s="1161"/>
      <c r="P77" s="1161"/>
      <c r="Q77" s="1161"/>
      <c r="R77" s="1161"/>
      <c r="S77" s="1667"/>
      <c r="T77" s="1161"/>
      <c r="U77" s="1161"/>
      <c r="V77" s="542"/>
      <c r="W77" s="1161"/>
      <c r="X77" s="1161"/>
      <c r="Y77" s="1161"/>
      <c r="Z77" s="1161"/>
      <c r="AA77" s="1161"/>
      <c r="AB77" s="1663"/>
      <c r="AC77" s="564"/>
      <c r="AD77" s="564"/>
      <c r="AE77" s="564"/>
      <c r="AF77" s="564"/>
    </row>
    <row s="1672" customFormat="1" customHeight="1" ht="11.25">
      <c r="A78" s="988"/>
      <c r="B78" s="1667"/>
      <c r="C78" s="1667"/>
      <c r="D78" s="339"/>
      <c r="J78" s="1672"/>
      <c r="K78" s="1672"/>
      <c r="L78" s="1161"/>
      <c r="M78" s="1667"/>
      <c r="N78" s="1667"/>
      <c r="O78" s="1161"/>
      <c r="P78" s="1161"/>
      <c r="Q78" s="1161"/>
      <c r="R78" s="1161"/>
      <c r="S78" s="1667"/>
      <c r="T78" s="1161"/>
      <c r="U78" s="1161"/>
      <c r="V78" s="542"/>
      <c r="W78" s="1161"/>
      <c r="X78" s="1161"/>
      <c r="Y78" s="1161"/>
      <c r="Z78" s="1161"/>
      <c r="AA78" s="1161"/>
      <c r="AB78" s="1663"/>
      <c r="AC78" s="564"/>
      <c r="AD78" s="564"/>
      <c r="AE78" s="564"/>
      <c r="AF78" s="564"/>
    </row>
    <row s="1672" customFormat="1" customHeight="1" ht="11.25">
      <c r="A79" s="988"/>
      <c r="B79" s="1667"/>
      <c r="C79" s="1667"/>
      <c r="D79" s="339"/>
      <c r="J79" s="1672"/>
      <c r="K79" s="1672"/>
      <c r="L79" s="1161"/>
      <c r="M79" s="1667"/>
      <c r="N79" s="1667"/>
      <c r="O79" s="1161"/>
      <c r="P79" s="1161"/>
      <c r="Q79" s="1161"/>
      <c r="R79" s="1161"/>
      <c r="S79" s="1667"/>
      <c r="T79" s="1161"/>
      <c r="U79" s="1161"/>
      <c r="V79" s="542"/>
      <c r="W79" s="1161"/>
      <c r="X79" s="1161"/>
      <c r="Y79" s="1161"/>
      <c r="Z79" s="1161"/>
      <c r="AA79" s="1161"/>
      <c r="AB79" s="1663"/>
      <c r="AC79" s="564"/>
      <c r="AD79" s="564"/>
      <c r="AE79" s="564"/>
      <c r="AF79" s="564"/>
    </row>
    <row s="1672" customFormat="1" customHeight="1" ht="11.25">
      <c r="A80" s="988"/>
      <c r="B80" s="1667"/>
      <c r="C80" s="1667"/>
      <c r="D80" s="339"/>
      <c r="J80" s="1672"/>
      <c r="K80" s="1672"/>
      <c r="L80" s="1161"/>
      <c r="M80" s="1667"/>
      <c r="N80" s="1667"/>
      <c r="O80" s="1161"/>
      <c r="P80" s="1161"/>
      <c r="Q80" s="1161"/>
      <c r="R80" s="1161"/>
      <c r="S80" s="1667"/>
      <c r="T80" s="1161"/>
      <c r="U80" s="1161"/>
      <c r="V80" s="542"/>
      <c r="W80" s="1161"/>
      <c r="X80" s="1161"/>
      <c r="Y80" s="1161"/>
      <c r="Z80" s="1161"/>
      <c r="AA80" s="1161"/>
      <c r="AB80" s="1663"/>
      <c r="AC80" s="564"/>
      <c r="AD80" s="564"/>
      <c r="AE80" s="564"/>
      <c r="AF80" s="564"/>
    </row>
    <row s="1672" customFormat="1" customHeight="1" ht="11.25">
      <c r="A81" s="988"/>
      <c r="B81" s="1667"/>
      <c r="C81" s="1667"/>
      <c r="D81" s="339"/>
      <c r="J81" s="1672"/>
      <c r="K81" s="1672"/>
      <c r="L81" s="1161"/>
      <c r="M81" s="1667"/>
      <c r="N81" s="1667"/>
      <c r="O81" s="1161"/>
      <c r="P81" s="1161"/>
      <c r="Q81" s="1161"/>
      <c r="R81" s="1161"/>
      <c r="S81" s="1667"/>
      <c r="T81" s="1161"/>
      <c r="U81" s="1161"/>
      <c r="V81" s="542"/>
      <c r="W81" s="1161"/>
      <c r="X81" s="1161"/>
      <c r="Y81" s="1161"/>
      <c r="Z81" s="1161"/>
      <c r="AA81" s="1161"/>
      <c r="AB81" s="1663"/>
      <c r="AC81" s="564"/>
      <c r="AD81" s="564"/>
      <c r="AE81" s="564"/>
      <c r="AF81" s="564"/>
    </row>
    <row s="1672" customFormat="1" customHeight="1" ht="11.25">
      <c r="A82" s="988"/>
      <c r="B82" s="1667"/>
      <c r="C82" s="1667"/>
      <c r="D82" s="339"/>
      <c r="J82" s="1672"/>
      <c r="K82" s="1672"/>
      <c r="L82" s="1161"/>
      <c r="M82" s="1667"/>
      <c r="N82" s="1667"/>
      <c r="O82" s="1161"/>
      <c r="P82" s="1161"/>
      <c r="Q82" s="1161"/>
      <c r="R82" s="1161"/>
      <c r="S82" s="1667"/>
      <c r="T82" s="1161"/>
      <c r="U82" s="1161"/>
      <c r="V82" s="542"/>
      <c r="W82" s="1161"/>
      <c r="X82" s="1161"/>
      <c r="Y82" s="1161"/>
      <c r="Z82" s="1161"/>
      <c r="AA82" s="1161"/>
      <c r="AB82" s="1663"/>
      <c r="AC82" s="564"/>
      <c r="AD82" s="564"/>
      <c r="AE82" s="564"/>
      <c r="AF82" s="564"/>
    </row>
    <row s="1672" customFormat="1" customHeight="1" ht="11.25">
      <c r="A83" s="988"/>
      <c r="B83" s="1667"/>
      <c r="C83" s="1667"/>
      <c r="D83" s="339"/>
      <c r="J83" s="1672"/>
      <c r="K83" s="1672"/>
      <c r="L83" s="1161"/>
      <c r="M83" s="1667"/>
      <c r="N83" s="1667"/>
      <c r="O83" s="1161"/>
      <c r="P83" s="1161"/>
      <c r="Q83" s="1161"/>
      <c r="R83" s="1161"/>
      <c r="S83" s="1667"/>
      <c r="T83" s="1161"/>
      <c r="U83" s="1161"/>
      <c r="V83" s="542"/>
      <c r="W83" s="1161"/>
      <c r="X83" s="1161"/>
      <c r="Y83" s="1161"/>
      <c r="Z83" s="1161"/>
      <c r="AA83" s="1161"/>
      <c r="AB83" s="1663"/>
      <c r="AC83" s="564"/>
      <c r="AD83" s="564"/>
      <c r="AE83" s="564"/>
      <c r="AF83" s="564"/>
    </row>
    <row s="1672" customFormat="1" customHeight="1" ht="11.25">
      <c r="A84" s="988"/>
      <c r="B84" s="1667"/>
      <c r="C84" s="1667"/>
      <c r="D84" s="339"/>
      <c r="J84" s="1672"/>
      <c r="K84" s="1672"/>
      <c r="L84" s="1161"/>
      <c r="M84" s="1667"/>
      <c r="N84" s="1667"/>
      <c r="O84" s="1161"/>
      <c r="P84" s="1161"/>
      <c r="Q84" s="1161"/>
      <c r="R84" s="1161"/>
      <c r="S84" s="1667"/>
      <c r="T84" s="1161"/>
      <c r="U84" s="1161"/>
      <c r="V84" s="542"/>
      <c r="W84" s="1161"/>
      <c r="X84" s="1161"/>
      <c r="Y84" s="1161"/>
      <c r="Z84" s="1161"/>
      <c r="AA84" s="1161"/>
      <c r="AB84" s="1663"/>
      <c r="AC84" s="564"/>
      <c r="AD84" s="564"/>
      <c r="AE84" s="564"/>
      <c r="AF84" s="564"/>
    </row>
    <row s="1672" customFormat="1" customHeight="1" ht="11.25">
      <c r="A85" s="988"/>
      <c r="B85" s="1667"/>
      <c r="C85" s="1667"/>
      <c r="D85" s="339"/>
      <c r="J85" s="1672"/>
      <c r="K85" s="1672"/>
      <c r="L85" s="1161"/>
      <c r="M85" s="1667"/>
      <c r="N85" s="1667"/>
      <c r="O85" s="1161"/>
      <c r="P85" s="1161"/>
      <c r="Q85" s="1161"/>
      <c r="R85" s="1161"/>
      <c r="S85" s="1667"/>
      <c r="T85" s="1161"/>
      <c r="U85" s="1161"/>
      <c r="V85" s="542"/>
      <c r="W85" s="1161"/>
      <c r="X85" s="1161"/>
      <c r="Y85" s="1161"/>
      <c r="Z85" s="1161"/>
      <c r="AA85" s="1161"/>
      <c r="AB85" s="1663"/>
      <c r="AC85" s="564"/>
      <c r="AD85" s="564"/>
      <c r="AE85" s="564"/>
      <c r="AF85" s="564"/>
    </row>
    <row s="1672" customFormat="1" customHeight="1" ht="11.25">
      <c r="A86" s="988"/>
      <c r="B86" s="1667"/>
      <c r="C86" s="1667"/>
      <c r="D86" s="339"/>
      <c r="J86" s="1672"/>
      <c r="K86" s="1672"/>
      <c r="L86" s="1161"/>
      <c r="M86" s="1667"/>
      <c r="N86" s="1667"/>
      <c r="O86" s="1161"/>
      <c r="P86" s="1161"/>
      <c r="Q86" s="1161"/>
      <c r="R86" s="1161"/>
      <c r="S86" s="1667"/>
      <c r="T86" s="1161"/>
      <c r="U86" s="1161"/>
      <c r="V86" s="542"/>
      <c r="W86" s="1161"/>
      <c r="X86" s="1161"/>
      <c r="Y86" s="1161"/>
      <c r="Z86" s="1161"/>
      <c r="AA86" s="1161"/>
      <c r="AB86" s="1663"/>
      <c r="AC86" s="564"/>
      <c r="AD86" s="564"/>
      <c r="AE86" s="564"/>
      <c r="AF86" s="564"/>
    </row>
    <row s="1672" customFormat="1" customHeight="1" ht="11.25">
      <c r="A87" s="988"/>
      <c r="B87" s="1667"/>
      <c r="C87" s="1667"/>
      <c r="D87" s="339"/>
      <c r="J87" s="1672"/>
      <c r="K87" s="1672"/>
      <c r="L87" s="1161"/>
      <c r="M87" s="1667"/>
      <c r="N87" s="1667"/>
      <c r="O87" s="1161"/>
      <c r="P87" s="1161"/>
      <c r="Q87" s="1161"/>
      <c r="R87" s="1161"/>
      <c r="S87" s="1667"/>
      <c r="T87" s="1161"/>
      <c r="U87" s="1161"/>
      <c r="V87" s="542"/>
      <c r="W87" s="1161"/>
      <c r="X87" s="1161"/>
      <c r="Y87" s="1161"/>
      <c r="Z87" s="1161"/>
      <c r="AA87" s="1161"/>
      <c r="AB87" s="1663"/>
      <c r="AC87" s="564"/>
      <c r="AD87" s="564"/>
      <c r="AE87" s="564"/>
      <c r="AF87" s="564"/>
    </row>
    <row s="1672" customFormat="1" customHeight="1" ht="11.25">
      <c r="A88" s="988"/>
      <c r="B88" s="1667"/>
      <c r="C88" s="1667"/>
      <c r="D88" s="339"/>
      <c r="J88" s="1672"/>
      <c r="K88" s="1672"/>
      <c r="L88" s="1161"/>
      <c r="M88" s="1667"/>
      <c r="N88" s="1667"/>
      <c r="O88" s="1161"/>
      <c r="P88" s="1161"/>
      <c r="Q88" s="1161"/>
      <c r="R88" s="1161"/>
      <c r="S88" s="1667"/>
      <c r="T88" s="1161"/>
      <c r="U88" s="1161"/>
      <c r="V88" s="542"/>
      <c r="W88" s="1161"/>
      <c r="X88" s="1161"/>
      <c r="Y88" s="1161"/>
      <c r="Z88" s="1161"/>
      <c r="AA88" s="1161"/>
      <c r="AB88" s="1663"/>
      <c r="AC88" s="564"/>
      <c r="AD88" s="564"/>
      <c r="AE88" s="564"/>
      <c r="AF88" s="564"/>
    </row>
    <row s="1672" customFormat="1" customHeight="1" ht="11.25">
      <c r="A89" s="988"/>
      <c r="B89" s="1667"/>
      <c r="C89" s="1667"/>
      <c r="D89" s="339"/>
      <c r="J89" s="1672"/>
      <c r="K89" s="1672"/>
      <c r="L89" s="1161"/>
      <c r="M89" s="1667"/>
      <c r="N89" s="1667"/>
      <c r="O89" s="1161"/>
      <c r="P89" s="1161"/>
      <c r="Q89" s="1161"/>
      <c r="R89" s="1161"/>
      <c r="S89" s="1667"/>
      <c r="T89" s="1161"/>
      <c r="U89" s="1161"/>
      <c r="V89" s="542"/>
      <c r="W89" s="1161"/>
      <c r="X89" s="1161"/>
      <c r="Y89" s="1161"/>
      <c r="Z89" s="1161"/>
      <c r="AA89" s="1161"/>
      <c r="AB89" s="1663"/>
      <c r="AC89" s="564"/>
      <c r="AD89" s="564"/>
      <c r="AE89" s="564"/>
      <c r="AF89" s="564"/>
    </row>
    <row s="1672" customFormat="1" customHeight="1" ht="11.25">
      <c r="A90" s="988"/>
      <c r="B90" s="1667"/>
      <c r="C90" s="1667"/>
      <c r="D90" s="339"/>
      <c r="J90" s="1672"/>
      <c r="K90" s="1672"/>
      <c r="L90" s="1161"/>
      <c r="M90" s="1667"/>
      <c r="N90" s="1667"/>
      <c r="O90" s="1161"/>
      <c r="P90" s="1161"/>
      <c r="Q90" s="1161"/>
      <c r="R90" s="1161"/>
      <c r="S90" s="1667"/>
      <c r="T90" s="1161"/>
      <c r="U90" s="1161"/>
      <c r="V90" s="542"/>
      <c r="W90" s="1161"/>
      <c r="X90" s="1161"/>
      <c r="Y90" s="1161"/>
      <c r="Z90" s="1161"/>
      <c r="AA90" s="1161"/>
      <c r="AB90" s="1663"/>
      <c r="AC90" s="564"/>
      <c r="AD90" s="564"/>
      <c r="AE90" s="564"/>
      <c r="AF90" s="564"/>
    </row>
    <row s="1672" customFormat="1" customHeight="1" ht="11.25">
      <c r="A91" s="988"/>
      <c r="B91" s="1667"/>
      <c r="C91" s="1667"/>
      <c r="D91" s="339"/>
      <c r="J91" s="1672"/>
      <c r="K91" s="1672"/>
      <c r="L91" s="1161"/>
      <c r="M91" s="1667"/>
      <c r="N91" s="1667"/>
      <c r="O91" s="1161"/>
      <c r="P91" s="1161"/>
      <c r="Q91" s="1161"/>
      <c r="R91" s="1161"/>
      <c r="S91" s="1667"/>
      <c r="T91" s="1161"/>
      <c r="U91" s="1161"/>
      <c r="V91" s="542"/>
      <c r="W91" s="1161"/>
      <c r="X91" s="1161"/>
      <c r="Y91" s="1161"/>
      <c r="Z91" s="1161"/>
      <c r="AA91" s="1161"/>
      <c r="AB91" s="1663"/>
      <c r="AC91" s="564"/>
      <c r="AD91" s="564"/>
      <c r="AE91" s="564"/>
      <c r="AF91" s="564"/>
    </row>
    <row s="1672" customFormat="1" customHeight="1" ht="11.25">
      <c r="A92" s="988"/>
      <c r="B92" s="1667"/>
      <c r="C92" s="1667"/>
      <c r="D92" s="339"/>
      <c r="J92" s="1672"/>
      <c r="K92" s="1672"/>
      <c r="L92" s="1161"/>
      <c r="M92" s="1667"/>
      <c r="N92" s="1667"/>
      <c r="O92" s="1161"/>
      <c r="P92" s="1161"/>
      <c r="Q92" s="1161"/>
      <c r="R92" s="1161"/>
      <c r="S92" s="1667"/>
      <c r="T92" s="1161"/>
      <c r="U92" s="1161"/>
      <c r="V92" s="542"/>
      <c r="W92" s="1161"/>
      <c r="X92" s="1161"/>
      <c r="Y92" s="1161"/>
      <c r="Z92" s="1161"/>
      <c r="AA92" s="1161"/>
      <c r="AB92" s="1663"/>
      <c r="AC92" s="564"/>
      <c r="AD92" s="564"/>
      <c r="AE92" s="564"/>
      <c r="AF92" s="564"/>
    </row>
    <row s="1672" customFormat="1" customHeight="1" ht="11.25">
      <c r="A93" s="988"/>
      <c r="B93" s="1667"/>
      <c r="C93" s="1667"/>
      <c r="D93" s="339"/>
      <c r="J93" s="1672"/>
      <c r="K93" s="1672"/>
      <c r="L93" s="1161"/>
      <c r="M93" s="1667"/>
      <c r="N93" s="1667"/>
      <c r="O93" s="1161"/>
      <c r="P93" s="1161"/>
      <c r="Q93" s="1161"/>
      <c r="R93" s="1161"/>
      <c r="S93" s="1667"/>
      <c r="T93" s="1161"/>
      <c r="U93" s="1161"/>
      <c r="V93" s="542"/>
      <c r="W93" s="1161"/>
      <c r="X93" s="1161"/>
      <c r="Y93" s="1161"/>
      <c r="Z93" s="1161"/>
      <c r="AA93" s="1161"/>
      <c r="AB93" s="1663"/>
      <c r="AC93" s="564"/>
      <c r="AD93" s="564"/>
      <c r="AE93" s="564"/>
      <c r="AF93" s="564"/>
    </row>
    <row s="1672" customFormat="1" customHeight="1" ht="11.25">
      <c r="A94" s="988"/>
      <c r="B94" s="1667"/>
      <c r="C94" s="1667"/>
      <c r="D94" s="339"/>
      <c r="J94" s="1672"/>
      <c r="K94" s="1672"/>
      <c r="L94" s="1161"/>
      <c r="M94" s="1667"/>
      <c r="N94" s="1667"/>
      <c r="O94" s="1161"/>
      <c r="P94" s="1161"/>
      <c r="Q94" s="1161"/>
      <c r="R94" s="1161"/>
      <c r="S94" s="1667"/>
      <c r="T94" s="1161"/>
      <c r="U94" s="1161"/>
      <c r="V94" s="542"/>
      <c r="W94" s="1161"/>
      <c r="X94" s="1161"/>
      <c r="Y94" s="1161"/>
      <c r="Z94" s="1161"/>
      <c r="AA94" s="1161"/>
      <c r="AB94" s="1663"/>
      <c r="AC94" s="564"/>
      <c r="AD94" s="564"/>
      <c r="AE94" s="564"/>
      <c r="AF94" s="564"/>
    </row>
    <row s="1672" customFormat="1" customHeight="1" ht="11.25">
      <c r="A95" s="988"/>
      <c r="B95" s="1667"/>
      <c r="C95" s="1667"/>
      <c r="D95" s="339"/>
      <c r="J95" s="1672"/>
      <c r="K95" s="1672"/>
      <c r="L95" s="1161"/>
      <c r="M95" s="1667"/>
      <c r="N95" s="1667"/>
      <c r="O95" s="1161"/>
      <c r="P95" s="1161"/>
      <c r="Q95" s="1161"/>
      <c r="R95" s="1161"/>
      <c r="S95" s="1667"/>
      <c r="T95" s="1161"/>
      <c r="U95" s="1161"/>
      <c r="V95" s="542"/>
      <c r="W95" s="1161"/>
      <c r="X95" s="1161"/>
      <c r="Y95" s="1161"/>
      <c r="Z95" s="1161"/>
      <c r="AA95" s="1161"/>
      <c r="AB95" s="1663"/>
      <c r="AC95" s="564"/>
      <c r="AD95" s="564"/>
      <c r="AE95" s="564"/>
      <c r="AF95" s="564"/>
    </row>
    <row s="1672" customFormat="1" customHeight="1" ht="11.25">
      <c r="A96" s="988"/>
      <c r="B96" s="1667"/>
      <c r="C96" s="1667"/>
      <c r="D96" s="339"/>
      <c r="J96" s="1672"/>
      <c r="K96" s="1672"/>
      <c r="L96" s="1161"/>
      <c r="M96" s="1667"/>
      <c r="N96" s="1667"/>
      <c r="O96" s="1161"/>
      <c r="P96" s="1161"/>
      <c r="Q96" s="1161"/>
      <c r="R96" s="1161"/>
      <c r="S96" s="1667"/>
      <c r="T96" s="1161"/>
      <c r="U96" s="1161"/>
      <c r="V96" s="542"/>
      <c r="W96" s="1161"/>
      <c r="X96" s="1161"/>
      <c r="Y96" s="1161"/>
      <c r="Z96" s="1161"/>
      <c r="AA96" s="1161"/>
      <c r="AB96" s="1663"/>
      <c r="AC96" s="564"/>
      <c r="AD96" s="564"/>
      <c r="AE96" s="564"/>
      <c r="AF96" s="564"/>
    </row>
    <row s="1672" customFormat="1" customHeight="1" ht="11.25">
      <c r="A97" s="988"/>
      <c r="B97" s="1667"/>
      <c r="C97" s="1667"/>
      <c r="D97" s="339"/>
      <c r="J97" s="1672"/>
      <c r="K97" s="1672"/>
      <c r="L97" s="1161"/>
      <c r="M97" s="1667"/>
      <c r="N97" s="1667"/>
      <c r="O97" s="1161"/>
      <c r="P97" s="1161"/>
      <c r="Q97" s="1161"/>
      <c r="R97" s="1161"/>
      <c r="S97" s="1667"/>
      <c r="T97" s="1161"/>
      <c r="U97" s="1161"/>
      <c r="V97" s="542"/>
      <c r="W97" s="1161"/>
      <c r="X97" s="1161"/>
      <c r="Y97" s="1161"/>
      <c r="Z97" s="1161"/>
      <c r="AA97" s="1161"/>
      <c r="AB97" s="1663"/>
      <c r="AC97" s="564"/>
      <c r="AD97" s="564"/>
      <c r="AE97" s="564"/>
      <c r="AF97" s="564"/>
    </row>
    <row s="1672" customFormat="1" customHeight="1" ht="11.25">
      <c r="A98" s="988"/>
      <c r="B98" s="1667"/>
      <c r="C98" s="1667"/>
      <c r="D98" s="339"/>
      <c r="J98" s="1672"/>
      <c r="K98" s="1672"/>
      <c r="L98" s="1161"/>
      <c r="M98" s="1667"/>
      <c r="N98" s="1667"/>
      <c r="O98" s="1161"/>
      <c r="P98" s="1161"/>
      <c r="Q98" s="1161"/>
      <c r="R98" s="1161"/>
      <c r="S98" s="1667"/>
      <c r="T98" s="1161"/>
      <c r="U98" s="1161"/>
      <c r="V98" s="542"/>
      <c r="W98" s="1161"/>
      <c r="X98" s="1161"/>
      <c r="Y98" s="1161"/>
      <c r="Z98" s="1161"/>
      <c r="AA98" s="1161"/>
      <c r="AB98" s="1663"/>
      <c r="AC98" s="564"/>
      <c r="AD98" s="564"/>
      <c r="AE98" s="564"/>
      <c r="AF98" s="564"/>
    </row>
    <row s="1672" customFormat="1" customHeight="1" ht="11.25">
      <c r="A99" s="988"/>
      <c r="B99" s="1667"/>
      <c r="C99" s="1667"/>
      <c r="D99" s="339"/>
      <c r="J99" s="1672"/>
      <c r="K99" s="1672"/>
      <c r="L99" s="1161"/>
      <c r="M99" s="1667"/>
      <c r="N99" s="1667"/>
      <c r="O99" s="1161"/>
      <c r="P99" s="1161"/>
      <c r="Q99" s="1161"/>
      <c r="R99" s="1161"/>
      <c r="S99" s="1667"/>
      <c r="T99" s="1161"/>
      <c r="U99" s="1161"/>
      <c r="V99" s="542"/>
      <c r="W99" s="1161"/>
      <c r="X99" s="1161"/>
      <c r="Y99" s="1161"/>
      <c r="Z99" s="1161"/>
      <c r="AA99" s="1161"/>
      <c r="AB99" s="1663"/>
      <c r="AC99" s="564"/>
      <c r="AD99" s="564"/>
      <c r="AE99" s="564"/>
      <c r="AF99" s="564"/>
    </row>
    <row s="1672" customFormat="1" customHeight="1" ht="11.25">
      <c r="A100" s="988"/>
      <c r="B100" s="1667"/>
      <c r="C100" s="1667"/>
      <c r="D100" s="339"/>
      <c r="J100" s="1672"/>
      <c r="K100" s="1672"/>
      <c r="L100" s="1161"/>
      <c r="M100" s="1667"/>
      <c r="N100" s="1667"/>
      <c r="O100" s="1161"/>
      <c r="P100" s="1161"/>
      <c r="Q100" s="1161"/>
      <c r="R100" s="1161"/>
      <c r="S100" s="1667"/>
      <c r="T100" s="1161"/>
      <c r="U100" s="1161"/>
      <c r="V100" s="542"/>
      <c r="W100" s="1161"/>
      <c r="X100" s="1161"/>
      <c r="Y100" s="1161"/>
      <c r="Z100" s="1161"/>
      <c r="AA100" s="1161"/>
      <c r="AB100" s="1663"/>
      <c r="AC100" s="564"/>
      <c r="AD100" s="564"/>
      <c r="AE100" s="564"/>
      <c r="AF100" s="564"/>
    </row>
    <row s="1672" customFormat="1" customHeight="1" ht="11.25">
      <c r="A101" s="988"/>
      <c r="B101" s="1667"/>
      <c r="C101" s="1667"/>
      <c r="D101" s="339"/>
      <c r="J101" s="1672"/>
      <c r="K101" s="1672"/>
      <c r="L101" s="1161"/>
      <c r="M101" s="1667"/>
      <c r="N101" s="1667"/>
      <c r="O101" s="1161"/>
      <c r="P101" s="1161"/>
      <c r="Q101" s="1161"/>
      <c r="R101" s="1161"/>
      <c r="S101" s="1667"/>
      <c r="T101" s="1161"/>
      <c r="U101" s="1161"/>
      <c r="V101" s="542"/>
      <c r="W101" s="1161"/>
      <c r="X101" s="1161"/>
      <c r="Y101" s="1161"/>
      <c r="Z101" s="1161"/>
      <c r="AA101" s="1161"/>
      <c r="AB101" s="1663"/>
      <c r="AC101" s="564"/>
      <c r="AD101" s="564"/>
      <c r="AE101" s="564"/>
      <c r="AF101" s="564"/>
    </row>
    <row s="1672" customFormat="1" customHeight="1" ht="11.25">
      <c r="A102" s="988"/>
      <c r="B102" s="1667"/>
      <c r="C102" s="1667"/>
      <c r="D102" s="339"/>
      <c r="J102" s="1672"/>
      <c r="K102" s="1672"/>
      <c r="L102" s="1161"/>
      <c r="M102" s="1667"/>
      <c r="N102" s="1667"/>
      <c r="O102" s="1161"/>
      <c r="P102" s="1161"/>
      <c r="Q102" s="1161"/>
      <c r="R102" s="1161"/>
      <c r="S102" s="1667"/>
      <c r="T102" s="1161"/>
      <c r="U102" s="1161"/>
      <c r="V102" s="542"/>
      <c r="W102" s="1161"/>
      <c r="X102" s="1161"/>
      <c r="Y102" s="1161"/>
      <c r="Z102" s="1161"/>
      <c r="AA102" s="1161"/>
      <c r="AB102" s="1663"/>
      <c r="AC102" s="564"/>
      <c r="AD102" s="564"/>
      <c r="AE102" s="564"/>
      <c r="AF102" s="564"/>
    </row>
    <row s="1672" customFormat="1" customHeight="1" ht="11.25">
      <c r="A103" s="988"/>
      <c r="B103" s="1667"/>
      <c r="C103" s="1667"/>
      <c r="D103" s="339"/>
      <c r="J103" s="1672"/>
      <c r="K103" s="1672"/>
      <c r="L103" s="1161"/>
      <c r="M103" s="1667"/>
      <c r="N103" s="1667"/>
      <c r="O103" s="1161"/>
      <c r="P103" s="1161"/>
      <c r="Q103" s="1161"/>
      <c r="R103" s="1161"/>
      <c r="S103" s="1667"/>
      <c r="T103" s="1161"/>
      <c r="U103" s="1161"/>
      <c r="V103" s="542"/>
      <c r="W103" s="1161"/>
      <c r="X103" s="1161"/>
      <c r="Y103" s="1161"/>
      <c r="Z103" s="1161"/>
      <c r="AA103" s="1161"/>
      <c r="AB103" s="1663"/>
      <c r="AC103" s="564"/>
      <c r="AD103" s="564"/>
      <c r="AE103" s="564"/>
      <c r="AF103" s="564"/>
    </row>
    <row s="1672" customFormat="1" customHeight="1" ht="11.25">
      <c r="A104" s="988"/>
      <c r="B104" s="1667"/>
      <c r="C104" s="1667"/>
      <c r="D104" s="339"/>
      <c r="J104" s="1672"/>
      <c r="K104" s="1672"/>
      <c r="L104" s="1161"/>
      <c r="M104" s="1667"/>
      <c r="N104" s="1667"/>
      <c r="O104" s="1161"/>
      <c r="P104" s="1161"/>
      <c r="Q104" s="1161"/>
      <c r="R104" s="1161"/>
      <c r="S104" s="1667"/>
      <c r="T104" s="1161"/>
      <c r="U104" s="1161"/>
      <c r="V104" s="542"/>
      <c r="W104" s="1161"/>
      <c r="X104" s="1161"/>
      <c r="Y104" s="1161"/>
      <c r="Z104" s="1161"/>
      <c r="AA104" s="1161"/>
      <c r="AB104" s="1663"/>
      <c r="AC104" s="564"/>
      <c r="AD104" s="564"/>
      <c r="AE104" s="564"/>
      <c r="AF104" s="564"/>
    </row>
    <row s="1672" customFormat="1" customHeight="1" ht="11.25">
      <c r="A105" s="988"/>
      <c r="B105" s="1667"/>
      <c r="C105" s="1667"/>
      <c r="D105" s="339"/>
      <c r="J105" s="1672"/>
      <c r="K105" s="1672"/>
      <c r="L105" s="1161"/>
      <c r="M105" s="1667"/>
      <c r="N105" s="1667"/>
      <c r="O105" s="1161"/>
      <c r="P105" s="1161"/>
      <c r="Q105" s="1161"/>
      <c r="R105" s="1161"/>
      <c r="S105" s="1667"/>
      <c r="T105" s="1161"/>
      <c r="U105" s="1161"/>
      <c r="V105" s="542"/>
      <c r="W105" s="1161"/>
      <c r="X105" s="1161"/>
      <c r="Y105" s="1161"/>
      <c r="Z105" s="1161"/>
      <c r="AA105" s="1161"/>
      <c r="AB105" s="1663"/>
      <c r="AC105" s="564"/>
      <c r="AD105" s="564"/>
      <c r="AE105" s="564"/>
      <c r="AF105" s="564"/>
    </row>
    <row s="1672" customFormat="1" customHeight="1" ht="11.25">
      <c r="A106" s="988"/>
      <c r="B106" s="1667"/>
      <c r="C106" s="1667"/>
      <c r="D106" s="339"/>
      <c r="J106" s="1672"/>
      <c r="K106" s="1672"/>
      <c r="L106" s="1161"/>
      <c r="M106" s="1667"/>
      <c r="N106" s="1667"/>
      <c r="O106" s="1161"/>
      <c r="P106" s="1161"/>
      <c r="Q106" s="1161"/>
      <c r="R106" s="1161"/>
      <c r="S106" s="1667"/>
      <c r="T106" s="1161"/>
      <c r="U106" s="1161"/>
      <c r="V106" s="542"/>
      <c r="W106" s="1161"/>
      <c r="X106" s="1161"/>
      <c r="Y106" s="1161"/>
      <c r="Z106" s="1161"/>
      <c r="AA106" s="1161"/>
      <c r="AB106" s="1663"/>
      <c r="AC106" s="564"/>
      <c r="AD106" s="564"/>
      <c r="AE106" s="564"/>
      <c r="AF106" s="564"/>
    </row>
    <row s="1672" customFormat="1" customHeight="1" ht="11.25">
      <c r="A107" s="988"/>
      <c r="B107" s="1667"/>
      <c r="C107" s="1667"/>
      <c r="D107" s="339"/>
      <c r="J107" s="1672"/>
      <c r="K107" s="1672"/>
      <c r="L107" s="1161"/>
      <c r="M107" s="1667"/>
      <c r="N107" s="1667"/>
      <c r="O107" s="1161"/>
      <c r="P107" s="1161"/>
      <c r="Q107" s="1161"/>
      <c r="R107" s="1161"/>
      <c r="S107" s="1667"/>
      <c r="T107" s="1161"/>
      <c r="U107" s="1161"/>
      <c r="V107" s="542"/>
      <c r="W107" s="1161"/>
      <c r="X107" s="1161"/>
      <c r="Y107" s="1161"/>
      <c r="Z107" s="1161"/>
      <c r="AA107" s="1161"/>
      <c r="AB107" s="1663"/>
      <c r="AC107" s="564"/>
      <c r="AD107" s="564"/>
      <c r="AE107" s="564"/>
      <c r="AF107" s="564"/>
    </row>
    <row s="1672" customFormat="1" customHeight="1" ht="11.25">
      <c r="A108" s="988"/>
      <c r="B108" s="1667"/>
      <c r="C108" s="1667"/>
      <c r="D108" s="339"/>
      <c r="J108" s="1672"/>
      <c r="K108" s="1672"/>
      <c r="L108" s="1161"/>
      <c r="M108" s="1667"/>
      <c r="N108" s="1667"/>
      <c r="O108" s="1161"/>
      <c r="P108" s="1161"/>
      <c r="Q108" s="1161"/>
      <c r="R108" s="1161"/>
      <c r="S108" s="1667"/>
      <c r="T108" s="1161"/>
      <c r="U108" s="1161"/>
      <c r="V108" s="542"/>
      <c r="W108" s="1161"/>
      <c r="X108" s="1161"/>
      <c r="Y108" s="1161"/>
      <c r="Z108" s="1161"/>
      <c r="AA108" s="1161"/>
      <c r="AB108" s="1663"/>
      <c r="AC108" s="564"/>
      <c r="AD108" s="564"/>
      <c r="AE108" s="564"/>
      <c r="AF108" s="564"/>
    </row>
    <row s="1672" customFormat="1" customHeight="1" ht="11.25">
      <c r="A109" s="988"/>
      <c r="B109" s="1667"/>
      <c r="C109" s="1667"/>
      <c r="D109" s="339"/>
      <c r="J109" s="1672"/>
      <c r="K109" s="1672"/>
      <c r="L109" s="1161"/>
      <c r="M109" s="1667"/>
      <c r="N109" s="1667"/>
      <c r="O109" s="1161"/>
      <c r="P109" s="1161"/>
      <c r="Q109" s="1161"/>
      <c r="R109" s="1161"/>
      <c r="S109" s="1667"/>
      <c r="T109" s="1161"/>
      <c r="U109" s="1161"/>
      <c r="V109" s="542"/>
      <c r="W109" s="1161"/>
      <c r="X109" s="1161"/>
      <c r="Y109" s="1161"/>
      <c r="Z109" s="1161"/>
      <c r="AA109" s="1161"/>
      <c r="AB109" s="1663"/>
      <c r="AC109" s="564"/>
      <c r="AD109" s="564"/>
      <c r="AE109" s="564"/>
      <c r="AF109" s="564"/>
    </row>
    <row s="1672" customFormat="1" customHeight="1" ht="11.25">
      <c r="A110" s="988"/>
      <c r="B110" s="1667"/>
      <c r="C110" s="1667"/>
      <c r="D110" s="339"/>
      <c r="J110" s="1672"/>
      <c r="K110" s="1672"/>
      <c r="L110" s="1161"/>
      <c r="M110" s="1667"/>
      <c r="N110" s="1667"/>
      <c r="O110" s="1161"/>
      <c r="P110" s="1161"/>
      <c r="Q110" s="1161"/>
      <c r="R110" s="1161"/>
      <c r="S110" s="1667"/>
      <c r="T110" s="1161"/>
      <c r="U110" s="1161"/>
      <c r="V110" s="542"/>
      <c r="W110" s="1161"/>
      <c r="X110" s="1161"/>
      <c r="Y110" s="1161"/>
      <c r="Z110" s="1161"/>
      <c r="AA110" s="1161"/>
      <c r="AB110" s="1663"/>
      <c r="AC110" s="564"/>
      <c r="AD110" s="564"/>
      <c r="AE110" s="564"/>
      <c r="AF110" s="564"/>
    </row>
    <row s="1672" customFormat="1" customHeight="1" ht="11.25">
      <c r="A111" s="988"/>
      <c r="B111" s="1667"/>
      <c r="C111" s="1667"/>
      <c r="D111" s="339"/>
      <c r="J111" s="1672"/>
      <c r="K111" s="1672"/>
      <c r="L111" s="1161"/>
      <c r="M111" s="1667"/>
      <c r="N111" s="1667"/>
      <c r="O111" s="1161"/>
      <c r="P111" s="1161"/>
      <c r="Q111" s="1161"/>
      <c r="R111" s="1161"/>
      <c r="S111" s="1667"/>
      <c r="T111" s="1161"/>
      <c r="U111" s="1161"/>
      <c r="V111" s="542"/>
      <c r="W111" s="1161"/>
      <c r="X111" s="1161"/>
      <c r="Y111" s="1161"/>
      <c r="Z111" s="1161"/>
      <c r="AA111" s="1161"/>
      <c r="AB111" s="1663"/>
      <c r="AC111" s="564"/>
      <c r="AD111" s="564"/>
      <c r="AE111" s="564"/>
      <c r="AF111" s="564"/>
    </row>
    <row s="1672" customFormat="1" customHeight="1" ht="11.25">
      <c r="A112" s="988"/>
      <c r="B112" s="1667"/>
      <c r="C112" s="1667"/>
      <c r="D112" s="339"/>
      <c r="J112" s="1672"/>
      <c r="K112" s="1672"/>
      <c r="L112" s="1161"/>
      <c r="M112" s="1667"/>
      <c r="N112" s="1667"/>
      <c r="O112" s="1161"/>
      <c r="P112" s="1161"/>
      <c r="Q112" s="1161"/>
      <c r="R112" s="1161"/>
      <c r="S112" s="1667"/>
      <c r="T112" s="1161"/>
      <c r="U112" s="1161"/>
      <c r="V112" s="542"/>
      <c r="W112" s="1161"/>
      <c r="X112" s="1161"/>
      <c r="Y112" s="1161"/>
      <c r="Z112" s="1161"/>
      <c r="AA112" s="1161"/>
      <c r="AB112" s="1663"/>
      <c r="AC112" s="564"/>
      <c r="AD112" s="564"/>
      <c r="AE112" s="564"/>
      <c r="AF112" s="564"/>
    </row>
    <row s="1672" customFormat="1" customHeight="1" ht="11.25">
      <c r="A113" s="988"/>
      <c r="B113" s="1667"/>
      <c r="C113" s="1667"/>
      <c r="D113" s="339"/>
      <c r="J113" s="1672"/>
      <c r="K113" s="1672"/>
      <c r="L113" s="1161"/>
      <c r="M113" s="1667"/>
      <c r="N113" s="1667"/>
      <c r="O113" s="1161"/>
      <c r="P113" s="1161"/>
      <c r="Q113" s="1161"/>
      <c r="R113" s="1161"/>
      <c r="S113" s="1667"/>
      <c r="T113" s="1161"/>
      <c r="U113" s="1161"/>
      <c r="V113" s="542"/>
      <c r="W113" s="1161"/>
      <c r="X113" s="1161"/>
      <c r="Y113" s="1161"/>
      <c r="Z113" s="1161"/>
      <c r="AA113" s="1161"/>
      <c r="AB113" s="1663"/>
      <c r="AC113" s="564"/>
      <c r="AD113" s="564"/>
      <c r="AE113" s="564"/>
      <c r="AF113" s="564"/>
    </row>
    <row s="1672" customFormat="1" customHeight="1" ht="11.25">
      <c r="A114" s="988"/>
      <c r="B114" s="1667"/>
      <c r="C114" s="1667"/>
      <c r="D114" s="339"/>
      <c r="J114" s="1672"/>
      <c r="K114" s="1672"/>
      <c r="L114" s="1161"/>
      <c r="M114" s="1667"/>
      <c r="N114" s="1667"/>
      <c r="O114" s="1161"/>
      <c r="P114" s="1161"/>
      <c r="Q114" s="1161"/>
      <c r="R114" s="1161"/>
      <c r="S114" s="1667"/>
      <c r="T114" s="1161"/>
      <c r="U114" s="1161"/>
      <c r="V114" s="542"/>
      <c r="W114" s="1161"/>
      <c r="X114" s="1161"/>
      <c r="Y114" s="1161"/>
      <c r="Z114" s="1161"/>
      <c r="AA114" s="1161"/>
      <c r="AB114" s="1663"/>
      <c r="AC114" s="564"/>
      <c r="AD114" s="564"/>
      <c r="AE114" s="564"/>
      <c r="AF114" s="564"/>
    </row>
    <row s="1672" customFormat="1" customHeight="1" ht="11.25">
      <c r="A115" s="988"/>
      <c r="B115" s="1667"/>
      <c r="C115" s="1667"/>
      <c r="D115" s="339"/>
      <c r="J115" s="1672"/>
      <c r="K115" s="1672"/>
      <c r="L115" s="1161"/>
      <c r="M115" s="1667"/>
      <c r="N115" s="1667"/>
      <c r="O115" s="1161"/>
      <c r="P115" s="1161"/>
      <c r="Q115" s="1161"/>
      <c r="R115" s="1161"/>
      <c r="S115" s="1667"/>
      <c r="T115" s="1161"/>
      <c r="U115" s="1161"/>
      <c r="V115" s="542"/>
      <c r="W115" s="1161"/>
      <c r="X115" s="1161"/>
      <c r="Y115" s="1161"/>
      <c r="Z115" s="1161"/>
      <c r="AA115" s="1161"/>
      <c r="AB115" s="1663"/>
      <c r="AC115" s="564"/>
      <c r="AD115" s="564"/>
      <c r="AE115" s="564"/>
      <c r="AF115" s="564"/>
    </row>
    <row s="1672" customFormat="1" customHeight="1" ht="11.25">
      <c r="A116" s="988"/>
      <c r="B116" s="1667"/>
      <c r="C116" s="1667"/>
      <c r="D116" s="339"/>
      <c r="J116" s="1672"/>
      <c r="K116" s="1672"/>
      <c r="L116" s="1161"/>
      <c r="M116" s="1667"/>
      <c r="N116" s="1667"/>
      <c r="O116" s="1161"/>
      <c r="P116" s="1161"/>
      <c r="Q116" s="1161"/>
      <c r="R116" s="1161"/>
      <c r="S116" s="1667"/>
      <c r="T116" s="1161"/>
      <c r="U116" s="1161"/>
      <c r="V116" s="542"/>
      <c r="W116" s="1161"/>
      <c r="X116" s="1161"/>
      <c r="Y116" s="1161"/>
      <c r="Z116" s="1161"/>
      <c r="AA116" s="1161"/>
      <c r="AB116" s="1663"/>
      <c r="AC116" s="564"/>
      <c r="AD116" s="564"/>
      <c r="AE116" s="564"/>
      <c r="AF116" s="564"/>
    </row>
    <row s="1672" customFormat="1" customHeight="1" ht="11.25">
      <c r="A117" s="988"/>
      <c r="B117" s="1667"/>
      <c r="C117" s="1667"/>
      <c r="D117" s="339"/>
      <c r="J117" s="1672"/>
      <c r="K117" s="1672"/>
      <c r="L117" s="1161"/>
      <c r="M117" s="1667"/>
      <c r="N117" s="1667"/>
      <c r="O117" s="1161"/>
      <c r="P117" s="1161"/>
      <c r="Q117" s="1161"/>
      <c r="R117" s="1161"/>
      <c r="S117" s="1667"/>
      <c r="T117" s="1161"/>
      <c r="U117" s="1161"/>
      <c r="V117" s="542"/>
      <c r="W117" s="1161"/>
      <c r="X117" s="1161"/>
      <c r="Y117" s="1161"/>
      <c r="Z117" s="1161"/>
      <c r="AA117" s="1161"/>
      <c r="AB117" s="1663"/>
      <c r="AC117" s="564"/>
      <c r="AD117" s="564"/>
      <c r="AE117" s="564"/>
      <c r="AF117" s="564"/>
    </row>
    <row s="1672" customFormat="1" customHeight="1" ht="11.25">
      <c r="A118" s="988"/>
      <c r="B118" s="1667"/>
      <c r="C118" s="1667"/>
      <c r="D118" s="339"/>
      <c r="J118" s="1672"/>
      <c r="K118" s="1672"/>
      <c r="L118" s="1161"/>
      <c r="M118" s="1667"/>
      <c r="N118" s="1667"/>
      <c r="O118" s="1161"/>
      <c r="P118" s="1161"/>
      <c r="Q118" s="1161"/>
      <c r="R118" s="1161"/>
      <c r="S118" s="1667"/>
      <c r="T118" s="1161"/>
      <c r="U118" s="1161"/>
      <c r="V118" s="542"/>
      <c r="W118" s="1161"/>
      <c r="X118" s="1161"/>
      <c r="Y118" s="1161"/>
      <c r="Z118" s="1161"/>
      <c r="AA118" s="1161"/>
      <c r="AB118" s="1663"/>
      <c r="AC118" s="564"/>
      <c r="AD118" s="564"/>
      <c r="AE118" s="564"/>
      <c r="AF118" s="564"/>
    </row>
    <row s="1672" customFormat="1" customHeight="1" ht="11.25">
      <c r="A119" s="988"/>
      <c r="B119" s="1667"/>
      <c r="C119" s="1667"/>
      <c r="D119" s="339"/>
      <c r="J119" s="1672"/>
      <c r="K119" s="1672"/>
      <c r="L119" s="1161"/>
      <c r="M119" s="1667"/>
      <c r="N119" s="1667"/>
      <c r="O119" s="1161"/>
      <c r="P119" s="1161"/>
      <c r="Q119" s="1161"/>
      <c r="R119" s="1161"/>
      <c r="S119" s="1667"/>
      <c r="T119" s="1161"/>
      <c r="U119" s="1161"/>
      <c r="V119" s="542"/>
      <c r="W119" s="1161"/>
      <c r="X119" s="1161"/>
      <c r="Y119" s="1161"/>
      <c r="Z119" s="1161"/>
      <c r="AA119" s="1161"/>
      <c r="AB119" s="1663"/>
      <c r="AC119" s="564"/>
      <c r="AD119" s="564"/>
      <c r="AE119" s="564"/>
      <c r="AF119" s="564"/>
    </row>
    <row s="1672" customFormat="1" customHeight="1" ht="11.25">
      <c r="A120" s="988"/>
      <c r="B120" s="1667"/>
      <c r="C120" s="1667"/>
      <c r="D120" s="339"/>
      <c r="J120" s="1672"/>
      <c r="K120" s="1672"/>
      <c r="L120" s="1161"/>
      <c r="M120" s="1667"/>
      <c r="N120" s="1667"/>
      <c r="O120" s="1161"/>
      <c r="P120" s="1161"/>
      <c r="Q120" s="1161"/>
      <c r="R120" s="1161"/>
      <c r="S120" s="1667"/>
      <c r="T120" s="1161"/>
      <c r="U120" s="1161"/>
      <c r="V120" s="542"/>
      <c r="W120" s="1161"/>
      <c r="X120" s="1161"/>
      <c r="Y120" s="1161"/>
      <c r="Z120" s="1161"/>
      <c r="AA120" s="1161"/>
      <c r="AB120" s="1663"/>
      <c r="AC120" s="564"/>
      <c r="AD120" s="564"/>
      <c r="AE120" s="564"/>
      <c r="AF120" s="564"/>
    </row>
    <row s="1672" customFormat="1" customHeight="1" ht="11.25">
      <c r="A121" s="988"/>
      <c r="B121" s="1667"/>
      <c r="C121" s="1667"/>
      <c r="D121" s="339"/>
      <c r="J121" s="1672"/>
      <c r="K121" s="1672"/>
      <c r="L121" s="1161"/>
      <c r="M121" s="1667"/>
      <c r="N121" s="1667"/>
      <c r="O121" s="1161"/>
      <c r="P121" s="1161"/>
      <c r="Q121" s="1161"/>
      <c r="R121" s="1161"/>
      <c r="S121" s="1667"/>
      <c r="T121" s="1161"/>
      <c r="U121" s="1161"/>
      <c r="V121" s="542"/>
      <c r="W121" s="1161"/>
      <c r="X121" s="1161"/>
      <c r="Y121" s="1161"/>
      <c r="Z121" s="1161"/>
      <c r="AA121" s="1161"/>
      <c r="AB121" s="1663"/>
      <c r="AC121" s="564"/>
      <c r="AD121" s="564"/>
      <c r="AE121" s="564"/>
      <c r="AF121" s="564"/>
    </row>
    <row s="1672" customFormat="1" customHeight="1" ht="11.25">
      <c r="A122" s="988"/>
      <c r="B122" s="1667"/>
      <c r="C122" s="1667"/>
      <c r="D122" s="339"/>
      <c r="J122" s="1672"/>
      <c r="K122" s="1672"/>
      <c r="L122" s="1161"/>
      <c r="M122" s="1667"/>
      <c r="N122" s="1667"/>
      <c r="O122" s="1161"/>
      <c r="P122" s="1161"/>
      <c r="Q122" s="1161"/>
      <c r="R122" s="1161"/>
      <c r="S122" s="1667"/>
      <c r="T122" s="1161"/>
      <c r="U122" s="1161"/>
      <c r="V122" s="542"/>
      <c r="W122" s="1161"/>
      <c r="X122" s="1161"/>
      <c r="Y122" s="1161"/>
      <c r="Z122" s="1161"/>
      <c r="AA122" s="1161"/>
      <c r="AB122" s="1663"/>
      <c r="AC122" s="564"/>
      <c r="AD122" s="564"/>
      <c r="AE122" s="564"/>
      <c r="AF122" s="564"/>
    </row>
    <row s="1672" customFormat="1" customHeight="1" ht="11.25">
      <c r="A123" s="988"/>
      <c r="B123" s="1667"/>
      <c r="C123" s="1667"/>
      <c r="D123" s="339"/>
      <c r="J123" s="1672"/>
      <c r="K123" s="1672"/>
      <c r="L123" s="1161"/>
      <c r="M123" s="1667"/>
      <c r="N123" s="1667"/>
      <c r="O123" s="1161"/>
      <c r="P123" s="1161"/>
      <c r="Q123" s="1161"/>
      <c r="R123" s="1161"/>
      <c r="S123" s="1667"/>
      <c r="T123" s="1161"/>
      <c r="U123" s="1161"/>
      <c r="V123" s="542"/>
      <c r="W123" s="1161"/>
      <c r="X123" s="1161"/>
      <c r="Y123" s="1161"/>
      <c r="Z123" s="1161"/>
      <c r="AA123" s="1161"/>
      <c r="AB123" s="1663"/>
      <c r="AC123" s="564"/>
      <c r="AD123" s="564"/>
      <c r="AE123" s="564"/>
      <c r="AF123" s="564"/>
    </row>
    <row s="1672" customFormat="1" customHeight="1" ht="11.25">
      <c r="A124" s="988"/>
      <c r="B124" s="1667"/>
      <c r="C124" s="1667"/>
      <c r="D124" s="339"/>
      <c r="J124" s="1672"/>
      <c r="K124" s="1672"/>
      <c r="L124" s="1161"/>
      <c r="M124" s="1667"/>
      <c r="N124" s="1667"/>
      <c r="O124" s="1161"/>
      <c r="P124" s="1161"/>
      <c r="Q124" s="1161"/>
      <c r="R124" s="1161"/>
      <c r="S124" s="1667"/>
      <c r="T124" s="1161"/>
      <c r="U124" s="1161"/>
      <c r="V124" s="542"/>
      <c r="W124" s="1161"/>
      <c r="X124" s="1161"/>
      <c r="Y124" s="1161"/>
      <c r="Z124" s="1161"/>
      <c r="AA124" s="1161"/>
      <c r="AB124" s="1663"/>
      <c r="AC124" s="564"/>
      <c r="AD124" s="564"/>
      <c r="AE124" s="564"/>
      <c r="AF124" s="564"/>
    </row>
    <row s="1672" customFormat="1" customHeight="1" ht="11.25">
      <c r="A125" s="988"/>
      <c r="B125" s="1667"/>
      <c r="C125" s="1667"/>
      <c r="D125" s="339"/>
      <c r="J125" s="1672"/>
      <c r="K125" s="1672"/>
      <c r="L125" s="1161"/>
      <c r="M125" s="1667"/>
      <c r="N125" s="1667"/>
      <c r="O125" s="1161"/>
      <c r="P125" s="1161"/>
      <c r="Q125" s="1161"/>
      <c r="R125" s="1161"/>
      <c r="S125" s="1667"/>
      <c r="T125" s="1161"/>
      <c r="U125" s="1161"/>
      <c r="V125" s="542"/>
      <c r="W125" s="1161"/>
      <c r="X125" s="1161"/>
      <c r="Y125" s="1161"/>
      <c r="Z125" s="1161"/>
      <c r="AA125" s="1161"/>
      <c r="AB125" s="1663"/>
      <c r="AC125" s="564"/>
      <c r="AD125" s="564"/>
      <c r="AE125" s="564"/>
      <c r="AF125" s="564"/>
    </row>
    <row s="1672" customFormat="1" customHeight="1" ht="11.25">
      <c r="A126" s="988"/>
      <c r="B126" s="1667"/>
      <c r="C126" s="1667"/>
      <c r="D126" s="339"/>
      <c r="J126" s="1672"/>
      <c r="K126" s="1672"/>
      <c r="L126" s="1161"/>
      <c r="M126" s="1667"/>
      <c r="N126" s="1667"/>
      <c r="O126" s="1161"/>
      <c r="P126" s="1161"/>
      <c r="Q126" s="1161"/>
      <c r="R126" s="1161"/>
      <c r="S126" s="1667"/>
      <c r="T126" s="1161"/>
      <c r="U126" s="1161"/>
      <c r="V126" s="542"/>
      <c r="W126" s="1161"/>
      <c r="X126" s="1161"/>
      <c r="Y126" s="1161"/>
      <c r="Z126" s="1161"/>
      <c r="AA126" s="1161"/>
      <c r="AB126" s="1663"/>
      <c r="AC126" s="564"/>
      <c r="AD126" s="564"/>
      <c r="AE126" s="564"/>
      <c r="AF126" s="564"/>
    </row>
    <row s="1672" customFormat="1" customHeight="1" ht="11.25">
      <c r="A127" s="988"/>
      <c r="B127" s="1667"/>
      <c r="C127" s="1667"/>
      <c r="D127" s="339"/>
      <c r="J127" s="1672"/>
      <c r="K127" s="1672"/>
      <c r="L127" s="1161"/>
      <c r="M127" s="1667"/>
      <c r="N127" s="1667"/>
      <c r="O127" s="1161"/>
      <c r="P127" s="1161"/>
      <c r="Q127" s="1161"/>
      <c r="R127" s="1161"/>
      <c r="S127" s="1667"/>
      <c r="T127" s="1161"/>
      <c r="U127" s="1161"/>
      <c r="V127" s="542"/>
      <c r="W127" s="1161"/>
      <c r="X127" s="1161"/>
      <c r="Y127" s="1161"/>
      <c r="Z127" s="1161"/>
      <c r="AA127" s="1161"/>
      <c r="AB127" s="1663"/>
      <c r="AC127" s="564"/>
      <c r="AD127" s="564"/>
      <c r="AE127" s="564"/>
      <c r="AF127" s="564"/>
    </row>
    <row s="1672" customFormat="1" customHeight="1" ht="11.25">
      <c r="A128" s="988"/>
      <c r="B128" s="1667"/>
      <c r="C128" s="1667"/>
      <c r="D128" s="339"/>
      <c r="J128" s="1672"/>
      <c r="K128" s="1672"/>
      <c r="L128" s="1161"/>
      <c r="M128" s="1667"/>
      <c r="N128" s="1667"/>
      <c r="O128" s="1161"/>
      <c r="P128" s="1161"/>
      <c r="Q128" s="1161"/>
      <c r="R128" s="1161"/>
      <c r="S128" s="1667"/>
      <c r="T128" s="1161"/>
      <c r="U128" s="1161"/>
      <c r="V128" s="542"/>
      <c r="W128" s="1161"/>
      <c r="X128" s="1161"/>
      <c r="Y128" s="1161"/>
      <c r="Z128" s="1161"/>
      <c r="AA128" s="1161"/>
      <c r="AB128" s="1663"/>
      <c r="AC128" s="564"/>
      <c r="AD128" s="564"/>
      <c r="AE128" s="564"/>
      <c r="AF128" s="564"/>
    </row>
    <row s="1672" customFormat="1" customHeight="1" ht="11.25">
      <c r="A129" s="988"/>
      <c r="B129" s="1667"/>
      <c r="C129" s="1667"/>
      <c r="D129" s="339"/>
      <c r="J129" s="1672"/>
      <c r="K129" s="1672"/>
      <c r="L129" s="1161"/>
      <c r="M129" s="1667"/>
      <c r="N129" s="1667"/>
      <c r="O129" s="1161"/>
      <c r="P129" s="1161"/>
      <c r="Q129" s="1161"/>
      <c r="R129" s="1161"/>
      <c r="S129" s="1667"/>
      <c r="T129" s="1161"/>
      <c r="U129" s="1161"/>
      <c r="V129" s="542"/>
      <c r="W129" s="1161"/>
      <c r="X129" s="1161"/>
      <c r="Y129" s="1161"/>
      <c r="Z129" s="1161"/>
      <c r="AA129" s="1161"/>
      <c r="AB129" s="1663"/>
      <c r="AC129" s="564"/>
      <c r="AD129" s="564"/>
      <c r="AE129" s="564"/>
      <c r="AF129" s="564"/>
    </row>
    <row s="1672" customFormat="1" customHeight="1" ht="11.25">
      <c r="A130" s="988"/>
      <c r="B130" s="1667"/>
      <c r="C130" s="1667"/>
      <c r="D130" s="339"/>
      <c r="J130" s="1672"/>
      <c r="K130" s="1672"/>
      <c r="L130" s="1161"/>
      <c r="M130" s="1667"/>
      <c r="N130" s="1667"/>
      <c r="O130" s="1161"/>
      <c r="P130" s="1161"/>
      <c r="Q130" s="1161"/>
      <c r="R130" s="1161"/>
      <c r="S130" s="1667"/>
      <c r="T130" s="1161"/>
      <c r="U130" s="1161"/>
      <c r="V130" s="542"/>
      <c r="W130" s="1161"/>
      <c r="X130" s="1161"/>
      <c r="Y130" s="1161"/>
      <c r="Z130" s="1161"/>
      <c r="AA130" s="1161"/>
      <c r="AB130" s="1663"/>
      <c r="AC130" s="564"/>
      <c r="AD130" s="564"/>
      <c r="AE130" s="564"/>
      <c r="AF130" s="564"/>
    </row>
    <row s="1672" customFormat="1" customHeight="1" ht="11.25">
      <c r="A131" s="988"/>
      <c r="B131" s="1667"/>
      <c r="C131" s="1667"/>
      <c r="D131" s="339"/>
      <c r="J131" s="1672"/>
      <c r="K131" s="1672"/>
      <c r="L131" s="1161"/>
      <c r="M131" s="1667"/>
      <c r="N131" s="1667"/>
      <c r="O131" s="1161"/>
      <c r="P131" s="1161"/>
      <c r="Q131" s="1161"/>
      <c r="R131" s="1161"/>
      <c r="S131" s="1667"/>
      <c r="T131" s="1161"/>
      <c r="U131" s="1161"/>
      <c r="V131" s="542"/>
      <c r="W131" s="1161"/>
      <c r="X131" s="1161"/>
      <c r="Y131" s="1161"/>
      <c r="Z131" s="1161"/>
      <c r="AA131" s="1161"/>
      <c r="AB131" s="1663"/>
      <c r="AC131" s="564"/>
      <c r="AD131" s="564"/>
      <c r="AE131" s="564"/>
      <c r="AF131" s="564"/>
    </row>
    <row s="1672" customFormat="1" customHeight="1" ht="11.25">
      <c r="A132" s="988"/>
      <c r="B132" s="1667"/>
      <c r="C132" s="1667"/>
      <c r="D132" s="339"/>
      <c r="J132" s="1672"/>
      <c r="K132" s="1672"/>
      <c r="L132" s="1161"/>
      <c r="M132" s="1667"/>
      <c r="N132" s="1667"/>
      <c r="O132" s="1161"/>
      <c r="P132" s="1161"/>
      <c r="Q132" s="1161"/>
      <c r="R132" s="1161"/>
      <c r="S132" s="1667"/>
      <c r="T132" s="1161"/>
      <c r="U132" s="1161"/>
      <c r="V132" s="542"/>
      <c r="W132" s="1161"/>
      <c r="X132" s="1161"/>
      <c r="Y132" s="1161"/>
      <c r="Z132" s="1161"/>
      <c r="AA132" s="1161"/>
      <c r="AB132" s="1663"/>
      <c r="AC132" s="564"/>
      <c r="AD132" s="564"/>
      <c r="AE132" s="564"/>
      <c r="AF132" s="564"/>
    </row>
    <row s="1672" customFormat="1" customHeight="1" ht="11.25">
      <c r="A133" s="988"/>
      <c r="B133" s="1667"/>
      <c r="C133" s="1667"/>
      <c r="D133" s="339"/>
      <c r="J133" s="1672"/>
      <c r="K133" s="1672"/>
      <c r="L133" s="1161"/>
      <c r="M133" s="1667"/>
      <c r="N133" s="1667"/>
      <c r="O133" s="1161"/>
      <c r="P133" s="1161"/>
      <c r="Q133" s="1161"/>
      <c r="R133" s="1161"/>
      <c r="S133" s="1667"/>
      <c r="T133" s="1161"/>
      <c r="U133" s="1161"/>
      <c r="V133" s="542"/>
      <c r="W133" s="1161"/>
      <c r="X133" s="1161"/>
      <c r="Y133" s="1161"/>
      <c r="Z133" s="1161"/>
      <c r="AA133" s="1161"/>
      <c r="AB133" s="1663"/>
      <c r="AC133" s="564"/>
      <c r="AD133" s="564"/>
      <c r="AE133" s="564"/>
      <c r="AF133" s="564"/>
    </row>
    <row s="1672" customFormat="1" customHeight="1" ht="11.25">
      <c r="A134" s="988"/>
      <c r="B134" s="1667"/>
      <c r="C134" s="1667"/>
      <c r="D134" s="339"/>
      <c r="J134" s="1672"/>
      <c r="K134" s="1672"/>
      <c r="L134" s="1161"/>
      <c r="M134" s="1667"/>
      <c r="N134" s="1667"/>
      <c r="O134" s="1161"/>
      <c r="P134" s="1161"/>
      <c r="Q134" s="1161"/>
      <c r="R134" s="1161"/>
      <c r="S134" s="1667"/>
      <c r="T134" s="1161"/>
      <c r="U134" s="1161"/>
      <c r="V134" s="542"/>
      <c r="W134" s="1161"/>
      <c r="X134" s="1161"/>
      <c r="Y134" s="1161"/>
      <c r="Z134" s="1161"/>
      <c r="AA134" s="1161"/>
      <c r="AB134" s="1663"/>
      <c r="AC134" s="564"/>
      <c r="AD134" s="564"/>
      <c r="AE134" s="564"/>
      <c r="AF134" s="564"/>
    </row>
    <row s="1672" customFormat="1" customHeight="1" ht="11.25">
      <c r="A135" s="988"/>
      <c r="B135" s="1667"/>
      <c r="C135" s="1667"/>
      <c r="D135" s="339"/>
      <c r="J135" s="1672"/>
      <c r="K135" s="1672"/>
      <c r="L135" s="1161"/>
      <c r="M135" s="1667"/>
      <c r="N135" s="1667"/>
      <c r="O135" s="1161"/>
      <c r="P135" s="1161"/>
      <c r="Q135" s="1161"/>
      <c r="R135" s="1161"/>
      <c r="S135" s="1667"/>
      <c r="T135" s="1161"/>
      <c r="U135" s="1161"/>
      <c r="V135" s="542"/>
      <c r="W135" s="1161"/>
      <c r="X135" s="1161"/>
      <c r="Y135" s="1161"/>
      <c r="Z135" s="1161"/>
      <c r="AA135" s="1161"/>
      <c r="AB135" s="1663"/>
      <c r="AC135" s="564"/>
      <c r="AD135" s="564"/>
      <c r="AE135" s="564"/>
      <c r="AF135" s="564"/>
    </row>
    <row s="1672" customFormat="1" customHeight="1" ht="11.25">
      <c r="A136" s="988"/>
      <c r="B136" s="1667"/>
      <c r="C136" s="1667"/>
      <c r="D136" s="339"/>
      <c r="J136" s="1672"/>
      <c r="K136" s="1672"/>
      <c r="L136" s="1161"/>
      <c r="M136" s="1667"/>
      <c r="N136" s="1667"/>
      <c r="O136" s="1161"/>
      <c r="P136" s="1161"/>
      <c r="Q136" s="1161"/>
      <c r="R136" s="1161"/>
      <c r="S136" s="1667"/>
      <c r="T136" s="1161"/>
      <c r="U136" s="1161"/>
      <c r="V136" s="542"/>
      <c r="W136" s="1161"/>
      <c r="X136" s="1161"/>
      <c r="Y136" s="1161"/>
      <c r="Z136" s="1161"/>
      <c r="AA136" s="1161"/>
      <c r="AB136" s="1663"/>
      <c r="AC136" s="564"/>
      <c r="AD136" s="564"/>
      <c r="AE136" s="564"/>
      <c r="AF136" s="564"/>
    </row>
    <row s="1672" customFormat="1" customHeight="1" ht="11.25">
      <c r="A137" s="988"/>
      <c r="B137" s="1667"/>
      <c r="C137" s="1667"/>
      <c r="D137" s="339"/>
      <c r="J137" s="1672"/>
      <c r="K137" s="1672"/>
      <c r="L137" s="1161"/>
      <c r="M137" s="1667"/>
      <c r="N137" s="1667"/>
      <c r="O137" s="1161"/>
      <c r="P137" s="1161"/>
      <c r="Q137" s="1161"/>
      <c r="R137" s="1161"/>
      <c r="S137" s="1667"/>
      <c r="T137" s="1161"/>
      <c r="U137" s="1161"/>
      <c r="V137" s="542"/>
      <c r="W137" s="1161"/>
      <c r="X137" s="1161"/>
      <c r="Y137" s="1161"/>
      <c r="Z137" s="1161"/>
      <c r="AA137" s="1161"/>
      <c r="AB137" s="1663"/>
      <c r="AC137" s="564"/>
      <c r="AD137" s="564"/>
      <c r="AE137" s="564"/>
      <c r="AF137" s="564"/>
    </row>
    <row s="1672" customFormat="1" customHeight="1" ht="11.25">
      <c r="A138" s="988"/>
      <c r="B138" s="1667"/>
      <c r="C138" s="1667"/>
      <c r="D138" s="339"/>
      <c r="J138" s="1672"/>
      <c r="K138" s="1672"/>
      <c r="L138" s="1161"/>
      <c r="M138" s="1667"/>
      <c r="N138" s="1667"/>
      <c r="O138" s="1161"/>
      <c r="P138" s="1161"/>
      <c r="Q138" s="1161"/>
      <c r="R138" s="1161"/>
      <c r="S138" s="1667"/>
      <c r="T138" s="1161"/>
      <c r="U138" s="1161"/>
      <c r="V138" s="542"/>
      <c r="W138" s="1161"/>
      <c r="X138" s="1161"/>
      <c r="Y138" s="1161"/>
      <c r="Z138" s="1161"/>
      <c r="AA138" s="1161"/>
      <c r="AB138" s="1663"/>
      <c r="AC138" s="564"/>
      <c r="AD138" s="564"/>
      <c r="AE138" s="564"/>
      <c r="AF138" s="564"/>
    </row>
    <row s="1672" customFormat="1" customHeight="1" ht="11.25">
      <c r="A139" s="988"/>
      <c r="B139" s="1667"/>
      <c r="C139" s="1667"/>
      <c r="D139" s="339"/>
      <c r="J139" s="1672"/>
      <c r="K139" s="1672"/>
      <c r="L139" s="1161"/>
      <c r="M139" s="1667"/>
      <c r="N139" s="1667"/>
      <c r="O139" s="1161"/>
      <c r="P139" s="1161"/>
      <c r="Q139" s="1161"/>
      <c r="R139" s="1161"/>
      <c r="S139" s="1667"/>
      <c r="T139" s="1161"/>
      <c r="U139" s="1161"/>
      <c r="V139" s="542"/>
      <c r="W139" s="1161"/>
      <c r="X139" s="1161"/>
      <c r="Y139" s="1161"/>
      <c r="Z139" s="1161"/>
      <c r="AA139" s="1161"/>
      <c r="AB139" s="1663"/>
      <c r="AC139" s="564"/>
      <c r="AD139" s="564"/>
      <c r="AE139" s="564"/>
      <c r="AF139" s="564"/>
    </row>
    <row s="1672" customFormat="1" customHeight="1" ht="11.25">
      <c r="A140" s="988"/>
      <c r="B140" s="1667"/>
      <c r="C140" s="1667"/>
      <c r="D140" s="339"/>
      <c r="J140" s="1672"/>
      <c r="K140" s="1672"/>
      <c r="L140" s="1161"/>
      <c r="M140" s="1667"/>
      <c r="N140" s="1667"/>
      <c r="O140" s="1161"/>
      <c r="P140" s="1161"/>
      <c r="Q140" s="1161"/>
      <c r="R140" s="1161"/>
      <c r="S140" s="1667"/>
      <c r="T140" s="1161"/>
      <c r="U140" s="1161"/>
      <c r="V140" s="542"/>
      <c r="W140" s="1161"/>
      <c r="X140" s="1161"/>
      <c r="Y140" s="1161"/>
      <c r="Z140" s="1161"/>
      <c r="AA140" s="1161"/>
      <c r="AB140" s="1663"/>
      <c r="AC140" s="564"/>
      <c r="AD140" s="564"/>
      <c r="AE140" s="564"/>
      <c r="AF140" s="564"/>
    </row>
    <row s="1672" customFormat="1" customHeight="1" ht="11.25">
      <c r="A141" s="988"/>
      <c r="B141" s="1667"/>
      <c r="C141" s="1667"/>
      <c r="D141" s="339"/>
      <c r="J141" s="1672"/>
      <c r="K141" s="1672"/>
      <c r="L141" s="1161"/>
      <c r="M141" s="1667"/>
      <c r="N141" s="1667"/>
      <c r="O141" s="1161"/>
      <c r="P141" s="1161"/>
      <c r="Q141" s="1161"/>
      <c r="R141" s="1161"/>
      <c r="S141" s="1667"/>
      <c r="T141" s="1161"/>
      <c r="U141" s="1161"/>
      <c r="V141" s="542"/>
      <c r="W141" s="1161"/>
      <c r="X141" s="1161"/>
      <c r="Y141" s="1161"/>
      <c r="Z141" s="1161"/>
      <c r="AA141" s="1161"/>
      <c r="AB141" s="1663"/>
      <c r="AC141" s="564"/>
      <c r="AD141" s="564"/>
      <c r="AE141" s="564"/>
      <c r="AF141" s="564"/>
    </row>
    <row s="1672" customFormat="1" customHeight="1" ht="11.25">
      <c r="A142" s="988"/>
      <c r="B142" s="1667"/>
      <c r="C142" s="1667"/>
      <c r="D142" s="339"/>
      <c r="J142" s="1672"/>
      <c r="K142" s="1672"/>
      <c r="L142" s="1161"/>
      <c r="M142" s="1667"/>
      <c r="N142" s="1667"/>
      <c r="O142" s="1161"/>
      <c r="P142" s="1161"/>
      <c r="Q142" s="1161"/>
      <c r="R142" s="1161"/>
      <c r="S142" s="1667"/>
      <c r="T142" s="1161"/>
      <c r="U142" s="1161"/>
      <c r="V142" s="542"/>
      <c r="W142" s="1161"/>
      <c r="X142" s="1161"/>
      <c r="Y142" s="1161"/>
      <c r="Z142" s="1161"/>
      <c r="AA142" s="1161"/>
      <c r="AB142" s="1663"/>
      <c r="AC142" s="564"/>
      <c r="AD142" s="564"/>
      <c r="AE142" s="564"/>
      <c r="AF142" s="564"/>
    </row>
    <row s="1672" customFormat="1" customHeight="1" ht="11.25">
      <c r="A143" s="988"/>
      <c r="B143" s="1667"/>
      <c r="C143" s="1667"/>
      <c r="D143" s="339"/>
      <c r="J143" s="1672"/>
      <c r="K143" s="1672"/>
      <c r="L143" s="1161"/>
      <c r="M143" s="1667"/>
      <c r="N143" s="1667"/>
      <c r="O143" s="1161"/>
      <c r="P143" s="1161"/>
      <c r="Q143" s="1161"/>
      <c r="R143" s="1161"/>
      <c r="S143" s="1667"/>
      <c r="T143" s="1161"/>
      <c r="U143" s="1161"/>
      <c r="V143" s="542"/>
      <c r="W143" s="1161"/>
      <c r="X143" s="1161"/>
      <c r="Y143" s="1161"/>
      <c r="Z143" s="1161"/>
      <c r="AA143" s="1161"/>
      <c r="AB143" s="1663"/>
      <c r="AC143" s="564"/>
      <c r="AD143" s="564"/>
      <c r="AE143" s="564"/>
      <c r="AF143" s="564"/>
    </row>
    <row s="1672" customFormat="1" customHeight="1" ht="11.25">
      <c r="A144" s="988"/>
      <c r="B144" s="1667"/>
      <c r="C144" s="1667"/>
      <c r="D144" s="339"/>
      <c r="J144" s="1672"/>
      <c r="K144" s="1672"/>
      <c r="L144" s="1161"/>
      <c r="M144" s="1667"/>
      <c r="N144" s="1667"/>
      <c r="O144" s="1161"/>
      <c r="P144" s="1161"/>
      <c r="Q144" s="1161"/>
      <c r="R144" s="1161"/>
      <c r="S144" s="1667"/>
      <c r="T144" s="1161"/>
      <c r="U144" s="1161"/>
      <c r="V144" s="542"/>
      <c r="W144" s="1161"/>
      <c r="X144" s="1161"/>
      <c r="Y144" s="1161"/>
      <c r="Z144" s="1161"/>
      <c r="AA144" s="1161"/>
      <c r="AB144" s="1663"/>
      <c r="AC144" s="564"/>
      <c r="AD144" s="564"/>
      <c r="AE144" s="564"/>
      <c r="AF144" s="564"/>
    </row>
    <row s="1672" customFormat="1" customHeight="1" ht="11.25">
      <c r="A145" s="988"/>
      <c r="B145" s="1667"/>
      <c r="C145" s="1667"/>
      <c r="D145" s="339"/>
      <c r="J145" s="1672"/>
      <c r="K145" s="1672"/>
      <c r="L145" s="1161"/>
      <c r="M145" s="1667"/>
      <c r="N145" s="1667"/>
      <c r="O145" s="1161"/>
      <c r="P145" s="1161"/>
      <c r="Q145" s="1161"/>
      <c r="R145" s="1161"/>
      <c r="S145" s="1667"/>
      <c r="T145" s="1161"/>
      <c r="U145" s="1161"/>
      <c r="V145" s="542"/>
      <c r="W145" s="1161"/>
      <c r="X145" s="1161"/>
      <c r="Y145" s="1161"/>
      <c r="Z145" s="1161"/>
      <c r="AA145" s="1161"/>
      <c r="AB145" s="1663"/>
      <c r="AC145" s="564"/>
      <c r="AD145" s="564"/>
      <c r="AE145" s="564"/>
      <c r="AF145" s="564"/>
    </row>
    <row s="1672" customFormat="1" customHeight="1" ht="11.25">
      <c r="A146" s="988"/>
      <c r="B146" s="1667"/>
      <c r="C146" s="1667"/>
      <c r="D146" s="339"/>
      <c r="J146" s="1672"/>
      <c r="K146" s="1672"/>
      <c r="L146" s="1161"/>
      <c r="M146" s="1667"/>
      <c r="N146" s="1667"/>
      <c r="O146" s="1161"/>
      <c r="P146" s="1161"/>
      <c r="Q146" s="1161"/>
      <c r="R146" s="1161"/>
      <c r="S146" s="1667"/>
      <c r="T146" s="1161"/>
      <c r="U146" s="1161"/>
      <c r="V146" s="542"/>
      <c r="W146" s="1161"/>
      <c r="X146" s="1161"/>
      <c r="Y146" s="1161"/>
      <c r="Z146" s="1161"/>
      <c r="AA146" s="1161"/>
      <c r="AB146" s="1663"/>
      <c r="AC146" s="564"/>
      <c r="AD146" s="564"/>
      <c r="AE146" s="564"/>
      <c r="AF146" s="564"/>
    </row>
    <row s="1672" customFormat="1" customHeight="1" ht="11.25">
      <c r="A147" s="988"/>
      <c r="B147" s="1667"/>
      <c r="C147" s="1667"/>
      <c r="D147" s="339"/>
      <c r="J147" s="1672"/>
      <c r="K147" s="1672"/>
      <c r="L147" s="1161"/>
      <c r="M147" s="1667"/>
      <c r="N147" s="1667"/>
      <c r="O147" s="1161"/>
      <c r="P147" s="1161"/>
      <c r="Q147" s="1161"/>
      <c r="R147" s="1161"/>
      <c r="S147" s="1667"/>
      <c r="T147" s="1161"/>
      <c r="U147" s="1161"/>
      <c r="V147" s="542"/>
      <c r="W147" s="1161"/>
      <c r="X147" s="1161"/>
      <c r="Y147" s="1161"/>
      <c r="Z147" s="1161"/>
      <c r="AA147" s="1161"/>
      <c r="AB147" s="1663"/>
      <c r="AC147" s="564"/>
      <c r="AD147" s="564"/>
      <c r="AE147" s="564"/>
      <c r="AF147" s="564"/>
    </row>
    <row s="1672" customFormat="1" customHeight="1" ht="11.25">
      <c r="A148" s="988"/>
      <c r="B148" s="1667"/>
      <c r="C148" s="1667"/>
      <c r="D148" s="339"/>
      <c r="J148" s="1672"/>
      <c r="K148" s="1672"/>
      <c r="L148" s="1161"/>
      <c r="M148" s="1667"/>
      <c r="N148" s="1667"/>
      <c r="O148" s="1161"/>
      <c r="P148" s="1161"/>
      <c r="Q148" s="1161"/>
      <c r="R148" s="1161"/>
      <c r="S148" s="1667"/>
      <c r="T148" s="1161"/>
      <c r="U148" s="1161"/>
      <c r="V148" s="542"/>
      <c r="W148" s="1161"/>
      <c r="X148" s="1161"/>
      <c r="Y148" s="1161"/>
      <c r="Z148" s="1161"/>
      <c r="AA148" s="1161"/>
      <c r="AB148" s="1663"/>
      <c r="AC148" s="564"/>
      <c r="AD148" s="564"/>
      <c r="AE148" s="564"/>
      <c r="AF148" s="564"/>
    </row>
    <row s="1672" customFormat="1" customHeight="1" ht="11.25">
      <c r="A149" s="988"/>
      <c r="B149" s="1667"/>
      <c r="C149" s="1667"/>
      <c r="D149" s="339"/>
      <c r="J149" s="1672"/>
      <c r="K149" s="1672"/>
      <c r="L149" s="1161"/>
      <c r="M149" s="1667"/>
      <c r="N149" s="1667"/>
      <c r="O149" s="1161"/>
      <c r="P149" s="1161"/>
      <c r="Q149" s="1161"/>
      <c r="R149" s="1161"/>
      <c r="S149" s="1667"/>
      <c r="T149" s="1161"/>
      <c r="U149" s="1161"/>
      <c r="V149" s="542"/>
      <c r="W149" s="1161"/>
      <c r="X149" s="1161"/>
      <c r="Y149" s="1161"/>
      <c r="Z149" s="1161"/>
      <c r="AA149" s="1161"/>
      <c r="AB149" s="1663"/>
      <c r="AC149" s="564"/>
      <c r="AD149" s="564"/>
      <c r="AE149" s="564"/>
      <c r="AF149" s="564"/>
    </row>
    <row s="1672" customFormat="1" customHeight="1" ht="11.25">
      <c r="A150" s="988"/>
      <c r="B150" s="1667"/>
      <c r="C150" s="1667"/>
      <c r="D150" s="339"/>
      <c r="J150" s="1672"/>
      <c r="K150" s="1672"/>
      <c r="L150" s="1161"/>
      <c r="M150" s="1667"/>
      <c r="N150" s="1667"/>
      <c r="O150" s="1161"/>
      <c r="P150" s="1161"/>
      <c r="Q150" s="1161"/>
      <c r="R150" s="1161"/>
      <c r="S150" s="1667"/>
      <c r="T150" s="1161"/>
      <c r="U150" s="1161"/>
      <c r="V150" s="542"/>
      <c r="W150" s="1161"/>
      <c r="X150" s="1161"/>
      <c r="Y150" s="1161"/>
      <c r="Z150" s="1161"/>
      <c r="AA150" s="1161"/>
      <c r="AB150" s="1663"/>
      <c r="AC150" s="564"/>
      <c r="AD150" s="564"/>
      <c r="AE150" s="564"/>
      <c r="AF150" s="564"/>
    </row>
    <row s="1672" customFormat="1" customHeight="1" ht="11.25">
      <c r="A151" s="988"/>
      <c r="B151" s="1667"/>
      <c r="C151" s="1667"/>
      <c r="D151" s="339"/>
      <c r="J151" s="1672"/>
      <c r="K151" s="1672"/>
      <c r="L151" s="1161"/>
      <c r="M151" s="1667"/>
      <c r="N151" s="1667"/>
      <c r="O151" s="1161"/>
      <c r="P151" s="1161"/>
      <c r="Q151" s="1161"/>
      <c r="R151" s="1161"/>
      <c r="S151" s="1667"/>
      <c r="T151" s="1161"/>
      <c r="U151" s="1161"/>
      <c r="V151" s="542"/>
      <c r="W151" s="1161"/>
      <c r="X151" s="1161"/>
      <c r="Y151" s="1161"/>
      <c r="Z151" s="1161"/>
      <c r="AA151" s="1161"/>
      <c r="AB151" s="1663"/>
      <c r="AC151" s="564"/>
      <c r="AD151" s="564"/>
      <c r="AE151" s="564"/>
      <c r="AF151" s="564"/>
    </row>
    <row s="1672" customFormat="1" customHeight="1" ht="11.25">
      <c r="A152" s="988"/>
      <c r="B152" s="1667"/>
      <c r="C152" s="1667"/>
      <c r="D152" s="339"/>
      <c r="J152" s="1672"/>
      <c r="K152" s="1672"/>
      <c r="L152" s="1161"/>
      <c r="M152" s="1667"/>
      <c r="N152" s="1667"/>
      <c r="O152" s="1161"/>
      <c r="P152" s="1161"/>
      <c r="Q152" s="1161"/>
      <c r="R152" s="1161"/>
      <c r="S152" s="1667"/>
      <c r="T152" s="1161"/>
      <c r="U152" s="1161"/>
      <c r="V152" s="542"/>
      <c r="W152" s="1161"/>
      <c r="X152" s="1161"/>
      <c r="Y152" s="1161"/>
      <c r="Z152" s="1161"/>
      <c r="AA152" s="1161"/>
      <c r="AB152" s="1663"/>
      <c r="AC152" s="564"/>
      <c r="AD152" s="564"/>
      <c r="AE152" s="564"/>
      <c r="AF152" s="564"/>
    </row>
    <row s="1672" customFormat="1" customHeight="1" ht="11.25">
      <c r="A153" s="988"/>
      <c r="B153" s="1667"/>
      <c r="C153" s="1667"/>
      <c r="D153" s="339"/>
      <c r="J153" s="1672"/>
      <c r="K153" s="1672"/>
      <c r="L153" s="1161"/>
      <c r="M153" s="1667"/>
      <c r="N153" s="1667"/>
      <c r="O153" s="1161"/>
      <c r="P153" s="1161"/>
      <c r="Q153" s="1161"/>
      <c r="R153" s="1161"/>
      <c r="S153" s="1667"/>
      <c r="T153" s="1161"/>
      <c r="U153" s="1161"/>
      <c r="V153" s="542"/>
      <c r="W153" s="1161"/>
      <c r="X153" s="1161"/>
      <c r="Y153" s="1161"/>
      <c r="Z153" s="1161"/>
      <c r="AA153" s="1161"/>
      <c r="AB153" s="1663"/>
      <c r="AC153" s="564"/>
      <c r="AD153" s="564"/>
      <c r="AE153" s="564"/>
      <c r="AF153" s="564"/>
    </row>
    <row s="1672" customFormat="1" customHeight="1" ht="11.25">
      <c r="A154" s="988"/>
      <c r="B154" s="1667"/>
      <c r="C154" s="1667"/>
      <c r="D154" s="339"/>
      <c r="J154" s="1672"/>
      <c r="K154" s="1672"/>
      <c r="L154" s="1161"/>
      <c r="M154" s="1667"/>
      <c r="N154" s="1667"/>
      <c r="O154" s="1161"/>
      <c r="P154" s="1161"/>
      <c r="Q154" s="1161"/>
      <c r="R154" s="1161"/>
      <c r="S154" s="1667"/>
      <c r="T154" s="1161"/>
      <c r="U154" s="1161"/>
      <c r="V154" s="542"/>
      <c r="W154" s="1161"/>
      <c r="X154" s="1161"/>
      <c r="Y154" s="1161"/>
      <c r="Z154" s="1161"/>
      <c r="AA154" s="1161"/>
      <c r="AB154" s="1663"/>
      <c r="AC154" s="564"/>
      <c r="AD154" s="564"/>
      <c r="AE154" s="564"/>
      <c r="AF154" s="564"/>
    </row>
    <row s="1672" customFormat="1" customHeight="1" ht="11.25">
      <c r="A155" s="988"/>
      <c r="B155" s="1667"/>
      <c r="C155" s="1667"/>
      <c r="D155" s="339"/>
      <c r="J155" s="1672"/>
      <c r="K155" s="1672"/>
      <c r="L155" s="1161"/>
      <c r="M155" s="1667"/>
      <c r="N155" s="1667"/>
      <c r="O155" s="1161"/>
      <c r="P155" s="1161"/>
      <c r="Q155" s="1161"/>
      <c r="R155" s="1161"/>
      <c r="S155" s="1667"/>
      <c r="T155" s="1161"/>
      <c r="U155" s="1161"/>
      <c r="V155" s="542"/>
      <c r="W155" s="1161"/>
      <c r="X155" s="1161"/>
      <c r="Y155" s="1161"/>
      <c r="Z155" s="1161"/>
      <c r="AA155" s="1161"/>
      <c r="AB155" s="1663"/>
      <c r="AC155" s="564"/>
      <c r="AD155" s="564"/>
      <c r="AE155" s="564"/>
      <c r="AF155" s="564"/>
    </row>
    <row s="1672" customFormat="1" customHeight="1" ht="11.25">
      <c r="A156" s="988"/>
      <c r="B156" s="1667"/>
      <c r="C156" s="1667"/>
      <c r="D156" s="339"/>
      <c r="J156" s="1672"/>
      <c r="K156" s="1672"/>
      <c r="L156" s="1161"/>
      <c r="M156" s="1667"/>
      <c r="N156" s="1667"/>
      <c r="O156" s="1161"/>
      <c r="P156" s="1161"/>
      <c r="Q156" s="1161"/>
      <c r="R156" s="1161"/>
      <c r="S156" s="1667"/>
      <c r="T156" s="1161"/>
      <c r="U156" s="1161"/>
      <c r="V156" s="542"/>
      <c r="W156" s="1161"/>
      <c r="X156" s="1161"/>
      <c r="Y156" s="1161"/>
      <c r="Z156" s="1161"/>
      <c r="AA156" s="1161"/>
      <c r="AB156" s="1663"/>
      <c r="AC156" s="564"/>
      <c r="AD156" s="564"/>
      <c r="AE156" s="564"/>
      <c r="AF156" s="564"/>
    </row>
    <row s="1672" customFormat="1" customHeight="1" ht="11.25">
      <c r="A157" s="988"/>
      <c r="B157" s="1667"/>
      <c r="C157" s="1667"/>
      <c r="D157" s="339"/>
      <c r="J157" s="1672"/>
      <c r="K157" s="1672"/>
      <c r="L157" s="1161"/>
      <c r="M157" s="1667"/>
      <c r="N157" s="1667"/>
      <c r="O157" s="1161"/>
      <c r="P157" s="1161"/>
      <c r="Q157" s="1161"/>
      <c r="R157" s="1161"/>
      <c r="S157" s="1667"/>
      <c r="T157" s="1161"/>
      <c r="U157" s="1161"/>
      <c r="V157" s="542"/>
      <c r="W157" s="1161"/>
      <c r="X157" s="1161"/>
      <c r="Y157" s="1161"/>
      <c r="Z157" s="1161"/>
      <c r="AA157" s="1161"/>
      <c r="AB157" s="1663"/>
      <c r="AC157" s="564"/>
      <c r="AD157" s="564"/>
      <c r="AE157" s="564"/>
      <c r="AF157" s="564"/>
    </row>
    <row s="1672" customFormat="1" customHeight="1" ht="11.25">
      <c r="A158" s="988"/>
      <c r="B158" s="1667"/>
      <c r="C158" s="1667"/>
      <c r="D158" s="339"/>
      <c r="J158" s="1672"/>
      <c r="K158" s="1672"/>
      <c r="L158" s="1161"/>
      <c r="M158" s="1667"/>
      <c r="N158" s="1667"/>
      <c r="O158" s="1161"/>
      <c r="P158" s="1161"/>
      <c r="Q158" s="1161"/>
      <c r="R158" s="1161"/>
      <c r="S158" s="1667"/>
      <c r="T158" s="1161"/>
      <c r="U158" s="1161"/>
      <c r="V158" s="542"/>
      <c r="W158" s="1161"/>
      <c r="X158" s="1161"/>
      <c r="Y158" s="1161"/>
      <c r="Z158" s="1161"/>
      <c r="AA158" s="1161"/>
      <c r="AB158" s="1663"/>
      <c r="AC158" s="564"/>
      <c r="AD158" s="564"/>
      <c r="AE158" s="564"/>
      <c r="AF158" s="564"/>
    </row>
    <row s="1672" customFormat="1" customHeight="1" ht="11.25">
      <c r="A159" s="988"/>
      <c r="B159" s="1667"/>
      <c r="C159" s="1667"/>
      <c r="D159" s="339"/>
      <c r="J159" s="1672"/>
      <c r="K159" s="1672"/>
      <c r="L159" s="1161"/>
      <c r="M159" s="1667"/>
      <c r="N159" s="1667"/>
      <c r="O159" s="1161"/>
      <c r="P159" s="1161"/>
      <c r="Q159" s="1161"/>
      <c r="R159" s="1161"/>
      <c r="S159" s="1667"/>
      <c r="T159" s="1161"/>
      <c r="U159" s="1161"/>
      <c r="V159" s="542"/>
      <c r="W159" s="1161"/>
      <c r="X159" s="1161"/>
      <c r="Y159" s="1161"/>
      <c r="Z159" s="1161"/>
      <c r="AA159" s="1161"/>
      <c r="AB159" s="1663"/>
      <c r="AC159" s="564"/>
      <c r="AD159" s="564"/>
      <c r="AE159" s="564"/>
      <c r="AF159" s="564"/>
    </row>
    <row s="1672" customFormat="1" customHeight="1" ht="11.25">
      <c r="A160" s="988"/>
      <c r="B160" s="1667"/>
      <c r="C160" s="1667"/>
      <c r="D160" s="339"/>
      <c r="J160" s="1672"/>
      <c r="K160" s="1672"/>
      <c r="L160" s="1161"/>
      <c r="M160" s="1667"/>
      <c r="N160" s="1667"/>
      <c r="O160" s="1161"/>
      <c r="P160" s="1161"/>
      <c r="Q160" s="1161"/>
      <c r="R160" s="1161"/>
      <c r="S160" s="1667"/>
      <c r="T160" s="1161"/>
      <c r="U160" s="1161"/>
      <c r="V160" s="542"/>
      <c r="W160" s="1161"/>
      <c r="X160" s="1161"/>
      <c r="Y160" s="1161"/>
      <c r="Z160" s="1161"/>
      <c r="AA160" s="1161"/>
      <c r="AB160" s="1663"/>
      <c r="AC160" s="564"/>
      <c r="AD160" s="564"/>
      <c r="AE160" s="564"/>
      <c r="AF160" s="564"/>
    </row>
    <row s="1672" customFormat="1" customHeight="1" ht="11.25">
      <c r="A161" s="988"/>
      <c r="B161" s="1667"/>
      <c r="C161" s="1667"/>
      <c r="D161" s="339"/>
      <c r="J161" s="1672"/>
      <c r="K161" s="1672"/>
      <c r="L161" s="1161"/>
      <c r="M161" s="1667"/>
      <c r="N161" s="1667"/>
      <c r="O161" s="1161"/>
      <c r="P161" s="1161"/>
      <c r="Q161" s="1161"/>
      <c r="R161" s="1161"/>
      <c r="S161" s="1667"/>
      <c r="T161" s="1161"/>
      <c r="U161" s="1161"/>
      <c r="V161" s="542"/>
      <c r="W161" s="1161"/>
      <c r="X161" s="1161"/>
      <c r="Y161" s="1161"/>
      <c r="Z161" s="1161"/>
      <c r="AA161" s="1161"/>
      <c r="AB161" s="1663"/>
      <c r="AC161" s="564"/>
      <c r="AD161" s="564"/>
      <c r="AE161" s="564"/>
      <c r="AF161" s="564"/>
    </row>
    <row s="1672" customFormat="1" customHeight="1" ht="11.25">
      <c r="A162" s="988"/>
      <c r="B162" s="1667"/>
      <c r="C162" s="1667"/>
      <c r="D162" s="339"/>
      <c r="J162" s="1672"/>
      <c r="K162" s="1672"/>
      <c r="L162" s="1161"/>
      <c r="M162" s="1667"/>
      <c r="N162" s="1667"/>
      <c r="O162" s="1161"/>
      <c r="P162" s="1161"/>
      <c r="Q162" s="1161"/>
      <c r="R162" s="1161"/>
      <c r="S162" s="1667"/>
      <c r="T162" s="1161"/>
      <c r="U162" s="1161"/>
      <c r="V162" s="542"/>
      <c r="W162" s="1161"/>
      <c r="X162" s="1161"/>
      <c r="Y162" s="1161"/>
      <c r="Z162" s="1161"/>
      <c r="AA162" s="1161"/>
      <c r="AB162" s="1663"/>
      <c r="AC162" s="564"/>
      <c r="AD162" s="564"/>
      <c r="AE162" s="564"/>
      <c r="AF162" s="564"/>
    </row>
    <row s="1672" customFormat="1" customHeight="1" ht="11.25">
      <c r="A163" s="988"/>
      <c r="B163" s="1667"/>
      <c r="C163" s="1667"/>
      <c r="D163" s="339"/>
      <c r="J163" s="1672"/>
      <c r="K163" s="1672"/>
      <c r="L163" s="1161"/>
      <c r="M163" s="1667"/>
      <c r="N163" s="1667"/>
      <c r="O163" s="1161"/>
      <c r="P163" s="1161"/>
      <c r="Q163" s="1161"/>
      <c r="R163" s="1161"/>
      <c r="S163" s="1667"/>
      <c r="T163" s="1161"/>
      <c r="U163" s="1161"/>
      <c r="V163" s="542"/>
      <c r="W163" s="1161"/>
      <c r="X163" s="1161"/>
      <c r="Y163" s="1161"/>
      <c r="Z163" s="1161"/>
      <c r="AA163" s="1161"/>
      <c r="AB163" s="1663"/>
      <c r="AC163" s="564"/>
      <c r="AD163" s="564"/>
      <c r="AE163" s="564"/>
      <c r="AF163" s="564"/>
    </row>
    <row s="1672" customFormat="1" customHeight="1" ht="11.25">
      <c r="A164" s="988"/>
      <c r="B164" s="1667"/>
      <c r="C164" s="1667"/>
      <c r="D164" s="339"/>
      <c r="J164" s="1672"/>
      <c r="K164" s="1672"/>
      <c r="L164" s="1161"/>
      <c r="M164" s="1667"/>
      <c r="N164" s="1667"/>
      <c r="O164" s="1161"/>
      <c r="P164" s="1161"/>
      <c r="Q164" s="1161"/>
      <c r="R164" s="1161"/>
      <c r="S164" s="1667"/>
      <c r="T164" s="1161"/>
      <c r="U164" s="1161"/>
      <c r="V164" s="542"/>
      <c r="W164" s="1161"/>
      <c r="X164" s="1161"/>
      <c r="Y164" s="1161"/>
      <c r="Z164" s="1161"/>
      <c r="AA164" s="1161"/>
      <c r="AB164" s="1663"/>
      <c r="AC164" s="564"/>
      <c r="AD164" s="564"/>
      <c r="AE164" s="564"/>
      <c r="AF164" s="564"/>
    </row>
    <row s="1672" customFormat="1" customHeight="1" ht="11.25">
      <c r="A165" s="988"/>
      <c r="B165" s="1667"/>
      <c r="C165" s="1667"/>
      <c r="D165" s="339"/>
      <c r="J165" s="1672"/>
      <c r="K165" s="1672"/>
      <c r="L165" s="1161"/>
      <c r="M165" s="1667"/>
      <c r="N165" s="1667"/>
      <c r="O165" s="1161"/>
      <c r="P165" s="1161"/>
      <c r="Q165" s="1161"/>
      <c r="R165" s="1161"/>
      <c r="S165" s="1667"/>
      <c r="T165" s="1161"/>
      <c r="U165" s="1161"/>
      <c r="V165" s="542"/>
      <c r="W165" s="1161"/>
      <c r="X165" s="1161"/>
      <c r="Y165" s="1161"/>
      <c r="Z165" s="1161"/>
      <c r="AA165" s="1161"/>
      <c r="AB165" s="1663"/>
      <c r="AC165" s="564"/>
      <c r="AD165" s="564"/>
      <c r="AE165" s="564"/>
      <c r="AF165" s="564"/>
    </row>
    <row s="1672" customFormat="1" customHeight="1" ht="11.25">
      <c r="A166" s="988"/>
      <c r="B166" s="1667"/>
      <c r="C166" s="1667"/>
      <c r="D166" s="339"/>
      <c r="J166" s="1672"/>
      <c r="K166" s="1672"/>
      <c r="L166" s="1161"/>
      <c r="M166" s="1667"/>
      <c r="N166" s="1667"/>
      <c r="O166" s="1161"/>
      <c r="P166" s="1161"/>
      <c r="Q166" s="1161"/>
      <c r="R166" s="1161"/>
      <c r="S166" s="1667"/>
      <c r="T166" s="1161"/>
      <c r="U166" s="1161"/>
      <c r="V166" s="542"/>
      <c r="W166" s="1161"/>
      <c r="X166" s="1161"/>
      <c r="Y166" s="1161"/>
      <c r="Z166" s="1161"/>
      <c r="AA166" s="1161"/>
      <c r="AB166" s="1663"/>
      <c r="AC166" s="564"/>
      <c r="AD166" s="564"/>
      <c r="AE166" s="564"/>
      <c r="AF166" s="564"/>
    </row>
    <row s="1672" customFormat="1" customHeight="1" ht="11.25">
      <c r="A167" s="988"/>
      <c r="B167" s="1667"/>
      <c r="C167" s="1667"/>
      <c r="D167" s="339"/>
      <c r="J167" s="1672"/>
      <c r="K167" s="1672"/>
      <c r="L167" s="1161"/>
      <c r="M167" s="1667"/>
      <c r="N167" s="1667"/>
      <c r="O167" s="1161"/>
      <c r="P167" s="1161"/>
      <c r="Q167" s="1161"/>
      <c r="R167" s="1161"/>
      <c r="S167" s="1667"/>
      <c r="T167" s="1161"/>
      <c r="U167" s="1161"/>
      <c r="V167" s="542"/>
      <c r="W167" s="1161"/>
      <c r="X167" s="1161"/>
      <c r="Y167" s="1161"/>
      <c r="Z167" s="1161"/>
      <c r="AA167" s="1161"/>
      <c r="AB167" s="1663"/>
      <c r="AC167" s="564"/>
      <c r="AD167" s="564"/>
      <c r="AE167" s="564"/>
      <c r="AF167" s="564"/>
    </row>
    <row s="1672" customFormat="1" customHeight="1" ht="11.25">
      <c r="A168" s="988"/>
      <c r="B168" s="1667"/>
      <c r="C168" s="1667"/>
      <c r="D168" s="339"/>
      <c r="J168" s="1672"/>
      <c r="K168" s="1672"/>
      <c r="L168" s="1161"/>
      <c r="M168" s="1667"/>
      <c r="N168" s="1667"/>
      <c r="O168" s="1161"/>
      <c r="P168" s="1161"/>
      <c r="Q168" s="1161"/>
      <c r="R168" s="1161"/>
      <c r="S168" s="1667"/>
      <c r="T168" s="1161"/>
      <c r="U168" s="1161"/>
      <c r="V168" s="542"/>
      <c r="W168" s="1161"/>
      <c r="X168" s="1161"/>
      <c r="Y168" s="1161"/>
      <c r="Z168" s="1161"/>
      <c r="AA168" s="1161"/>
      <c r="AB168" s="1663"/>
      <c r="AC168" s="564"/>
      <c r="AD168" s="564"/>
      <c r="AE168" s="564"/>
      <c r="AF168" s="564"/>
    </row>
    <row s="1672" customFormat="1" customHeight="1" ht="11.25">
      <c r="A169" s="988"/>
      <c r="B169" s="1667"/>
      <c r="C169" s="1667"/>
      <c r="D169" s="339"/>
      <c r="J169" s="1672"/>
      <c r="K169" s="1672"/>
      <c r="L169" s="1161"/>
      <c r="M169" s="1667"/>
      <c r="N169" s="1667"/>
      <c r="O169" s="1161"/>
      <c r="P169" s="1161"/>
      <c r="Q169" s="1161"/>
      <c r="R169" s="1161"/>
      <c r="S169" s="1667"/>
      <c r="T169" s="1161"/>
      <c r="U169" s="1161"/>
      <c r="V169" s="542"/>
      <c r="W169" s="1161"/>
      <c r="X169" s="1161"/>
      <c r="Y169" s="1161"/>
      <c r="Z169" s="1161"/>
      <c r="AA169" s="1161"/>
      <c r="AB169" s="1663"/>
      <c r="AC169" s="564"/>
      <c r="AD169" s="564"/>
      <c r="AE169" s="564"/>
      <c r="AF169" s="564"/>
    </row>
    <row s="1672" customFormat="1" customHeight="1" ht="11.25">
      <c r="A170" s="988"/>
      <c r="B170" s="1667"/>
      <c r="C170" s="1667"/>
      <c r="D170" s="339"/>
      <c r="J170" s="1672"/>
      <c r="K170" s="1672"/>
      <c r="L170" s="1161"/>
      <c r="M170" s="1667"/>
      <c r="N170" s="1667"/>
      <c r="O170" s="1161"/>
      <c r="P170" s="1161"/>
      <c r="Q170" s="1161"/>
      <c r="R170" s="1161"/>
      <c r="S170" s="1667"/>
      <c r="T170" s="1161"/>
      <c r="U170" s="1161"/>
      <c r="V170" s="542"/>
      <c r="W170" s="1161"/>
      <c r="X170" s="1161"/>
      <c r="Y170" s="1161"/>
      <c r="Z170" s="1161"/>
      <c r="AA170" s="1161"/>
      <c r="AB170" s="1663"/>
      <c r="AC170" s="564"/>
      <c r="AD170" s="564"/>
      <c r="AE170" s="564"/>
      <c r="AF170" s="564"/>
    </row>
    <row s="1672" customFormat="1" customHeight="1" ht="11.25">
      <c r="A171" s="988"/>
      <c r="B171" s="1667"/>
      <c r="C171" s="1667"/>
      <c r="D171" s="339"/>
      <c r="J171" s="1672"/>
      <c r="K171" s="1672"/>
      <c r="L171" s="1161"/>
      <c r="M171" s="1667"/>
      <c r="N171" s="1667"/>
      <c r="O171" s="1161"/>
      <c r="P171" s="1161"/>
      <c r="Q171" s="1161"/>
      <c r="R171" s="1161"/>
      <c r="S171" s="1667"/>
      <c r="T171" s="1161"/>
      <c r="U171" s="1161"/>
      <c r="V171" s="542"/>
      <c r="W171" s="1161"/>
      <c r="X171" s="1161"/>
      <c r="Y171" s="1161"/>
      <c r="Z171" s="1161"/>
      <c r="AA171" s="1161"/>
      <c r="AB171" s="1663"/>
      <c r="AC171" s="564"/>
      <c r="AD171" s="564"/>
      <c r="AE171" s="564"/>
      <c r="AF171" s="564"/>
    </row>
    <row s="1672" customFormat="1" customHeight="1" ht="11.25">
      <c r="A172" s="988"/>
      <c r="B172" s="1667"/>
      <c r="C172" s="1667"/>
      <c r="D172" s="339"/>
      <c r="J172" s="1672"/>
      <c r="K172" s="1672"/>
      <c r="L172" s="1161"/>
      <c r="M172" s="1667"/>
      <c r="N172" s="1667"/>
      <c r="O172" s="1161"/>
      <c r="P172" s="1161"/>
      <c r="Q172" s="1161"/>
      <c r="R172" s="1161"/>
      <c r="S172" s="1667"/>
      <c r="T172" s="1161"/>
      <c r="U172" s="1161"/>
      <c r="V172" s="542"/>
      <c r="W172" s="1161"/>
      <c r="X172" s="1161"/>
      <c r="Y172" s="1161"/>
      <c r="Z172" s="1161"/>
      <c r="AA172" s="1161"/>
      <c r="AB172" s="1663"/>
      <c r="AC172" s="564"/>
      <c r="AD172" s="564"/>
      <c r="AE172" s="564"/>
      <c r="AF172" s="564"/>
    </row>
    <row s="1672" customFormat="1" customHeight="1" ht="11.25">
      <c r="A173" s="988"/>
      <c r="B173" s="1667"/>
      <c r="C173" s="1667"/>
      <c r="D173" s="339"/>
      <c r="J173" s="1672"/>
      <c r="K173" s="1672"/>
      <c r="L173" s="1161"/>
      <c r="M173" s="1667"/>
      <c r="N173" s="1667"/>
      <c r="O173" s="1161"/>
      <c r="P173" s="1161"/>
      <c r="Q173" s="1161"/>
      <c r="R173" s="1161"/>
      <c r="S173" s="1667"/>
      <c r="T173" s="1161"/>
      <c r="U173" s="1161"/>
      <c r="V173" s="542"/>
      <c r="W173" s="1161"/>
      <c r="X173" s="1161"/>
      <c r="Y173" s="1161"/>
      <c r="Z173" s="1161"/>
      <c r="AA173" s="1161"/>
      <c r="AB173" s="1663"/>
      <c r="AC173" s="564"/>
      <c r="AD173" s="564"/>
      <c r="AE173" s="564"/>
      <c r="AF173" s="564"/>
    </row>
    <row s="1672" customFormat="1" customHeight="1" ht="11.25">
      <c r="A174" s="988"/>
      <c r="B174" s="1667"/>
      <c r="C174" s="1667"/>
      <c r="D174" s="339"/>
      <c r="J174" s="1672"/>
      <c r="K174" s="1672"/>
      <c r="L174" s="1161"/>
      <c r="M174" s="1667"/>
      <c r="N174" s="1667"/>
      <c r="O174" s="1161"/>
      <c r="P174" s="1161"/>
      <c r="Q174" s="1161"/>
      <c r="R174" s="1161"/>
      <c r="S174" s="1667"/>
      <c r="T174" s="1161"/>
      <c r="U174" s="1161"/>
      <c r="V174" s="542"/>
      <c r="W174" s="1161"/>
      <c r="X174" s="1161"/>
      <c r="Y174" s="1161"/>
      <c r="Z174" s="1161"/>
      <c r="AA174" s="1161"/>
      <c r="AB174" s="1663"/>
      <c r="AC174" s="564"/>
      <c r="AD174" s="564"/>
      <c r="AE174" s="564"/>
      <c r="AF174" s="564"/>
    </row>
    <row s="1672" customFormat="1" customHeight="1" ht="11.25">
      <c r="A175" s="988"/>
      <c r="B175" s="1667"/>
      <c r="C175" s="1667"/>
      <c r="D175" s="339"/>
      <c r="J175" s="1672"/>
      <c r="K175" s="1672"/>
      <c r="L175" s="1161"/>
      <c r="M175" s="1667"/>
      <c r="N175" s="1667"/>
      <c r="O175" s="1161"/>
      <c r="P175" s="1161"/>
      <c r="Q175" s="1161"/>
      <c r="R175" s="1161"/>
      <c r="S175" s="1667"/>
      <c r="T175" s="1161"/>
      <c r="U175" s="1161"/>
      <c r="V175" s="542"/>
      <c r="W175" s="1161"/>
      <c r="X175" s="1161"/>
      <c r="Y175" s="1161"/>
      <c r="Z175" s="1161"/>
      <c r="AA175" s="1161"/>
      <c r="AB175" s="1663"/>
      <c r="AC175" s="564"/>
      <c r="AD175" s="564"/>
      <c r="AE175" s="564"/>
      <c r="AF175" s="564"/>
    </row>
    <row s="1672" customFormat="1" customHeight="1" ht="11.25">
      <c r="A176" s="988"/>
      <c r="B176" s="1667"/>
      <c r="C176" s="1667"/>
      <c r="D176" s="339"/>
      <c r="J176" s="1672"/>
      <c r="K176" s="1672"/>
      <c r="L176" s="1161"/>
      <c r="M176" s="1667"/>
      <c r="N176" s="1667"/>
      <c r="O176" s="1161"/>
      <c r="P176" s="1161"/>
      <c r="Q176" s="1161"/>
      <c r="R176" s="1161"/>
      <c r="S176" s="1667"/>
      <c r="T176" s="1161"/>
      <c r="U176" s="1161"/>
      <c r="V176" s="542"/>
      <c r="W176" s="1161"/>
      <c r="X176" s="1161"/>
      <c r="Y176" s="1161"/>
      <c r="Z176" s="1161"/>
      <c r="AA176" s="1161"/>
      <c r="AB176" s="1663"/>
      <c r="AC176" s="564"/>
      <c r="AD176" s="564"/>
      <c r="AE176" s="564"/>
      <c r="AF176" s="564"/>
    </row>
    <row s="1672" customFormat="1" customHeight="1" ht="11.25">
      <c r="A177" s="988"/>
      <c r="B177" s="1667"/>
      <c r="C177" s="1667"/>
      <c r="D177" s="339"/>
      <c r="J177" s="1672"/>
      <c r="K177" s="1672"/>
      <c r="L177" s="1161"/>
      <c r="M177" s="1667"/>
      <c r="N177" s="1667"/>
      <c r="O177" s="1161"/>
      <c r="P177" s="1161"/>
      <c r="Q177" s="1161"/>
      <c r="R177" s="1161"/>
      <c r="S177" s="1667"/>
      <c r="T177" s="1161"/>
      <c r="U177" s="1161"/>
      <c r="V177" s="542"/>
      <c r="W177" s="1161"/>
      <c r="X177" s="1161"/>
      <c r="Y177" s="1161"/>
      <c r="Z177" s="1161"/>
      <c r="AA177" s="1161"/>
      <c r="AB177" s="1663"/>
      <c r="AC177" s="564"/>
      <c r="AD177" s="564"/>
      <c r="AE177" s="564"/>
      <c r="AF177" s="564"/>
    </row>
    <row s="1672" customFormat="1" customHeight="1" ht="11.25">
      <c r="A178" s="988"/>
      <c r="B178" s="1667"/>
      <c r="C178" s="1667"/>
      <c r="D178" s="339"/>
      <c r="J178" s="1672"/>
      <c r="K178" s="1672"/>
      <c r="L178" s="1161"/>
      <c r="M178" s="1667"/>
      <c r="N178" s="1667"/>
      <c r="O178" s="1161"/>
      <c r="P178" s="1161"/>
      <c r="Q178" s="1161"/>
      <c r="R178" s="1161"/>
      <c r="S178" s="1667"/>
      <c r="T178" s="1161"/>
      <c r="U178" s="1161"/>
      <c r="V178" s="542"/>
      <c r="W178" s="1161"/>
      <c r="X178" s="1161"/>
      <c r="Y178" s="1161"/>
      <c r="Z178" s="1161"/>
      <c r="AA178" s="1161"/>
      <c r="AB178" s="1663"/>
      <c r="AC178" s="564"/>
      <c r="AD178" s="564"/>
      <c r="AE178" s="564"/>
      <c r="AF178" s="564"/>
    </row>
    <row s="1672" customFormat="1" customHeight="1" ht="11.25">
      <c r="A179" s="988"/>
      <c r="B179" s="1667"/>
      <c r="C179" s="1667"/>
      <c r="D179" s="339"/>
      <c r="J179" s="1672"/>
      <c r="K179" s="1672"/>
      <c r="L179" s="1161"/>
      <c r="M179" s="1667"/>
      <c r="N179" s="1667"/>
      <c r="O179" s="1161"/>
      <c r="P179" s="1161"/>
      <c r="Q179" s="1161"/>
      <c r="R179" s="1161"/>
      <c r="S179" s="1667"/>
      <c r="T179" s="1161"/>
      <c r="U179" s="1161"/>
      <c r="V179" s="542"/>
      <c r="W179" s="1161"/>
      <c r="X179" s="1161"/>
      <c r="Y179" s="1161"/>
      <c r="Z179" s="1161"/>
      <c r="AA179" s="1161"/>
      <c r="AB179" s="1663"/>
      <c r="AC179" s="564"/>
      <c r="AD179" s="564"/>
      <c r="AE179" s="564"/>
      <c r="AF179" s="564"/>
    </row>
    <row s="1672" customFormat="1" customHeight="1" ht="11.25">
      <c r="A180" s="988"/>
      <c r="B180" s="1667"/>
      <c r="C180" s="1667"/>
      <c r="D180" s="339"/>
      <c r="J180" s="1672"/>
      <c r="K180" s="1672"/>
      <c r="L180" s="1161"/>
      <c r="M180" s="1667"/>
      <c r="N180" s="1667"/>
      <c r="O180" s="1161"/>
      <c r="P180" s="1161"/>
      <c r="Q180" s="1161"/>
      <c r="R180" s="1161"/>
      <c r="S180" s="1667"/>
      <c r="T180" s="1161"/>
      <c r="U180" s="1161"/>
      <c r="V180" s="542"/>
      <c r="W180" s="1161"/>
      <c r="X180" s="1161"/>
      <c r="Y180" s="1161"/>
      <c r="Z180" s="1161"/>
      <c r="AA180" s="1161"/>
      <c r="AB180" s="1663"/>
      <c r="AC180" s="564"/>
      <c r="AD180" s="564"/>
      <c r="AE180" s="564"/>
      <c r="AF180" s="564"/>
    </row>
    <row s="1672" customFormat="1" customHeight="1" ht="11.25">
      <c r="A181" s="988"/>
      <c r="B181" s="1667"/>
      <c r="C181" s="1667"/>
      <c r="D181" s="339"/>
      <c r="J181" s="1672"/>
      <c r="K181" s="1672"/>
      <c r="L181" s="1161"/>
      <c r="M181" s="1667"/>
      <c r="N181" s="1667"/>
      <c r="O181" s="1161"/>
      <c r="P181" s="1161"/>
      <c r="Q181" s="1161"/>
      <c r="R181" s="1161"/>
      <c r="S181" s="1667"/>
      <c r="T181" s="1161"/>
      <c r="U181" s="1161"/>
      <c r="V181" s="542"/>
      <c r="W181" s="1161"/>
      <c r="X181" s="1161"/>
      <c r="Y181" s="1161"/>
      <c r="Z181" s="1161"/>
      <c r="AA181" s="1161"/>
      <c r="AB181" s="1663"/>
      <c r="AC181" s="564"/>
      <c r="AD181" s="564"/>
      <c r="AE181" s="564"/>
      <c r="AF181" s="564"/>
    </row>
    <row s="1672" customFormat="1" customHeight="1" ht="11.25">
      <c r="A182" s="988"/>
      <c r="B182" s="1667"/>
      <c r="C182" s="1667"/>
      <c r="D182" s="339"/>
      <c r="J182" s="1672"/>
      <c r="K182" s="1672"/>
      <c r="L182" s="1161"/>
      <c r="M182" s="1667"/>
      <c r="N182" s="1667"/>
      <c r="O182" s="1161"/>
      <c r="P182" s="1161"/>
      <c r="Q182" s="1161"/>
      <c r="R182" s="1161"/>
      <c r="S182" s="1667"/>
      <c r="T182" s="1161"/>
      <c r="U182" s="1161"/>
      <c r="V182" s="542"/>
      <c r="W182" s="1161"/>
      <c r="X182" s="1161"/>
      <c r="Y182" s="1161"/>
      <c r="Z182" s="1161"/>
      <c r="AA182" s="1161"/>
      <c r="AB182" s="1663"/>
      <c r="AC182" s="564"/>
      <c r="AD182" s="564"/>
      <c r="AE182" s="564"/>
      <c r="AF182" s="564"/>
    </row>
    <row s="1672" customFormat="1" customHeight="1" ht="11.25">
      <c r="A183" s="988"/>
      <c r="B183" s="1667"/>
      <c r="C183" s="1667"/>
      <c r="D183" s="339"/>
      <c r="J183" s="1672"/>
      <c r="K183" s="1672"/>
      <c r="L183" s="1161"/>
      <c r="M183" s="1667"/>
      <c r="N183" s="1667"/>
      <c r="O183" s="1161"/>
      <c r="P183" s="1161"/>
      <c r="Q183" s="1161"/>
      <c r="R183" s="1161"/>
      <c r="S183" s="1667"/>
      <c r="T183" s="1161"/>
      <c r="U183" s="1161"/>
      <c r="V183" s="542"/>
      <c r="W183" s="1161"/>
      <c r="X183" s="1161"/>
      <c r="Y183" s="1161"/>
      <c r="Z183" s="1161"/>
      <c r="AA183" s="1161"/>
      <c r="AB183" s="1663"/>
      <c r="AC183" s="564"/>
      <c r="AD183" s="564"/>
      <c r="AE183" s="564"/>
      <c r="AF183" s="564"/>
    </row>
    <row s="1672" customFormat="1" customHeight="1" ht="11.25">
      <c r="A184" s="988"/>
      <c r="B184" s="1667"/>
      <c r="C184" s="1667"/>
      <c r="D184" s="339"/>
      <c r="J184" s="1672"/>
      <c r="K184" s="1672"/>
      <c r="L184" s="1161"/>
      <c r="M184" s="1667"/>
      <c r="N184" s="1667"/>
      <c r="O184" s="1161"/>
      <c r="P184" s="1161"/>
      <c r="Q184" s="1161"/>
      <c r="R184" s="1161"/>
      <c r="S184" s="1667"/>
      <c r="T184" s="1161"/>
      <c r="U184" s="1161"/>
      <c r="V184" s="542"/>
      <c r="W184" s="1161"/>
      <c r="X184" s="1161"/>
      <c r="Y184" s="1161"/>
      <c r="Z184" s="1161"/>
      <c r="AA184" s="1161"/>
      <c r="AB184" s="1663"/>
      <c r="AC184" s="564"/>
      <c r="AD184" s="564"/>
      <c r="AE184" s="564"/>
      <c r="AF184" s="564"/>
    </row>
    <row s="1672" customFormat="1" customHeight="1" ht="11.25">
      <c r="A185" s="988"/>
      <c r="B185" s="1667"/>
      <c r="C185" s="1667"/>
      <c r="D185" s="339"/>
      <c r="J185" s="1672"/>
      <c r="K185" s="1672"/>
      <c r="L185" s="1161"/>
      <c r="M185" s="1667"/>
      <c r="N185" s="1667"/>
      <c r="O185" s="1161"/>
      <c r="P185" s="1161"/>
      <c r="Q185" s="1161"/>
      <c r="R185" s="1161"/>
      <c r="S185" s="1667"/>
      <c r="T185" s="1161"/>
      <c r="U185" s="1161"/>
      <c r="V185" s="542"/>
      <c r="W185" s="1161"/>
      <c r="X185" s="1161"/>
      <c r="Y185" s="1161"/>
      <c r="Z185" s="1161"/>
      <c r="AA185" s="1161"/>
      <c r="AB185" s="1663"/>
      <c r="AC185" s="564"/>
      <c r="AD185" s="564"/>
      <c r="AE185" s="564"/>
      <c r="AF185" s="564"/>
    </row>
    <row s="1672" customFormat="1" customHeight="1" ht="11.25">
      <c r="A186" s="988"/>
      <c r="B186" s="1667"/>
      <c r="C186" s="1667"/>
      <c r="D186" s="339"/>
      <c r="J186" s="1672"/>
      <c r="K186" s="1672"/>
      <c r="L186" s="1161"/>
      <c r="M186" s="1667"/>
      <c r="N186" s="1667"/>
      <c r="O186" s="1161"/>
      <c r="P186" s="1161"/>
      <c r="Q186" s="1161"/>
      <c r="R186" s="1161"/>
      <c r="S186" s="1667"/>
      <c r="T186" s="1161"/>
      <c r="U186" s="1161"/>
      <c r="V186" s="542"/>
      <c r="W186" s="1161"/>
      <c r="X186" s="1161"/>
      <c r="Y186" s="1161"/>
      <c r="Z186" s="1161"/>
      <c r="AA186" s="1161"/>
      <c r="AB186" s="1663"/>
      <c r="AC186" s="564"/>
      <c r="AD186" s="564"/>
      <c r="AE186" s="564"/>
      <c r="AF186" s="564"/>
    </row>
    <row s="1672" customFormat="1" customHeight="1" ht="11.25">
      <c r="A187" s="988"/>
      <c r="B187" s="1667"/>
      <c r="C187" s="1667"/>
      <c r="D187" s="339"/>
      <c r="J187" s="1672"/>
      <c r="K187" s="1672"/>
      <c r="L187" s="1161"/>
      <c r="M187" s="1667"/>
      <c r="N187" s="1667"/>
      <c r="O187" s="1161"/>
      <c r="P187" s="1161"/>
      <c r="Q187" s="1161"/>
      <c r="R187" s="1161"/>
      <c r="S187" s="1667"/>
      <c r="T187" s="1161"/>
      <c r="U187" s="1161"/>
      <c r="V187" s="542"/>
      <c r="W187" s="1161"/>
      <c r="X187" s="1161"/>
      <c r="Y187" s="1161"/>
      <c r="Z187" s="1161"/>
      <c r="AA187" s="1161"/>
      <c r="AB187" s="1663"/>
      <c r="AC187" s="564"/>
      <c r="AD187" s="564"/>
      <c r="AE187" s="564"/>
      <c r="AF187" s="564"/>
    </row>
    <row s="1672" customFormat="1" customHeight="1" ht="11.25">
      <c r="A188" s="988"/>
      <c r="B188" s="1667"/>
      <c r="C188" s="1667"/>
      <c r="D188" s="339"/>
      <c r="J188" s="1672"/>
      <c r="K188" s="1672"/>
      <c r="L188" s="1161"/>
      <c r="M188" s="1667"/>
      <c r="N188" s="1667"/>
      <c r="O188" s="1161"/>
      <c r="P188" s="1161"/>
      <c r="Q188" s="1161"/>
      <c r="R188" s="1161"/>
      <c r="S188" s="1667"/>
      <c r="T188" s="1161"/>
      <c r="U188" s="1161"/>
      <c r="V188" s="542"/>
      <c r="W188" s="1161"/>
      <c r="X188" s="1161"/>
      <c r="Y188" s="1161"/>
      <c r="Z188" s="1161"/>
      <c r="AA188" s="1161"/>
      <c r="AB188" s="1663"/>
      <c r="AC188" s="564"/>
      <c r="AD188" s="564"/>
      <c r="AE188" s="564"/>
      <c r="AF188" s="564"/>
    </row>
    <row s="1672" customFormat="1" customHeight="1" ht="11.25">
      <c r="A189" s="988"/>
      <c r="B189" s="1667"/>
      <c r="C189" s="1667"/>
      <c r="D189" s="339"/>
      <c r="J189" s="1672"/>
      <c r="K189" s="1672"/>
      <c r="L189" s="1161"/>
      <c r="M189" s="1667"/>
      <c r="N189" s="1667"/>
      <c r="O189" s="1161"/>
      <c r="P189" s="1161"/>
      <c r="Q189" s="1161"/>
      <c r="R189" s="1161"/>
      <c r="S189" s="1667"/>
      <c r="T189" s="1161"/>
      <c r="U189" s="1161"/>
      <c r="V189" s="542"/>
      <c r="W189" s="1161"/>
      <c r="X189" s="1161"/>
      <c r="Y189" s="1161"/>
      <c r="Z189" s="1161"/>
      <c r="AA189" s="1161"/>
      <c r="AB189" s="1663"/>
      <c r="AC189" s="564"/>
      <c r="AD189" s="564"/>
      <c r="AE189" s="564"/>
      <c r="AF189" s="564"/>
    </row>
    <row s="1672" customFormat="1" customHeight="1" ht="11.25">
      <c r="A190" s="988"/>
      <c r="B190" s="1667"/>
      <c r="C190" s="1667"/>
      <c r="D190" s="339"/>
      <c r="J190" s="1672"/>
      <c r="K190" s="1672"/>
      <c r="L190" s="1161"/>
      <c r="M190" s="1667"/>
      <c r="N190" s="1667"/>
      <c r="O190" s="1161"/>
      <c r="P190" s="1161"/>
      <c r="Q190" s="1161"/>
      <c r="R190" s="1161"/>
      <c r="S190" s="1667"/>
      <c r="T190" s="1161"/>
      <c r="U190" s="1161"/>
      <c r="V190" s="542"/>
      <c r="W190" s="1161"/>
      <c r="X190" s="1161"/>
      <c r="Y190" s="1161"/>
      <c r="Z190" s="1161"/>
      <c r="AA190" s="1161"/>
      <c r="AB190" s="1663"/>
      <c r="AC190" s="564"/>
      <c r="AD190" s="564"/>
      <c r="AE190" s="564"/>
      <c r="AF190" s="564"/>
    </row>
    <row s="1672" customFormat="1" customHeight="1" ht="11.25">
      <c r="A191" s="988"/>
      <c r="B191" s="1667"/>
      <c r="C191" s="1667"/>
      <c r="D191" s="339"/>
      <c r="J191" s="1672"/>
      <c r="K191" s="1672"/>
      <c r="L191" s="1161"/>
      <c r="M191" s="1667"/>
      <c r="N191" s="1667"/>
      <c r="O191" s="1161"/>
      <c r="P191" s="1161"/>
      <c r="Q191" s="1161"/>
      <c r="R191" s="1161"/>
      <c r="S191" s="1667"/>
      <c r="T191" s="1161"/>
      <c r="U191" s="1161"/>
      <c r="V191" s="542"/>
      <c r="W191" s="1161"/>
      <c r="X191" s="1161"/>
      <c r="Y191" s="1161"/>
      <c r="Z191" s="1161"/>
      <c r="AA191" s="1161"/>
      <c r="AB191" s="1663"/>
      <c r="AC191" s="564"/>
      <c r="AD191" s="564"/>
      <c r="AE191" s="564"/>
      <c r="AF191" s="564"/>
    </row>
    <row s="1672" customFormat="1" customHeight="1" ht="11.25">
      <c r="A192" s="988"/>
      <c r="B192" s="1667"/>
      <c r="C192" s="1667"/>
      <c r="D192" s="339"/>
      <c r="J192" s="1672"/>
      <c r="K192" s="1672"/>
      <c r="L192" s="1161"/>
      <c r="M192" s="1667"/>
      <c r="N192" s="1667"/>
      <c r="O192" s="1161"/>
      <c r="P192" s="1161"/>
      <c r="Q192" s="1161"/>
      <c r="R192" s="1161"/>
      <c r="S192" s="1667"/>
      <c r="T192" s="1161"/>
      <c r="U192" s="1161"/>
      <c r="V192" s="542"/>
      <c r="W192" s="1161"/>
      <c r="X192" s="1161"/>
      <c r="Y192" s="1161"/>
      <c r="Z192" s="1161"/>
      <c r="AA192" s="1161"/>
      <c r="AB192" s="1663"/>
      <c r="AC192" s="564"/>
      <c r="AD192" s="564"/>
      <c r="AE192" s="564"/>
      <c r="AF192" s="564"/>
    </row>
    <row s="1672" customFormat="1" customHeight="1" ht="11.25">
      <c r="A193" s="988"/>
      <c r="B193" s="1667"/>
      <c r="C193" s="1667"/>
      <c r="D193" s="339"/>
      <c r="J193" s="1672"/>
      <c r="K193" s="1672"/>
      <c r="L193" s="1161"/>
      <c r="M193" s="1667"/>
      <c r="N193" s="1667"/>
      <c r="O193" s="1161"/>
      <c r="P193" s="1161"/>
      <c r="Q193" s="1161"/>
      <c r="R193" s="1161"/>
      <c r="S193" s="1667"/>
      <c r="T193" s="1161"/>
      <c r="U193" s="1161"/>
      <c r="V193" s="542"/>
      <c r="W193" s="1161"/>
      <c r="X193" s="1161"/>
      <c r="Y193" s="1161"/>
      <c r="Z193" s="1161"/>
      <c r="AA193" s="1161"/>
      <c r="AB193" s="1663"/>
      <c r="AC193" s="564"/>
      <c r="AD193" s="564"/>
      <c r="AE193" s="564"/>
      <c r="AF193" s="564"/>
    </row>
    <row s="1672" customFormat="1" customHeight="1" ht="11.25">
      <c r="A194" s="988"/>
      <c r="B194" s="1667"/>
      <c r="C194" s="1667"/>
      <c r="D194" s="339"/>
      <c r="J194" s="1672"/>
      <c r="K194" s="1672"/>
      <c r="L194" s="1161"/>
      <c r="M194" s="1667"/>
      <c r="N194" s="1667"/>
      <c r="O194" s="1161"/>
      <c r="P194" s="1161"/>
      <c r="Q194" s="1161"/>
      <c r="R194" s="1161"/>
      <c r="S194" s="1667"/>
      <c r="T194" s="1161"/>
      <c r="U194" s="1161"/>
      <c r="V194" s="542"/>
      <c r="W194" s="1161"/>
      <c r="X194" s="1161"/>
      <c r="Y194" s="1161"/>
      <c r="Z194" s="1161"/>
      <c r="AA194" s="1161"/>
      <c r="AB194" s="1663"/>
      <c r="AC194" s="564"/>
      <c r="AD194" s="564"/>
      <c r="AE194" s="564"/>
      <c r="AF194" s="564"/>
    </row>
    <row s="1672" customFormat="1" customHeight="1" ht="11.25">
      <c r="A195" s="988"/>
      <c r="B195" s="1667"/>
      <c r="C195" s="1667"/>
      <c r="D195" s="339"/>
      <c r="J195" s="1672"/>
      <c r="K195" s="1672"/>
      <c r="L195" s="1161"/>
      <c r="M195" s="1667"/>
      <c r="N195" s="1667"/>
      <c r="O195" s="1161"/>
      <c r="P195" s="1161"/>
      <c r="Q195" s="1161"/>
      <c r="R195" s="1161"/>
      <c r="S195" s="1667"/>
      <c r="T195" s="1161"/>
      <c r="U195" s="1161"/>
      <c r="V195" s="542"/>
      <c r="W195" s="1161"/>
      <c r="X195" s="1161"/>
      <c r="Y195" s="1161"/>
      <c r="Z195" s="1161"/>
      <c r="AA195" s="1161"/>
      <c r="AB195" s="1663"/>
      <c r="AC195" s="564"/>
      <c r="AD195" s="564"/>
      <c r="AE195" s="564"/>
      <c r="AF195" s="564"/>
    </row>
    <row s="1672" customFormat="1" customHeight="1" ht="11.25">
      <c r="A196" s="988"/>
      <c r="B196" s="1667"/>
      <c r="C196" s="1667"/>
      <c r="D196" s="339"/>
      <c r="J196" s="1672"/>
      <c r="K196" s="1672"/>
      <c r="L196" s="1161"/>
      <c r="M196" s="1667"/>
      <c r="N196" s="1667"/>
      <c r="O196" s="1161"/>
      <c r="P196" s="1161"/>
      <c r="Q196" s="1161"/>
      <c r="R196" s="1161"/>
      <c r="S196" s="1667"/>
      <c r="T196" s="1161"/>
      <c r="U196" s="1161"/>
      <c r="V196" s="542"/>
      <c r="W196" s="1161"/>
      <c r="X196" s="1161"/>
      <c r="Y196" s="1161"/>
      <c r="Z196" s="1161"/>
      <c r="AA196" s="1161"/>
      <c r="AB196" s="1663"/>
      <c r="AC196" s="564"/>
      <c r="AD196" s="564"/>
      <c r="AE196" s="564"/>
      <c r="AF196" s="564"/>
    </row>
    <row s="1672" customFormat="1" customHeight="1" ht="11.25">
      <c r="A197" s="988"/>
      <c r="B197" s="1667"/>
      <c r="C197" s="1667"/>
      <c r="D197" s="339"/>
      <c r="J197" s="1672"/>
      <c r="K197" s="1672"/>
      <c r="L197" s="1161"/>
      <c r="M197" s="1667"/>
      <c r="N197" s="1667"/>
      <c r="O197" s="1161"/>
      <c r="P197" s="1161"/>
      <c r="Q197" s="1161"/>
      <c r="R197" s="1161"/>
      <c r="S197" s="1667"/>
      <c r="T197" s="1161"/>
      <c r="U197" s="1161"/>
      <c r="V197" s="542"/>
      <c r="W197" s="1161"/>
      <c r="X197" s="1161"/>
      <c r="Y197" s="1161"/>
      <c r="Z197" s="1161"/>
      <c r="AA197" s="1161"/>
      <c r="AB197" s="1663"/>
      <c r="AC197" s="564"/>
      <c r="AD197" s="564"/>
      <c r="AE197" s="564"/>
      <c r="AF197" s="564"/>
    </row>
    <row s="1672" customFormat="1" customHeight="1" ht="11.25">
      <c r="A198" s="988"/>
      <c r="B198" s="1667"/>
      <c r="C198" s="1667"/>
      <c r="D198" s="339"/>
      <c r="J198" s="1672"/>
      <c r="K198" s="1672"/>
      <c r="L198" s="1161"/>
      <c r="M198" s="1667"/>
      <c r="N198" s="1667"/>
      <c r="O198" s="1161"/>
      <c r="P198" s="1161"/>
      <c r="Q198" s="1161"/>
      <c r="R198" s="1161"/>
      <c r="S198" s="1667"/>
      <c r="T198" s="1161"/>
      <c r="U198" s="1161"/>
      <c r="V198" s="542"/>
      <c r="W198" s="1161"/>
      <c r="X198" s="1161"/>
      <c r="Y198" s="1161"/>
      <c r="Z198" s="1161"/>
      <c r="AA198" s="1161"/>
      <c r="AB198" s="1663"/>
      <c r="AC198" s="564"/>
      <c r="AD198" s="564"/>
      <c r="AE198" s="564"/>
      <c r="AF198" s="564"/>
    </row>
    <row s="1672" customFormat="1" customHeight="1" ht="11.25">
      <c r="A199" s="988"/>
      <c r="B199" s="1667"/>
      <c r="C199" s="1667"/>
      <c r="D199" s="339"/>
      <c r="J199" s="1672"/>
      <c r="K199" s="1672"/>
      <c r="L199" s="1161"/>
      <c r="M199" s="1667"/>
      <c r="N199" s="1667"/>
      <c r="O199" s="1161"/>
      <c r="P199" s="1161"/>
      <c r="Q199" s="1161"/>
      <c r="R199" s="1161"/>
      <c r="S199" s="1667"/>
      <c r="T199" s="1161"/>
      <c r="U199" s="1161"/>
      <c r="V199" s="542"/>
      <c r="W199" s="1161"/>
      <c r="X199" s="1161"/>
      <c r="Y199" s="1161"/>
      <c r="Z199" s="1161"/>
      <c r="AA199" s="1161"/>
      <c r="AB199" s="1663"/>
      <c r="AC199" s="564"/>
      <c r="AD199" s="564"/>
      <c r="AE199" s="564"/>
      <c r="AF199" s="564"/>
    </row>
    <row s="1672" customFormat="1" customHeight="1" ht="11.25">
      <c r="A200" s="988"/>
      <c r="B200" s="1667"/>
      <c r="C200" s="1667"/>
      <c r="D200" s="339"/>
      <c r="J200" s="1672"/>
      <c r="K200" s="1672"/>
      <c r="L200" s="1161"/>
      <c r="M200" s="1667"/>
      <c r="N200" s="1667"/>
      <c r="O200" s="1161"/>
      <c r="P200" s="1161"/>
      <c r="Q200" s="1161"/>
      <c r="R200" s="1161"/>
      <c r="S200" s="1667"/>
      <c r="T200" s="1161"/>
      <c r="U200" s="1161"/>
      <c r="V200" s="542"/>
      <c r="W200" s="1161"/>
      <c r="X200" s="1161"/>
      <c r="Y200" s="1161"/>
      <c r="Z200" s="1161"/>
      <c r="AA200" s="1161"/>
      <c r="AB200" s="1663"/>
      <c r="AC200" s="564"/>
      <c r="AD200" s="564"/>
      <c r="AE200" s="564"/>
      <c r="AF200" s="564"/>
    </row>
    <row s="1672" customFormat="1" customHeight="1" ht="11.25">
      <c r="A201" s="988"/>
      <c r="B201" s="1667"/>
      <c r="C201" s="1667"/>
      <c r="D201" s="339"/>
      <c r="J201" s="1672"/>
      <c r="K201" s="1672"/>
      <c r="L201" s="1161"/>
      <c r="M201" s="1667"/>
      <c r="N201" s="1667"/>
      <c r="O201" s="1161"/>
      <c r="P201" s="1161"/>
      <c r="Q201" s="1161"/>
      <c r="R201" s="1161"/>
      <c r="S201" s="1667"/>
      <c r="T201" s="1161"/>
      <c r="U201" s="1161"/>
      <c r="V201" s="542"/>
      <c r="W201" s="1161"/>
      <c r="X201" s="1161"/>
      <c r="Y201" s="1161"/>
      <c r="Z201" s="1161"/>
      <c r="AA201" s="1161"/>
      <c r="AB201" s="1663"/>
      <c r="AC201" s="564"/>
      <c r="AD201" s="564"/>
      <c r="AE201" s="564"/>
      <c r="AF201" s="564"/>
    </row>
    <row s="1672" customFormat="1" customHeight="1" ht="11.25">
      <c r="A202" s="988"/>
      <c r="B202" s="1667"/>
      <c r="C202" s="1667"/>
      <c r="D202" s="339"/>
      <c r="J202" s="1672"/>
      <c r="K202" s="1672"/>
      <c r="L202" s="1161"/>
      <c r="M202" s="1667"/>
      <c r="N202" s="1667"/>
      <c r="O202" s="1161"/>
      <c r="P202" s="1161"/>
      <c r="Q202" s="1161"/>
      <c r="R202" s="1161"/>
      <c r="S202" s="1667"/>
      <c r="T202" s="1161"/>
      <c r="U202" s="1161"/>
      <c r="V202" s="542"/>
      <c r="W202" s="1161"/>
      <c r="X202" s="1161"/>
      <c r="Y202" s="1161"/>
      <c r="Z202" s="1161"/>
      <c r="AA202" s="1161"/>
      <c r="AB202" s="1663"/>
      <c r="AC202" s="564"/>
      <c r="AD202" s="564"/>
      <c r="AE202" s="564"/>
      <c r="AF202" s="564"/>
    </row>
    <row s="1672" customFormat="1" customHeight="1" ht="11.25">
      <c r="A203" s="988"/>
      <c r="B203" s="1667"/>
      <c r="C203" s="1667"/>
      <c r="D203" s="339"/>
      <c r="J203" s="1672"/>
      <c r="K203" s="1672"/>
      <c r="L203" s="1161"/>
      <c r="M203" s="1667"/>
      <c r="N203" s="1667"/>
      <c r="O203" s="1161"/>
      <c r="P203" s="1161"/>
      <c r="Q203" s="1161"/>
      <c r="R203" s="1161"/>
      <c r="S203" s="1667"/>
      <c r="T203" s="1161"/>
      <c r="U203" s="1161"/>
      <c r="V203" s="542"/>
      <c r="W203" s="1161"/>
      <c r="X203" s="1161"/>
      <c r="Y203" s="1161"/>
      <c r="Z203" s="1161"/>
      <c r="AA203" s="1161"/>
      <c r="AB203" s="1663"/>
      <c r="AC203" s="564"/>
      <c r="AD203" s="564"/>
      <c r="AE203" s="564"/>
      <c r="AF203" s="564"/>
    </row>
    <row s="1672" customFormat="1" customHeight="1" ht="11.25">
      <c r="A204" s="988"/>
      <c r="B204" s="1667"/>
      <c r="C204" s="1667"/>
      <c r="D204" s="339"/>
      <c r="J204" s="1672"/>
      <c r="K204" s="1672"/>
      <c r="L204" s="1161"/>
      <c r="M204" s="1667"/>
      <c r="N204" s="1667"/>
      <c r="O204" s="1161"/>
      <c r="P204" s="1161"/>
      <c r="Q204" s="1161"/>
      <c r="R204" s="1161"/>
      <c r="S204" s="1667"/>
      <c r="T204" s="1161"/>
      <c r="U204" s="1161"/>
      <c r="V204" s="542"/>
      <c r="W204" s="1161"/>
      <c r="X204" s="1161"/>
      <c r="Y204" s="1161"/>
      <c r="Z204" s="1161"/>
      <c r="AA204" s="1161"/>
      <c r="AB204" s="1663"/>
      <c r="AC204" s="564"/>
      <c r="AD204" s="564"/>
      <c r="AE204" s="564"/>
      <c r="AF204" s="564"/>
    </row>
    <row customHeight="1" ht="11.25">
      <c r="J205" s="1666"/>
      <c r="K205" s="1666"/>
    </row>
    <row customHeight="1" ht="11.25">
      <c r="J206" s="1666"/>
      <c r="K206" s="1666"/>
    </row>
    <row customHeight="1" ht="11.25">
      <c r="J207" s="1666"/>
      <c r="K207" s="1666"/>
    </row>
    <row customHeight="1" ht="11.25">
      <c r="A208" s="991"/>
      <c r="B208" s="1662"/>
      <c r="D208" s="1662"/>
      <c r="J208" s="1666"/>
      <c r="K208" s="1666"/>
      <c r="L208" s="1662"/>
      <c r="O208" s="1662"/>
      <c r="P208" s="1662"/>
      <c r="Q208" s="1662"/>
      <c r="R208" s="1662"/>
      <c r="T208" s="1662"/>
      <c r="U208" s="1662"/>
      <c r="V208" s="1662"/>
      <c r="W208" s="1662"/>
      <c r="X208" s="1662"/>
      <c r="Y208" s="1662"/>
      <c r="Z208" s="1662"/>
      <c r="AA208" s="1662"/>
      <c r="AB208" s="1662"/>
      <c r="AC208" s="1662"/>
      <c r="AD208" s="1662"/>
      <c r="AE208" s="1662"/>
      <c r="AF208" s="1662"/>
    </row>
    <row customHeight="1" ht="11.25">
      <c r="A209" s="991"/>
      <c r="B209" s="1662"/>
      <c r="D209" s="1662"/>
      <c r="J209" s="1666"/>
      <c r="K209" s="1666"/>
      <c r="L209" s="1662"/>
      <c r="O209" s="1662"/>
      <c r="P209" s="1662"/>
      <c r="Q209" s="1662"/>
      <c r="R209" s="1662"/>
      <c r="T209" s="1662"/>
      <c r="U209" s="1662"/>
      <c r="V209" s="1662"/>
      <c r="W209" s="1662"/>
      <c r="X209" s="1662"/>
      <c r="Y209" s="1662"/>
      <c r="Z209" s="1662"/>
      <c r="AA209" s="1662"/>
      <c r="AB209" s="1662"/>
      <c r="AC209" s="1662"/>
      <c r="AD209" s="1662"/>
      <c r="AE209" s="1662"/>
      <c r="AF209" s="1662"/>
    </row>
    <row customHeight="1" ht="11.25">
      <c r="A210" s="991"/>
      <c r="B210" s="1662"/>
      <c r="D210" s="1662"/>
      <c r="J210" s="1666"/>
      <c r="K210" s="1666"/>
      <c r="L210" s="1662"/>
      <c r="O210" s="1662"/>
      <c r="P210" s="1662"/>
      <c r="Q210" s="1662"/>
      <c r="R210" s="1662"/>
      <c r="T210" s="1662"/>
      <c r="U210" s="1662"/>
      <c r="V210" s="1662"/>
      <c r="W210" s="1662"/>
      <c r="X210" s="1662"/>
      <c r="Y210" s="1662"/>
      <c r="Z210" s="1662"/>
      <c r="AA210" s="1662"/>
      <c r="AB210" s="1662"/>
      <c r="AC210" s="1662"/>
      <c r="AD210" s="1662"/>
      <c r="AE210" s="1662"/>
      <c r="AF210" s="1662"/>
    </row>
    <row customHeight="1" ht="11.25">
      <c r="A211" s="991"/>
      <c r="B211" s="1662"/>
      <c r="D211" s="1662"/>
      <c r="J211" s="1666"/>
      <c r="K211" s="1666"/>
      <c r="L211" s="1662"/>
      <c r="O211" s="1662"/>
      <c r="P211" s="1662"/>
      <c r="Q211" s="1662"/>
      <c r="R211" s="1662"/>
      <c r="T211" s="1662"/>
      <c r="U211" s="1662"/>
      <c r="V211" s="1662"/>
      <c r="W211" s="1662"/>
      <c r="X211" s="1662"/>
      <c r="Y211" s="1662"/>
      <c r="Z211" s="1662"/>
      <c r="AA211" s="1662"/>
      <c r="AB211" s="1662"/>
      <c r="AC211" s="1662"/>
      <c r="AD211" s="1662"/>
      <c r="AE211" s="1662"/>
      <c r="AF211" s="1662"/>
    </row>
    <row customHeight="1" ht="11.25">
      <c r="A212" s="991"/>
      <c r="B212" s="1662"/>
      <c r="D212" s="1662"/>
      <c r="J212" s="1666"/>
      <c r="K212" s="1666"/>
      <c r="L212" s="1662"/>
      <c r="O212" s="1662"/>
      <c r="P212" s="1662"/>
      <c r="Q212" s="1662"/>
      <c r="R212" s="1662"/>
      <c r="T212" s="1662"/>
      <c r="U212" s="1662"/>
      <c r="V212" s="1662"/>
      <c r="W212" s="1662"/>
      <c r="X212" s="1662"/>
      <c r="Y212" s="1662"/>
      <c r="Z212" s="1662"/>
      <c r="AA212" s="1662"/>
      <c r="AB212" s="1662"/>
      <c r="AC212" s="1662"/>
      <c r="AD212" s="1662"/>
      <c r="AE212" s="1662"/>
      <c r="AF212" s="1662"/>
    </row>
    <row customHeight="1" ht="11.25">
      <c r="A213" s="991"/>
      <c r="B213" s="1662"/>
      <c r="D213" s="1662"/>
      <c r="J213" s="1666"/>
      <c r="K213" s="1666"/>
      <c r="L213" s="1662"/>
      <c r="O213" s="1662"/>
      <c r="P213" s="1662"/>
      <c r="Q213" s="1662"/>
      <c r="R213" s="1662"/>
      <c r="T213" s="1662"/>
      <c r="U213" s="1662"/>
      <c r="V213" s="1662"/>
      <c r="W213" s="1662"/>
      <c r="X213" s="1662"/>
      <c r="Y213" s="1662"/>
      <c r="Z213" s="1662"/>
      <c r="AA213" s="1662"/>
      <c r="AB213" s="1662"/>
      <c r="AC213" s="1662"/>
      <c r="AD213" s="1662"/>
      <c r="AE213" s="1662"/>
      <c r="AF213" s="1662"/>
    </row>
    <row customHeight="1" ht="11.25">
      <c r="A214" s="991"/>
      <c r="B214" s="1662"/>
      <c r="D214" s="1662"/>
      <c r="J214" s="1666"/>
      <c r="K214" s="1666"/>
      <c r="L214" s="1662"/>
      <c r="O214" s="1662"/>
      <c r="P214" s="1662"/>
      <c r="Q214" s="1662"/>
      <c r="R214" s="1662"/>
      <c r="T214" s="1662"/>
      <c r="U214" s="1662"/>
      <c r="V214" s="1662"/>
      <c r="W214" s="1662"/>
      <c r="X214" s="1662"/>
      <c r="Y214" s="1662"/>
      <c r="Z214" s="1662"/>
      <c r="AA214" s="1662"/>
      <c r="AB214" s="1662"/>
      <c r="AC214" s="1662"/>
      <c r="AD214" s="1662"/>
      <c r="AE214" s="1662"/>
      <c r="AF214" s="1662"/>
    </row>
    <row customHeight="1" ht="11.25">
      <c r="A215" s="991"/>
      <c r="B215" s="1662"/>
      <c r="D215" s="1662"/>
      <c r="J215" s="1666"/>
      <c r="K215" s="1666"/>
      <c r="L215" s="1662"/>
      <c r="O215" s="1662"/>
      <c r="P215" s="1662"/>
      <c r="Q215" s="1662"/>
      <c r="R215" s="1662"/>
      <c r="T215" s="1662"/>
      <c r="U215" s="1662"/>
      <c r="V215" s="1662"/>
      <c r="W215" s="1662"/>
      <c r="X215" s="1662"/>
      <c r="Y215" s="1662"/>
      <c r="Z215" s="1662"/>
      <c r="AA215" s="1662"/>
      <c r="AB215" s="1662"/>
      <c r="AC215" s="1662"/>
      <c r="AD215" s="1662"/>
      <c r="AE215" s="1662"/>
      <c r="AF215" s="1662"/>
    </row>
    <row customHeight="1" ht="11.25">
      <c r="A216" s="991"/>
      <c r="B216" s="1662"/>
      <c r="D216" s="1662"/>
      <c r="J216" s="1666"/>
      <c r="K216" s="1666"/>
      <c r="L216" s="1662"/>
      <c r="O216" s="1662"/>
      <c r="P216" s="1662"/>
      <c r="Q216" s="1662"/>
      <c r="R216" s="1662"/>
      <c r="T216" s="1662"/>
      <c r="U216" s="1662"/>
      <c r="V216" s="1662"/>
      <c r="W216" s="1662"/>
      <c r="X216" s="1662"/>
      <c r="Y216" s="1662"/>
      <c r="Z216" s="1662"/>
      <c r="AA216" s="1662"/>
      <c r="AB216" s="1662"/>
      <c r="AC216" s="1662"/>
      <c r="AD216" s="1662"/>
      <c r="AE216" s="1662"/>
      <c r="AF216" s="1662"/>
    </row>
    <row customHeight="1" ht="11.25">
      <c r="A217" s="991"/>
      <c r="B217" s="1662"/>
      <c r="D217" s="1662"/>
      <c r="J217" s="1666"/>
      <c r="K217" s="1666"/>
      <c r="L217" s="1662"/>
      <c r="O217" s="1662"/>
      <c r="P217" s="1662"/>
      <c r="Q217" s="1662"/>
      <c r="R217" s="1662"/>
      <c r="T217" s="1662"/>
      <c r="U217" s="1662"/>
      <c r="V217" s="1662"/>
      <c r="W217" s="1662"/>
      <c r="X217" s="1662"/>
      <c r="Y217" s="1662"/>
      <c r="Z217" s="1662"/>
      <c r="AA217" s="1662"/>
      <c r="AB217" s="1662"/>
      <c r="AC217" s="1662"/>
      <c r="AD217" s="1662"/>
      <c r="AE217" s="1662"/>
      <c r="AF217" s="1662"/>
    </row>
    <row customHeight="1" ht="11.25">
      <c r="A218" s="991"/>
      <c r="B218" s="1662"/>
      <c r="D218" s="1662"/>
      <c r="J218" s="1666"/>
      <c r="K218" s="1666"/>
      <c r="L218" s="1662"/>
      <c r="O218" s="1662"/>
      <c r="P218" s="1662"/>
      <c r="Q218" s="1662"/>
      <c r="R218" s="1662"/>
      <c r="T218" s="1662"/>
      <c r="U218" s="1662"/>
      <c r="V218" s="1662"/>
      <c r="W218" s="1662"/>
      <c r="X218" s="1662"/>
      <c r="Y218" s="1662"/>
      <c r="Z218" s="1662"/>
      <c r="AA218" s="1662"/>
      <c r="AB218" s="1662"/>
      <c r="AC218" s="1662"/>
      <c r="AD218" s="1662"/>
      <c r="AE218" s="1662"/>
      <c r="AF218" s="1662"/>
    </row>
  </sheetData>
  <sheetProtection formatColumns="0" formatRows="0" autoFilter="0" sort="0" insertRows="0" insertColumns="1" deleteRows="0" deleteColumns="0"/>
  <mergeCells count="8">
    <mergeCell ref="F48:K48"/>
    <mergeCell ref="F49:K49"/>
    <mergeCell ref="E6:I6"/>
    <mergeCell ref="E7:I7"/>
    <mergeCell ref="F10:G10"/>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K33">
      <formula1>900</formula1>
    </dataValidation>
    <dataValidation type="decimal" allowBlank="1" showErrorMessage="1" errorTitle="Ошибка" error="Допускается ввод только неотрицательных чисел!" sqref="H38:J39 H2:J2 H15:J15 H17:J32 H35:J35 H44:J46 K2 K15 K17 K18 K19 K20 K21 K22 K23 K24 K25 K26 K27 K28 K29 K30 K31 K32 K35 K38 K39 K44 K45 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J43 K43">
      <formula1>900</formula1>
    </dataValidation>
    <dataValidation type="decimal" allowBlank="1" showErrorMessage="1" errorTitle="Ошибка" error="Допускается ввод только действительных чисел!" sqref="H36:J37 K36 K37">
      <formula1>-9.99999999999999E+23</formula1>
      <formula2>9.99999999999999E+23</formula2>
    </dataValidation>
    <dataValidation type="decimal" allowBlank="1" showErrorMessage="1" errorTitle="Ошибка" error="Допускается ввод только действительных чисел!" sqref="H40:J42 K40 K41 K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D7E48-512F-57C6-54AD-66A3E773A799}" mc:Ignorable="x14ac xr xr2 xr3">
  <sheetPr>
    <tabColor theme="9" tint="-0.25"/>
  </sheetPr>
  <dimension ref="A1:AF209"/>
  <sheetViews>
    <sheetView topLeftCell="D5" showGridLines="0" zoomScale="90" workbookViewId="0">
      <selection activeCell="J1" sqref="J1:J1048576"/>
    </sheetView>
  </sheetViews>
  <sheetFormatPr defaultColWidth="9.140625" customHeight="1" defaultRowHeight="11.25"/>
  <cols>
    <col min="1" max="1" style="988" width="10.7109375" hidden="1" customWidth="1"/>
    <col min="2" max="2" style="1389" width="16.8515625" hidden="1" customWidth="1"/>
    <col min="3" max="3" style="1673" width="5.57421875" hidden="1" customWidth="1"/>
    <col min="4" max="4" style="1666" width="3.7109375" customWidth="1"/>
    <col min="5" max="5" style="1666" width="7.7109375" customWidth="1"/>
    <col min="6" max="6" style="1666" width="54.57421875" customWidth="1"/>
    <col min="7" max="7" style="1666" width="10.421875" customWidth="1"/>
    <col min="8" max="8" style="1666" width="40.7109375" hidden="1" customWidth="1"/>
    <col min="9" max="10" style="1666" width="40.7109375" customWidth="1"/>
    <col min="11" max="11" style="1666" width="40.7109375" hidden="1" customWidth="1"/>
    <col min="12" max="12" style="1389" width="9.7109375" customWidth="1"/>
    <col min="13" max="13" style="1673" width="5.28125" customWidth="1"/>
    <col min="14" max="14" style="1673" width="3.7109375" customWidth="1"/>
    <col min="15" max="18" style="1389" width="3.7109375" customWidth="1"/>
    <col min="19" max="19" style="1673" width="10.57421875" customWidth="1"/>
    <col min="20" max="20" style="1389" width="34.7109375" customWidth="1"/>
    <col min="21" max="21" style="1389" width="9.421875" customWidth="1"/>
    <col min="22" max="22" style="734" width="9.140625"/>
    <col min="23" max="27" style="1389" width="9.140625"/>
    <col min="28" max="32" style="1663" width="9.140625"/>
  </cols>
  <sheetData>
    <row s="1389" customFormat="1" customHeight="1" ht="11.25" hidden="1">
      <c r="A1" s="988"/>
      <c r="C1" s="1667"/>
      <c r="D1" s="535"/>
      <c r="H1" s="1161">
        <v>4</v>
      </c>
      <c r="I1" s="1161">
        <v>4</v>
      </c>
      <c r="J1" s="1389">
        <v>4</v>
      </c>
      <c r="K1" s="1389">
        <v>4</v>
      </c>
      <c r="M1" s="1667"/>
      <c r="N1" s="1667"/>
      <c r="S1" s="1667"/>
    </row>
    <row s="1389" customFormat="1" customHeight="1" ht="22.5" hidden="1">
      <c r="A2" s="988"/>
      <c r="C2" s="1667"/>
      <c r="D2" s="536"/>
      <c r="E2" s="1689"/>
      <c r="F2" s="538"/>
      <c r="G2" s="1688" t="s">
        <v>1716</v>
      </c>
      <c r="H2" s="539"/>
      <c r="I2" s="539"/>
      <c r="J2" s="749"/>
      <c r="K2" s="749"/>
      <c r="L2" s="541"/>
      <c r="M2" s="1667"/>
      <c r="N2" s="1667"/>
      <c r="S2" s="1667"/>
      <c r="V2" s="542"/>
      <c r="AB2" s="1663"/>
      <c r="AC2" s="1663"/>
      <c r="AD2" s="1663"/>
      <c r="AE2" s="1663"/>
      <c r="AF2" s="1663"/>
    </row>
    <row customHeight="1" ht="11.25" hidden="1">
      <c r="J3" s="1666"/>
      <c r="K3" s="1666"/>
    </row>
    <row s="1663" customFormat="1" customHeight="1" ht="11.25" hidden="1">
      <c r="A4" s="988"/>
      <c r="B4" s="1161"/>
      <c r="C4" s="1667"/>
      <c r="D4" s="352"/>
      <c r="J4" s="1663"/>
      <c r="K4" s="1663"/>
      <c r="L4" s="1161"/>
      <c r="M4" s="1667"/>
      <c r="N4" s="1667"/>
      <c r="O4" s="1161"/>
      <c r="P4" s="1161"/>
      <c r="Q4" s="1161"/>
      <c r="R4" s="1161"/>
      <c r="S4" s="1667"/>
      <c r="T4" s="1161"/>
      <c r="U4" s="1161"/>
      <c r="V4" s="542"/>
      <c r="W4" s="1161"/>
      <c r="X4" s="1161"/>
      <c r="Y4" s="1161"/>
      <c r="Z4" s="1161"/>
      <c r="AA4" s="1161"/>
    </row>
    <row customHeight="1" ht="11.25">
      <c r="J5" s="1666"/>
      <c r="K5" s="1666"/>
    </row>
    <row customHeight="1" ht="24">
      <c r="E6" s="2150" t="s">
        <v>1795</v>
      </c>
      <c r="F6" s="2151"/>
      <c r="G6" s="2151"/>
      <c r="H6" s="2151"/>
      <c r="I6" s="2152"/>
      <c r="J6" s="2151"/>
      <c r="K6" s="2151"/>
    </row>
    <row customHeight="1" ht="24">
      <c r="E7" s="2153" t="str">
        <f>IF(org=0,"Не определено",org)</f>
        <v>ПАО "ТГК-2"</v>
      </c>
      <c r="F7" s="2154"/>
      <c r="G7" s="2154"/>
      <c r="H7" s="2154"/>
      <c r="I7" s="2155"/>
      <c r="J7" s="2154"/>
      <c r="K7" s="2154"/>
    </row>
    <row customHeight="1" ht="11.25">
      <c r="E8" s="1136"/>
      <c r="F8" s="1136"/>
      <c r="G8" s="1136"/>
      <c r="H8" s="1136"/>
      <c r="I8" s="1136"/>
      <c r="J8" s="1137"/>
      <c r="K8" s="1137"/>
    </row>
    <row s="1673" customFormat="1" customHeight="1" ht="0.75">
      <c r="A9" s="1168"/>
      <c r="D9" s="1673"/>
      <c r="H9" s="888"/>
      <c r="I9" s="888" t="s">
        <v>117</v>
      </c>
      <c r="J9" s="888" t="s">
        <v>122</v>
      </c>
      <c r="K9" s="888"/>
    </row>
    <row customHeight="1" ht="11.25">
      <c r="E10" s="708"/>
      <c r="F10" s="2290" t="s">
        <v>104</v>
      </c>
      <c r="G10" s="2291"/>
      <c r="H10" s="1690" t="str">
        <f>IF(H9="","",INDEX(DIFFERENTIATION_UNMERGE_VD,MATCH(H9,DIFFERENTIATION_ID_DIFF,0)))</f>
        <v/>
      </c>
      <c r="I10" s="1690" t="str">
        <f>IF(I9="","",INDEX(DIFFERENTIATION_UNMERGE_VD,MATCH(I9,DIFFERENTIATION_ID_DIFF,0)))</f>
        <v>Холодное водоснабжение. Техническая вода</v>
      </c>
      <c r="J10" s="2329" t="str">
        <f>IF(J9="","",INDEX(DIFFERENTIATION_UNMERGE_VD,MATCH(J9,DIFFERENTIATION_ID_DIFF,0)))</f>
        <v>Холодное водоснабжение. Техническая вода</v>
      </c>
      <c r="K10" s="2329" t="str">
        <f>IF(K9="","",INDEX(DIFFERENTIATION_UNMERGE_VD,MATCH(K9,DIFFERENTIATION_ID_DIFF,0)))</f>
        <v/>
      </c>
    </row>
    <row customHeight="1" ht="11.25">
      <c r="E11" s="708"/>
      <c r="F11" s="2290" t="s">
        <v>415</v>
      </c>
      <c r="G11" s="2291"/>
      <c r="H11" s="1690" t="str">
        <f>IF(H9="","",INDEX(DIFFERENTIATION_UNMERGE_AREA,MATCH(H9,DIFFERENTIATION_ID_DIFF,0)))</f>
        <v/>
      </c>
      <c r="I11" s="1690" t="str">
        <f>IF(I9="","",INDEX(DIFFERENTIATION_UNMERGE_AREA,MATCH(I9,DIFFERENTIATION_ID_DIFF,0)))</f>
        <v>городской округ город Кострома</v>
      </c>
      <c r="J11" s="2329" t="str">
        <f>IF(J9="","",INDEX(DIFFERENTIATION_UNMERGE_AREA,MATCH(J9,DIFFERENTIATION_ID_DIFF,0)))</f>
        <v>городской округ город Кострома</v>
      </c>
      <c r="K11" s="2329" t="str">
        <f>IF(K9="","",INDEX(DIFFERENTIATION_UNMERGE_AREA,MATCH(K9,DIFFERENTIATION_ID_DIFF,0)))</f>
        <v/>
      </c>
    </row>
    <row customHeight="1" ht="11.25" hidden="1">
      <c r="E12" s="1693"/>
      <c r="F12" s="2326" t="s">
        <v>416</v>
      </c>
      <c r="G12" s="2327"/>
      <c r="H12" s="1694" t="str">
        <f>IF(H9="","",INDEX(DIFFERENTIATION_UNMERGE_SYSTEM,MATCH(H9,DIFFERENTIATION_ID_DIFF,0)))</f>
        <v/>
      </c>
      <c r="I12" s="1694" t="str">
        <f>IF(I9="","",INDEX(DIFFERENTIATION_UNMERGE_SYSTEM,MATCH(I9,DIFFERENTIATION_ID_DIFF,0)))</f>
        <v>система холодного водоснабжения Костромской ТЭЦ-1</v>
      </c>
      <c r="J12" s="1694" t="str">
        <f>IF(J9="","",INDEX(DIFFERENTIATION_UNMERGE_SYSTEM,MATCH(J9,DIFFERENTIATION_ID_DIFF,0)))</f>
        <v>система холодного водоснабжения Костромской ТЭЦ-2</v>
      </c>
      <c r="K12" s="1694" t="str">
        <f>IF(K9="","",INDEX(DIFFERENTIATION_UNMERGE_SYSTEM,MATCH(K9,DIFFERENTIATION_ID_DIFF,0)))</f>
        <v/>
      </c>
    </row>
    <row customHeight="1" ht="11.25">
      <c r="E13" s="2292" t="s">
        <v>290</v>
      </c>
      <c r="F13" s="2293"/>
      <c r="G13" s="2293"/>
      <c r="H13" s="1687"/>
      <c r="I13" s="1687"/>
      <c r="J13" s="2290"/>
      <c r="K13" s="2290"/>
    </row>
    <row customHeight="1" ht="22.5">
      <c r="E14" s="1688" t="s">
        <v>87</v>
      </c>
      <c r="F14" s="1691" t="s">
        <v>292</v>
      </c>
      <c r="G14" s="1691" t="s">
        <v>1614</v>
      </c>
      <c r="H14" s="1691" t="s">
        <v>293</v>
      </c>
      <c r="I14" s="1691" t="s">
        <v>293</v>
      </c>
      <c r="J14" s="2017" t="s">
        <v>293</v>
      </c>
      <c r="K14" s="2017" t="s">
        <v>293</v>
      </c>
    </row>
    <row customHeight="1" ht="18.75">
      <c r="D15" s="1669"/>
      <c r="E15" s="1661" t="s">
        <v>108</v>
      </c>
      <c r="F15" s="704" t="s">
        <v>1796</v>
      </c>
      <c r="G15" s="1688" t="s">
        <v>1716</v>
      </c>
      <c r="H15" s="555"/>
      <c r="I15" s="555"/>
      <c r="J15" s="555"/>
      <c r="K15" s="555"/>
      <c r="L15" s="541" t="s">
        <v>1762</v>
      </c>
    </row>
    <row customHeight="1" ht="22.5">
      <c r="D16" s="1669"/>
      <c r="E16" s="1661" t="s">
        <v>109</v>
      </c>
      <c r="F16" s="1696" t="s">
        <v>1797</v>
      </c>
      <c r="G16" s="1688" t="s">
        <v>1716</v>
      </c>
      <c r="H16" s="556">
        <f>SUM(H17,H20:H27)</f>
        <v>0</v>
      </c>
      <c r="I16" s="556">
        <f>SUM(I17,I20:I27)</f>
        <v>0</v>
      </c>
      <c r="J16" s="556">
        <f>SUM(J17,J20:J27)</f>
        <v>0</v>
      </c>
      <c r="K16" s="556">
        <f>SUM(K17,K20:K27)</f>
        <v>0</v>
      </c>
      <c r="L16" s="541" t="s">
        <v>1762</v>
      </c>
    </row>
    <row customHeight="1" ht="33.75">
      <c r="D17" s="1669"/>
      <c r="E17" s="1695" t="s">
        <v>453</v>
      </c>
      <c r="F17" s="1698" t="s">
        <v>1798</v>
      </c>
      <c r="G17" s="1685" t="s">
        <v>1716</v>
      </c>
      <c r="H17" s="555"/>
      <c r="I17" s="555"/>
      <c r="J17" s="555"/>
      <c r="K17" s="555"/>
      <c r="L17" s="541"/>
    </row>
    <row customHeight="1" ht="18.75">
      <c r="D18" s="1669"/>
      <c r="E18" s="1695" t="s">
        <v>455</v>
      </c>
      <c r="F18" s="1699" t="s">
        <v>1799</v>
      </c>
      <c r="G18" s="1685" t="s">
        <v>1716</v>
      </c>
      <c r="H18" s="555"/>
      <c r="I18" s="555"/>
      <c r="J18" s="555"/>
      <c r="K18" s="555"/>
      <c r="L18" s="541"/>
    </row>
    <row customHeight="1" ht="22.5">
      <c r="D19" s="1669"/>
      <c r="E19" s="1695" t="s">
        <v>1766</v>
      </c>
      <c r="F19" s="1699" t="s">
        <v>1800</v>
      </c>
      <c r="G19" s="1685" t="s">
        <v>1716</v>
      </c>
      <c r="H19" s="555"/>
      <c r="I19" s="555"/>
      <c r="J19" s="555"/>
      <c r="K19" s="555"/>
      <c r="L19" s="541"/>
    </row>
    <row customHeight="1" ht="33.75">
      <c r="D20" s="1669"/>
      <c r="E20" s="1695" t="s">
        <v>297</v>
      </c>
      <c r="F20" s="1698" t="s">
        <v>1801</v>
      </c>
      <c r="G20" s="1685" t="s">
        <v>1716</v>
      </c>
      <c r="H20" s="555"/>
      <c r="I20" s="555"/>
      <c r="J20" s="555"/>
      <c r="K20" s="555"/>
      <c r="L20" s="541"/>
    </row>
    <row customHeight="1" ht="33.75">
      <c r="D21" s="1669"/>
      <c r="E21" s="1695" t="s">
        <v>300</v>
      </c>
      <c r="F21" s="1698" t="s">
        <v>1802</v>
      </c>
      <c r="G21" s="1685" t="s">
        <v>1716</v>
      </c>
      <c r="H21" s="555"/>
      <c r="I21" s="555"/>
      <c r="J21" s="555"/>
      <c r="K21" s="555"/>
      <c r="L21" s="541"/>
    </row>
    <row customHeight="1" ht="56.25">
      <c r="D22" s="1669"/>
      <c r="E22" s="1695" t="s">
        <v>1365</v>
      </c>
      <c r="F22" s="1698" t="s">
        <v>1803</v>
      </c>
      <c r="G22" s="1685" t="s">
        <v>1716</v>
      </c>
      <c r="H22" s="555"/>
      <c r="I22" s="555"/>
      <c r="J22" s="555"/>
      <c r="K22" s="555"/>
      <c r="L22" s="541"/>
    </row>
    <row customHeight="1" ht="33.75">
      <c r="D23" s="1669"/>
      <c r="E23" s="1695" t="s">
        <v>1367</v>
      </c>
      <c r="F23" s="1698" t="s">
        <v>1804</v>
      </c>
      <c r="G23" s="1685" t="s">
        <v>1716</v>
      </c>
      <c r="H23" s="555"/>
      <c r="I23" s="555"/>
      <c r="J23" s="555"/>
      <c r="K23" s="555"/>
      <c r="L23" s="541"/>
    </row>
    <row customHeight="1" ht="33.75">
      <c r="D24" s="1669"/>
      <c r="E24" s="1695" t="s">
        <v>1381</v>
      </c>
      <c r="F24" s="1698" t="s">
        <v>1805</v>
      </c>
      <c r="G24" s="1685" t="s">
        <v>1716</v>
      </c>
      <c r="H24" s="555"/>
      <c r="I24" s="555"/>
      <c r="J24" s="555"/>
      <c r="K24" s="555"/>
      <c r="L24" s="541"/>
    </row>
    <row customHeight="1" ht="22.5">
      <c r="D25" s="1669"/>
      <c r="E25" s="1695" t="s">
        <v>1392</v>
      </c>
      <c r="F25" s="1698" t="s">
        <v>1806</v>
      </c>
      <c r="G25" s="1685" t="s">
        <v>1716</v>
      </c>
      <c r="H25" s="555"/>
      <c r="I25" s="555"/>
      <c r="J25" s="555"/>
      <c r="K25" s="555"/>
      <c r="L25" s="541"/>
    </row>
    <row customHeight="1" ht="67.5">
      <c r="D26" s="1669"/>
      <c r="E26" s="1695" t="s">
        <v>1403</v>
      </c>
      <c r="F26" s="1698" t="s">
        <v>1807</v>
      </c>
      <c r="G26" s="1685" t="s">
        <v>1716</v>
      </c>
      <c r="H26" s="555"/>
      <c r="I26" s="555"/>
      <c r="J26" s="555"/>
      <c r="K26" s="555"/>
      <c r="L26" s="541"/>
    </row>
    <row s="1389" customFormat="1" customHeight="1" ht="22.5">
      <c r="A27" s="988"/>
      <c r="C27" s="1667"/>
      <c r="D27" s="1669"/>
      <c r="E27" s="1660" t="s">
        <v>1411</v>
      </c>
      <c r="F27" s="1659" t="s">
        <v>1808</v>
      </c>
      <c r="G27" s="1686" t="s">
        <v>1716</v>
      </c>
      <c r="H27" s="577">
        <f>SUM(H28:H29)</f>
        <v>0</v>
      </c>
      <c r="I27" s="577">
        <f>SUM(I28:I29)</f>
        <v>0</v>
      </c>
      <c r="J27" s="577">
        <f>SUM(J28:J29)</f>
        <v>0</v>
      </c>
      <c r="K27" s="577">
        <f>SUM(K28:K29)</f>
        <v>0</v>
      </c>
      <c r="L27" s="541"/>
      <c r="M27" s="1667"/>
      <c r="N27" s="1667"/>
      <c r="S27" s="1667"/>
      <c r="V27" s="542"/>
      <c r="AB27" s="1663"/>
      <c r="AC27" s="1663"/>
      <c r="AD27" s="1663"/>
      <c r="AE27" s="1663"/>
      <c r="AF27" s="1663"/>
    </row>
    <row s="1673" customFormat="1" customHeight="1" ht="0.75">
      <c r="A28" s="1168"/>
      <c r="D28" s="546"/>
      <c r="E28" s="800" t="str">
        <f>E27&amp;".0"</f>
        <v>2.9.0</v>
      </c>
      <c r="F28" s="992"/>
      <c r="G28" s="549"/>
      <c r="H28" s="993"/>
      <c r="I28" s="993"/>
      <c r="J28" s="993"/>
      <c r="K28" s="993"/>
    </row>
    <row s="1389" customFormat="1" customHeight="1" ht="18.75">
      <c r="A29" s="988"/>
      <c r="C29" s="1667"/>
      <c r="D29" s="1664"/>
      <c r="E29" s="568"/>
      <c r="F29" s="1697" t="s">
        <v>1733</v>
      </c>
      <c r="G29" s="570"/>
      <c r="H29" s="571"/>
      <c r="I29" s="571"/>
      <c r="J29" s="2450"/>
      <c r="K29" s="2451"/>
      <c r="L29" s="541"/>
      <c r="M29" s="1667"/>
      <c r="N29" s="1667"/>
      <c r="S29" s="1667"/>
      <c r="V29" s="542"/>
      <c r="AB29" s="1663"/>
      <c r="AC29" s="1663"/>
      <c r="AD29" s="1663"/>
      <c r="AE29" s="1663"/>
      <c r="AF29" s="1663"/>
    </row>
    <row s="1389" customFormat="1" customHeight="1" ht="22.5">
      <c r="A30" s="988"/>
      <c r="C30" s="1667"/>
      <c r="D30" s="1669"/>
      <c r="E30" s="1695" t="s">
        <v>89</v>
      </c>
      <c r="F30" s="1692" t="s">
        <v>1809</v>
      </c>
      <c r="G30" s="1685" t="s">
        <v>1716</v>
      </c>
      <c r="H30" s="555"/>
      <c r="I30" s="555"/>
      <c r="J30" s="555"/>
      <c r="K30" s="555"/>
      <c r="L30" s="541"/>
      <c r="M30" s="1667"/>
      <c r="N30" s="1667"/>
      <c r="S30" s="1667"/>
      <c r="V30" s="542"/>
      <c r="AB30" s="1663"/>
      <c r="AC30" s="1663"/>
      <c r="AD30" s="1663"/>
      <c r="AE30" s="1663"/>
      <c r="AF30" s="1663"/>
    </row>
    <row s="1389" customFormat="1" customHeight="1" ht="33.75">
      <c r="A31" s="988"/>
      <c r="C31" s="1667"/>
      <c r="D31" s="573"/>
      <c r="E31" s="1695" t="s">
        <v>90</v>
      </c>
      <c r="F31" s="1692" t="s">
        <v>1810</v>
      </c>
      <c r="G31" s="1685" t="s">
        <v>1716</v>
      </c>
      <c r="H31" s="555"/>
      <c r="I31" s="555"/>
      <c r="J31" s="555"/>
      <c r="K31" s="555"/>
      <c r="L31" s="541"/>
      <c r="M31" s="1667"/>
      <c r="N31" s="1667"/>
      <c r="S31" s="1667"/>
      <c r="V31" s="542"/>
      <c r="AB31" s="1663"/>
      <c r="AC31" s="1663"/>
      <c r="AD31" s="1663"/>
      <c r="AE31" s="1663"/>
      <c r="AF31" s="1663"/>
    </row>
    <row s="1389" customFormat="1" customHeight="1" ht="22.5">
      <c r="A32" s="988"/>
      <c r="C32" s="1667"/>
      <c r="D32" s="1669"/>
      <c r="E32" s="1695" t="s">
        <v>1464</v>
      </c>
      <c r="F32" s="687" t="s">
        <v>1785</v>
      </c>
      <c r="G32" s="1685" t="s">
        <v>1716</v>
      </c>
      <c r="H32" s="555"/>
      <c r="I32" s="555"/>
      <c r="J32" s="555"/>
      <c r="K32" s="555"/>
      <c r="L32" s="541"/>
      <c r="M32" s="1667"/>
      <c r="N32" s="1667"/>
      <c r="S32" s="1667"/>
      <c r="V32" s="542"/>
      <c r="AB32" s="1663"/>
      <c r="AC32" s="1663"/>
      <c r="AD32" s="1663"/>
      <c r="AE32" s="1663"/>
      <c r="AF32" s="1663"/>
    </row>
    <row s="1389" customFormat="1" customHeight="1" ht="22.5">
      <c r="A33" s="988"/>
      <c r="C33" s="1667"/>
      <c r="D33" s="1669"/>
      <c r="E33" s="1695" t="s">
        <v>1481</v>
      </c>
      <c r="F33" s="687" t="s">
        <v>1811</v>
      </c>
      <c r="G33" s="1685" t="s">
        <v>1716</v>
      </c>
      <c r="H33" s="555"/>
      <c r="I33" s="555"/>
      <c r="J33" s="555"/>
      <c r="K33" s="555"/>
      <c r="L33" s="541"/>
      <c r="M33" s="1667"/>
      <c r="N33" s="1667"/>
      <c r="S33" s="1667"/>
      <c r="V33" s="542"/>
      <c r="AB33" s="1663"/>
      <c r="AC33" s="1663"/>
      <c r="AD33" s="1663"/>
      <c r="AE33" s="1663"/>
      <c r="AF33" s="1663"/>
    </row>
    <row s="1389" customFormat="1" customHeight="1" ht="22.5">
      <c r="A34" s="988"/>
      <c r="C34" s="1667"/>
      <c r="D34" s="1669"/>
      <c r="E34" s="1695" t="s">
        <v>1629</v>
      </c>
      <c r="F34" s="687" t="s">
        <v>1788</v>
      </c>
      <c r="G34" s="1685" t="s">
        <v>1716</v>
      </c>
      <c r="H34" s="555"/>
      <c r="I34" s="555"/>
      <c r="J34" s="555"/>
      <c r="K34" s="555"/>
      <c r="L34" s="541"/>
      <c r="M34" s="1667"/>
      <c r="N34" s="1667"/>
      <c r="S34" s="1667"/>
      <c r="V34" s="542"/>
      <c r="AB34" s="1663"/>
      <c r="AC34" s="1663"/>
      <c r="AD34" s="1663"/>
      <c r="AE34" s="1663"/>
      <c r="AF34" s="1663"/>
    </row>
    <row s="1389" customFormat="1" customHeight="1" ht="33.75">
      <c r="A35" s="988"/>
      <c r="C35" s="1667" t="s">
        <v>1742</v>
      </c>
      <c r="D35" s="1669"/>
      <c r="E35" s="1695" t="s">
        <v>110</v>
      </c>
      <c r="F35" s="1692" t="s">
        <v>1487</v>
      </c>
      <c r="G35" s="1688" t="s">
        <v>296</v>
      </c>
      <c r="H35" s="399"/>
      <c r="I35" s="399"/>
      <c r="J35" s="816"/>
      <c r="K35" s="816"/>
      <c r="L35" s="541"/>
      <c r="M35" s="1667"/>
      <c r="N35" s="1667"/>
      <c r="S35" s="1667"/>
      <c r="V35" s="542"/>
      <c r="AB35" s="1663"/>
      <c r="AC35" s="1663"/>
      <c r="AD35" s="1663"/>
      <c r="AE35" s="1663"/>
      <c r="AF35" s="1663"/>
    </row>
    <row s="1389" customFormat="1" customHeight="1" ht="22.5">
      <c r="A36" s="988"/>
      <c r="C36" s="1667"/>
      <c r="D36" s="1669"/>
      <c r="E36" s="1695" t="s">
        <v>91</v>
      </c>
      <c r="F36" s="1692" t="s">
        <v>1812</v>
      </c>
      <c r="G36" s="1685" t="s">
        <v>1791</v>
      </c>
      <c r="H36" s="543"/>
      <c r="I36" s="543"/>
      <c r="J36" s="543"/>
      <c r="K36" s="543"/>
      <c r="L36" s="541"/>
      <c r="M36" s="1667"/>
      <c r="N36" s="1667"/>
      <c r="S36" s="1667"/>
      <c r="V36" s="542"/>
      <c r="AB36" s="1663"/>
      <c r="AC36" s="1663"/>
      <c r="AD36" s="1663"/>
      <c r="AE36" s="1663"/>
      <c r="AF36" s="1663"/>
    </row>
    <row s="1389" customFormat="1" customHeight="1" ht="22.5">
      <c r="A37" s="988"/>
      <c r="C37" s="1667"/>
      <c r="D37" s="1669"/>
      <c r="E37" s="1695" t="s">
        <v>92</v>
      </c>
      <c r="F37" s="1692" t="s">
        <v>1813</v>
      </c>
      <c r="G37" s="1685" t="s">
        <v>1793</v>
      </c>
      <c r="H37" s="543"/>
      <c r="I37" s="543"/>
      <c r="J37" s="543"/>
      <c r="K37" s="543"/>
      <c r="L37" s="541"/>
      <c r="M37" s="1667"/>
      <c r="N37" s="1667"/>
      <c r="S37" s="1667"/>
      <c r="V37" s="542"/>
      <c r="AB37" s="1663"/>
      <c r="AC37" s="1663"/>
      <c r="AD37" s="1663"/>
      <c r="AE37" s="1663"/>
      <c r="AF37" s="1663"/>
    </row>
    <row customHeight="1" ht="11.25">
      <c r="D38" s="1669"/>
      <c r="J38" s="1666"/>
      <c r="K38" s="1666"/>
    </row>
    <row customHeight="1" ht="26.25">
      <c r="D39" s="1669"/>
      <c r="E39" s="1266" t="s">
        <v>507</v>
      </c>
      <c r="F39" s="2200" t="s">
        <v>1814</v>
      </c>
      <c r="G39" s="2200"/>
      <c r="H39" s="2200"/>
      <c r="I39" s="2200"/>
      <c r="J39" s="2287"/>
      <c r="K39" s="2287"/>
    </row>
    <row s="1672" customFormat="1" customHeight="1" ht="37.5">
      <c r="A40" s="988"/>
      <c r="B40" s="1667"/>
      <c r="C40" s="1667"/>
      <c r="D40" s="339"/>
      <c r="F40" s="2200" t="s">
        <v>1815</v>
      </c>
      <c r="G40" s="2200"/>
      <c r="H40" s="2200"/>
      <c r="I40" s="2200"/>
      <c r="J40" s="2287"/>
      <c r="K40" s="2287"/>
      <c r="L40" s="1161"/>
      <c r="M40" s="1667"/>
      <c r="N40" s="1667"/>
      <c r="O40" s="1161"/>
      <c r="P40" s="1161"/>
      <c r="Q40" s="1161"/>
      <c r="R40" s="1161"/>
      <c r="S40" s="1667"/>
      <c r="T40" s="1161"/>
      <c r="U40" s="1161"/>
      <c r="V40" s="542"/>
      <c r="W40" s="1161"/>
      <c r="X40" s="1161"/>
      <c r="Y40" s="1161"/>
      <c r="Z40" s="1161"/>
      <c r="AA40" s="1161"/>
      <c r="AB40" s="1663"/>
      <c r="AC40" s="564"/>
      <c r="AD40" s="564"/>
      <c r="AE40" s="564"/>
      <c r="AF40" s="564"/>
    </row>
    <row s="1672" customFormat="1" customHeight="1" ht="11.25">
      <c r="A41" s="988"/>
      <c r="B41" s="1667"/>
      <c r="C41" s="1667"/>
      <c r="D41" s="339"/>
      <c r="J41" s="1672"/>
      <c r="K41" s="1672"/>
      <c r="L41" s="1161"/>
      <c r="M41" s="1667"/>
      <c r="N41" s="1667"/>
      <c r="O41" s="1161"/>
      <c r="P41" s="1161"/>
      <c r="Q41" s="1161"/>
      <c r="R41" s="1161"/>
      <c r="S41" s="1667"/>
      <c r="T41" s="1161"/>
      <c r="U41" s="1161"/>
      <c r="V41" s="542"/>
      <c r="W41" s="1161"/>
      <c r="X41" s="1161"/>
      <c r="Y41" s="1161"/>
      <c r="Z41" s="1161"/>
      <c r="AA41" s="1161"/>
      <c r="AB41" s="1663"/>
      <c r="AC41" s="564"/>
      <c r="AD41" s="564"/>
      <c r="AE41" s="564"/>
      <c r="AF41" s="564"/>
    </row>
    <row s="1672" customFormat="1" customHeight="1" ht="11.25">
      <c r="A42" s="988"/>
      <c r="B42" s="1667"/>
      <c r="C42" s="1667"/>
      <c r="D42" s="339"/>
      <c r="J42" s="1672"/>
      <c r="K42" s="1672"/>
      <c r="L42" s="1161"/>
      <c r="M42" s="1667"/>
      <c r="N42" s="1667"/>
      <c r="O42" s="1161"/>
      <c r="P42" s="1161"/>
      <c r="Q42" s="1161"/>
      <c r="R42" s="1161"/>
      <c r="S42" s="1667"/>
      <c r="T42" s="1161"/>
      <c r="U42" s="1161"/>
      <c r="V42" s="542"/>
      <c r="W42" s="1161"/>
      <c r="X42" s="1161"/>
      <c r="Y42" s="1161"/>
      <c r="Z42" s="1161"/>
      <c r="AA42" s="1161"/>
      <c r="AB42" s="1663"/>
      <c r="AC42" s="564"/>
      <c r="AD42" s="564"/>
      <c r="AE42" s="564"/>
      <c r="AF42" s="564"/>
    </row>
    <row s="1672" customFormat="1" customHeight="1" ht="11.25">
      <c r="A43" s="988"/>
      <c r="B43" s="1667"/>
      <c r="C43" s="1667"/>
      <c r="D43" s="339"/>
      <c r="H43" s="564"/>
      <c r="I43" s="564"/>
      <c r="J43" s="620"/>
      <c r="K43" s="620"/>
      <c r="L43" s="1161"/>
      <c r="M43" s="1667"/>
      <c r="N43" s="1667"/>
      <c r="O43" s="1161"/>
      <c r="P43" s="1161"/>
      <c r="Q43" s="1161"/>
      <c r="R43" s="1161"/>
      <c r="S43" s="1667"/>
      <c r="T43" s="1161"/>
      <c r="U43" s="1161"/>
      <c r="V43" s="542"/>
      <c r="W43" s="1161"/>
      <c r="X43" s="1161"/>
      <c r="Y43" s="1161"/>
      <c r="Z43" s="1161"/>
      <c r="AA43" s="1161"/>
      <c r="AB43" s="1663"/>
      <c r="AC43" s="564"/>
      <c r="AD43" s="564"/>
      <c r="AE43" s="564"/>
      <c r="AF43" s="564"/>
    </row>
    <row s="1672" customFormat="1" customHeight="1" ht="11.25">
      <c r="A44" s="988"/>
      <c r="B44" s="1667"/>
      <c r="C44" s="1667"/>
      <c r="D44" s="339"/>
      <c r="J44" s="1672"/>
      <c r="K44" s="1672"/>
      <c r="L44" s="1161"/>
      <c r="M44" s="1667"/>
      <c r="N44" s="1667"/>
      <c r="O44" s="1161"/>
      <c r="P44" s="1161"/>
      <c r="Q44" s="1161"/>
      <c r="R44" s="1161"/>
      <c r="S44" s="1667"/>
      <c r="T44" s="1161"/>
      <c r="U44" s="1161"/>
      <c r="V44" s="542"/>
      <c r="W44" s="1161"/>
      <c r="X44" s="1161"/>
      <c r="Y44" s="1161"/>
      <c r="Z44" s="1161"/>
      <c r="AA44" s="1161"/>
      <c r="AB44" s="1663"/>
      <c r="AC44" s="564"/>
      <c r="AD44" s="564"/>
      <c r="AE44" s="564"/>
      <c r="AF44" s="564"/>
    </row>
    <row s="1672" customFormat="1" customHeight="1" ht="11.25">
      <c r="A45" s="988"/>
      <c r="B45" s="1667"/>
      <c r="C45" s="1667"/>
      <c r="D45" s="339"/>
      <c r="J45" s="1672"/>
      <c r="K45" s="1672"/>
      <c r="L45" s="1161"/>
      <c r="M45" s="1667"/>
      <c r="N45" s="1667"/>
      <c r="O45" s="1161"/>
      <c r="P45" s="1161"/>
      <c r="Q45" s="1161"/>
      <c r="R45" s="1161"/>
      <c r="S45" s="1667"/>
      <c r="T45" s="1161"/>
      <c r="U45" s="1161"/>
      <c r="V45" s="542"/>
      <c r="W45" s="1161"/>
      <c r="X45" s="1161"/>
      <c r="Y45" s="1161"/>
      <c r="Z45" s="1161"/>
      <c r="AA45" s="1161"/>
      <c r="AB45" s="1663"/>
      <c r="AC45" s="564"/>
      <c r="AD45" s="564"/>
      <c r="AE45" s="564"/>
      <c r="AF45" s="564"/>
    </row>
    <row s="1672" customFormat="1" customHeight="1" ht="11.25">
      <c r="A46" s="988"/>
      <c r="B46" s="1667"/>
      <c r="C46" s="1667"/>
      <c r="D46" s="339"/>
      <c r="J46" s="1672"/>
      <c r="K46" s="1672"/>
      <c r="L46" s="1161"/>
      <c r="M46" s="1667"/>
      <c r="N46" s="1667"/>
      <c r="O46" s="1161"/>
      <c r="P46" s="1161"/>
      <c r="Q46" s="1161"/>
      <c r="R46" s="1161"/>
      <c r="S46" s="1667"/>
      <c r="T46" s="1161"/>
      <c r="U46" s="1161"/>
      <c r="V46" s="542"/>
      <c r="W46" s="1161"/>
      <c r="X46" s="1161"/>
      <c r="Y46" s="1161"/>
      <c r="Z46" s="1161"/>
      <c r="AA46" s="1161"/>
      <c r="AB46" s="1663"/>
      <c r="AC46" s="564"/>
      <c r="AD46" s="564"/>
      <c r="AE46" s="564"/>
      <c r="AF46" s="564"/>
    </row>
    <row s="1672" customFormat="1" customHeight="1" ht="11.25">
      <c r="A47" s="988"/>
      <c r="B47" s="1667"/>
      <c r="C47" s="1667"/>
      <c r="D47" s="339"/>
      <c r="J47" s="1672"/>
      <c r="K47" s="1672"/>
      <c r="L47" s="1161"/>
      <c r="M47" s="1667"/>
      <c r="N47" s="1667"/>
      <c r="O47" s="1161"/>
      <c r="P47" s="1161"/>
      <c r="Q47" s="1161"/>
      <c r="R47" s="1161"/>
      <c r="S47" s="1667"/>
      <c r="T47" s="1161"/>
      <c r="U47" s="1161"/>
      <c r="V47" s="542"/>
      <c r="W47" s="1161"/>
      <c r="X47" s="1161"/>
      <c r="Y47" s="1161"/>
      <c r="Z47" s="1161"/>
      <c r="AA47" s="1161"/>
      <c r="AB47" s="1663"/>
      <c r="AC47" s="564"/>
      <c r="AD47" s="564"/>
      <c r="AE47" s="564"/>
      <c r="AF47" s="564"/>
    </row>
    <row s="1672" customFormat="1" customHeight="1" ht="11.25">
      <c r="A48" s="988"/>
      <c r="B48" s="1667"/>
      <c r="C48" s="1667"/>
      <c r="D48" s="339"/>
      <c r="J48" s="1672"/>
      <c r="K48" s="1672"/>
      <c r="L48" s="1161"/>
      <c r="M48" s="1667"/>
      <c r="N48" s="1667"/>
      <c r="O48" s="1161"/>
      <c r="P48" s="1161"/>
      <c r="Q48" s="1161"/>
      <c r="R48" s="1161"/>
      <c r="S48" s="1667"/>
      <c r="T48" s="1161"/>
      <c r="U48" s="1161"/>
      <c r="V48" s="542"/>
      <c r="W48" s="1161"/>
      <c r="X48" s="1161"/>
      <c r="Y48" s="1161"/>
      <c r="Z48" s="1161"/>
      <c r="AA48" s="1161"/>
      <c r="AB48" s="1663"/>
      <c r="AC48" s="564"/>
      <c r="AD48" s="564"/>
      <c r="AE48" s="564"/>
      <c r="AF48" s="564"/>
    </row>
    <row s="1672" customFormat="1" customHeight="1" ht="11.25">
      <c r="A49" s="988"/>
      <c r="B49" s="1667"/>
      <c r="C49" s="1667"/>
      <c r="D49" s="339"/>
      <c r="J49" s="1672"/>
      <c r="K49" s="1672"/>
      <c r="L49" s="1161"/>
      <c r="M49" s="1667"/>
      <c r="N49" s="1667"/>
      <c r="O49" s="1161"/>
      <c r="P49" s="1161"/>
      <c r="Q49" s="1161"/>
      <c r="R49" s="1161"/>
      <c r="S49" s="1667"/>
      <c r="T49" s="1161"/>
      <c r="U49" s="1161"/>
      <c r="V49" s="542"/>
      <c r="W49" s="1161"/>
      <c r="X49" s="1161"/>
      <c r="Y49" s="1161"/>
      <c r="Z49" s="1161"/>
      <c r="AA49" s="1161"/>
      <c r="AB49" s="1663"/>
      <c r="AC49" s="564"/>
      <c r="AD49" s="564"/>
      <c r="AE49" s="564"/>
      <c r="AF49" s="564"/>
    </row>
    <row s="1672" customFormat="1" customHeight="1" ht="11.25">
      <c r="A50" s="988"/>
      <c r="B50" s="1667"/>
      <c r="C50" s="1667"/>
      <c r="D50" s="339"/>
      <c r="J50" s="1672"/>
      <c r="K50" s="1672"/>
      <c r="L50" s="1161"/>
      <c r="M50" s="1667"/>
      <c r="N50" s="1667"/>
      <c r="O50" s="1161"/>
      <c r="P50" s="1161"/>
      <c r="Q50" s="1161"/>
      <c r="R50" s="1161"/>
      <c r="S50" s="1667"/>
      <c r="T50" s="1161"/>
      <c r="U50" s="1161"/>
      <c r="V50" s="542"/>
      <c r="W50" s="1161"/>
      <c r="X50" s="1161"/>
      <c r="Y50" s="1161"/>
      <c r="Z50" s="1161"/>
      <c r="AA50" s="1161"/>
      <c r="AB50" s="1663"/>
      <c r="AC50" s="564"/>
      <c r="AD50" s="564"/>
      <c r="AE50" s="564"/>
      <c r="AF50" s="564"/>
    </row>
    <row s="1672" customFormat="1" customHeight="1" ht="11.25">
      <c r="A51" s="988"/>
      <c r="B51" s="1667"/>
      <c r="C51" s="1667"/>
      <c r="D51" s="339"/>
      <c r="J51" s="1672"/>
      <c r="K51" s="1672"/>
      <c r="L51" s="1161"/>
      <c r="M51" s="1667"/>
      <c r="N51" s="1667"/>
      <c r="O51" s="1161"/>
      <c r="P51" s="1161"/>
      <c r="Q51" s="1161"/>
      <c r="R51" s="1161"/>
      <c r="S51" s="1667"/>
      <c r="T51" s="1161"/>
      <c r="U51" s="1161"/>
      <c r="V51" s="542"/>
      <c r="W51" s="1161"/>
      <c r="X51" s="1161"/>
      <c r="Y51" s="1161"/>
      <c r="Z51" s="1161"/>
      <c r="AA51" s="1161"/>
      <c r="AB51" s="1663"/>
      <c r="AC51" s="564"/>
      <c r="AD51" s="564"/>
      <c r="AE51" s="564"/>
      <c r="AF51" s="564"/>
    </row>
    <row s="1672" customFormat="1" customHeight="1" ht="11.25">
      <c r="A52" s="988"/>
      <c r="B52" s="1667"/>
      <c r="C52" s="1667"/>
      <c r="D52" s="339"/>
      <c r="J52" s="1672"/>
      <c r="K52" s="1672"/>
      <c r="L52" s="1161"/>
      <c r="M52" s="1667"/>
      <c r="N52" s="1667"/>
      <c r="O52" s="1161"/>
      <c r="P52" s="1161"/>
      <c r="Q52" s="1161"/>
      <c r="R52" s="1161"/>
      <c r="S52" s="1667"/>
      <c r="T52" s="1161"/>
      <c r="U52" s="1161"/>
      <c r="V52" s="542"/>
      <c r="W52" s="1161"/>
      <c r="X52" s="1161"/>
      <c r="Y52" s="1161"/>
      <c r="Z52" s="1161"/>
      <c r="AA52" s="1161"/>
      <c r="AB52" s="1663"/>
      <c r="AC52" s="564"/>
      <c r="AD52" s="564"/>
      <c r="AE52" s="564"/>
      <c r="AF52" s="564"/>
    </row>
    <row s="1672" customFormat="1" customHeight="1" ht="11.25">
      <c r="A53" s="988"/>
      <c r="B53" s="1667"/>
      <c r="C53" s="1667"/>
      <c r="D53" s="339"/>
      <c r="J53" s="1672"/>
      <c r="K53" s="1672"/>
      <c r="L53" s="1161"/>
      <c r="M53" s="1667"/>
      <c r="N53" s="1667"/>
      <c r="O53" s="1161"/>
      <c r="P53" s="1161"/>
      <c r="Q53" s="1161"/>
      <c r="R53" s="1161"/>
      <c r="S53" s="1667"/>
      <c r="T53" s="1161"/>
      <c r="U53" s="1161"/>
      <c r="V53" s="542"/>
      <c r="W53" s="1161"/>
      <c r="X53" s="1161"/>
      <c r="Y53" s="1161"/>
      <c r="Z53" s="1161"/>
      <c r="AA53" s="1161"/>
      <c r="AB53" s="1663"/>
      <c r="AC53" s="564"/>
      <c r="AD53" s="564"/>
      <c r="AE53" s="564"/>
      <c r="AF53" s="564"/>
    </row>
    <row s="1672" customFormat="1" customHeight="1" ht="11.25">
      <c r="A54" s="988"/>
      <c r="B54" s="1667"/>
      <c r="C54" s="1667"/>
      <c r="D54" s="339"/>
      <c r="J54" s="1672"/>
      <c r="K54" s="1672"/>
      <c r="L54" s="1161"/>
      <c r="M54" s="1667"/>
      <c r="N54" s="1667"/>
      <c r="O54" s="1161"/>
      <c r="P54" s="1161"/>
      <c r="Q54" s="1161"/>
      <c r="R54" s="1161"/>
      <c r="S54" s="1667"/>
      <c r="T54" s="1161"/>
      <c r="U54" s="1161"/>
      <c r="V54" s="542"/>
      <c r="W54" s="1161"/>
      <c r="X54" s="1161"/>
      <c r="Y54" s="1161"/>
      <c r="Z54" s="1161"/>
      <c r="AA54" s="1161"/>
      <c r="AB54" s="1663"/>
      <c r="AC54" s="564"/>
      <c r="AD54" s="564"/>
      <c r="AE54" s="564"/>
      <c r="AF54" s="564"/>
    </row>
    <row s="1672" customFormat="1" customHeight="1" ht="11.25">
      <c r="A55" s="988"/>
      <c r="B55" s="1667"/>
      <c r="C55" s="1667"/>
      <c r="D55" s="339"/>
      <c r="J55" s="1672"/>
      <c r="K55" s="1672"/>
      <c r="L55" s="1161"/>
      <c r="M55" s="1667"/>
      <c r="N55" s="1667"/>
      <c r="O55" s="1161"/>
      <c r="P55" s="1161"/>
      <c r="Q55" s="1161"/>
      <c r="R55" s="1161"/>
      <c r="S55" s="1667"/>
      <c r="T55" s="1161"/>
      <c r="U55" s="1161"/>
      <c r="V55" s="542"/>
      <c r="W55" s="1161"/>
      <c r="X55" s="1161"/>
      <c r="Y55" s="1161"/>
      <c r="Z55" s="1161"/>
      <c r="AA55" s="1161"/>
      <c r="AB55" s="1663"/>
      <c r="AC55" s="564"/>
      <c r="AD55" s="564"/>
      <c r="AE55" s="564"/>
      <c r="AF55" s="564"/>
    </row>
    <row s="1672" customFormat="1" customHeight="1" ht="11.25">
      <c r="A56" s="988"/>
      <c r="B56" s="1667"/>
      <c r="C56" s="1667"/>
      <c r="D56" s="339"/>
      <c r="J56" s="1672"/>
      <c r="K56" s="1672"/>
      <c r="L56" s="1161"/>
      <c r="M56" s="1667"/>
      <c r="N56" s="1667"/>
      <c r="O56" s="1161"/>
      <c r="P56" s="1161"/>
      <c r="Q56" s="1161"/>
      <c r="R56" s="1161"/>
      <c r="S56" s="1667"/>
      <c r="T56" s="1161"/>
      <c r="U56" s="1161"/>
      <c r="V56" s="542"/>
      <c r="W56" s="1161"/>
      <c r="X56" s="1161"/>
      <c r="Y56" s="1161"/>
      <c r="Z56" s="1161"/>
      <c r="AA56" s="1161"/>
      <c r="AB56" s="1663"/>
      <c r="AC56" s="564"/>
      <c r="AD56" s="564"/>
      <c r="AE56" s="564"/>
      <c r="AF56" s="564"/>
    </row>
    <row s="1672" customFormat="1" customHeight="1" ht="11.25">
      <c r="A57" s="988"/>
      <c r="B57" s="1667"/>
      <c r="C57" s="1667"/>
      <c r="D57" s="339"/>
      <c r="J57" s="1672"/>
      <c r="K57" s="1672"/>
      <c r="L57" s="1161"/>
      <c r="M57" s="1667"/>
      <c r="N57" s="1667"/>
      <c r="O57" s="1161"/>
      <c r="P57" s="1161"/>
      <c r="Q57" s="1161"/>
      <c r="R57" s="1161"/>
      <c r="S57" s="1667"/>
      <c r="T57" s="1161"/>
      <c r="U57" s="1161"/>
      <c r="V57" s="542"/>
      <c r="W57" s="1161"/>
      <c r="X57" s="1161"/>
      <c r="Y57" s="1161"/>
      <c r="Z57" s="1161"/>
      <c r="AA57" s="1161"/>
      <c r="AB57" s="1663"/>
      <c r="AC57" s="564"/>
      <c r="AD57" s="564"/>
      <c r="AE57" s="564"/>
      <c r="AF57" s="564"/>
    </row>
    <row s="1672" customFormat="1" customHeight="1" ht="11.25">
      <c r="A58" s="988"/>
      <c r="B58" s="1667"/>
      <c r="C58" s="1667"/>
      <c r="D58" s="339"/>
      <c r="J58" s="1672"/>
      <c r="K58" s="1672"/>
      <c r="L58" s="1161"/>
      <c r="M58" s="1667"/>
      <c r="N58" s="1667"/>
      <c r="O58" s="1161"/>
      <c r="P58" s="1161"/>
      <c r="Q58" s="1161"/>
      <c r="R58" s="1161"/>
      <c r="S58" s="1667"/>
      <c r="T58" s="1161"/>
      <c r="U58" s="1161"/>
      <c r="V58" s="542"/>
      <c r="W58" s="1161"/>
      <c r="X58" s="1161"/>
      <c r="Y58" s="1161"/>
      <c r="Z58" s="1161"/>
      <c r="AA58" s="1161"/>
      <c r="AB58" s="1663"/>
      <c r="AC58" s="564"/>
      <c r="AD58" s="564"/>
      <c r="AE58" s="564"/>
      <c r="AF58" s="564"/>
    </row>
    <row s="1672" customFormat="1" customHeight="1" ht="11.25">
      <c r="A59" s="988"/>
      <c r="B59" s="1667"/>
      <c r="C59" s="1667"/>
      <c r="D59" s="339"/>
      <c r="J59" s="1672"/>
      <c r="K59" s="1672"/>
      <c r="L59" s="1161"/>
      <c r="M59" s="1667"/>
      <c r="N59" s="1667"/>
      <c r="O59" s="1161"/>
      <c r="P59" s="1161"/>
      <c r="Q59" s="1161"/>
      <c r="R59" s="1161"/>
      <c r="S59" s="1667"/>
      <c r="T59" s="1161"/>
      <c r="U59" s="1161"/>
      <c r="V59" s="542"/>
      <c r="W59" s="1161"/>
      <c r="X59" s="1161"/>
      <c r="Y59" s="1161"/>
      <c r="Z59" s="1161"/>
      <c r="AA59" s="1161"/>
      <c r="AB59" s="1663"/>
      <c r="AC59" s="564"/>
      <c r="AD59" s="564"/>
      <c r="AE59" s="564"/>
      <c r="AF59" s="564"/>
    </row>
    <row s="1672" customFormat="1" customHeight="1" ht="11.25">
      <c r="A60" s="988"/>
      <c r="B60" s="1667"/>
      <c r="C60" s="1667"/>
      <c r="D60" s="339"/>
      <c r="J60" s="1672"/>
      <c r="K60" s="1672"/>
      <c r="L60" s="1161"/>
      <c r="M60" s="1667"/>
      <c r="N60" s="1667"/>
      <c r="O60" s="1161"/>
      <c r="P60" s="1161"/>
      <c r="Q60" s="1161"/>
      <c r="R60" s="1161"/>
      <c r="S60" s="1667"/>
      <c r="T60" s="1161"/>
      <c r="U60" s="1161"/>
      <c r="V60" s="542"/>
      <c r="W60" s="1161"/>
      <c r="X60" s="1161"/>
      <c r="Y60" s="1161"/>
      <c r="Z60" s="1161"/>
      <c r="AA60" s="1161"/>
      <c r="AB60" s="1663"/>
      <c r="AC60" s="564"/>
      <c r="AD60" s="564"/>
      <c r="AE60" s="564"/>
      <c r="AF60" s="564"/>
    </row>
    <row s="1672" customFormat="1" customHeight="1" ht="11.25">
      <c r="A61" s="988"/>
      <c r="B61" s="1667"/>
      <c r="C61" s="1667"/>
      <c r="D61" s="339"/>
      <c r="J61" s="1672"/>
      <c r="K61" s="1672"/>
      <c r="L61" s="1161"/>
      <c r="M61" s="1667"/>
      <c r="N61" s="1667"/>
      <c r="O61" s="1161"/>
      <c r="P61" s="1161"/>
      <c r="Q61" s="1161"/>
      <c r="R61" s="1161"/>
      <c r="S61" s="1667"/>
      <c r="T61" s="1161"/>
      <c r="U61" s="1161"/>
      <c r="V61" s="542"/>
      <c r="W61" s="1161"/>
      <c r="X61" s="1161"/>
      <c r="Y61" s="1161"/>
      <c r="Z61" s="1161"/>
      <c r="AA61" s="1161"/>
      <c r="AB61" s="1663"/>
      <c r="AC61" s="564"/>
      <c r="AD61" s="564"/>
      <c r="AE61" s="564"/>
      <c r="AF61" s="564"/>
    </row>
    <row s="1672" customFormat="1" customHeight="1" ht="11.25">
      <c r="A62" s="988"/>
      <c r="B62" s="1667"/>
      <c r="C62" s="1667"/>
      <c r="D62" s="339"/>
      <c r="J62" s="1672"/>
      <c r="K62" s="1672"/>
      <c r="L62" s="1161"/>
      <c r="M62" s="1667"/>
      <c r="N62" s="1667"/>
      <c r="O62" s="1161"/>
      <c r="P62" s="1161"/>
      <c r="Q62" s="1161"/>
      <c r="R62" s="1161"/>
      <c r="S62" s="1667"/>
      <c r="T62" s="1161"/>
      <c r="U62" s="1161"/>
      <c r="V62" s="542"/>
      <c r="W62" s="1161"/>
      <c r="X62" s="1161"/>
      <c r="Y62" s="1161"/>
      <c r="Z62" s="1161"/>
      <c r="AA62" s="1161"/>
      <c r="AB62" s="1663"/>
      <c r="AC62" s="564"/>
      <c r="AD62" s="564"/>
      <c r="AE62" s="564"/>
      <c r="AF62" s="564"/>
    </row>
    <row s="1672" customFormat="1" customHeight="1" ht="11.25">
      <c r="A63" s="988"/>
      <c r="B63" s="1667"/>
      <c r="C63" s="1667"/>
      <c r="D63" s="339"/>
      <c r="J63" s="1672"/>
      <c r="K63" s="1672"/>
      <c r="L63" s="1161"/>
      <c r="M63" s="1667"/>
      <c r="N63" s="1667"/>
      <c r="O63" s="1161"/>
      <c r="P63" s="1161"/>
      <c r="Q63" s="1161"/>
      <c r="R63" s="1161"/>
      <c r="S63" s="1667"/>
      <c r="T63" s="1161"/>
      <c r="U63" s="1161"/>
      <c r="V63" s="542"/>
      <c r="W63" s="1161"/>
      <c r="X63" s="1161"/>
      <c r="Y63" s="1161"/>
      <c r="Z63" s="1161"/>
      <c r="AA63" s="1161"/>
      <c r="AB63" s="1663"/>
      <c r="AC63" s="564"/>
      <c r="AD63" s="564"/>
      <c r="AE63" s="564"/>
      <c r="AF63" s="564"/>
    </row>
    <row s="1672" customFormat="1" customHeight="1" ht="11.25">
      <c r="A64" s="988"/>
      <c r="B64" s="1667"/>
      <c r="C64" s="1667"/>
      <c r="D64" s="339"/>
      <c r="J64" s="1672"/>
      <c r="K64" s="1672"/>
      <c r="L64" s="1161"/>
      <c r="M64" s="1667"/>
      <c r="N64" s="1667"/>
      <c r="O64" s="1161"/>
      <c r="P64" s="1161"/>
      <c r="Q64" s="1161"/>
      <c r="R64" s="1161"/>
      <c r="S64" s="1667"/>
      <c r="T64" s="1161"/>
      <c r="U64" s="1161"/>
      <c r="V64" s="542"/>
      <c r="W64" s="1161"/>
      <c r="X64" s="1161"/>
      <c r="Y64" s="1161"/>
      <c r="Z64" s="1161"/>
      <c r="AA64" s="1161"/>
      <c r="AB64" s="1663"/>
      <c r="AC64" s="564"/>
      <c r="AD64" s="564"/>
      <c r="AE64" s="564"/>
      <c r="AF64" s="564"/>
    </row>
    <row s="1672" customFormat="1" customHeight="1" ht="11.25">
      <c r="A65" s="988"/>
      <c r="B65" s="1667"/>
      <c r="C65" s="1667"/>
      <c r="D65" s="339"/>
      <c r="J65" s="1672"/>
      <c r="K65" s="1672"/>
      <c r="L65" s="1161"/>
      <c r="M65" s="1667"/>
      <c r="N65" s="1667"/>
      <c r="O65" s="1161"/>
      <c r="P65" s="1161"/>
      <c r="Q65" s="1161"/>
      <c r="R65" s="1161"/>
      <c r="S65" s="1667"/>
      <c r="T65" s="1161"/>
      <c r="U65" s="1161"/>
      <c r="V65" s="542"/>
      <c r="W65" s="1161"/>
      <c r="X65" s="1161"/>
      <c r="Y65" s="1161"/>
      <c r="Z65" s="1161"/>
      <c r="AA65" s="1161"/>
      <c r="AB65" s="1663"/>
      <c r="AC65" s="564"/>
      <c r="AD65" s="564"/>
      <c r="AE65" s="564"/>
      <c r="AF65" s="564"/>
    </row>
    <row s="1672" customFormat="1" customHeight="1" ht="11.25">
      <c r="A66" s="988"/>
      <c r="B66" s="1667"/>
      <c r="C66" s="1667"/>
      <c r="D66" s="339"/>
      <c r="J66" s="1672"/>
      <c r="K66" s="1672"/>
      <c r="L66" s="1161"/>
      <c r="M66" s="1667"/>
      <c r="N66" s="1667"/>
      <c r="O66" s="1161"/>
      <c r="P66" s="1161"/>
      <c r="Q66" s="1161"/>
      <c r="R66" s="1161"/>
      <c r="S66" s="1667"/>
      <c r="T66" s="1161"/>
      <c r="U66" s="1161"/>
      <c r="V66" s="542"/>
      <c r="W66" s="1161"/>
      <c r="X66" s="1161"/>
      <c r="Y66" s="1161"/>
      <c r="Z66" s="1161"/>
      <c r="AA66" s="1161"/>
      <c r="AB66" s="1663"/>
      <c r="AC66" s="564"/>
      <c r="AD66" s="564"/>
      <c r="AE66" s="564"/>
      <c r="AF66" s="564"/>
    </row>
    <row s="1672" customFormat="1" customHeight="1" ht="11.25">
      <c r="A67" s="988"/>
      <c r="B67" s="1667"/>
      <c r="C67" s="1667"/>
      <c r="D67" s="339"/>
      <c r="J67" s="1672"/>
      <c r="K67" s="1672"/>
      <c r="L67" s="1161"/>
      <c r="M67" s="1667"/>
      <c r="N67" s="1667"/>
      <c r="O67" s="1161"/>
      <c r="P67" s="1161"/>
      <c r="Q67" s="1161"/>
      <c r="R67" s="1161"/>
      <c r="S67" s="1667"/>
      <c r="T67" s="1161"/>
      <c r="U67" s="1161"/>
      <c r="V67" s="542"/>
      <c r="W67" s="1161"/>
      <c r="X67" s="1161"/>
      <c r="Y67" s="1161"/>
      <c r="Z67" s="1161"/>
      <c r="AA67" s="1161"/>
      <c r="AB67" s="1663"/>
      <c r="AC67" s="564"/>
      <c r="AD67" s="564"/>
      <c r="AE67" s="564"/>
      <c r="AF67" s="564"/>
    </row>
    <row s="1672" customFormat="1" customHeight="1" ht="11.25">
      <c r="A68" s="988"/>
      <c r="B68" s="1667"/>
      <c r="C68" s="1667"/>
      <c r="D68" s="339"/>
      <c r="J68" s="1672"/>
      <c r="K68" s="1672"/>
      <c r="L68" s="1161"/>
      <c r="M68" s="1667"/>
      <c r="N68" s="1667"/>
      <c r="O68" s="1161"/>
      <c r="P68" s="1161"/>
      <c r="Q68" s="1161"/>
      <c r="R68" s="1161"/>
      <c r="S68" s="1667"/>
      <c r="T68" s="1161"/>
      <c r="U68" s="1161"/>
      <c r="V68" s="542"/>
      <c r="W68" s="1161"/>
      <c r="X68" s="1161"/>
      <c r="Y68" s="1161"/>
      <c r="Z68" s="1161"/>
      <c r="AA68" s="1161"/>
      <c r="AB68" s="1663"/>
      <c r="AC68" s="564"/>
      <c r="AD68" s="564"/>
      <c r="AE68" s="564"/>
      <c r="AF68" s="564"/>
    </row>
    <row s="1672" customFormat="1" customHeight="1" ht="11.25">
      <c r="A69" s="988"/>
      <c r="B69" s="1667"/>
      <c r="C69" s="1667"/>
      <c r="D69" s="339"/>
      <c r="J69" s="1672"/>
      <c r="K69" s="1672"/>
      <c r="L69" s="1161"/>
      <c r="M69" s="1667"/>
      <c r="N69" s="1667"/>
      <c r="O69" s="1161"/>
      <c r="P69" s="1161"/>
      <c r="Q69" s="1161"/>
      <c r="R69" s="1161"/>
      <c r="S69" s="1667"/>
      <c r="T69" s="1161"/>
      <c r="U69" s="1161"/>
      <c r="V69" s="542"/>
      <c r="W69" s="1161"/>
      <c r="X69" s="1161"/>
      <c r="Y69" s="1161"/>
      <c r="Z69" s="1161"/>
      <c r="AA69" s="1161"/>
      <c r="AB69" s="1663"/>
      <c r="AC69" s="564"/>
      <c r="AD69" s="564"/>
      <c r="AE69" s="564"/>
      <c r="AF69" s="564"/>
    </row>
    <row s="1672" customFormat="1" customHeight="1" ht="11.25">
      <c r="A70" s="988"/>
      <c r="B70" s="1667"/>
      <c r="C70" s="1667"/>
      <c r="D70" s="339"/>
      <c r="J70" s="1672"/>
      <c r="K70" s="1672"/>
      <c r="L70" s="1161"/>
      <c r="M70" s="1667"/>
      <c r="N70" s="1667"/>
      <c r="O70" s="1161"/>
      <c r="P70" s="1161"/>
      <c r="Q70" s="1161"/>
      <c r="R70" s="1161"/>
      <c r="S70" s="1667"/>
      <c r="T70" s="1161"/>
      <c r="U70" s="1161"/>
      <c r="V70" s="542"/>
      <c r="W70" s="1161"/>
      <c r="X70" s="1161"/>
      <c r="Y70" s="1161"/>
      <c r="Z70" s="1161"/>
      <c r="AA70" s="1161"/>
      <c r="AB70" s="1663"/>
      <c r="AC70" s="564"/>
      <c r="AD70" s="564"/>
      <c r="AE70" s="564"/>
      <c r="AF70" s="564"/>
    </row>
    <row s="1672" customFormat="1" customHeight="1" ht="11.25">
      <c r="A71" s="988"/>
      <c r="B71" s="1667"/>
      <c r="C71" s="1667"/>
      <c r="D71" s="339"/>
      <c r="J71" s="1672"/>
      <c r="K71" s="1672"/>
      <c r="L71" s="1161"/>
      <c r="M71" s="1667"/>
      <c r="N71" s="1667"/>
      <c r="O71" s="1161"/>
      <c r="P71" s="1161"/>
      <c r="Q71" s="1161"/>
      <c r="R71" s="1161"/>
      <c r="S71" s="1667"/>
      <c r="T71" s="1161"/>
      <c r="U71" s="1161"/>
      <c r="V71" s="542"/>
      <c r="W71" s="1161"/>
      <c r="X71" s="1161"/>
      <c r="Y71" s="1161"/>
      <c r="Z71" s="1161"/>
      <c r="AA71" s="1161"/>
      <c r="AB71" s="1663"/>
      <c r="AC71" s="564"/>
      <c r="AD71" s="564"/>
      <c r="AE71" s="564"/>
      <c r="AF71" s="564"/>
    </row>
    <row s="1672" customFormat="1" customHeight="1" ht="11.25">
      <c r="A72" s="988"/>
      <c r="B72" s="1667"/>
      <c r="C72" s="1667"/>
      <c r="D72" s="339"/>
      <c r="J72" s="1672"/>
      <c r="K72" s="1672"/>
      <c r="L72" s="1161"/>
      <c r="M72" s="1667"/>
      <c r="N72" s="1667"/>
      <c r="O72" s="1161"/>
      <c r="P72" s="1161"/>
      <c r="Q72" s="1161"/>
      <c r="R72" s="1161"/>
      <c r="S72" s="1667"/>
      <c r="T72" s="1161"/>
      <c r="U72" s="1161"/>
      <c r="V72" s="542"/>
      <c r="W72" s="1161"/>
      <c r="X72" s="1161"/>
      <c r="Y72" s="1161"/>
      <c r="Z72" s="1161"/>
      <c r="AA72" s="1161"/>
      <c r="AB72" s="1663"/>
      <c r="AC72" s="564"/>
      <c r="AD72" s="564"/>
      <c r="AE72" s="564"/>
      <c r="AF72" s="564"/>
    </row>
    <row s="1672" customFormat="1" customHeight="1" ht="11.25">
      <c r="A73" s="988"/>
      <c r="B73" s="1667"/>
      <c r="C73" s="1667"/>
      <c r="D73" s="339"/>
      <c r="J73" s="1672"/>
      <c r="K73" s="1672"/>
      <c r="L73" s="1161"/>
      <c r="M73" s="1667"/>
      <c r="N73" s="1667"/>
      <c r="O73" s="1161"/>
      <c r="P73" s="1161"/>
      <c r="Q73" s="1161"/>
      <c r="R73" s="1161"/>
      <c r="S73" s="1667"/>
      <c r="T73" s="1161"/>
      <c r="U73" s="1161"/>
      <c r="V73" s="542"/>
      <c r="W73" s="1161"/>
      <c r="X73" s="1161"/>
      <c r="Y73" s="1161"/>
      <c r="Z73" s="1161"/>
      <c r="AA73" s="1161"/>
      <c r="AB73" s="1663"/>
      <c r="AC73" s="564"/>
      <c r="AD73" s="564"/>
      <c r="AE73" s="564"/>
      <c r="AF73" s="564"/>
    </row>
    <row s="1672" customFormat="1" customHeight="1" ht="11.25">
      <c r="A74" s="988"/>
      <c r="B74" s="1667"/>
      <c r="C74" s="1667"/>
      <c r="D74" s="339"/>
      <c r="J74" s="1672"/>
      <c r="K74" s="1672"/>
      <c r="L74" s="1161"/>
      <c r="M74" s="1667"/>
      <c r="N74" s="1667"/>
      <c r="O74" s="1161"/>
      <c r="P74" s="1161"/>
      <c r="Q74" s="1161"/>
      <c r="R74" s="1161"/>
      <c r="S74" s="1667"/>
      <c r="T74" s="1161"/>
      <c r="U74" s="1161"/>
      <c r="V74" s="542"/>
      <c r="W74" s="1161"/>
      <c r="X74" s="1161"/>
      <c r="Y74" s="1161"/>
      <c r="Z74" s="1161"/>
      <c r="AA74" s="1161"/>
      <c r="AB74" s="1663"/>
      <c r="AC74" s="564"/>
      <c r="AD74" s="564"/>
      <c r="AE74" s="564"/>
      <c r="AF74" s="564"/>
    </row>
    <row s="1672" customFormat="1" customHeight="1" ht="11.25">
      <c r="A75" s="988"/>
      <c r="B75" s="1667"/>
      <c r="C75" s="1667"/>
      <c r="D75" s="339"/>
      <c r="J75" s="1672"/>
      <c r="K75" s="1672"/>
      <c r="L75" s="1161"/>
      <c r="M75" s="1667"/>
      <c r="N75" s="1667"/>
      <c r="O75" s="1161"/>
      <c r="P75" s="1161"/>
      <c r="Q75" s="1161"/>
      <c r="R75" s="1161"/>
      <c r="S75" s="1667"/>
      <c r="T75" s="1161"/>
      <c r="U75" s="1161"/>
      <c r="V75" s="542"/>
      <c r="W75" s="1161"/>
      <c r="X75" s="1161"/>
      <c r="Y75" s="1161"/>
      <c r="Z75" s="1161"/>
      <c r="AA75" s="1161"/>
      <c r="AB75" s="1663"/>
      <c r="AC75" s="564"/>
      <c r="AD75" s="564"/>
      <c r="AE75" s="564"/>
      <c r="AF75" s="564"/>
    </row>
    <row s="1672" customFormat="1" customHeight="1" ht="11.25">
      <c r="A76" s="988"/>
      <c r="B76" s="1667"/>
      <c r="C76" s="1667"/>
      <c r="D76" s="339"/>
      <c r="J76" s="1672"/>
      <c r="K76" s="1672"/>
      <c r="L76" s="1161"/>
      <c r="M76" s="1667"/>
      <c r="N76" s="1667"/>
      <c r="O76" s="1161"/>
      <c r="P76" s="1161"/>
      <c r="Q76" s="1161"/>
      <c r="R76" s="1161"/>
      <c r="S76" s="1667"/>
      <c r="T76" s="1161"/>
      <c r="U76" s="1161"/>
      <c r="V76" s="542"/>
      <c r="W76" s="1161"/>
      <c r="X76" s="1161"/>
      <c r="Y76" s="1161"/>
      <c r="Z76" s="1161"/>
      <c r="AA76" s="1161"/>
      <c r="AB76" s="1663"/>
      <c r="AC76" s="564"/>
      <c r="AD76" s="564"/>
      <c r="AE76" s="564"/>
      <c r="AF76" s="564"/>
    </row>
    <row s="1672" customFormat="1" customHeight="1" ht="11.25">
      <c r="A77" s="988"/>
      <c r="B77" s="1667"/>
      <c r="C77" s="1667"/>
      <c r="D77" s="339"/>
      <c r="J77" s="1672"/>
      <c r="K77" s="1672"/>
      <c r="L77" s="1161"/>
      <c r="M77" s="1667"/>
      <c r="N77" s="1667"/>
      <c r="O77" s="1161"/>
      <c r="P77" s="1161"/>
      <c r="Q77" s="1161"/>
      <c r="R77" s="1161"/>
      <c r="S77" s="1667"/>
      <c r="T77" s="1161"/>
      <c r="U77" s="1161"/>
      <c r="V77" s="542"/>
      <c r="W77" s="1161"/>
      <c r="X77" s="1161"/>
      <c r="Y77" s="1161"/>
      <c r="Z77" s="1161"/>
      <c r="AA77" s="1161"/>
      <c r="AB77" s="1663"/>
      <c r="AC77" s="564"/>
      <c r="AD77" s="564"/>
      <c r="AE77" s="564"/>
      <c r="AF77" s="564"/>
    </row>
    <row s="1672" customFormat="1" customHeight="1" ht="11.25">
      <c r="A78" s="988"/>
      <c r="B78" s="1667"/>
      <c r="C78" s="1667"/>
      <c r="D78" s="339"/>
      <c r="J78" s="1672"/>
      <c r="K78" s="1672"/>
      <c r="L78" s="1161"/>
      <c r="M78" s="1667"/>
      <c r="N78" s="1667"/>
      <c r="O78" s="1161"/>
      <c r="P78" s="1161"/>
      <c r="Q78" s="1161"/>
      <c r="R78" s="1161"/>
      <c r="S78" s="1667"/>
      <c r="T78" s="1161"/>
      <c r="U78" s="1161"/>
      <c r="V78" s="542"/>
      <c r="W78" s="1161"/>
      <c r="X78" s="1161"/>
      <c r="Y78" s="1161"/>
      <c r="Z78" s="1161"/>
      <c r="AA78" s="1161"/>
      <c r="AB78" s="1663"/>
      <c r="AC78" s="564"/>
      <c r="AD78" s="564"/>
      <c r="AE78" s="564"/>
      <c r="AF78" s="564"/>
    </row>
    <row s="1672" customFormat="1" customHeight="1" ht="11.25">
      <c r="A79" s="988"/>
      <c r="B79" s="1667"/>
      <c r="C79" s="1667"/>
      <c r="D79" s="339"/>
      <c r="J79" s="1672"/>
      <c r="K79" s="1672"/>
      <c r="L79" s="1161"/>
      <c r="M79" s="1667"/>
      <c r="N79" s="1667"/>
      <c r="O79" s="1161"/>
      <c r="P79" s="1161"/>
      <c r="Q79" s="1161"/>
      <c r="R79" s="1161"/>
      <c r="S79" s="1667"/>
      <c r="T79" s="1161"/>
      <c r="U79" s="1161"/>
      <c r="V79" s="542"/>
      <c r="W79" s="1161"/>
      <c r="X79" s="1161"/>
      <c r="Y79" s="1161"/>
      <c r="Z79" s="1161"/>
      <c r="AA79" s="1161"/>
      <c r="AB79" s="1663"/>
      <c r="AC79" s="564"/>
      <c r="AD79" s="564"/>
      <c r="AE79" s="564"/>
      <c r="AF79" s="564"/>
    </row>
    <row s="1672" customFormat="1" customHeight="1" ht="11.25">
      <c r="A80" s="988"/>
      <c r="B80" s="1667"/>
      <c r="C80" s="1667"/>
      <c r="D80" s="339"/>
      <c r="J80" s="1672"/>
      <c r="K80" s="1672"/>
      <c r="L80" s="1161"/>
      <c r="M80" s="1667"/>
      <c r="N80" s="1667"/>
      <c r="O80" s="1161"/>
      <c r="P80" s="1161"/>
      <c r="Q80" s="1161"/>
      <c r="R80" s="1161"/>
      <c r="S80" s="1667"/>
      <c r="T80" s="1161"/>
      <c r="U80" s="1161"/>
      <c r="V80" s="542"/>
      <c r="W80" s="1161"/>
      <c r="X80" s="1161"/>
      <c r="Y80" s="1161"/>
      <c r="Z80" s="1161"/>
      <c r="AA80" s="1161"/>
      <c r="AB80" s="1663"/>
      <c r="AC80" s="564"/>
      <c r="AD80" s="564"/>
      <c r="AE80" s="564"/>
      <c r="AF80" s="564"/>
    </row>
    <row s="1672" customFormat="1" customHeight="1" ht="11.25">
      <c r="A81" s="988"/>
      <c r="B81" s="1667"/>
      <c r="C81" s="1667"/>
      <c r="D81" s="339"/>
      <c r="J81" s="1672"/>
      <c r="K81" s="1672"/>
      <c r="L81" s="1161"/>
      <c r="M81" s="1667"/>
      <c r="N81" s="1667"/>
      <c r="O81" s="1161"/>
      <c r="P81" s="1161"/>
      <c r="Q81" s="1161"/>
      <c r="R81" s="1161"/>
      <c r="S81" s="1667"/>
      <c r="T81" s="1161"/>
      <c r="U81" s="1161"/>
      <c r="V81" s="542"/>
      <c r="W81" s="1161"/>
      <c r="X81" s="1161"/>
      <c r="Y81" s="1161"/>
      <c r="Z81" s="1161"/>
      <c r="AA81" s="1161"/>
      <c r="AB81" s="1663"/>
      <c r="AC81" s="564"/>
      <c r="AD81" s="564"/>
      <c r="AE81" s="564"/>
      <c r="AF81" s="564"/>
    </row>
    <row s="1672" customFormat="1" customHeight="1" ht="11.25">
      <c r="A82" s="988"/>
      <c r="B82" s="1667"/>
      <c r="C82" s="1667"/>
      <c r="D82" s="339"/>
      <c r="J82" s="1672"/>
      <c r="K82" s="1672"/>
      <c r="L82" s="1161"/>
      <c r="M82" s="1667"/>
      <c r="N82" s="1667"/>
      <c r="O82" s="1161"/>
      <c r="P82" s="1161"/>
      <c r="Q82" s="1161"/>
      <c r="R82" s="1161"/>
      <c r="S82" s="1667"/>
      <c r="T82" s="1161"/>
      <c r="U82" s="1161"/>
      <c r="V82" s="542"/>
      <c r="W82" s="1161"/>
      <c r="X82" s="1161"/>
      <c r="Y82" s="1161"/>
      <c r="Z82" s="1161"/>
      <c r="AA82" s="1161"/>
      <c r="AB82" s="1663"/>
      <c r="AC82" s="564"/>
      <c r="AD82" s="564"/>
      <c r="AE82" s="564"/>
      <c r="AF82" s="564"/>
    </row>
    <row s="1672" customFormat="1" customHeight="1" ht="11.25">
      <c r="A83" s="988"/>
      <c r="B83" s="1667"/>
      <c r="C83" s="1667"/>
      <c r="D83" s="339"/>
      <c r="J83" s="1672"/>
      <c r="K83" s="1672"/>
      <c r="L83" s="1161"/>
      <c r="M83" s="1667"/>
      <c r="N83" s="1667"/>
      <c r="O83" s="1161"/>
      <c r="P83" s="1161"/>
      <c r="Q83" s="1161"/>
      <c r="R83" s="1161"/>
      <c r="S83" s="1667"/>
      <c r="T83" s="1161"/>
      <c r="U83" s="1161"/>
      <c r="V83" s="542"/>
      <c r="W83" s="1161"/>
      <c r="X83" s="1161"/>
      <c r="Y83" s="1161"/>
      <c r="Z83" s="1161"/>
      <c r="AA83" s="1161"/>
      <c r="AB83" s="1663"/>
      <c r="AC83" s="564"/>
      <c r="AD83" s="564"/>
      <c r="AE83" s="564"/>
      <c r="AF83" s="564"/>
    </row>
    <row s="1672" customFormat="1" customHeight="1" ht="11.25">
      <c r="A84" s="988"/>
      <c r="B84" s="1667"/>
      <c r="C84" s="1667"/>
      <c r="D84" s="339"/>
      <c r="J84" s="1672"/>
      <c r="K84" s="1672"/>
      <c r="L84" s="1161"/>
      <c r="M84" s="1667"/>
      <c r="N84" s="1667"/>
      <c r="O84" s="1161"/>
      <c r="P84" s="1161"/>
      <c r="Q84" s="1161"/>
      <c r="R84" s="1161"/>
      <c r="S84" s="1667"/>
      <c r="T84" s="1161"/>
      <c r="U84" s="1161"/>
      <c r="V84" s="542"/>
      <c r="W84" s="1161"/>
      <c r="X84" s="1161"/>
      <c r="Y84" s="1161"/>
      <c r="Z84" s="1161"/>
      <c r="AA84" s="1161"/>
      <c r="AB84" s="1663"/>
      <c r="AC84" s="564"/>
      <c r="AD84" s="564"/>
      <c r="AE84" s="564"/>
      <c r="AF84" s="564"/>
    </row>
    <row s="1672" customFormat="1" customHeight="1" ht="11.25">
      <c r="A85" s="988"/>
      <c r="B85" s="1667"/>
      <c r="C85" s="1667"/>
      <c r="D85" s="339"/>
      <c r="J85" s="1672"/>
      <c r="K85" s="1672"/>
      <c r="L85" s="1161"/>
      <c r="M85" s="1667"/>
      <c r="N85" s="1667"/>
      <c r="O85" s="1161"/>
      <c r="P85" s="1161"/>
      <c r="Q85" s="1161"/>
      <c r="R85" s="1161"/>
      <c r="S85" s="1667"/>
      <c r="T85" s="1161"/>
      <c r="U85" s="1161"/>
      <c r="V85" s="542"/>
      <c r="W85" s="1161"/>
      <c r="X85" s="1161"/>
      <c r="Y85" s="1161"/>
      <c r="Z85" s="1161"/>
      <c r="AA85" s="1161"/>
      <c r="AB85" s="1663"/>
      <c r="AC85" s="564"/>
      <c r="AD85" s="564"/>
      <c r="AE85" s="564"/>
      <c r="AF85" s="564"/>
    </row>
    <row s="1672" customFormat="1" customHeight="1" ht="11.25">
      <c r="A86" s="988"/>
      <c r="B86" s="1667"/>
      <c r="C86" s="1667"/>
      <c r="D86" s="339"/>
      <c r="J86" s="1672"/>
      <c r="K86" s="1672"/>
      <c r="L86" s="1161"/>
      <c r="M86" s="1667"/>
      <c r="N86" s="1667"/>
      <c r="O86" s="1161"/>
      <c r="P86" s="1161"/>
      <c r="Q86" s="1161"/>
      <c r="R86" s="1161"/>
      <c r="S86" s="1667"/>
      <c r="T86" s="1161"/>
      <c r="U86" s="1161"/>
      <c r="V86" s="542"/>
      <c r="W86" s="1161"/>
      <c r="X86" s="1161"/>
      <c r="Y86" s="1161"/>
      <c r="Z86" s="1161"/>
      <c r="AA86" s="1161"/>
      <c r="AB86" s="1663"/>
      <c r="AC86" s="564"/>
      <c r="AD86" s="564"/>
      <c r="AE86" s="564"/>
      <c r="AF86" s="564"/>
    </row>
    <row s="1672" customFormat="1" customHeight="1" ht="11.25">
      <c r="A87" s="988"/>
      <c r="B87" s="1667"/>
      <c r="C87" s="1667"/>
      <c r="D87" s="339"/>
      <c r="J87" s="1672"/>
      <c r="K87" s="1672"/>
      <c r="L87" s="1161"/>
      <c r="M87" s="1667"/>
      <c r="N87" s="1667"/>
      <c r="O87" s="1161"/>
      <c r="P87" s="1161"/>
      <c r="Q87" s="1161"/>
      <c r="R87" s="1161"/>
      <c r="S87" s="1667"/>
      <c r="T87" s="1161"/>
      <c r="U87" s="1161"/>
      <c r="V87" s="542"/>
      <c r="W87" s="1161"/>
      <c r="X87" s="1161"/>
      <c r="Y87" s="1161"/>
      <c r="Z87" s="1161"/>
      <c r="AA87" s="1161"/>
      <c r="AB87" s="1663"/>
      <c r="AC87" s="564"/>
      <c r="AD87" s="564"/>
      <c r="AE87" s="564"/>
      <c r="AF87" s="564"/>
    </row>
    <row s="1672" customFormat="1" customHeight="1" ht="11.25">
      <c r="A88" s="988"/>
      <c r="B88" s="1667"/>
      <c r="C88" s="1667"/>
      <c r="D88" s="339"/>
      <c r="J88" s="1672"/>
      <c r="K88" s="1672"/>
      <c r="L88" s="1161"/>
      <c r="M88" s="1667"/>
      <c r="N88" s="1667"/>
      <c r="O88" s="1161"/>
      <c r="P88" s="1161"/>
      <c r="Q88" s="1161"/>
      <c r="R88" s="1161"/>
      <c r="S88" s="1667"/>
      <c r="T88" s="1161"/>
      <c r="U88" s="1161"/>
      <c r="V88" s="542"/>
      <c r="W88" s="1161"/>
      <c r="X88" s="1161"/>
      <c r="Y88" s="1161"/>
      <c r="Z88" s="1161"/>
      <c r="AA88" s="1161"/>
      <c r="AB88" s="1663"/>
      <c r="AC88" s="564"/>
      <c r="AD88" s="564"/>
      <c r="AE88" s="564"/>
      <c r="AF88" s="564"/>
    </row>
    <row s="1672" customFormat="1" customHeight="1" ht="11.25">
      <c r="A89" s="988"/>
      <c r="B89" s="1667"/>
      <c r="C89" s="1667"/>
      <c r="D89" s="339"/>
      <c r="J89" s="1672"/>
      <c r="K89" s="1672"/>
      <c r="L89" s="1161"/>
      <c r="M89" s="1667"/>
      <c r="N89" s="1667"/>
      <c r="O89" s="1161"/>
      <c r="P89" s="1161"/>
      <c r="Q89" s="1161"/>
      <c r="R89" s="1161"/>
      <c r="S89" s="1667"/>
      <c r="T89" s="1161"/>
      <c r="U89" s="1161"/>
      <c r="V89" s="542"/>
      <c r="W89" s="1161"/>
      <c r="X89" s="1161"/>
      <c r="Y89" s="1161"/>
      <c r="Z89" s="1161"/>
      <c r="AA89" s="1161"/>
      <c r="AB89" s="1663"/>
      <c r="AC89" s="564"/>
      <c r="AD89" s="564"/>
      <c r="AE89" s="564"/>
      <c r="AF89" s="564"/>
    </row>
    <row s="1672" customFormat="1" customHeight="1" ht="11.25">
      <c r="A90" s="988"/>
      <c r="B90" s="1667"/>
      <c r="C90" s="1667"/>
      <c r="D90" s="339"/>
      <c r="J90" s="1672"/>
      <c r="K90" s="1672"/>
      <c r="L90" s="1161"/>
      <c r="M90" s="1667"/>
      <c r="N90" s="1667"/>
      <c r="O90" s="1161"/>
      <c r="P90" s="1161"/>
      <c r="Q90" s="1161"/>
      <c r="R90" s="1161"/>
      <c r="S90" s="1667"/>
      <c r="T90" s="1161"/>
      <c r="U90" s="1161"/>
      <c r="V90" s="542"/>
      <c r="W90" s="1161"/>
      <c r="X90" s="1161"/>
      <c r="Y90" s="1161"/>
      <c r="Z90" s="1161"/>
      <c r="AA90" s="1161"/>
      <c r="AB90" s="1663"/>
      <c r="AC90" s="564"/>
      <c r="AD90" s="564"/>
      <c r="AE90" s="564"/>
      <c r="AF90" s="564"/>
    </row>
    <row s="1672" customFormat="1" customHeight="1" ht="11.25">
      <c r="A91" s="988"/>
      <c r="B91" s="1667"/>
      <c r="C91" s="1667"/>
      <c r="D91" s="339"/>
      <c r="J91" s="1672"/>
      <c r="K91" s="1672"/>
      <c r="L91" s="1161"/>
      <c r="M91" s="1667"/>
      <c r="N91" s="1667"/>
      <c r="O91" s="1161"/>
      <c r="P91" s="1161"/>
      <c r="Q91" s="1161"/>
      <c r="R91" s="1161"/>
      <c r="S91" s="1667"/>
      <c r="T91" s="1161"/>
      <c r="U91" s="1161"/>
      <c r="V91" s="542"/>
      <c r="W91" s="1161"/>
      <c r="X91" s="1161"/>
      <c r="Y91" s="1161"/>
      <c r="Z91" s="1161"/>
      <c r="AA91" s="1161"/>
      <c r="AB91" s="1663"/>
      <c r="AC91" s="564"/>
      <c r="AD91" s="564"/>
      <c r="AE91" s="564"/>
      <c r="AF91" s="564"/>
    </row>
    <row s="1672" customFormat="1" customHeight="1" ht="11.25">
      <c r="A92" s="988"/>
      <c r="B92" s="1667"/>
      <c r="C92" s="1667"/>
      <c r="D92" s="339"/>
      <c r="J92" s="1672"/>
      <c r="K92" s="1672"/>
      <c r="L92" s="1161"/>
      <c r="M92" s="1667"/>
      <c r="N92" s="1667"/>
      <c r="O92" s="1161"/>
      <c r="P92" s="1161"/>
      <c r="Q92" s="1161"/>
      <c r="R92" s="1161"/>
      <c r="S92" s="1667"/>
      <c r="T92" s="1161"/>
      <c r="U92" s="1161"/>
      <c r="V92" s="542"/>
      <c r="W92" s="1161"/>
      <c r="X92" s="1161"/>
      <c r="Y92" s="1161"/>
      <c r="Z92" s="1161"/>
      <c r="AA92" s="1161"/>
      <c r="AB92" s="1663"/>
      <c r="AC92" s="564"/>
      <c r="AD92" s="564"/>
      <c r="AE92" s="564"/>
      <c r="AF92" s="564"/>
    </row>
    <row s="1672" customFormat="1" customHeight="1" ht="11.25">
      <c r="A93" s="988"/>
      <c r="B93" s="1667"/>
      <c r="C93" s="1667"/>
      <c r="D93" s="339"/>
      <c r="J93" s="1672"/>
      <c r="K93" s="1672"/>
      <c r="L93" s="1161"/>
      <c r="M93" s="1667"/>
      <c r="N93" s="1667"/>
      <c r="O93" s="1161"/>
      <c r="P93" s="1161"/>
      <c r="Q93" s="1161"/>
      <c r="R93" s="1161"/>
      <c r="S93" s="1667"/>
      <c r="T93" s="1161"/>
      <c r="U93" s="1161"/>
      <c r="V93" s="542"/>
      <c r="W93" s="1161"/>
      <c r="X93" s="1161"/>
      <c r="Y93" s="1161"/>
      <c r="Z93" s="1161"/>
      <c r="AA93" s="1161"/>
      <c r="AB93" s="1663"/>
      <c r="AC93" s="564"/>
      <c r="AD93" s="564"/>
      <c r="AE93" s="564"/>
      <c r="AF93" s="564"/>
    </row>
    <row s="1672" customFormat="1" customHeight="1" ht="11.25">
      <c r="A94" s="988"/>
      <c r="B94" s="1667"/>
      <c r="C94" s="1667"/>
      <c r="D94" s="339"/>
      <c r="J94" s="1672"/>
      <c r="K94" s="1672"/>
      <c r="L94" s="1161"/>
      <c r="M94" s="1667"/>
      <c r="N94" s="1667"/>
      <c r="O94" s="1161"/>
      <c r="P94" s="1161"/>
      <c r="Q94" s="1161"/>
      <c r="R94" s="1161"/>
      <c r="S94" s="1667"/>
      <c r="T94" s="1161"/>
      <c r="U94" s="1161"/>
      <c r="V94" s="542"/>
      <c r="W94" s="1161"/>
      <c r="X94" s="1161"/>
      <c r="Y94" s="1161"/>
      <c r="Z94" s="1161"/>
      <c r="AA94" s="1161"/>
      <c r="AB94" s="1663"/>
      <c r="AC94" s="564"/>
      <c r="AD94" s="564"/>
      <c r="AE94" s="564"/>
      <c r="AF94" s="564"/>
    </row>
    <row s="1672" customFormat="1" customHeight="1" ht="11.25">
      <c r="A95" s="988"/>
      <c r="B95" s="1667"/>
      <c r="C95" s="1667"/>
      <c r="D95" s="339"/>
      <c r="J95" s="1672"/>
      <c r="K95" s="1672"/>
      <c r="L95" s="1161"/>
      <c r="M95" s="1667"/>
      <c r="N95" s="1667"/>
      <c r="O95" s="1161"/>
      <c r="P95" s="1161"/>
      <c r="Q95" s="1161"/>
      <c r="R95" s="1161"/>
      <c r="S95" s="1667"/>
      <c r="T95" s="1161"/>
      <c r="U95" s="1161"/>
      <c r="V95" s="542"/>
      <c r="W95" s="1161"/>
      <c r="X95" s="1161"/>
      <c r="Y95" s="1161"/>
      <c r="Z95" s="1161"/>
      <c r="AA95" s="1161"/>
      <c r="AB95" s="1663"/>
      <c r="AC95" s="564"/>
      <c r="AD95" s="564"/>
      <c r="AE95" s="564"/>
      <c r="AF95" s="564"/>
    </row>
    <row s="1672" customFormat="1" customHeight="1" ht="11.25">
      <c r="A96" s="988"/>
      <c r="B96" s="1667"/>
      <c r="C96" s="1667"/>
      <c r="D96" s="339"/>
      <c r="J96" s="1672"/>
      <c r="K96" s="1672"/>
      <c r="L96" s="1161"/>
      <c r="M96" s="1667"/>
      <c r="N96" s="1667"/>
      <c r="O96" s="1161"/>
      <c r="P96" s="1161"/>
      <c r="Q96" s="1161"/>
      <c r="R96" s="1161"/>
      <c r="S96" s="1667"/>
      <c r="T96" s="1161"/>
      <c r="U96" s="1161"/>
      <c r="V96" s="542"/>
      <c r="W96" s="1161"/>
      <c r="X96" s="1161"/>
      <c r="Y96" s="1161"/>
      <c r="Z96" s="1161"/>
      <c r="AA96" s="1161"/>
      <c r="AB96" s="1663"/>
      <c r="AC96" s="564"/>
      <c r="AD96" s="564"/>
      <c r="AE96" s="564"/>
      <c r="AF96" s="564"/>
    </row>
    <row s="1672" customFormat="1" customHeight="1" ht="11.25">
      <c r="A97" s="988"/>
      <c r="B97" s="1667"/>
      <c r="C97" s="1667"/>
      <c r="D97" s="339"/>
      <c r="J97" s="1672"/>
      <c r="K97" s="1672"/>
      <c r="L97" s="1161"/>
      <c r="M97" s="1667"/>
      <c r="N97" s="1667"/>
      <c r="O97" s="1161"/>
      <c r="P97" s="1161"/>
      <c r="Q97" s="1161"/>
      <c r="R97" s="1161"/>
      <c r="S97" s="1667"/>
      <c r="T97" s="1161"/>
      <c r="U97" s="1161"/>
      <c r="V97" s="542"/>
      <c r="W97" s="1161"/>
      <c r="X97" s="1161"/>
      <c r="Y97" s="1161"/>
      <c r="Z97" s="1161"/>
      <c r="AA97" s="1161"/>
      <c r="AB97" s="1663"/>
      <c r="AC97" s="564"/>
      <c r="AD97" s="564"/>
      <c r="AE97" s="564"/>
      <c r="AF97" s="564"/>
    </row>
    <row s="1672" customFormat="1" customHeight="1" ht="11.25">
      <c r="A98" s="988"/>
      <c r="B98" s="1667"/>
      <c r="C98" s="1667"/>
      <c r="D98" s="339"/>
      <c r="J98" s="1672"/>
      <c r="K98" s="1672"/>
      <c r="L98" s="1161"/>
      <c r="M98" s="1667"/>
      <c r="N98" s="1667"/>
      <c r="O98" s="1161"/>
      <c r="P98" s="1161"/>
      <c r="Q98" s="1161"/>
      <c r="R98" s="1161"/>
      <c r="S98" s="1667"/>
      <c r="T98" s="1161"/>
      <c r="U98" s="1161"/>
      <c r="V98" s="542"/>
      <c r="W98" s="1161"/>
      <c r="X98" s="1161"/>
      <c r="Y98" s="1161"/>
      <c r="Z98" s="1161"/>
      <c r="AA98" s="1161"/>
      <c r="AB98" s="1663"/>
      <c r="AC98" s="564"/>
      <c r="AD98" s="564"/>
      <c r="AE98" s="564"/>
      <c r="AF98" s="564"/>
    </row>
    <row s="1672" customFormat="1" customHeight="1" ht="11.25">
      <c r="A99" s="988"/>
      <c r="B99" s="1667"/>
      <c r="C99" s="1667"/>
      <c r="D99" s="339"/>
      <c r="J99" s="1672"/>
      <c r="K99" s="1672"/>
      <c r="L99" s="1161"/>
      <c r="M99" s="1667"/>
      <c r="N99" s="1667"/>
      <c r="O99" s="1161"/>
      <c r="P99" s="1161"/>
      <c r="Q99" s="1161"/>
      <c r="R99" s="1161"/>
      <c r="S99" s="1667"/>
      <c r="T99" s="1161"/>
      <c r="U99" s="1161"/>
      <c r="V99" s="542"/>
      <c r="W99" s="1161"/>
      <c r="X99" s="1161"/>
      <c r="Y99" s="1161"/>
      <c r="Z99" s="1161"/>
      <c r="AA99" s="1161"/>
      <c r="AB99" s="1663"/>
      <c r="AC99" s="564"/>
      <c r="AD99" s="564"/>
      <c r="AE99" s="564"/>
      <c r="AF99" s="564"/>
    </row>
    <row s="1672" customFormat="1" customHeight="1" ht="11.25">
      <c r="A100" s="988"/>
      <c r="B100" s="1667"/>
      <c r="C100" s="1667"/>
      <c r="D100" s="339"/>
      <c r="J100" s="1672"/>
      <c r="K100" s="1672"/>
      <c r="L100" s="1161"/>
      <c r="M100" s="1667"/>
      <c r="N100" s="1667"/>
      <c r="O100" s="1161"/>
      <c r="P100" s="1161"/>
      <c r="Q100" s="1161"/>
      <c r="R100" s="1161"/>
      <c r="S100" s="1667"/>
      <c r="T100" s="1161"/>
      <c r="U100" s="1161"/>
      <c r="V100" s="542"/>
      <c r="W100" s="1161"/>
      <c r="X100" s="1161"/>
      <c r="Y100" s="1161"/>
      <c r="Z100" s="1161"/>
      <c r="AA100" s="1161"/>
      <c r="AB100" s="1663"/>
      <c r="AC100" s="564"/>
      <c r="AD100" s="564"/>
      <c r="AE100" s="564"/>
      <c r="AF100" s="564"/>
    </row>
    <row s="1672" customFormat="1" customHeight="1" ht="11.25">
      <c r="A101" s="988"/>
      <c r="B101" s="1667"/>
      <c r="C101" s="1667"/>
      <c r="D101" s="339"/>
      <c r="J101" s="1672"/>
      <c r="K101" s="1672"/>
      <c r="L101" s="1161"/>
      <c r="M101" s="1667"/>
      <c r="N101" s="1667"/>
      <c r="O101" s="1161"/>
      <c r="P101" s="1161"/>
      <c r="Q101" s="1161"/>
      <c r="R101" s="1161"/>
      <c r="S101" s="1667"/>
      <c r="T101" s="1161"/>
      <c r="U101" s="1161"/>
      <c r="V101" s="542"/>
      <c r="W101" s="1161"/>
      <c r="X101" s="1161"/>
      <c r="Y101" s="1161"/>
      <c r="Z101" s="1161"/>
      <c r="AA101" s="1161"/>
      <c r="AB101" s="1663"/>
      <c r="AC101" s="564"/>
      <c r="AD101" s="564"/>
      <c r="AE101" s="564"/>
      <c r="AF101" s="564"/>
    </row>
    <row s="1672" customFormat="1" customHeight="1" ht="11.25">
      <c r="A102" s="988"/>
      <c r="B102" s="1667"/>
      <c r="C102" s="1667"/>
      <c r="D102" s="339"/>
      <c r="J102" s="1672"/>
      <c r="K102" s="1672"/>
      <c r="L102" s="1161"/>
      <c r="M102" s="1667"/>
      <c r="N102" s="1667"/>
      <c r="O102" s="1161"/>
      <c r="P102" s="1161"/>
      <c r="Q102" s="1161"/>
      <c r="R102" s="1161"/>
      <c r="S102" s="1667"/>
      <c r="T102" s="1161"/>
      <c r="U102" s="1161"/>
      <c r="V102" s="542"/>
      <c r="W102" s="1161"/>
      <c r="X102" s="1161"/>
      <c r="Y102" s="1161"/>
      <c r="Z102" s="1161"/>
      <c r="AA102" s="1161"/>
      <c r="AB102" s="1663"/>
      <c r="AC102" s="564"/>
      <c r="AD102" s="564"/>
      <c r="AE102" s="564"/>
      <c r="AF102" s="564"/>
    </row>
    <row s="1672" customFormat="1" customHeight="1" ht="11.25">
      <c r="A103" s="988"/>
      <c r="B103" s="1667"/>
      <c r="C103" s="1667"/>
      <c r="D103" s="339"/>
      <c r="J103" s="1672"/>
      <c r="K103" s="1672"/>
      <c r="L103" s="1161"/>
      <c r="M103" s="1667"/>
      <c r="N103" s="1667"/>
      <c r="O103" s="1161"/>
      <c r="P103" s="1161"/>
      <c r="Q103" s="1161"/>
      <c r="R103" s="1161"/>
      <c r="S103" s="1667"/>
      <c r="T103" s="1161"/>
      <c r="U103" s="1161"/>
      <c r="V103" s="542"/>
      <c r="W103" s="1161"/>
      <c r="X103" s="1161"/>
      <c r="Y103" s="1161"/>
      <c r="Z103" s="1161"/>
      <c r="AA103" s="1161"/>
      <c r="AB103" s="1663"/>
      <c r="AC103" s="564"/>
      <c r="AD103" s="564"/>
      <c r="AE103" s="564"/>
      <c r="AF103" s="564"/>
    </row>
    <row s="1672" customFormat="1" customHeight="1" ht="11.25">
      <c r="A104" s="988"/>
      <c r="B104" s="1667"/>
      <c r="C104" s="1667"/>
      <c r="D104" s="339"/>
      <c r="J104" s="1672"/>
      <c r="K104" s="1672"/>
      <c r="L104" s="1161"/>
      <c r="M104" s="1667"/>
      <c r="N104" s="1667"/>
      <c r="O104" s="1161"/>
      <c r="P104" s="1161"/>
      <c r="Q104" s="1161"/>
      <c r="R104" s="1161"/>
      <c r="S104" s="1667"/>
      <c r="T104" s="1161"/>
      <c r="U104" s="1161"/>
      <c r="V104" s="542"/>
      <c r="W104" s="1161"/>
      <c r="X104" s="1161"/>
      <c r="Y104" s="1161"/>
      <c r="Z104" s="1161"/>
      <c r="AA104" s="1161"/>
      <c r="AB104" s="1663"/>
      <c r="AC104" s="564"/>
      <c r="AD104" s="564"/>
      <c r="AE104" s="564"/>
      <c r="AF104" s="564"/>
    </row>
    <row s="1672" customFormat="1" customHeight="1" ht="11.25">
      <c r="A105" s="988"/>
      <c r="B105" s="1667"/>
      <c r="C105" s="1667"/>
      <c r="D105" s="339"/>
      <c r="J105" s="1672"/>
      <c r="K105" s="1672"/>
      <c r="L105" s="1161"/>
      <c r="M105" s="1667"/>
      <c r="N105" s="1667"/>
      <c r="O105" s="1161"/>
      <c r="P105" s="1161"/>
      <c r="Q105" s="1161"/>
      <c r="R105" s="1161"/>
      <c r="S105" s="1667"/>
      <c r="T105" s="1161"/>
      <c r="U105" s="1161"/>
      <c r="V105" s="542"/>
      <c r="W105" s="1161"/>
      <c r="X105" s="1161"/>
      <c r="Y105" s="1161"/>
      <c r="Z105" s="1161"/>
      <c r="AA105" s="1161"/>
      <c r="AB105" s="1663"/>
      <c r="AC105" s="564"/>
      <c r="AD105" s="564"/>
      <c r="AE105" s="564"/>
      <c r="AF105" s="564"/>
    </row>
    <row s="1672" customFormat="1" customHeight="1" ht="11.25">
      <c r="A106" s="988"/>
      <c r="B106" s="1667"/>
      <c r="C106" s="1667"/>
      <c r="D106" s="339"/>
      <c r="J106" s="1672"/>
      <c r="K106" s="1672"/>
      <c r="L106" s="1161"/>
      <c r="M106" s="1667"/>
      <c r="N106" s="1667"/>
      <c r="O106" s="1161"/>
      <c r="P106" s="1161"/>
      <c r="Q106" s="1161"/>
      <c r="R106" s="1161"/>
      <c r="S106" s="1667"/>
      <c r="T106" s="1161"/>
      <c r="U106" s="1161"/>
      <c r="V106" s="542"/>
      <c r="W106" s="1161"/>
      <c r="X106" s="1161"/>
      <c r="Y106" s="1161"/>
      <c r="Z106" s="1161"/>
      <c r="AA106" s="1161"/>
      <c r="AB106" s="1663"/>
      <c r="AC106" s="564"/>
      <c r="AD106" s="564"/>
      <c r="AE106" s="564"/>
      <c r="AF106" s="564"/>
    </row>
    <row s="1672" customFormat="1" customHeight="1" ht="11.25">
      <c r="A107" s="988"/>
      <c r="B107" s="1667"/>
      <c r="C107" s="1667"/>
      <c r="D107" s="339"/>
      <c r="J107" s="1672"/>
      <c r="K107" s="1672"/>
      <c r="L107" s="1161"/>
      <c r="M107" s="1667"/>
      <c r="N107" s="1667"/>
      <c r="O107" s="1161"/>
      <c r="P107" s="1161"/>
      <c r="Q107" s="1161"/>
      <c r="R107" s="1161"/>
      <c r="S107" s="1667"/>
      <c r="T107" s="1161"/>
      <c r="U107" s="1161"/>
      <c r="V107" s="542"/>
      <c r="W107" s="1161"/>
      <c r="X107" s="1161"/>
      <c r="Y107" s="1161"/>
      <c r="Z107" s="1161"/>
      <c r="AA107" s="1161"/>
      <c r="AB107" s="1663"/>
      <c r="AC107" s="564"/>
      <c r="AD107" s="564"/>
      <c r="AE107" s="564"/>
      <c r="AF107" s="564"/>
    </row>
    <row s="1672" customFormat="1" customHeight="1" ht="11.25">
      <c r="A108" s="988"/>
      <c r="B108" s="1667"/>
      <c r="C108" s="1667"/>
      <c r="D108" s="339"/>
      <c r="J108" s="1672"/>
      <c r="K108" s="1672"/>
      <c r="L108" s="1161"/>
      <c r="M108" s="1667"/>
      <c r="N108" s="1667"/>
      <c r="O108" s="1161"/>
      <c r="P108" s="1161"/>
      <c r="Q108" s="1161"/>
      <c r="R108" s="1161"/>
      <c r="S108" s="1667"/>
      <c r="T108" s="1161"/>
      <c r="U108" s="1161"/>
      <c r="V108" s="542"/>
      <c r="W108" s="1161"/>
      <c r="X108" s="1161"/>
      <c r="Y108" s="1161"/>
      <c r="Z108" s="1161"/>
      <c r="AA108" s="1161"/>
      <c r="AB108" s="1663"/>
      <c r="AC108" s="564"/>
      <c r="AD108" s="564"/>
      <c r="AE108" s="564"/>
      <c r="AF108" s="564"/>
    </row>
    <row s="1672" customFormat="1" customHeight="1" ht="11.25">
      <c r="A109" s="988"/>
      <c r="B109" s="1667"/>
      <c r="C109" s="1667"/>
      <c r="D109" s="339"/>
      <c r="J109" s="1672"/>
      <c r="K109" s="1672"/>
      <c r="L109" s="1161"/>
      <c r="M109" s="1667"/>
      <c r="N109" s="1667"/>
      <c r="O109" s="1161"/>
      <c r="P109" s="1161"/>
      <c r="Q109" s="1161"/>
      <c r="R109" s="1161"/>
      <c r="S109" s="1667"/>
      <c r="T109" s="1161"/>
      <c r="U109" s="1161"/>
      <c r="V109" s="542"/>
      <c r="W109" s="1161"/>
      <c r="X109" s="1161"/>
      <c r="Y109" s="1161"/>
      <c r="Z109" s="1161"/>
      <c r="AA109" s="1161"/>
      <c r="AB109" s="1663"/>
      <c r="AC109" s="564"/>
      <c r="AD109" s="564"/>
      <c r="AE109" s="564"/>
      <c r="AF109" s="564"/>
    </row>
    <row s="1672" customFormat="1" customHeight="1" ht="11.25">
      <c r="A110" s="988"/>
      <c r="B110" s="1667"/>
      <c r="C110" s="1667"/>
      <c r="D110" s="339"/>
      <c r="J110" s="1672"/>
      <c r="K110" s="1672"/>
      <c r="L110" s="1161"/>
      <c r="M110" s="1667"/>
      <c r="N110" s="1667"/>
      <c r="O110" s="1161"/>
      <c r="P110" s="1161"/>
      <c r="Q110" s="1161"/>
      <c r="R110" s="1161"/>
      <c r="S110" s="1667"/>
      <c r="T110" s="1161"/>
      <c r="U110" s="1161"/>
      <c r="V110" s="542"/>
      <c r="W110" s="1161"/>
      <c r="X110" s="1161"/>
      <c r="Y110" s="1161"/>
      <c r="Z110" s="1161"/>
      <c r="AA110" s="1161"/>
      <c r="AB110" s="1663"/>
      <c r="AC110" s="564"/>
      <c r="AD110" s="564"/>
      <c r="AE110" s="564"/>
      <c r="AF110" s="564"/>
    </row>
    <row s="1672" customFormat="1" customHeight="1" ht="11.25">
      <c r="A111" s="988"/>
      <c r="B111" s="1667"/>
      <c r="C111" s="1667"/>
      <c r="D111" s="339"/>
      <c r="J111" s="1672"/>
      <c r="K111" s="1672"/>
      <c r="L111" s="1161"/>
      <c r="M111" s="1667"/>
      <c r="N111" s="1667"/>
      <c r="O111" s="1161"/>
      <c r="P111" s="1161"/>
      <c r="Q111" s="1161"/>
      <c r="R111" s="1161"/>
      <c r="S111" s="1667"/>
      <c r="T111" s="1161"/>
      <c r="U111" s="1161"/>
      <c r="V111" s="542"/>
      <c r="W111" s="1161"/>
      <c r="X111" s="1161"/>
      <c r="Y111" s="1161"/>
      <c r="Z111" s="1161"/>
      <c r="AA111" s="1161"/>
      <c r="AB111" s="1663"/>
      <c r="AC111" s="564"/>
      <c r="AD111" s="564"/>
      <c r="AE111" s="564"/>
      <c r="AF111" s="564"/>
    </row>
    <row s="1672" customFormat="1" customHeight="1" ht="11.25">
      <c r="A112" s="988"/>
      <c r="B112" s="1667"/>
      <c r="C112" s="1667"/>
      <c r="D112" s="339"/>
      <c r="J112" s="1672"/>
      <c r="K112" s="1672"/>
      <c r="L112" s="1161"/>
      <c r="M112" s="1667"/>
      <c r="N112" s="1667"/>
      <c r="O112" s="1161"/>
      <c r="P112" s="1161"/>
      <c r="Q112" s="1161"/>
      <c r="R112" s="1161"/>
      <c r="S112" s="1667"/>
      <c r="T112" s="1161"/>
      <c r="U112" s="1161"/>
      <c r="V112" s="542"/>
      <c r="W112" s="1161"/>
      <c r="X112" s="1161"/>
      <c r="Y112" s="1161"/>
      <c r="Z112" s="1161"/>
      <c r="AA112" s="1161"/>
      <c r="AB112" s="1663"/>
      <c r="AC112" s="564"/>
      <c r="AD112" s="564"/>
      <c r="AE112" s="564"/>
      <c r="AF112" s="564"/>
    </row>
    <row s="1672" customFormat="1" customHeight="1" ht="11.25">
      <c r="A113" s="988"/>
      <c r="B113" s="1667"/>
      <c r="C113" s="1667"/>
      <c r="D113" s="339"/>
      <c r="J113" s="1672"/>
      <c r="K113" s="1672"/>
      <c r="L113" s="1161"/>
      <c r="M113" s="1667"/>
      <c r="N113" s="1667"/>
      <c r="O113" s="1161"/>
      <c r="P113" s="1161"/>
      <c r="Q113" s="1161"/>
      <c r="R113" s="1161"/>
      <c r="S113" s="1667"/>
      <c r="T113" s="1161"/>
      <c r="U113" s="1161"/>
      <c r="V113" s="542"/>
      <c r="W113" s="1161"/>
      <c r="X113" s="1161"/>
      <c r="Y113" s="1161"/>
      <c r="Z113" s="1161"/>
      <c r="AA113" s="1161"/>
      <c r="AB113" s="1663"/>
      <c r="AC113" s="564"/>
      <c r="AD113" s="564"/>
      <c r="AE113" s="564"/>
      <c r="AF113" s="564"/>
    </row>
    <row s="1672" customFormat="1" customHeight="1" ht="11.25">
      <c r="A114" s="988"/>
      <c r="B114" s="1667"/>
      <c r="C114" s="1667"/>
      <c r="D114" s="339"/>
      <c r="J114" s="1672"/>
      <c r="K114" s="1672"/>
      <c r="L114" s="1161"/>
      <c r="M114" s="1667"/>
      <c r="N114" s="1667"/>
      <c r="O114" s="1161"/>
      <c r="P114" s="1161"/>
      <c r="Q114" s="1161"/>
      <c r="R114" s="1161"/>
      <c r="S114" s="1667"/>
      <c r="T114" s="1161"/>
      <c r="U114" s="1161"/>
      <c r="V114" s="542"/>
      <c r="W114" s="1161"/>
      <c r="X114" s="1161"/>
      <c r="Y114" s="1161"/>
      <c r="Z114" s="1161"/>
      <c r="AA114" s="1161"/>
      <c r="AB114" s="1663"/>
      <c r="AC114" s="564"/>
      <c r="AD114" s="564"/>
      <c r="AE114" s="564"/>
      <c r="AF114" s="564"/>
    </row>
    <row s="1672" customFormat="1" customHeight="1" ht="11.25">
      <c r="A115" s="988"/>
      <c r="B115" s="1667"/>
      <c r="C115" s="1667"/>
      <c r="D115" s="339"/>
      <c r="J115" s="1672"/>
      <c r="K115" s="1672"/>
      <c r="L115" s="1161"/>
      <c r="M115" s="1667"/>
      <c r="N115" s="1667"/>
      <c r="O115" s="1161"/>
      <c r="P115" s="1161"/>
      <c r="Q115" s="1161"/>
      <c r="R115" s="1161"/>
      <c r="S115" s="1667"/>
      <c r="T115" s="1161"/>
      <c r="U115" s="1161"/>
      <c r="V115" s="542"/>
      <c r="W115" s="1161"/>
      <c r="X115" s="1161"/>
      <c r="Y115" s="1161"/>
      <c r="Z115" s="1161"/>
      <c r="AA115" s="1161"/>
      <c r="AB115" s="1663"/>
      <c r="AC115" s="564"/>
      <c r="AD115" s="564"/>
      <c r="AE115" s="564"/>
      <c r="AF115" s="564"/>
    </row>
    <row s="1672" customFormat="1" customHeight="1" ht="11.25">
      <c r="A116" s="988"/>
      <c r="B116" s="1667"/>
      <c r="C116" s="1667"/>
      <c r="D116" s="339"/>
      <c r="J116" s="1672"/>
      <c r="K116" s="1672"/>
      <c r="L116" s="1161"/>
      <c r="M116" s="1667"/>
      <c r="N116" s="1667"/>
      <c r="O116" s="1161"/>
      <c r="P116" s="1161"/>
      <c r="Q116" s="1161"/>
      <c r="R116" s="1161"/>
      <c r="S116" s="1667"/>
      <c r="T116" s="1161"/>
      <c r="U116" s="1161"/>
      <c r="V116" s="542"/>
      <c r="W116" s="1161"/>
      <c r="X116" s="1161"/>
      <c r="Y116" s="1161"/>
      <c r="Z116" s="1161"/>
      <c r="AA116" s="1161"/>
      <c r="AB116" s="1663"/>
      <c r="AC116" s="564"/>
      <c r="AD116" s="564"/>
      <c r="AE116" s="564"/>
      <c r="AF116" s="564"/>
    </row>
    <row s="1672" customFormat="1" customHeight="1" ht="11.25">
      <c r="A117" s="988"/>
      <c r="B117" s="1667"/>
      <c r="C117" s="1667"/>
      <c r="D117" s="339"/>
      <c r="J117" s="1672"/>
      <c r="K117" s="1672"/>
      <c r="L117" s="1161"/>
      <c r="M117" s="1667"/>
      <c r="N117" s="1667"/>
      <c r="O117" s="1161"/>
      <c r="P117" s="1161"/>
      <c r="Q117" s="1161"/>
      <c r="R117" s="1161"/>
      <c r="S117" s="1667"/>
      <c r="T117" s="1161"/>
      <c r="U117" s="1161"/>
      <c r="V117" s="542"/>
      <c r="W117" s="1161"/>
      <c r="X117" s="1161"/>
      <c r="Y117" s="1161"/>
      <c r="Z117" s="1161"/>
      <c r="AA117" s="1161"/>
      <c r="AB117" s="1663"/>
      <c r="AC117" s="564"/>
      <c r="AD117" s="564"/>
      <c r="AE117" s="564"/>
      <c r="AF117" s="564"/>
    </row>
    <row s="1672" customFormat="1" customHeight="1" ht="11.25">
      <c r="A118" s="988"/>
      <c r="B118" s="1667"/>
      <c r="C118" s="1667"/>
      <c r="D118" s="339"/>
      <c r="J118" s="1672"/>
      <c r="K118" s="1672"/>
      <c r="L118" s="1161"/>
      <c r="M118" s="1667"/>
      <c r="N118" s="1667"/>
      <c r="O118" s="1161"/>
      <c r="P118" s="1161"/>
      <c r="Q118" s="1161"/>
      <c r="R118" s="1161"/>
      <c r="S118" s="1667"/>
      <c r="T118" s="1161"/>
      <c r="U118" s="1161"/>
      <c r="V118" s="542"/>
      <c r="W118" s="1161"/>
      <c r="X118" s="1161"/>
      <c r="Y118" s="1161"/>
      <c r="Z118" s="1161"/>
      <c r="AA118" s="1161"/>
      <c r="AB118" s="1663"/>
      <c r="AC118" s="564"/>
      <c r="AD118" s="564"/>
      <c r="AE118" s="564"/>
      <c r="AF118" s="564"/>
    </row>
    <row s="1672" customFormat="1" customHeight="1" ht="11.25">
      <c r="A119" s="988"/>
      <c r="B119" s="1667"/>
      <c r="C119" s="1667"/>
      <c r="D119" s="339"/>
      <c r="J119" s="1672"/>
      <c r="K119" s="1672"/>
      <c r="L119" s="1161"/>
      <c r="M119" s="1667"/>
      <c r="N119" s="1667"/>
      <c r="O119" s="1161"/>
      <c r="P119" s="1161"/>
      <c r="Q119" s="1161"/>
      <c r="R119" s="1161"/>
      <c r="S119" s="1667"/>
      <c r="T119" s="1161"/>
      <c r="U119" s="1161"/>
      <c r="V119" s="542"/>
      <c r="W119" s="1161"/>
      <c r="X119" s="1161"/>
      <c r="Y119" s="1161"/>
      <c r="Z119" s="1161"/>
      <c r="AA119" s="1161"/>
      <c r="AB119" s="1663"/>
      <c r="AC119" s="564"/>
      <c r="AD119" s="564"/>
      <c r="AE119" s="564"/>
      <c r="AF119" s="564"/>
    </row>
    <row s="1672" customFormat="1" customHeight="1" ht="11.25">
      <c r="A120" s="988"/>
      <c r="B120" s="1667"/>
      <c r="C120" s="1667"/>
      <c r="D120" s="339"/>
      <c r="J120" s="1672"/>
      <c r="K120" s="1672"/>
      <c r="L120" s="1161"/>
      <c r="M120" s="1667"/>
      <c r="N120" s="1667"/>
      <c r="O120" s="1161"/>
      <c r="P120" s="1161"/>
      <c r="Q120" s="1161"/>
      <c r="R120" s="1161"/>
      <c r="S120" s="1667"/>
      <c r="T120" s="1161"/>
      <c r="U120" s="1161"/>
      <c r="V120" s="542"/>
      <c r="W120" s="1161"/>
      <c r="X120" s="1161"/>
      <c r="Y120" s="1161"/>
      <c r="Z120" s="1161"/>
      <c r="AA120" s="1161"/>
      <c r="AB120" s="1663"/>
      <c r="AC120" s="564"/>
      <c r="AD120" s="564"/>
      <c r="AE120" s="564"/>
      <c r="AF120" s="564"/>
    </row>
    <row s="1672" customFormat="1" customHeight="1" ht="11.25">
      <c r="A121" s="988"/>
      <c r="B121" s="1667"/>
      <c r="C121" s="1667"/>
      <c r="D121" s="339"/>
      <c r="J121" s="1672"/>
      <c r="K121" s="1672"/>
      <c r="L121" s="1161"/>
      <c r="M121" s="1667"/>
      <c r="N121" s="1667"/>
      <c r="O121" s="1161"/>
      <c r="P121" s="1161"/>
      <c r="Q121" s="1161"/>
      <c r="R121" s="1161"/>
      <c r="S121" s="1667"/>
      <c r="T121" s="1161"/>
      <c r="U121" s="1161"/>
      <c r="V121" s="542"/>
      <c r="W121" s="1161"/>
      <c r="X121" s="1161"/>
      <c r="Y121" s="1161"/>
      <c r="Z121" s="1161"/>
      <c r="AA121" s="1161"/>
      <c r="AB121" s="1663"/>
      <c r="AC121" s="564"/>
      <c r="AD121" s="564"/>
      <c r="AE121" s="564"/>
      <c r="AF121" s="564"/>
    </row>
    <row s="1672" customFormat="1" customHeight="1" ht="11.25">
      <c r="A122" s="988"/>
      <c r="B122" s="1667"/>
      <c r="C122" s="1667"/>
      <c r="D122" s="339"/>
      <c r="J122" s="1672"/>
      <c r="K122" s="1672"/>
      <c r="L122" s="1161"/>
      <c r="M122" s="1667"/>
      <c r="N122" s="1667"/>
      <c r="O122" s="1161"/>
      <c r="P122" s="1161"/>
      <c r="Q122" s="1161"/>
      <c r="R122" s="1161"/>
      <c r="S122" s="1667"/>
      <c r="T122" s="1161"/>
      <c r="U122" s="1161"/>
      <c r="V122" s="542"/>
      <c r="W122" s="1161"/>
      <c r="X122" s="1161"/>
      <c r="Y122" s="1161"/>
      <c r="Z122" s="1161"/>
      <c r="AA122" s="1161"/>
      <c r="AB122" s="1663"/>
      <c r="AC122" s="564"/>
      <c r="AD122" s="564"/>
      <c r="AE122" s="564"/>
      <c r="AF122" s="564"/>
    </row>
    <row s="1672" customFormat="1" customHeight="1" ht="11.25">
      <c r="A123" s="988"/>
      <c r="B123" s="1667"/>
      <c r="C123" s="1667"/>
      <c r="D123" s="339"/>
      <c r="J123" s="1672"/>
      <c r="K123" s="1672"/>
      <c r="L123" s="1161"/>
      <c r="M123" s="1667"/>
      <c r="N123" s="1667"/>
      <c r="O123" s="1161"/>
      <c r="P123" s="1161"/>
      <c r="Q123" s="1161"/>
      <c r="R123" s="1161"/>
      <c r="S123" s="1667"/>
      <c r="T123" s="1161"/>
      <c r="U123" s="1161"/>
      <c r="V123" s="542"/>
      <c r="W123" s="1161"/>
      <c r="X123" s="1161"/>
      <c r="Y123" s="1161"/>
      <c r="Z123" s="1161"/>
      <c r="AA123" s="1161"/>
      <c r="AB123" s="1663"/>
      <c r="AC123" s="564"/>
      <c r="AD123" s="564"/>
      <c r="AE123" s="564"/>
      <c r="AF123" s="564"/>
    </row>
    <row s="1672" customFormat="1" customHeight="1" ht="11.25">
      <c r="A124" s="988"/>
      <c r="B124" s="1667"/>
      <c r="C124" s="1667"/>
      <c r="D124" s="339"/>
      <c r="J124" s="1672"/>
      <c r="K124" s="1672"/>
      <c r="L124" s="1161"/>
      <c r="M124" s="1667"/>
      <c r="N124" s="1667"/>
      <c r="O124" s="1161"/>
      <c r="P124" s="1161"/>
      <c r="Q124" s="1161"/>
      <c r="R124" s="1161"/>
      <c r="S124" s="1667"/>
      <c r="T124" s="1161"/>
      <c r="U124" s="1161"/>
      <c r="V124" s="542"/>
      <c r="W124" s="1161"/>
      <c r="X124" s="1161"/>
      <c r="Y124" s="1161"/>
      <c r="Z124" s="1161"/>
      <c r="AA124" s="1161"/>
      <c r="AB124" s="1663"/>
      <c r="AC124" s="564"/>
      <c r="AD124" s="564"/>
      <c r="AE124" s="564"/>
      <c r="AF124" s="564"/>
    </row>
    <row s="1672" customFormat="1" customHeight="1" ht="11.25">
      <c r="A125" s="988"/>
      <c r="B125" s="1667"/>
      <c r="C125" s="1667"/>
      <c r="D125" s="339"/>
      <c r="J125" s="1672"/>
      <c r="K125" s="1672"/>
      <c r="L125" s="1161"/>
      <c r="M125" s="1667"/>
      <c r="N125" s="1667"/>
      <c r="O125" s="1161"/>
      <c r="P125" s="1161"/>
      <c r="Q125" s="1161"/>
      <c r="R125" s="1161"/>
      <c r="S125" s="1667"/>
      <c r="T125" s="1161"/>
      <c r="U125" s="1161"/>
      <c r="V125" s="542"/>
      <c r="W125" s="1161"/>
      <c r="X125" s="1161"/>
      <c r="Y125" s="1161"/>
      <c r="Z125" s="1161"/>
      <c r="AA125" s="1161"/>
      <c r="AB125" s="1663"/>
      <c r="AC125" s="564"/>
      <c r="AD125" s="564"/>
      <c r="AE125" s="564"/>
      <c r="AF125" s="564"/>
    </row>
    <row s="1672" customFormat="1" customHeight="1" ht="11.25">
      <c r="A126" s="988"/>
      <c r="B126" s="1667"/>
      <c r="C126" s="1667"/>
      <c r="D126" s="339"/>
      <c r="J126" s="1672"/>
      <c r="K126" s="1672"/>
      <c r="L126" s="1161"/>
      <c r="M126" s="1667"/>
      <c r="N126" s="1667"/>
      <c r="O126" s="1161"/>
      <c r="P126" s="1161"/>
      <c r="Q126" s="1161"/>
      <c r="R126" s="1161"/>
      <c r="S126" s="1667"/>
      <c r="T126" s="1161"/>
      <c r="U126" s="1161"/>
      <c r="V126" s="542"/>
      <c r="W126" s="1161"/>
      <c r="X126" s="1161"/>
      <c r="Y126" s="1161"/>
      <c r="Z126" s="1161"/>
      <c r="AA126" s="1161"/>
      <c r="AB126" s="1663"/>
      <c r="AC126" s="564"/>
      <c r="AD126" s="564"/>
      <c r="AE126" s="564"/>
      <c r="AF126" s="564"/>
    </row>
    <row s="1672" customFormat="1" customHeight="1" ht="11.25">
      <c r="A127" s="988"/>
      <c r="B127" s="1667"/>
      <c r="C127" s="1667"/>
      <c r="D127" s="339"/>
      <c r="J127" s="1672"/>
      <c r="K127" s="1672"/>
      <c r="L127" s="1161"/>
      <c r="M127" s="1667"/>
      <c r="N127" s="1667"/>
      <c r="O127" s="1161"/>
      <c r="P127" s="1161"/>
      <c r="Q127" s="1161"/>
      <c r="R127" s="1161"/>
      <c r="S127" s="1667"/>
      <c r="T127" s="1161"/>
      <c r="U127" s="1161"/>
      <c r="V127" s="542"/>
      <c r="W127" s="1161"/>
      <c r="X127" s="1161"/>
      <c r="Y127" s="1161"/>
      <c r="Z127" s="1161"/>
      <c r="AA127" s="1161"/>
      <c r="AB127" s="1663"/>
      <c r="AC127" s="564"/>
      <c r="AD127" s="564"/>
      <c r="AE127" s="564"/>
      <c r="AF127" s="564"/>
    </row>
    <row s="1672" customFormat="1" customHeight="1" ht="11.25">
      <c r="A128" s="988"/>
      <c r="B128" s="1667"/>
      <c r="C128" s="1667"/>
      <c r="D128" s="339"/>
      <c r="J128" s="1672"/>
      <c r="K128" s="1672"/>
      <c r="L128" s="1161"/>
      <c r="M128" s="1667"/>
      <c r="N128" s="1667"/>
      <c r="O128" s="1161"/>
      <c r="P128" s="1161"/>
      <c r="Q128" s="1161"/>
      <c r="R128" s="1161"/>
      <c r="S128" s="1667"/>
      <c r="T128" s="1161"/>
      <c r="U128" s="1161"/>
      <c r="V128" s="542"/>
      <c r="W128" s="1161"/>
      <c r="X128" s="1161"/>
      <c r="Y128" s="1161"/>
      <c r="Z128" s="1161"/>
      <c r="AA128" s="1161"/>
      <c r="AB128" s="1663"/>
      <c r="AC128" s="564"/>
      <c r="AD128" s="564"/>
      <c r="AE128" s="564"/>
      <c r="AF128" s="564"/>
    </row>
    <row s="1672" customFormat="1" customHeight="1" ht="11.25">
      <c r="A129" s="988"/>
      <c r="B129" s="1667"/>
      <c r="C129" s="1667"/>
      <c r="D129" s="339"/>
      <c r="J129" s="1672"/>
      <c r="K129" s="1672"/>
      <c r="L129" s="1161"/>
      <c r="M129" s="1667"/>
      <c r="N129" s="1667"/>
      <c r="O129" s="1161"/>
      <c r="P129" s="1161"/>
      <c r="Q129" s="1161"/>
      <c r="R129" s="1161"/>
      <c r="S129" s="1667"/>
      <c r="T129" s="1161"/>
      <c r="U129" s="1161"/>
      <c r="V129" s="542"/>
      <c r="W129" s="1161"/>
      <c r="X129" s="1161"/>
      <c r="Y129" s="1161"/>
      <c r="Z129" s="1161"/>
      <c r="AA129" s="1161"/>
      <c r="AB129" s="1663"/>
      <c r="AC129" s="564"/>
      <c r="AD129" s="564"/>
      <c r="AE129" s="564"/>
      <c r="AF129" s="564"/>
    </row>
    <row s="1672" customFormat="1" customHeight="1" ht="11.25">
      <c r="A130" s="988"/>
      <c r="B130" s="1667"/>
      <c r="C130" s="1667"/>
      <c r="D130" s="339"/>
      <c r="J130" s="1672"/>
      <c r="K130" s="1672"/>
      <c r="L130" s="1161"/>
      <c r="M130" s="1667"/>
      <c r="N130" s="1667"/>
      <c r="O130" s="1161"/>
      <c r="P130" s="1161"/>
      <c r="Q130" s="1161"/>
      <c r="R130" s="1161"/>
      <c r="S130" s="1667"/>
      <c r="T130" s="1161"/>
      <c r="U130" s="1161"/>
      <c r="V130" s="542"/>
      <c r="W130" s="1161"/>
      <c r="X130" s="1161"/>
      <c r="Y130" s="1161"/>
      <c r="Z130" s="1161"/>
      <c r="AA130" s="1161"/>
      <c r="AB130" s="1663"/>
      <c r="AC130" s="564"/>
      <c r="AD130" s="564"/>
      <c r="AE130" s="564"/>
      <c r="AF130" s="564"/>
    </row>
    <row s="1672" customFormat="1" customHeight="1" ht="11.25">
      <c r="A131" s="988"/>
      <c r="B131" s="1667"/>
      <c r="C131" s="1667"/>
      <c r="D131" s="339"/>
      <c r="J131" s="1672"/>
      <c r="K131" s="1672"/>
      <c r="L131" s="1161"/>
      <c r="M131" s="1667"/>
      <c r="N131" s="1667"/>
      <c r="O131" s="1161"/>
      <c r="P131" s="1161"/>
      <c r="Q131" s="1161"/>
      <c r="R131" s="1161"/>
      <c r="S131" s="1667"/>
      <c r="T131" s="1161"/>
      <c r="U131" s="1161"/>
      <c r="V131" s="542"/>
      <c r="W131" s="1161"/>
      <c r="X131" s="1161"/>
      <c r="Y131" s="1161"/>
      <c r="Z131" s="1161"/>
      <c r="AA131" s="1161"/>
      <c r="AB131" s="1663"/>
      <c r="AC131" s="564"/>
      <c r="AD131" s="564"/>
      <c r="AE131" s="564"/>
      <c r="AF131" s="564"/>
    </row>
    <row s="1672" customFormat="1" customHeight="1" ht="11.25">
      <c r="A132" s="988"/>
      <c r="B132" s="1667"/>
      <c r="C132" s="1667"/>
      <c r="D132" s="339"/>
      <c r="J132" s="1672"/>
      <c r="K132" s="1672"/>
      <c r="L132" s="1161"/>
      <c r="M132" s="1667"/>
      <c r="N132" s="1667"/>
      <c r="O132" s="1161"/>
      <c r="P132" s="1161"/>
      <c r="Q132" s="1161"/>
      <c r="R132" s="1161"/>
      <c r="S132" s="1667"/>
      <c r="T132" s="1161"/>
      <c r="U132" s="1161"/>
      <c r="V132" s="542"/>
      <c r="W132" s="1161"/>
      <c r="X132" s="1161"/>
      <c r="Y132" s="1161"/>
      <c r="Z132" s="1161"/>
      <c r="AA132" s="1161"/>
      <c r="AB132" s="1663"/>
      <c r="AC132" s="564"/>
      <c r="AD132" s="564"/>
      <c r="AE132" s="564"/>
      <c r="AF132" s="564"/>
    </row>
    <row s="1672" customFormat="1" customHeight="1" ht="11.25">
      <c r="A133" s="988"/>
      <c r="B133" s="1667"/>
      <c r="C133" s="1667"/>
      <c r="D133" s="339"/>
      <c r="J133" s="1672"/>
      <c r="K133" s="1672"/>
      <c r="L133" s="1161"/>
      <c r="M133" s="1667"/>
      <c r="N133" s="1667"/>
      <c r="O133" s="1161"/>
      <c r="P133" s="1161"/>
      <c r="Q133" s="1161"/>
      <c r="R133" s="1161"/>
      <c r="S133" s="1667"/>
      <c r="T133" s="1161"/>
      <c r="U133" s="1161"/>
      <c r="V133" s="542"/>
      <c r="W133" s="1161"/>
      <c r="X133" s="1161"/>
      <c r="Y133" s="1161"/>
      <c r="Z133" s="1161"/>
      <c r="AA133" s="1161"/>
      <c r="AB133" s="1663"/>
      <c r="AC133" s="564"/>
      <c r="AD133" s="564"/>
      <c r="AE133" s="564"/>
      <c r="AF133" s="564"/>
    </row>
    <row s="1672" customFormat="1" customHeight="1" ht="11.25">
      <c r="A134" s="988"/>
      <c r="B134" s="1667"/>
      <c r="C134" s="1667"/>
      <c r="D134" s="339"/>
      <c r="J134" s="1672"/>
      <c r="K134" s="1672"/>
      <c r="L134" s="1161"/>
      <c r="M134" s="1667"/>
      <c r="N134" s="1667"/>
      <c r="O134" s="1161"/>
      <c r="P134" s="1161"/>
      <c r="Q134" s="1161"/>
      <c r="R134" s="1161"/>
      <c r="S134" s="1667"/>
      <c r="T134" s="1161"/>
      <c r="U134" s="1161"/>
      <c r="V134" s="542"/>
      <c r="W134" s="1161"/>
      <c r="X134" s="1161"/>
      <c r="Y134" s="1161"/>
      <c r="Z134" s="1161"/>
      <c r="AA134" s="1161"/>
      <c r="AB134" s="1663"/>
      <c r="AC134" s="564"/>
      <c r="AD134" s="564"/>
      <c r="AE134" s="564"/>
      <c r="AF134" s="564"/>
    </row>
    <row s="1672" customFormat="1" customHeight="1" ht="11.25">
      <c r="A135" s="988"/>
      <c r="B135" s="1667"/>
      <c r="C135" s="1667"/>
      <c r="D135" s="339"/>
      <c r="J135" s="1672"/>
      <c r="K135" s="1672"/>
      <c r="L135" s="1161"/>
      <c r="M135" s="1667"/>
      <c r="N135" s="1667"/>
      <c r="O135" s="1161"/>
      <c r="P135" s="1161"/>
      <c r="Q135" s="1161"/>
      <c r="R135" s="1161"/>
      <c r="S135" s="1667"/>
      <c r="T135" s="1161"/>
      <c r="U135" s="1161"/>
      <c r="V135" s="542"/>
      <c r="W135" s="1161"/>
      <c r="X135" s="1161"/>
      <c r="Y135" s="1161"/>
      <c r="Z135" s="1161"/>
      <c r="AA135" s="1161"/>
      <c r="AB135" s="1663"/>
      <c r="AC135" s="564"/>
      <c r="AD135" s="564"/>
      <c r="AE135" s="564"/>
      <c r="AF135" s="564"/>
    </row>
    <row s="1672" customFormat="1" customHeight="1" ht="11.25">
      <c r="A136" s="988"/>
      <c r="B136" s="1667"/>
      <c r="C136" s="1667"/>
      <c r="D136" s="339"/>
      <c r="J136" s="1672"/>
      <c r="K136" s="1672"/>
      <c r="L136" s="1161"/>
      <c r="M136" s="1667"/>
      <c r="N136" s="1667"/>
      <c r="O136" s="1161"/>
      <c r="P136" s="1161"/>
      <c r="Q136" s="1161"/>
      <c r="R136" s="1161"/>
      <c r="S136" s="1667"/>
      <c r="T136" s="1161"/>
      <c r="U136" s="1161"/>
      <c r="V136" s="542"/>
      <c r="W136" s="1161"/>
      <c r="X136" s="1161"/>
      <c r="Y136" s="1161"/>
      <c r="Z136" s="1161"/>
      <c r="AA136" s="1161"/>
      <c r="AB136" s="1663"/>
      <c r="AC136" s="564"/>
      <c r="AD136" s="564"/>
      <c r="AE136" s="564"/>
      <c r="AF136" s="564"/>
    </row>
    <row s="1672" customFormat="1" customHeight="1" ht="11.25">
      <c r="A137" s="988"/>
      <c r="B137" s="1667"/>
      <c r="C137" s="1667"/>
      <c r="D137" s="339"/>
      <c r="J137" s="1672"/>
      <c r="K137" s="1672"/>
      <c r="L137" s="1161"/>
      <c r="M137" s="1667"/>
      <c r="N137" s="1667"/>
      <c r="O137" s="1161"/>
      <c r="P137" s="1161"/>
      <c r="Q137" s="1161"/>
      <c r="R137" s="1161"/>
      <c r="S137" s="1667"/>
      <c r="T137" s="1161"/>
      <c r="U137" s="1161"/>
      <c r="V137" s="542"/>
      <c r="W137" s="1161"/>
      <c r="X137" s="1161"/>
      <c r="Y137" s="1161"/>
      <c r="Z137" s="1161"/>
      <c r="AA137" s="1161"/>
      <c r="AB137" s="1663"/>
      <c r="AC137" s="564"/>
      <c r="AD137" s="564"/>
      <c r="AE137" s="564"/>
      <c r="AF137" s="564"/>
    </row>
    <row s="1672" customFormat="1" customHeight="1" ht="11.25">
      <c r="A138" s="988"/>
      <c r="B138" s="1667"/>
      <c r="C138" s="1667"/>
      <c r="D138" s="339"/>
      <c r="J138" s="1672"/>
      <c r="K138" s="1672"/>
      <c r="L138" s="1161"/>
      <c r="M138" s="1667"/>
      <c r="N138" s="1667"/>
      <c r="O138" s="1161"/>
      <c r="P138" s="1161"/>
      <c r="Q138" s="1161"/>
      <c r="R138" s="1161"/>
      <c r="S138" s="1667"/>
      <c r="T138" s="1161"/>
      <c r="U138" s="1161"/>
      <c r="V138" s="542"/>
      <c r="W138" s="1161"/>
      <c r="X138" s="1161"/>
      <c r="Y138" s="1161"/>
      <c r="Z138" s="1161"/>
      <c r="AA138" s="1161"/>
      <c r="AB138" s="1663"/>
      <c r="AC138" s="564"/>
      <c r="AD138" s="564"/>
      <c r="AE138" s="564"/>
      <c r="AF138" s="564"/>
    </row>
    <row s="1672" customFormat="1" customHeight="1" ht="11.25">
      <c r="A139" s="988"/>
      <c r="B139" s="1667"/>
      <c r="C139" s="1667"/>
      <c r="D139" s="339"/>
      <c r="J139" s="1672"/>
      <c r="K139" s="1672"/>
      <c r="L139" s="1161"/>
      <c r="M139" s="1667"/>
      <c r="N139" s="1667"/>
      <c r="O139" s="1161"/>
      <c r="P139" s="1161"/>
      <c r="Q139" s="1161"/>
      <c r="R139" s="1161"/>
      <c r="S139" s="1667"/>
      <c r="T139" s="1161"/>
      <c r="U139" s="1161"/>
      <c r="V139" s="542"/>
      <c r="W139" s="1161"/>
      <c r="X139" s="1161"/>
      <c r="Y139" s="1161"/>
      <c r="Z139" s="1161"/>
      <c r="AA139" s="1161"/>
      <c r="AB139" s="1663"/>
      <c r="AC139" s="564"/>
      <c r="AD139" s="564"/>
      <c r="AE139" s="564"/>
      <c r="AF139" s="564"/>
    </row>
    <row s="1672" customFormat="1" customHeight="1" ht="11.25">
      <c r="A140" s="988"/>
      <c r="B140" s="1667"/>
      <c r="C140" s="1667"/>
      <c r="D140" s="339"/>
      <c r="J140" s="1672"/>
      <c r="K140" s="1672"/>
      <c r="L140" s="1161"/>
      <c r="M140" s="1667"/>
      <c r="N140" s="1667"/>
      <c r="O140" s="1161"/>
      <c r="P140" s="1161"/>
      <c r="Q140" s="1161"/>
      <c r="R140" s="1161"/>
      <c r="S140" s="1667"/>
      <c r="T140" s="1161"/>
      <c r="U140" s="1161"/>
      <c r="V140" s="542"/>
      <c r="W140" s="1161"/>
      <c r="X140" s="1161"/>
      <c r="Y140" s="1161"/>
      <c r="Z140" s="1161"/>
      <c r="AA140" s="1161"/>
      <c r="AB140" s="1663"/>
      <c r="AC140" s="564"/>
      <c r="AD140" s="564"/>
      <c r="AE140" s="564"/>
      <c r="AF140" s="564"/>
    </row>
    <row s="1672" customFormat="1" customHeight="1" ht="11.25">
      <c r="A141" s="988"/>
      <c r="B141" s="1667"/>
      <c r="C141" s="1667"/>
      <c r="D141" s="339"/>
      <c r="J141" s="1672"/>
      <c r="K141" s="1672"/>
      <c r="L141" s="1161"/>
      <c r="M141" s="1667"/>
      <c r="N141" s="1667"/>
      <c r="O141" s="1161"/>
      <c r="P141" s="1161"/>
      <c r="Q141" s="1161"/>
      <c r="R141" s="1161"/>
      <c r="S141" s="1667"/>
      <c r="T141" s="1161"/>
      <c r="U141" s="1161"/>
      <c r="V141" s="542"/>
      <c r="W141" s="1161"/>
      <c r="X141" s="1161"/>
      <c r="Y141" s="1161"/>
      <c r="Z141" s="1161"/>
      <c r="AA141" s="1161"/>
      <c r="AB141" s="1663"/>
      <c r="AC141" s="564"/>
      <c r="AD141" s="564"/>
      <c r="AE141" s="564"/>
      <c r="AF141" s="564"/>
    </row>
    <row s="1672" customFormat="1" customHeight="1" ht="11.25">
      <c r="A142" s="988"/>
      <c r="B142" s="1667"/>
      <c r="C142" s="1667"/>
      <c r="D142" s="339"/>
      <c r="J142" s="1672"/>
      <c r="K142" s="1672"/>
      <c r="L142" s="1161"/>
      <c r="M142" s="1667"/>
      <c r="N142" s="1667"/>
      <c r="O142" s="1161"/>
      <c r="P142" s="1161"/>
      <c r="Q142" s="1161"/>
      <c r="R142" s="1161"/>
      <c r="S142" s="1667"/>
      <c r="T142" s="1161"/>
      <c r="U142" s="1161"/>
      <c r="V142" s="542"/>
      <c r="W142" s="1161"/>
      <c r="X142" s="1161"/>
      <c r="Y142" s="1161"/>
      <c r="Z142" s="1161"/>
      <c r="AA142" s="1161"/>
      <c r="AB142" s="1663"/>
      <c r="AC142" s="564"/>
      <c r="AD142" s="564"/>
      <c r="AE142" s="564"/>
      <c r="AF142" s="564"/>
    </row>
    <row s="1672" customFormat="1" customHeight="1" ht="11.25">
      <c r="A143" s="988"/>
      <c r="B143" s="1667"/>
      <c r="C143" s="1667"/>
      <c r="D143" s="339"/>
      <c r="J143" s="1672"/>
      <c r="K143" s="1672"/>
      <c r="L143" s="1161"/>
      <c r="M143" s="1667"/>
      <c r="N143" s="1667"/>
      <c r="O143" s="1161"/>
      <c r="P143" s="1161"/>
      <c r="Q143" s="1161"/>
      <c r="R143" s="1161"/>
      <c r="S143" s="1667"/>
      <c r="T143" s="1161"/>
      <c r="U143" s="1161"/>
      <c r="V143" s="542"/>
      <c r="W143" s="1161"/>
      <c r="X143" s="1161"/>
      <c r="Y143" s="1161"/>
      <c r="Z143" s="1161"/>
      <c r="AA143" s="1161"/>
      <c r="AB143" s="1663"/>
      <c r="AC143" s="564"/>
      <c r="AD143" s="564"/>
      <c r="AE143" s="564"/>
      <c r="AF143" s="564"/>
    </row>
    <row s="1672" customFormat="1" customHeight="1" ht="11.25">
      <c r="A144" s="988"/>
      <c r="B144" s="1667"/>
      <c r="C144" s="1667"/>
      <c r="D144" s="339"/>
      <c r="J144" s="1672"/>
      <c r="K144" s="1672"/>
      <c r="L144" s="1161"/>
      <c r="M144" s="1667"/>
      <c r="N144" s="1667"/>
      <c r="O144" s="1161"/>
      <c r="P144" s="1161"/>
      <c r="Q144" s="1161"/>
      <c r="R144" s="1161"/>
      <c r="S144" s="1667"/>
      <c r="T144" s="1161"/>
      <c r="U144" s="1161"/>
      <c r="V144" s="542"/>
      <c r="W144" s="1161"/>
      <c r="X144" s="1161"/>
      <c r="Y144" s="1161"/>
      <c r="Z144" s="1161"/>
      <c r="AA144" s="1161"/>
      <c r="AB144" s="1663"/>
      <c r="AC144" s="564"/>
      <c r="AD144" s="564"/>
      <c r="AE144" s="564"/>
      <c r="AF144" s="564"/>
    </row>
    <row s="1672" customFormat="1" customHeight="1" ht="11.25">
      <c r="A145" s="988"/>
      <c r="B145" s="1667"/>
      <c r="C145" s="1667"/>
      <c r="D145" s="339"/>
      <c r="J145" s="1672"/>
      <c r="K145" s="1672"/>
      <c r="L145" s="1161"/>
      <c r="M145" s="1667"/>
      <c r="N145" s="1667"/>
      <c r="O145" s="1161"/>
      <c r="P145" s="1161"/>
      <c r="Q145" s="1161"/>
      <c r="R145" s="1161"/>
      <c r="S145" s="1667"/>
      <c r="T145" s="1161"/>
      <c r="U145" s="1161"/>
      <c r="V145" s="542"/>
      <c r="W145" s="1161"/>
      <c r="X145" s="1161"/>
      <c r="Y145" s="1161"/>
      <c r="Z145" s="1161"/>
      <c r="AA145" s="1161"/>
      <c r="AB145" s="1663"/>
      <c r="AC145" s="564"/>
      <c r="AD145" s="564"/>
      <c r="AE145" s="564"/>
      <c r="AF145" s="564"/>
    </row>
    <row s="1672" customFormat="1" customHeight="1" ht="11.25">
      <c r="A146" s="988"/>
      <c r="B146" s="1667"/>
      <c r="C146" s="1667"/>
      <c r="D146" s="339"/>
      <c r="J146" s="1672"/>
      <c r="K146" s="1672"/>
      <c r="L146" s="1161"/>
      <c r="M146" s="1667"/>
      <c r="N146" s="1667"/>
      <c r="O146" s="1161"/>
      <c r="P146" s="1161"/>
      <c r="Q146" s="1161"/>
      <c r="R146" s="1161"/>
      <c r="S146" s="1667"/>
      <c r="T146" s="1161"/>
      <c r="U146" s="1161"/>
      <c r="V146" s="542"/>
      <c r="W146" s="1161"/>
      <c r="X146" s="1161"/>
      <c r="Y146" s="1161"/>
      <c r="Z146" s="1161"/>
      <c r="AA146" s="1161"/>
      <c r="AB146" s="1663"/>
      <c r="AC146" s="564"/>
      <c r="AD146" s="564"/>
      <c r="AE146" s="564"/>
      <c r="AF146" s="564"/>
    </row>
    <row s="1672" customFormat="1" customHeight="1" ht="11.25">
      <c r="A147" s="988"/>
      <c r="B147" s="1667"/>
      <c r="C147" s="1667"/>
      <c r="D147" s="339"/>
      <c r="J147" s="1672"/>
      <c r="K147" s="1672"/>
      <c r="L147" s="1161"/>
      <c r="M147" s="1667"/>
      <c r="N147" s="1667"/>
      <c r="O147" s="1161"/>
      <c r="P147" s="1161"/>
      <c r="Q147" s="1161"/>
      <c r="R147" s="1161"/>
      <c r="S147" s="1667"/>
      <c r="T147" s="1161"/>
      <c r="U147" s="1161"/>
      <c r="V147" s="542"/>
      <c r="W147" s="1161"/>
      <c r="X147" s="1161"/>
      <c r="Y147" s="1161"/>
      <c r="Z147" s="1161"/>
      <c r="AA147" s="1161"/>
      <c r="AB147" s="1663"/>
      <c r="AC147" s="564"/>
      <c r="AD147" s="564"/>
      <c r="AE147" s="564"/>
      <c r="AF147" s="564"/>
    </row>
    <row s="1672" customFormat="1" customHeight="1" ht="11.25">
      <c r="A148" s="988"/>
      <c r="B148" s="1667"/>
      <c r="C148" s="1667"/>
      <c r="D148" s="339"/>
      <c r="J148" s="1672"/>
      <c r="K148" s="1672"/>
      <c r="L148" s="1161"/>
      <c r="M148" s="1667"/>
      <c r="N148" s="1667"/>
      <c r="O148" s="1161"/>
      <c r="P148" s="1161"/>
      <c r="Q148" s="1161"/>
      <c r="R148" s="1161"/>
      <c r="S148" s="1667"/>
      <c r="T148" s="1161"/>
      <c r="U148" s="1161"/>
      <c r="V148" s="542"/>
      <c r="W148" s="1161"/>
      <c r="X148" s="1161"/>
      <c r="Y148" s="1161"/>
      <c r="Z148" s="1161"/>
      <c r="AA148" s="1161"/>
      <c r="AB148" s="1663"/>
      <c r="AC148" s="564"/>
      <c r="AD148" s="564"/>
      <c r="AE148" s="564"/>
      <c r="AF148" s="564"/>
    </row>
    <row s="1672" customFormat="1" customHeight="1" ht="11.25">
      <c r="A149" s="988"/>
      <c r="B149" s="1667"/>
      <c r="C149" s="1667"/>
      <c r="D149" s="339"/>
      <c r="J149" s="1672"/>
      <c r="K149" s="1672"/>
      <c r="L149" s="1161"/>
      <c r="M149" s="1667"/>
      <c r="N149" s="1667"/>
      <c r="O149" s="1161"/>
      <c r="P149" s="1161"/>
      <c r="Q149" s="1161"/>
      <c r="R149" s="1161"/>
      <c r="S149" s="1667"/>
      <c r="T149" s="1161"/>
      <c r="U149" s="1161"/>
      <c r="V149" s="542"/>
      <c r="W149" s="1161"/>
      <c r="X149" s="1161"/>
      <c r="Y149" s="1161"/>
      <c r="Z149" s="1161"/>
      <c r="AA149" s="1161"/>
      <c r="AB149" s="1663"/>
      <c r="AC149" s="564"/>
      <c r="AD149" s="564"/>
      <c r="AE149" s="564"/>
      <c r="AF149" s="564"/>
    </row>
    <row s="1672" customFormat="1" customHeight="1" ht="11.25">
      <c r="A150" s="988"/>
      <c r="B150" s="1667"/>
      <c r="C150" s="1667"/>
      <c r="D150" s="339"/>
      <c r="J150" s="1672"/>
      <c r="K150" s="1672"/>
      <c r="L150" s="1161"/>
      <c r="M150" s="1667"/>
      <c r="N150" s="1667"/>
      <c r="O150" s="1161"/>
      <c r="P150" s="1161"/>
      <c r="Q150" s="1161"/>
      <c r="R150" s="1161"/>
      <c r="S150" s="1667"/>
      <c r="T150" s="1161"/>
      <c r="U150" s="1161"/>
      <c r="V150" s="542"/>
      <c r="W150" s="1161"/>
      <c r="X150" s="1161"/>
      <c r="Y150" s="1161"/>
      <c r="Z150" s="1161"/>
      <c r="AA150" s="1161"/>
      <c r="AB150" s="1663"/>
      <c r="AC150" s="564"/>
      <c r="AD150" s="564"/>
      <c r="AE150" s="564"/>
      <c r="AF150" s="564"/>
    </row>
    <row s="1672" customFormat="1" customHeight="1" ht="11.25">
      <c r="A151" s="988"/>
      <c r="B151" s="1667"/>
      <c r="C151" s="1667"/>
      <c r="D151" s="339"/>
      <c r="J151" s="1672"/>
      <c r="K151" s="1672"/>
      <c r="L151" s="1161"/>
      <c r="M151" s="1667"/>
      <c r="N151" s="1667"/>
      <c r="O151" s="1161"/>
      <c r="P151" s="1161"/>
      <c r="Q151" s="1161"/>
      <c r="R151" s="1161"/>
      <c r="S151" s="1667"/>
      <c r="T151" s="1161"/>
      <c r="U151" s="1161"/>
      <c r="V151" s="542"/>
      <c r="W151" s="1161"/>
      <c r="X151" s="1161"/>
      <c r="Y151" s="1161"/>
      <c r="Z151" s="1161"/>
      <c r="AA151" s="1161"/>
      <c r="AB151" s="1663"/>
      <c r="AC151" s="564"/>
      <c r="AD151" s="564"/>
      <c r="AE151" s="564"/>
      <c r="AF151" s="564"/>
    </row>
    <row s="1672" customFormat="1" customHeight="1" ht="11.25">
      <c r="A152" s="988"/>
      <c r="B152" s="1667"/>
      <c r="C152" s="1667"/>
      <c r="D152" s="339"/>
      <c r="J152" s="1672"/>
      <c r="K152" s="1672"/>
      <c r="L152" s="1161"/>
      <c r="M152" s="1667"/>
      <c r="N152" s="1667"/>
      <c r="O152" s="1161"/>
      <c r="P152" s="1161"/>
      <c r="Q152" s="1161"/>
      <c r="R152" s="1161"/>
      <c r="S152" s="1667"/>
      <c r="T152" s="1161"/>
      <c r="U152" s="1161"/>
      <c r="V152" s="542"/>
      <c r="W152" s="1161"/>
      <c r="X152" s="1161"/>
      <c r="Y152" s="1161"/>
      <c r="Z152" s="1161"/>
      <c r="AA152" s="1161"/>
      <c r="AB152" s="1663"/>
      <c r="AC152" s="564"/>
      <c r="AD152" s="564"/>
      <c r="AE152" s="564"/>
      <c r="AF152" s="564"/>
    </row>
    <row s="1672" customFormat="1" customHeight="1" ht="11.25">
      <c r="A153" s="988"/>
      <c r="B153" s="1667"/>
      <c r="C153" s="1667"/>
      <c r="D153" s="339"/>
      <c r="J153" s="1672"/>
      <c r="K153" s="1672"/>
      <c r="L153" s="1161"/>
      <c r="M153" s="1667"/>
      <c r="N153" s="1667"/>
      <c r="O153" s="1161"/>
      <c r="P153" s="1161"/>
      <c r="Q153" s="1161"/>
      <c r="R153" s="1161"/>
      <c r="S153" s="1667"/>
      <c r="T153" s="1161"/>
      <c r="U153" s="1161"/>
      <c r="V153" s="542"/>
      <c r="W153" s="1161"/>
      <c r="X153" s="1161"/>
      <c r="Y153" s="1161"/>
      <c r="Z153" s="1161"/>
      <c r="AA153" s="1161"/>
      <c r="AB153" s="1663"/>
      <c r="AC153" s="564"/>
      <c r="AD153" s="564"/>
      <c r="AE153" s="564"/>
      <c r="AF153" s="564"/>
    </row>
    <row s="1672" customFormat="1" customHeight="1" ht="11.25">
      <c r="A154" s="988"/>
      <c r="B154" s="1667"/>
      <c r="C154" s="1667"/>
      <c r="D154" s="339"/>
      <c r="J154" s="1672"/>
      <c r="K154" s="1672"/>
      <c r="L154" s="1161"/>
      <c r="M154" s="1667"/>
      <c r="N154" s="1667"/>
      <c r="O154" s="1161"/>
      <c r="P154" s="1161"/>
      <c r="Q154" s="1161"/>
      <c r="R154" s="1161"/>
      <c r="S154" s="1667"/>
      <c r="T154" s="1161"/>
      <c r="U154" s="1161"/>
      <c r="V154" s="542"/>
      <c r="W154" s="1161"/>
      <c r="X154" s="1161"/>
      <c r="Y154" s="1161"/>
      <c r="Z154" s="1161"/>
      <c r="AA154" s="1161"/>
      <c r="AB154" s="1663"/>
      <c r="AC154" s="564"/>
      <c r="AD154" s="564"/>
      <c r="AE154" s="564"/>
      <c r="AF154" s="564"/>
    </row>
    <row s="1672" customFormat="1" customHeight="1" ht="11.25">
      <c r="A155" s="988"/>
      <c r="B155" s="1667"/>
      <c r="C155" s="1667"/>
      <c r="D155" s="339"/>
      <c r="J155" s="1672"/>
      <c r="K155" s="1672"/>
      <c r="L155" s="1161"/>
      <c r="M155" s="1667"/>
      <c r="N155" s="1667"/>
      <c r="O155" s="1161"/>
      <c r="P155" s="1161"/>
      <c r="Q155" s="1161"/>
      <c r="R155" s="1161"/>
      <c r="S155" s="1667"/>
      <c r="T155" s="1161"/>
      <c r="U155" s="1161"/>
      <c r="V155" s="542"/>
      <c r="W155" s="1161"/>
      <c r="X155" s="1161"/>
      <c r="Y155" s="1161"/>
      <c r="Z155" s="1161"/>
      <c r="AA155" s="1161"/>
      <c r="AB155" s="1663"/>
      <c r="AC155" s="564"/>
      <c r="AD155" s="564"/>
      <c r="AE155" s="564"/>
      <c r="AF155" s="564"/>
    </row>
    <row s="1672" customFormat="1" customHeight="1" ht="11.25">
      <c r="A156" s="988"/>
      <c r="B156" s="1667"/>
      <c r="C156" s="1667"/>
      <c r="D156" s="339"/>
      <c r="J156" s="1672"/>
      <c r="K156" s="1672"/>
      <c r="L156" s="1161"/>
      <c r="M156" s="1667"/>
      <c r="N156" s="1667"/>
      <c r="O156" s="1161"/>
      <c r="P156" s="1161"/>
      <c r="Q156" s="1161"/>
      <c r="R156" s="1161"/>
      <c r="S156" s="1667"/>
      <c r="T156" s="1161"/>
      <c r="U156" s="1161"/>
      <c r="V156" s="542"/>
      <c r="W156" s="1161"/>
      <c r="X156" s="1161"/>
      <c r="Y156" s="1161"/>
      <c r="Z156" s="1161"/>
      <c r="AA156" s="1161"/>
      <c r="AB156" s="1663"/>
      <c r="AC156" s="564"/>
      <c r="AD156" s="564"/>
      <c r="AE156" s="564"/>
      <c r="AF156" s="564"/>
    </row>
    <row s="1672" customFormat="1" customHeight="1" ht="11.25">
      <c r="A157" s="988"/>
      <c r="B157" s="1667"/>
      <c r="C157" s="1667"/>
      <c r="D157" s="339"/>
      <c r="J157" s="1672"/>
      <c r="K157" s="1672"/>
      <c r="L157" s="1161"/>
      <c r="M157" s="1667"/>
      <c r="N157" s="1667"/>
      <c r="O157" s="1161"/>
      <c r="P157" s="1161"/>
      <c r="Q157" s="1161"/>
      <c r="R157" s="1161"/>
      <c r="S157" s="1667"/>
      <c r="T157" s="1161"/>
      <c r="U157" s="1161"/>
      <c r="V157" s="542"/>
      <c r="W157" s="1161"/>
      <c r="X157" s="1161"/>
      <c r="Y157" s="1161"/>
      <c r="Z157" s="1161"/>
      <c r="AA157" s="1161"/>
      <c r="AB157" s="1663"/>
      <c r="AC157" s="564"/>
      <c r="AD157" s="564"/>
      <c r="AE157" s="564"/>
      <c r="AF157" s="564"/>
    </row>
    <row s="1672" customFormat="1" customHeight="1" ht="11.25">
      <c r="A158" s="988"/>
      <c r="B158" s="1667"/>
      <c r="C158" s="1667"/>
      <c r="D158" s="339"/>
      <c r="J158" s="1672"/>
      <c r="K158" s="1672"/>
      <c r="L158" s="1161"/>
      <c r="M158" s="1667"/>
      <c r="N158" s="1667"/>
      <c r="O158" s="1161"/>
      <c r="P158" s="1161"/>
      <c r="Q158" s="1161"/>
      <c r="R158" s="1161"/>
      <c r="S158" s="1667"/>
      <c r="T158" s="1161"/>
      <c r="U158" s="1161"/>
      <c r="V158" s="542"/>
      <c r="W158" s="1161"/>
      <c r="X158" s="1161"/>
      <c r="Y158" s="1161"/>
      <c r="Z158" s="1161"/>
      <c r="AA158" s="1161"/>
      <c r="AB158" s="1663"/>
      <c r="AC158" s="564"/>
      <c r="AD158" s="564"/>
      <c r="AE158" s="564"/>
      <c r="AF158" s="564"/>
    </row>
    <row s="1672" customFormat="1" customHeight="1" ht="11.25">
      <c r="A159" s="988"/>
      <c r="B159" s="1667"/>
      <c r="C159" s="1667"/>
      <c r="D159" s="339"/>
      <c r="J159" s="1672"/>
      <c r="K159" s="1672"/>
      <c r="L159" s="1161"/>
      <c r="M159" s="1667"/>
      <c r="N159" s="1667"/>
      <c r="O159" s="1161"/>
      <c r="P159" s="1161"/>
      <c r="Q159" s="1161"/>
      <c r="R159" s="1161"/>
      <c r="S159" s="1667"/>
      <c r="T159" s="1161"/>
      <c r="U159" s="1161"/>
      <c r="V159" s="542"/>
      <c r="W159" s="1161"/>
      <c r="X159" s="1161"/>
      <c r="Y159" s="1161"/>
      <c r="Z159" s="1161"/>
      <c r="AA159" s="1161"/>
      <c r="AB159" s="1663"/>
      <c r="AC159" s="564"/>
      <c r="AD159" s="564"/>
      <c r="AE159" s="564"/>
      <c r="AF159" s="564"/>
    </row>
    <row s="1672" customFormat="1" customHeight="1" ht="11.25">
      <c r="A160" s="988"/>
      <c r="B160" s="1667"/>
      <c r="C160" s="1667"/>
      <c r="D160" s="339"/>
      <c r="J160" s="1672"/>
      <c r="K160" s="1672"/>
      <c r="L160" s="1161"/>
      <c r="M160" s="1667"/>
      <c r="N160" s="1667"/>
      <c r="O160" s="1161"/>
      <c r="P160" s="1161"/>
      <c r="Q160" s="1161"/>
      <c r="R160" s="1161"/>
      <c r="S160" s="1667"/>
      <c r="T160" s="1161"/>
      <c r="U160" s="1161"/>
      <c r="V160" s="542"/>
      <c r="W160" s="1161"/>
      <c r="X160" s="1161"/>
      <c r="Y160" s="1161"/>
      <c r="Z160" s="1161"/>
      <c r="AA160" s="1161"/>
      <c r="AB160" s="1663"/>
      <c r="AC160" s="564"/>
      <c r="AD160" s="564"/>
      <c r="AE160" s="564"/>
      <c r="AF160" s="564"/>
    </row>
    <row s="1672" customFormat="1" customHeight="1" ht="11.25">
      <c r="A161" s="988"/>
      <c r="B161" s="1667"/>
      <c r="C161" s="1667"/>
      <c r="D161" s="339"/>
      <c r="J161" s="1672"/>
      <c r="K161" s="1672"/>
      <c r="L161" s="1161"/>
      <c r="M161" s="1667"/>
      <c r="N161" s="1667"/>
      <c r="O161" s="1161"/>
      <c r="P161" s="1161"/>
      <c r="Q161" s="1161"/>
      <c r="R161" s="1161"/>
      <c r="S161" s="1667"/>
      <c r="T161" s="1161"/>
      <c r="U161" s="1161"/>
      <c r="V161" s="542"/>
      <c r="W161" s="1161"/>
      <c r="X161" s="1161"/>
      <c r="Y161" s="1161"/>
      <c r="Z161" s="1161"/>
      <c r="AA161" s="1161"/>
      <c r="AB161" s="1663"/>
      <c r="AC161" s="564"/>
      <c r="AD161" s="564"/>
      <c r="AE161" s="564"/>
      <c r="AF161" s="564"/>
    </row>
    <row s="1672" customFormat="1" customHeight="1" ht="11.25">
      <c r="A162" s="988"/>
      <c r="B162" s="1667"/>
      <c r="C162" s="1667"/>
      <c r="D162" s="339"/>
      <c r="J162" s="1672"/>
      <c r="K162" s="1672"/>
      <c r="L162" s="1161"/>
      <c r="M162" s="1667"/>
      <c r="N162" s="1667"/>
      <c r="O162" s="1161"/>
      <c r="P162" s="1161"/>
      <c r="Q162" s="1161"/>
      <c r="R162" s="1161"/>
      <c r="S162" s="1667"/>
      <c r="T162" s="1161"/>
      <c r="U162" s="1161"/>
      <c r="V162" s="542"/>
      <c r="W162" s="1161"/>
      <c r="X162" s="1161"/>
      <c r="Y162" s="1161"/>
      <c r="Z162" s="1161"/>
      <c r="AA162" s="1161"/>
      <c r="AB162" s="1663"/>
      <c r="AC162" s="564"/>
      <c r="AD162" s="564"/>
      <c r="AE162" s="564"/>
      <c r="AF162" s="564"/>
    </row>
    <row s="1672" customFormat="1" customHeight="1" ht="11.25">
      <c r="A163" s="988"/>
      <c r="B163" s="1667"/>
      <c r="C163" s="1667"/>
      <c r="D163" s="339"/>
      <c r="J163" s="1672"/>
      <c r="K163" s="1672"/>
      <c r="L163" s="1161"/>
      <c r="M163" s="1667"/>
      <c r="N163" s="1667"/>
      <c r="O163" s="1161"/>
      <c r="P163" s="1161"/>
      <c r="Q163" s="1161"/>
      <c r="R163" s="1161"/>
      <c r="S163" s="1667"/>
      <c r="T163" s="1161"/>
      <c r="U163" s="1161"/>
      <c r="V163" s="542"/>
      <c r="W163" s="1161"/>
      <c r="X163" s="1161"/>
      <c r="Y163" s="1161"/>
      <c r="Z163" s="1161"/>
      <c r="AA163" s="1161"/>
      <c r="AB163" s="1663"/>
      <c r="AC163" s="564"/>
      <c r="AD163" s="564"/>
      <c r="AE163" s="564"/>
      <c r="AF163" s="564"/>
    </row>
    <row s="1672" customFormat="1" customHeight="1" ht="11.25">
      <c r="A164" s="988"/>
      <c r="B164" s="1667"/>
      <c r="C164" s="1667"/>
      <c r="D164" s="339"/>
      <c r="J164" s="1672"/>
      <c r="K164" s="1672"/>
      <c r="L164" s="1161"/>
      <c r="M164" s="1667"/>
      <c r="N164" s="1667"/>
      <c r="O164" s="1161"/>
      <c r="P164" s="1161"/>
      <c r="Q164" s="1161"/>
      <c r="R164" s="1161"/>
      <c r="S164" s="1667"/>
      <c r="T164" s="1161"/>
      <c r="U164" s="1161"/>
      <c r="V164" s="542"/>
      <c r="W164" s="1161"/>
      <c r="X164" s="1161"/>
      <c r="Y164" s="1161"/>
      <c r="Z164" s="1161"/>
      <c r="AA164" s="1161"/>
      <c r="AB164" s="1663"/>
      <c r="AC164" s="564"/>
      <c r="AD164" s="564"/>
      <c r="AE164" s="564"/>
      <c r="AF164" s="564"/>
    </row>
    <row s="1672" customFormat="1" customHeight="1" ht="11.25">
      <c r="A165" s="988"/>
      <c r="B165" s="1667"/>
      <c r="C165" s="1667"/>
      <c r="D165" s="339"/>
      <c r="J165" s="1672"/>
      <c r="K165" s="1672"/>
      <c r="L165" s="1161"/>
      <c r="M165" s="1667"/>
      <c r="N165" s="1667"/>
      <c r="O165" s="1161"/>
      <c r="P165" s="1161"/>
      <c r="Q165" s="1161"/>
      <c r="R165" s="1161"/>
      <c r="S165" s="1667"/>
      <c r="T165" s="1161"/>
      <c r="U165" s="1161"/>
      <c r="V165" s="542"/>
      <c r="W165" s="1161"/>
      <c r="X165" s="1161"/>
      <c r="Y165" s="1161"/>
      <c r="Z165" s="1161"/>
      <c r="AA165" s="1161"/>
      <c r="AB165" s="1663"/>
      <c r="AC165" s="564"/>
      <c r="AD165" s="564"/>
      <c r="AE165" s="564"/>
      <c r="AF165" s="564"/>
    </row>
    <row s="1672" customFormat="1" customHeight="1" ht="11.25">
      <c r="A166" s="988"/>
      <c r="B166" s="1667"/>
      <c r="C166" s="1667"/>
      <c r="D166" s="339"/>
      <c r="J166" s="1672"/>
      <c r="K166" s="1672"/>
      <c r="L166" s="1161"/>
      <c r="M166" s="1667"/>
      <c r="N166" s="1667"/>
      <c r="O166" s="1161"/>
      <c r="P166" s="1161"/>
      <c r="Q166" s="1161"/>
      <c r="R166" s="1161"/>
      <c r="S166" s="1667"/>
      <c r="T166" s="1161"/>
      <c r="U166" s="1161"/>
      <c r="V166" s="542"/>
      <c r="W166" s="1161"/>
      <c r="X166" s="1161"/>
      <c r="Y166" s="1161"/>
      <c r="Z166" s="1161"/>
      <c r="AA166" s="1161"/>
      <c r="AB166" s="1663"/>
      <c r="AC166" s="564"/>
      <c r="AD166" s="564"/>
      <c r="AE166" s="564"/>
      <c r="AF166" s="564"/>
    </row>
    <row s="1672" customFormat="1" customHeight="1" ht="11.25">
      <c r="A167" s="988"/>
      <c r="B167" s="1667"/>
      <c r="C167" s="1667"/>
      <c r="D167" s="339"/>
      <c r="J167" s="1672"/>
      <c r="K167" s="1672"/>
      <c r="L167" s="1161"/>
      <c r="M167" s="1667"/>
      <c r="N167" s="1667"/>
      <c r="O167" s="1161"/>
      <c r="P167" s="1161"/>
      <c r="Q167" s="1161"/>
      <c r="R167" s="1161"/>
      <c r="S167" s="1667"/>
      <c r="T167" s="1161"/>
      <c r="U167" s="1161"/>
      <c r="V167" s="542"/>
      <c r="W167" s="1161"/>
      <c r="X167" s="1161"/>
      <c r="Y167" s="1161"/>
      <c r="Z167" s="1161"/>
      <c r="AA167" s="1161"/>
      <c r="AB167" s="1663"/>
      <c r="AC167" s="564"/>
      <c r="AD167" s="564"/>
      <c r="AE167" s="564"/>
      <c r="AF167" s="564"/>
    </row>
    <row s="1672" customFormat="1" customHeight="1" ht="11.25">
      <c r="A168" s="988"/>
      <c r="B168" s="1667"/>
      <c r="C168" s="1667"/>
      <c r="D168" s="339"/>
      <c r="J168" s="1672"/>
      <c r="K168" s="1672"/>
      <c r="L168" s="1161"/>
      <c r="M168" s="1667"/>
      <c r="N168" s="1667"/>
      <c r="O168" s="1161"/>
      <c r="P168" s="1161"/>
      <c r="Q168" s="1161"/>
      <c r="R168" s="1161"/>
      <c r="S168" s="1667"/>
      <c r="T168" s="1161"/>
      <c r="U168" s="1161"/>
      <c r="V168" s="542"/>
      <c r="W168" s="1161"/>
      <c r="X168" s="1161"/>
      <c r="Y168" s="1161"/>
      <c r="Z168" s="1161"/>
      <c r="AA168" s="1161"/>
      <c r="AB168" s="1663"/>
      <c r="AC168" s="564"/>
      <c r="AD168" s="564"/>
      <c r="AE168" s="564"/>
      <c r="AF168" s="564"/>
    </row>
    <row s="1672" customFormat="1" customHeight="1" ht="11.25">
      <c r="A169" s="988"/>
      <c r="B169" s="1667"/>
      <c r="C169" s="1667"/>
      <c r="D169" s="339"/>
      <c r="J169" s="1672"/>
      <c r="K169" s="1672"/>
      <c r="L169" s="1161"/>
      <c r="M169" s="1667"/>
      <c r="N169" s="1667"/>
      <c r="O169" s="1161"/>
      <c r="P169" s="1161"/>
      <c r="Q169" s="1161"/>
      <c r="R169" s="1161"/>
      <c r="S169" s="1667"/>
      <c r="T169" s="1161"/>
      <c r="U169" s="1161"/>
      <c r="V169" s="542"/>
      <c r="W169" s="1161"/>
      <c r="X169" s="1161"/>
      <c r="Y169" s="1161"/>
      <c r="Z169" s="1161"/>
      <c r="AA169" s="1161"/>
      <c r="AB169" s="1663"/>
      <c r="AC169" s="564"/>
      <c r="AD169" s="564"/>
      <c r="AE169" s="564"/>
      <c r="AF169" s="564"/>
    </row>
    <row s="1672" customFormat="1" customHeight="1" ht="11.25">
      <c r="A170" s="988"/>
      <c r="B170" s="1667"/>
      <c r="C170" s="1667"/>
      <c r="D170" s="339"/>
      <c r="J170" s="1672"/>
      <c r="K170" s="1672"/>
      <c r="L170" s="1161"/>
      <c r="M170" s="1667"/>
      <c r="N170" s="1667"/>
      <c r="O170" s="1161"/>
      <c r="P170" s="1161"/>
      <c r="Q170" s="1161"/>
      <c r="R170" s="1161"/>
      <c r="S170" s="1667"/>
      <c r="T170" s="1161"/>
      <c r="U170" s="1161"/>
      <c r="V170" s="542"/>
      <c r="W170" s="1161"/>
      <c r="X170" s="1161"/>
      <c r="Y170" s="1161"/>
      <c r="Z170" s="1161"/>
      <c r="AA170" s="1161"/>
      <c r="AB170" s="1663"/>
      <c r="AC170" s="564"/>
      <c r="AD170" s="564"/>
      <c r="AE170" s="564"/>
      <c r="AF170" s="564"/>
    </row>
    <row s="1672" customFormat="1" customHeight="1" ht="11.25">
      <c r="A171" s="988"/>
      <c r="B171" s="1667"/>
      <c r="C171" s="1667"/>
      <c r="D171" s="339"/>
      <c r="J171" s="1672"/>
      <c r="K171" s="1672"/>
      <c r="L171" s="1161"/>
      <c r="M171" s="1667"/>
      <c r="N171" s="1667"/>
      <c r="O171" s="1161"/>
      <c r="P171" s="1161"/>
      <c r="Q171" s="1161"/>
      <c r="R171" s="1161"/>
      <c r="S171" s="1667"/>
      <c r="T171" s="1161"/>
      <c r="U171" s="1161"/>
      <c r="V171" s="542"/>
      <c r="W171" s="1161"/>
      <c r="X171" s="1161"/>
      <c r="Y171" s="1161"/>
      <c r="Z171" s="1161"/>
      <c r="AA171" s="1161"/>
      <c r="AB171" s="1663"/>
      <c r="AC171" s="564"/>
      <c r="AD171" s="564"/>
      <c r="AE171" s="564"/>
      <c r="AF171" s="564"/>
    </row>
    <row s="1672" customFormat="1" customHeight="1" ht="11.25">
      <c r="A172" s="988"/>
      <c r="B172" s="1667"/>
      <c r="C172" s="1667"/>
      <c r="D172" s="339"/>
      <c r="J172" s="1672"/>
      <c r="K172" s="1672"/>
      <c r="L172" s="1161"/>
      <c r="M172" s="1667"/>
      <c r="N172" s="1667"/>
      <c r="O172" s="1161"/>
      <c r="P172" s="1161"/>
      <c r="Q172" s="1161"/>
      <c r="R172" s="1161"/>
      <c r="S172" s="1667"/>
      <c r="T172" s="1161"/>
      <c r="U172" s="1161"/>
      <c r="V172" s="542"/>
      <c r="W172" s="1161"/>
      <c r="X172" s="1161"/>
      <c r="Y172" s="1161"/>
      <c r="Z172" s="1161"/>
      <c r="AA172" s="1161"/>
      <c r="AB172" s="1663"/>
      <c r="AC172" s="564"/>
      <c r="AD172" s="564"/>
      <c r="AE172" s="564"/>
      <c r="AF172" s="564"/>
    </row>
    <row s="1672" customFormat="1" customHeight="1" ht="11.25">
      <c r="A173" s="988"/>
      <c r="B173" s="1667"/>
      <c r="C173" s="1667"/>
      <c r="D173" s="339"/>
      <c r="J173" s="1672"/>
      <c r="K173" s="1672"/>
      <c r="L173" s="1161"/>
      <c r="M173" s="1667"/>
      <c r="N173" s="1667"/>
      <c r="O173" s="1161"/>
      <c r="P173" s="1161"/>
      <c r="Q173" s="1161"/>
      <c r="R173" s="1161"/>
      <c r="S173" s="1667"/>
      <c r="T173" s="1161"/>
      <c r="U173" s="1161"/>
      <c r="V173" s="542"/>
      <c r="W173" s="1161"/>
      <c r="X173" s="1161"/>
      <c r="Y173" s="1161"/>
      <c r="Z173" s="1161"/>
      <c r="AA173" s="1161"/>
      <c r="AB173" s="1663"/>
      <c r="AC173" s="564"/>
      <c r="AD173" s="564"/>
      <c r="AE173" s="564"/>
      <c r="AF173" s="564"/>
    </row>
    <row s="1672" customFormat="1" customHeight="1" ht="11.25">
      <c r="A174" s="988"/>
      <c r="B174" s="1667"/>
      <c r="C174" s="1667"/>
      <c r="D174" s="339"/>
      <c r="J174" s="1672"/>
      <c r="K174" s="1672"/>
      <c r="L174" s="1161"/>
      <c r="M174" s="1667"/>
      <c r="N174" s="1667"/>
      <c r="O174" s="1161"/>
      <c r="P174" s="1161"/>
      <c r="Q174" s="1161"/>
      <c r="R174" s="1161"/>
      <c r="S174" s="1667"/>
      <c r="T174" s="1161"/>
      <c r="U174" s="1161"/>
      <c r="V174" s="542"/>
      <c r="W174" s="1161"/>
      <c r="X174" s="1161"/>
      <c r="Y174" s="1161"/>
      <c r="Z174" s="1161"/>
      <c r="AA174" s="1161"/>
      <c r="AB174" s="1663"/>
      <c r="AC174" s="564"/>
      <c r="AD174" s="564"/>
      <c r="AE174" s="564"/>
      <c r="AF174" s="564"/>
    </row>
    <row s="1672" customFormat="1" customHeight="1" ht="11.25">
      <c r="A175" s="988"/>
      <c r="B175" s="1667"/>
      <c r="C175" s="1667"/>
      <c r="D175" s="339"/>
      <c r="J175" s="1672"/>
      <c r="K175" s="1672"/>
      <c r="L175" s="1161"/>
      <c r="M175" s="1667"/>
      <c r="N175" s="1667"/>
      <c r="O175" s="1161"/>
      <c r="P175" s="1161"/>
      <c r="Q175" s="1161"/>
      <c r="R175" s="1161"/>
      <c r="S175" s="1667"/>
      <c r="T175" s="1161"/>
      <c r="U175" s="1161"/>
      <c r="V175" s="542"/>
      <c r="W175" s="1161"/>
      <c r="X175" s="1161"/>
      <c r="Y175" s="1161"/>
      <c r="Z175" s="1161"/>
      <c r="AA175" s="1161"/>
      <c r="AB175" s="1663"/>
      <c r="AC175" s="564"/>
      <c r="AD175" s="564"/>
      <c r="AE175" s="564"/>
      <c r="AF175" s="564"/>
    </row>
    <row s="1672" customFormat="1" customHeight="1" ht="11.25">
      <c r="A176" s="988"/>
      <c r="B176" s="1667"/>
      <c r="C176" s="1667"/>
      <c r="D176" s="339"/>
      <c r="J176" s="1672"/>
      <c r="K176" s="1672"/>
      <c r="L176" s="1161"/>
      <c r="M176" s="1667"/>
      <c r="N176" s="1667"/>
      <c r="O176" s="1161"/>
      <c r="P176" s="1161"/>
      <c r="Q176" s="1161"/>
      <c r="R176" s="1161"/>
      <c r="S176" s="1667"/>
      <c r="T176" s="1161"/>
      <c r="U176" s="1161"/>
      <c r="V176" s="542"/>
      <c r="W176" s="1161"/>
      <c r="X176" s="1161"/>
      <c r="Y176" s="1161"/>
      <c r="Z176" s="1161"/>
      <c r="AA176" s="1161"/>
      <c r="AB176" s="1663"/>
      <c r="AC176" s="564"/>
      <c r="AD176" s="564"/>
      <c r="AE176" s="564"/>
      <c r="AF176" s="564"/>
    </row>
    <row s="1672" customFormat="1" customHeight="1" ht="11.25">
      <c r="A177" s="988"/>
      <c r="B177" s="1667"/>
      <c r="C177" s="1667"/>
      <c r="D177" s="339"/>
      <c r="J177" s="1672"/>
      <c r="K177" s="1672"/>
      <c r="L177" s="1161"/>
      <c r="M177" s="1667"/>
      <c r="N177" s="1667"/>
      <c r="O177" s="1161"/>
      <c r="P177" s="1161"/>
      <c r="Q177" s="1161"/>
      <c r="R177" s="1161"/>
      <c r="S177" s="1667"/>
      <c r="T177" s="1161"/>
      <c r="U177" s="1161"/>
      <c r="V177" s="542"/>
      <c r="W177" s="1161"/>
      <c r="X177" s="1161"/>
      <c r="Y177" s="1161"/>
      <c r="Z177" s="1161"/>
      <c r="AA177" s="1161"/>
      <c r="AB177" s="1663"/>
      <c r="AC177" s="564"/>
      <c r="AD177" s="564"/>
      <c r="AE177" s="564"/>
      <c r="AF177" s="564"/>
    </row>
    <row s="1672" customFormat="1" customHeight="1" ht="11.25">
      <c r="A178" s="988"/>
      <c r="B178" s="1667"/>
      <c r="C178" s="1667"/>
      <c r="D178" s="339"/>
      <c r="J178" s="1672"/>
      <c r="K178" s="1672"/>
      <c r="L178" s="1161"/>
      <c r="M178" s="1667"/>
      <c r="N178" s="1667"/>
      <c r="O178" s="1161"/>
      <c r="P178" s="1161"/>
      <c r="Q178" s="1161"/>
      <c r="R178" s="1161"/>
      <c r="S178" s="1667"/>
      <c r="T178" s="1161"/>
      <c r="U178" s="1161"/>
      <c r="V178" s="542"/>
      <c r="W178" s="1161"/>
      <c r="X178" s="1161"/>
      <c r="Y178" s="1161"/>
      <c r="Z178" s="1161"/>
      <c r="AA178" s="1161"/>
      <c r="AB178" s="1663"/>
      <c r="AC178" s="564"/>
      <c r="AD178" s="564"/>
      <c r="AE178" s="564"/>
      <c r="AF178" s="564"/>
    </row>
    <row s="1672" customFormat="1" customHeight="1" ht="11.25">
      <c r="A179" s="988"/>
      <c r="B179" s="1667"/>
      <c r="C179" s="1667"/>
      <c r="D179" s="339"/>
      <c r="J179" s="1672"/>
      <c r="K179" s="1672"/>
      <c r="L179" s="1161"/>
      <c r="M179" s="1667"/>
      <c r="N179" s="1667"/>
      <c r="O179" s="1161"/>
      <c r="P179" s="1161"/>
      <c r="Q179" s="1161"/>
      <c r="R179" s="1161"/>
      <c r="S179" s="1667"/>
      <c r="T179" s="1161"/>
      <c r="U179" s="1161"/>
      <c r="V179" s="542"/>
      <c r="W179" s="1161"/>
      <c r="X179" s="1161"/>
      <c r="Y179" s="1161"/>
      <c r="Z179" s="1161"/>
      <c r="AA179" s="1161"/>
      <c r="AB179" s="1663"/>
      <c r="AC179" s="564"/>
      <c r="AD179" s="564"/>
      <c r="AE179" s="564"/>
      <c r="AF179" s="564"/>
    </row>
    <row s="1672" customFormat="1" customHeight="1" ht="11.25">
      <c r="A180" s="988"/>
      <c r="B180" s="1667"/>
      <c r="C180" s="1667"/>
      <c r="D180" s="339"/>
      <c r="J180" s="1672"/>
      <c r="K180" s="1672"/>
      <c r="L180" s="1161"/>
      <c r="M180" s="1667"/>
      <c r="N180" s="1667"/>
      <c r="O180" s="1161"/>
      <c r="P180" s="1161"/>
      <c r="Q180" s="1161"/>
      <c r="R180" s="1161"/>
      <c r="S180" s="1667"/>
      <c r="T180" s="1161"/>
      <c r="U180" s="1161"/>
      <c r="V180" s="542"/>
      <c r="W180" s="1161"/>
      <c r="X180" s="1161"/>
      <c r="Y180" s="1161"/>
      <c r="Z180" s="1161"/>
      <c r="AA180" s="1161"/>
      <c r="AB180" s="1663"/>
      <c r="AC180" s="564"/>
      <c r="AD180" s="564"/>
      <c r="AE180" s="564"/>
      <c r="AF180" s="564"/>
    </row>
    <row s="1672" customFormat="1" customHeight="1" ht="11.25">
      <c r="A181" s="988"/>
      <c r="B181" s="1667"/>
      <c r="C181" s="1667"/>
      <c r="D181" s="339"/>
      <c r="J181" s="1672"/>
      <c r="K181" s="1672"/>
      <c r="L181" s="1161"/>
      <c r="M181" s="1667"/>
      <c r="N181" s="1667"/>
      <c r="O181" s="1161"/>
      <c r="P181" s="1161"/>
      <c r="Q181" s="1161"/>
      <c r="R181" s="1161"/>
      <c r="S181" s="1667"/>
      <c r="T181" s="1161"/>
      <c r="U181" s="1161"/>
      <c r="V181" s="542"/>
      <c r="W181" s="1161"/>
      <c r="X181" s="1161"/>
      <c r="Y181" s="1161"/>
      <c r="Z181" s="1161"/>
      <c r="AA181" s="1161"/>
      <c r="AB181" s="1663"/>
      <c r="AC181" s="564"/>
      <c r="AD181" s="564"/>
      <c r="AE181" s="564"/>
      <c r="AF181" s="564"/>
    </row>
    <row s="1672" customFormat="1" customHeight="1" ht="11.25">
      <c r="A182" s="988"/>
      <c r="B182" s="1667"/>
      <c r="C182" s="1667"/>
      <c r="D182" s="339"/>
      <c r="J182" s="1672"/>
      <c r="K182" s="1672"/>
      <c r="L182" s="1161"/>
      <c r="M182" s="1667"/>
      <c r="N182" s="1667"/>
      <c r="O182" s="1161"/>
      <c r="P182" s="1161"/>
      <c r="Q182" s="1161"/>
      <c r="R182" s="1161"/>
      <c r="S182" s="1667"/>
      <c r="T182" s="1161"/>
      <c r="U182" s="1161"/>
      <c r="V182" s="542"/>
      <c r="W182" s="1161"/>
      <c r="X182" s="1161"/>
      <c r="Y182" s="1161"/>
      <c r="Z182" s="1161"/>
      <c r="AA182" s="1161"/>
      <c r="AB182" s="1663"/>
      <c r="AC182" s="564"/>
      <c r="AD182" s="564"/>
      <c r="AE182" s="564"/>
      <c r="AF182" s="564"/>
    </row>
    <row s="1672" customFormat="1" customHeight="1" ht="11.25">
      <c r="A183" s="988"/>
      <c r="B183" s="1667"/>
      <c r="C183" s="1667"/>
      <c r="D183" s="339"/>
      <c r="J183" s="1672"/>
      <c r="K183" s="1672"/>
      <c r="L183" s="1161"/>
      <c r="M183" s="1667"/>
      <c r="N183" s="1667"/>
      <c r="O183" s="1161"/>
      <c r="P183" s="1161"/>
      <c r="Q183" s="1161"/>
      <c r="R183" s="1161"/>
      <c r="S183" s="1667"/>
      <c r="T183" s="1161"/>
      <c r="U183" s="1161"/>
      <c r="V183" s="542"/>
      <c r="W183" s="1161"/>
      <c r="X183" s="1161"/>
      <c r="Y183" s="1161"/>
      <c r="Z183" s="1161"/>
      <c r="AA183" s="1161"/>
      <c r="AB183" s="1663"/>
      <c r="AC183" s="564"/>
      <c r="AD183" s="564"/>
      <c r="AE183" s="564"/>
      <c r="AF183" s="564"/>
    </row>
    <row s="1672" customFormat="1" customHeight="1" ht="11.25">
      <c r="A184" s="988"/>
      <c r="B184" s="1667"/>
      <c r="C184" s="1667"/>
      <c r="D184" s="339"/>
      <c r="J184" s="1672"/>
      <c r="K184" s="1672"/>
      <c r="L184" s="1161"/>
      <c r="M184" s="1667"/>
      <c r="N184" s="1667"/>
      <c r="O184" s="1161"/>
      <c r="P184" s="1161"/>
      <c r="Q184" s="1161"/>
      <c r="R184" s="1161"/>
      <c r="S184" s="1667"/>
      <c r="T184" s="1161"/>
      <c r="U184" s="1161"/>
      <c r="V184" s="542"/>
      <c r="W184" s="1161"/>
      <c r="X184" s="1161"/>
      <c r="Y184" s="1161"/>
      <c r="Z184" s="1161"/>
      <c r="AA184" s="1161"/>
      <c r="AB184" s="1663"/>
      <c r="AC184" s="564"/>
      <c r="AD184" s="564"/>
      <c r="AE184" s="564"/>
      <c r="AF184" s="564"/>
    </row>
    <row s="1672" customFormat="1" customHeight="1" ht="11.25">
      <c r="A185" s="988"/>
      <c r="B185" s="1667"/>
      <c r="C185" s="1667"/>
      <c r="D185" s="339"/>
      <c r="J185" s="1672"/>
      <c r="K185" s="1672"/>
      <c r="L185" s="1161"/>
      <c r="M185" s="1667"/>
      <c r="N185" s="1667"/>
      <c r="O185" s="1161"/>
      <c r="P185" s="1161"/>
      <c r="Q185" s="1161"/>
      <c r="R185" s="1161"/>
      <c r="S185" s="1667"/>
      <c r="T185" s="1161"/>
      <c r="U185" s="1161"/>
      <c r="V185" s="542"/>
      <c r="W185" s="1161"/>
      <c r="X185" s="1161"/>
      <c r="Y185" s="1161"/>
      <c r="Z185" s="1161"/>
      <c r="AA185" s="1161"/>
      <c r="AB185" s="1663"/>
      <c r="AC185" s="564"/>
      <c r="AD185" s="564"/>
      <c r="AE185" s="564"/>
      <c r="AF185" s="564"/>
    </row>
    <row s="1672" customFormat="1" customHeight="1" ht="11.25">
      <c r="A186" s="988"/>
      <c r="B186" s="1667"/>
      <c r="C186" s="1667"/>
      <c r="D186" s="339"/>
      <c r="J186" s="1672"/>
      <c r="K186" s="1672"/>
      <c r="L186" s="1161"/>
      <c r="M186" s="1667"/>
      <c r="N186" s="1667"/>
      <c r="O186" s="1161"/>
      <c r="P186" s="1161"/>
      <c r="Q186" s="1161"/>
      <c r="R186" s="1161"/>
      <c r="S186" s="1667"/>
      <c r="T186" s="1161"/>
      <c r="U186" s="1161"/>
      <c r="V186" s="542"/>
      <c r="W186" s="1161"/>
      <c r="X186" s="1161"/>
      <c r="Y186" s="1161"/>
      <c r="Z186" s="1161"/>
      <c r="AA186" s="1161"/>
      <c r="AB186" s="1663"/>
      <c r="AC186" s="564"/>
      <c r="AD186" s="564"/>
      <c r="AE186" s="564"/>
      <c r="AF186" s="564"/>
    </row>
    <row s="1672" customFormat="1" customHeight="1" ht="11.25">
      <c r="A187" s="988"/>
      <c r="B187" s="1667"/>
      <c r="C187" s="1667"/>
      <c r="D187" s="339"/>
      <c r="J187" s="1672"/>
      <c r="K187" s="1672"/>
      <c r="L187" s="1161"/>
      <c r="M187" s="1667"/>
      <c r="N187" s="1667"/>
      <c r="O187" s="1161"/>
      <c r="P187" s="1161"/>
      <c r="Q187" s="1161"/>
      <c r="R187" s="1161"/>
      <c r="S187" s="1667"/>
      <c r="T187" s="1161"/>
      <c r="U187" s="1161"/>
      <c r="V187" s="542"/>
      <c r="W187" s="1161"/>
      <c r="X187" s="1161"/>
      <c r="Y187" s="1161"/>
      <c r="Z187" s="1161"/>
      <c r="AA187" s="1161"/>
      <c r="AB187" s="1663"/>
      <c r="AC187" s="564"/>
      <c r="AD187" s="564"/>
      <c r="AE187" s="564"/>
      <c r="AF187" s="564"/>
    </row>
    <row s="1672" customFormat="1" customHeight="1" ht="11.25">
      <c r="A188" s="988"/>
      <c r="B188" s="1667"/>
      <c r="C188" s="1667"/>
      <c r="D188" s="339"/>
      <c r="J188" s="1672"/>
      <c r="K188" s="1672"/>
      <c r="L188" s="1161"/>
      <c r="M188" s="1667"/>
      <c r="N188" s="1667"/>
      <c r="O188" s="1161"/>
      <c r="P188" s="1161"/>
      <c r="Q188" s="1161"/>
      <c r="R188" s="1161"/>
      <c r="S188" s="1667"/>
      <c r="T188" s="1161"/>
      <c r="U188" s="1161"/>
      <c r="V188" s="542"/>
      <c r="W188" s="1161"/>
      <c r="X188" s="1161"/>
      <c r="Y188" s="1161"/>
      <c r="Z188" s="1161"/>
      <c r="AA188" s="1161"/>
      <c r="AB188" s="1663"/>
      <c r="AC188" s="564"/>
      <c r="AD188" s="564"/>
      <c r="AE188" s="564"/>
      <c r="AF188" s="564"/>
    </row>
    <row s="1672" customFormat="1" customHeight="1" ht="11.25">
      <c r="A189" s="988"/>
      <c r="B189" s="1667"/>
      <c r="C189" s="1667"/>
      <c r="D189" s="339"/>
      <c r="J189" s="1672"/>
      <c r="K189" s="1672"/>
      <c r="L189" s="1161"/>
      <c r="M189" s="1667"/>
      <c r="N189" s="1667"/>
      <c r="O189" s="1161"/>
      <c r="P189" s="1161"/>
      <c r="Q189" s="1161"/>
      <c r="R189" s="1161"/>
      <c r="S189" s="1667"/>
      <c r="T189" s="1161"/>
      <c r="U189" s="1161"/>
      <c r="V189" s="542"/>
      <c r="W189" s="1161"/>
      <c r="X189" s="1161"/>
      <c r="Y189" s="1161"/>
      <c r="Z189" s="1161"/>
      <c r="AA189" s="1161"/>
      <c r="AB189" s="1663"/>
      <c r="AC189" s="564"/>
      <c r="AD189" s="564"/>
      <c r="AE189" s="564"/>
      <c r="AF189" s="564"/>
    </row>
    <row s="1672" customFormat="1" customHeight="1" ht="11.25">
      <c r="A190" s="988"/>
      <c r="B190" s="1667"/>
      <c r="C190" s="1667"/>
      <c r="D190" s="339"/>
      <c r="J190" s="1672"/>
      <c r="K190" s="1672"/>
      <c r="L190" s="1161"/>
      <c r="M190" s="1667"/>
      <c r="N190" s="1667"/>
      <c r="O190" s="1161"/>
      <c r="P190" s="1161"/>
      <c r="Q190" s="1161"/>
      <c r="R190" s="1161"/>
      <c r="S190" s="1667"/>
      <c r="T190" s="1161"/>
      <c r="U190" s="1161"/>
      <c r="V190" s="542"/>
      <c r="W190" s="1161"/>
      <c r="X190" s="1161"/>
      <c r="Y190" s="1161"/>
      <c r="Z190" s="1161"/>
      <c r="AA190" s="1161"/>
      <c r="AB190" s="1663"/>
      <c r="AC190" s="564"/>
      <c r="AD190" s="564"/>
      <c r="AE190" s="564"/>
      <c r="AF190" s="564"/>
    </row>
    <row s="1672" customFormat="1" customHeight="1" ht="11.25">
      <c r="A191" s="988"/>
      <c r="B191" s="1667"/>
      <c r="C191" s="1667"/>
      <c r="D191" s="339"/>
      <c r="J191" s="1672"/>
      <c r="K191" s="1672"/>
      <c r="L191" s="1161"/>
      <c r="M191" s="1667"/>
      <c r="N191" s="1667"/>
      <c r="O191" s="1161"/>
      <c r="P191" s="1161"/>
      <c r="Q191" s="1161"/>
      <c r="R191" s="1161"/>
      <c r="S191" s="1667"/>
      <c r="T191" s="1161"/>
      <c r="U191" s="1161"/>
      <c r="V191" s="542"/>
      <c r="W191" s="1161"/>
      <c r="X191" s="1161"/>
      <c r="Y191" s="1161"/>
      <c r="Z191" s="1161"/>
      <c r="AA191" s="1161"/>
      <c r="AB191" s="1663"/>
      <c r="AC191" s="564"/>
      <c r="AD191" s="564"/>
      <c r="AE191" s="564"/>
      <c r="AF191" s="564"/>
    </row>
    <row s="1672" customFormat="1" customHeight="1" ht="11.25">
      <c r="A192" s="988"/>
      <c r="B192" s="1667"/>
      <c r="C192" s="1667"/>
      <c r="D192" s="339"/>
      <c r="J192" s="1672"/>
      <c r="K192" s="1672"/>
      <c r="L192" s="1161"/>
      <c r="M192" s="1667"/>
      <c r="N192" s="1667"/>
      <c r="O192" s="1161"/>
      <c r="P192" s="1161"/>
      <c r="Q192" s="1161"/>
      <c r="R192" s="1161"/>
      <c r="S192" s="1667"/>
      <c r="T192" s="1161"/>
      <c r="U192" s="1161"/>
      <c r="V192" s="542"/>
      <c r="W192" s="1161"/>
      <c r="X192" s="1161"/>
      <c r="Y192" s="1161"/>
      <c r="Z192" s="1161"/>
      <c r="AA192" s="1161"/>
      <c r="AB192" s="1663"/>
      <c r="AC192" s="564"/>
      <c r="AD192" s="564"/>
      <c r="AE192" s="564"/>
      <c r="AF192" s="564"/>
    </row>
    <row s="1672" customFormat="1" customHeight="1" ht="11.25">
      <c r="A193" s="988"/>
      <c r="B193" s="1667"/>
      <c r="C193" s="1667"/>
      <c r="D193" s="339"/>
      <c r="J193" s="1672"/>
      <c r="K193" s="1672"/>
      <c r="L193" s="1161"/>
      <c r="M193" s="1667"/>
      <c r="N193" s="1667"/>
      <c r="O193" s="1161"/>
      <c r="P193" s="1161"/>
      <c r="Q193" s="1161"/>
      <c r="R193" s="1161"/>
      <c r="S193" s="1667"/>
      <c r="T193" s="1161"/>
      <c r="U193" s="1161"/>
      <c r="V193" s="542"/>
      <c r="W193" s="1161"/>
      <c r="X193" s="1161"/>
      <c r="Y193" s="1161"/>
      <c r="Z193" s="1161"/>
      <c r="AA193" s="1161"/>
      <c r="AB193" s="1663"/>
      <c r="AC193" s="564"/>
      <c r="AD193" s="564"/>
      <c r="AE193" s="564"/>
      <c r="AF193" s="564"/>
    </row>
    <row s="1672" customFormat="1" customHeight="1" ht="11.25">
      <c r="A194" s="988"/>
      <c r="B194" s="1667"/>
      <c r="C194" s="1667"/>
      <c r="D194" s="339"/>
      <c r="J194" s="1672"/>
      <c r="K194" s="1672"/>
      <c r="L194" s="1161"/>
      <c r="M194" s="1667"/>
      <c r="N194" s="1667"/>
      <c r="O194" s="1161"/>
      <c r="P194" s="1161"/>
      <c r="Q194" s="1161"/>
      <c r="R194" s="1161"/>
      <c r="S194" s="1667"/>
      <c r="T194" s="1161"/>
      <c r="U194" s="1161"/>
      <c r="V194" s="542"/>
      <c r="W194" s="1161"/>
      <c r="X194" s="1161"/>
      <c r="Y194" s="1161"/>
      <c r="Z194" s="1161"/>
      <c r="AA194" s="1161"/>
      <c r="AB194" s="1663"/>
      <c r="AC194" s="564"/>
      <c r="AD194" s="564"/>
      <c r="AE194" s="564"/>
      <c r="AF194" s="564"/>
    </row>
    <row s="1672" customFormat="1" customHeight="1" ht="11.25">
      <c r="A195" s="988"/>
      <c r="B195" s="1667"/>
      <c r="C195" s="1667"/>
      <c r="D195" s="339"/>
      <c r="J195" s="1672"/>
      <c r="K195" s="1672"/>
      <c r="L195" s="1161"/>
      <c r="M195" s="1667"/>
      <c r="N195" s="1667"/>
      <c r="O195" s="1161"/>
      <c r="P195" s="1161"/>
      <c r="Q195" s="1161"/>
      <c r="R195" s="1161"/>
      <c r="S195" s="1667"/>
      <c r="T195" s="1161"/>
      <c r="U195" s="1161"/>
      <c r="V195" s="542"/>
      <c r="W195" s="1161"/>
      <c r="X195" s="1161"/>
      <c r="Y195" s="1161"/>
      <c r="Z195" s="1161"/>
      <c r="AA195" s="1161"/>
      <c r="AB195" s="1663"/>
      <c r="AC195" s="564"/>
      <c r="AD195" s="564"/>
      <c r="AE195" s="564"/>
      <c r="AF195" s="564"/>
    </row>
    <row customHeight="1" ht="11.25">
      <c r="J196" s="1666"/>
      <c r="K196" s="1666"/>
    </row>
    <row customHeight="1" ht="11.25">
      <c r="J197" s="1666"/>
      <c r="K197" s="1666"/>
    </row>
    <row customHeight="1" ht="11.25">
      <c r="J198" s="1666"/>
      <c r="K198" s="1666"/>
    </row>
    <row customHeight="1" ht="11.25">
      <c r="A199" s="991"/>
      <c r="B199" s="1662"/>
      <c r="D199" s="1662"/>
      <c r="J199" s="1666"/>
      <c r="K199" s="1666"/>
      <c r="L199" s="1662"/>
      <c r="O199" s="1662"/>
      <c r="P199" s="1662"/>
      <c r="Q199" s="1662"/>
      <c r="R199" s="1662"/>
      <c r="T199" s="1662"/>
      <c r="U199" s="1662"/>
      <c r="V199" s="1662"/>
      <c r="W199" s="1662"/>
      <c r="X199" s="1662"/>
      <c r="Y199" s="1662"/>
      <c r="Z199" s="1662"/>
      <c r="AA199" s="1662"/>
      <c r="AB199" s="1662"/>
      <c r="AC199" s="1662"/>
      <c r="AD199" s="1662"/>
      <c r="AE199" s="1662"/>
      <c r="AF199" s="1662"/>
    </row>
    <row customHeight="1" ht="11.25">
      <c r="A200" s="991"/>
      <c r="B200" s="1662"/>
      <c r="D200" s="1662"/>
      <c r="J200" s="1666"/>
      <c r="K200" s="1666"/>
      <c r="L200" s="1662"/>
      <c r="O200" s="1662"/>
      <c r="P200" s="1662"/>
      <c r="Q200" s="1662"/>
      <c r="R200" s="1662"/>
      <c r="T200" s="1662"/>
      <c r="U200" s="1662"/>
      <c r="V200" s="1662"/>
      <c r="W200" s="1662"/>
      <c r="X200" s="1662"/>
      <c r="Y200" s="1662"/>
      <c r="Z200" s="1662"/>
      <c r="AA200" s="1662"/>
      <c r="AB200" s="1662"/>
      <c r="AC200" s="1662"/>
      <c r="AD200" s="1662"/>
      <c r="AE200" s="1662"/>
      <c r="AF200" s="1662"/>
    </row>
    <row customHeight="1" ht="11.25">
      <c r="A201" s="991"/>
      <c r="B201" s="1662"/>
      <c r="D201" s="1662"/>
      <c r="J201" s="1666"/>
      <c r="K201" s="1666"/>
      <c r="L201" s="1662"/>
      <c r="O201" s="1662"/>
      <c r="P201" s="1662"/>
      <c r="Q201" s="1662"/>
      <c r="R201" s="1662"/>
      <c r="T201" s="1662"/>
      <c r="U201" s="1662"/>
      <c r="V201" s="1662"/>
      <c r="W201" s="1662"/>
      <c r="X201" s="1662"/>
      <c r="Y201" s="1662"/>
      <c r="Z201" s="1662"/>
      <c r="AA201" s="1662"/>
      <c r="AB201" s="1662"/>
      <c r="AC201" s="1662"/>
      <c r="AD201" s="1662"/>
      <c r="AE201" s="1662"/>
      <c r="AF201" s="1662"/>
    </row>
    <row customHeight="1" ht="11.25">
      <c r="A202" s="991"/>
      <c r="B202" s="1662"/>
      <c r="D202" s="1662"/>
      <c r="J202" s="1666"/>
      <c r="K202" s="1666"/>
      <c r="L202" s="1662"/>
      <c r="O202" s="1662"/>
      <c r="P202" s="1662"/>
      <c r="Q202" s="1662"/>
      <c r="R202" s="1662"/>
      <c r="T202" s="1662"/>
      <c r="U202" s="1662"/>
      <c r="V202" s="1662"/>
      <c r="W202" s="1662"/>
      <c r="X202" s="1662"/>
      <c r="Y202" s="1662"/>
      <c r="Z202" s="1662"/>
      <c r="AA202" s="1662"/>
      <c r="AB202" s="1662"/>
      <c r="AC202" s="1662"/>
      <c r="AD202" s="1662"/>
      <c r="AE202" s="1662"/>
      <c r="AF202" s="1662"/>
    </row>
    <row customHeight="1" ht="11.25">
      <c r="A203" s="991"/>
      <c r="B203" s="1662"/>
      <c r="D203" s="1662"/>
      <c r="J203" s="1666"/>
      <c r="K203" s="1666"/>
      <c r="L203" s="1662"/>
      <c r="O203" s="1662"/>
      <c r="P203" s="1662"/>
      <c r="Q203" s="1662"/>
      <c r="R203" s="1662"/>
      <c r="T203" s="1662"/>
      <c r="U203" s="1662"/>
      <c r="V203" s="1662"/>
      <c r="W203" s="1662"/>
      <c r="X203" s="1662"/>
      <c r="Y203" s="1662"/>
      <c r="Z203" s="1662"/>
      <c r="AA203" s="1662"/>
      <c r="AB203" s="1662"/>
      <c r="AC203" s="1662"/>
      <c r="AD203" s="1662"/>
      <c r="AE203" s="1662"/>
      <c r="AF203" s="1662"/>
    </row>
    <row customHeight="1" ht="11.25">
      <c r="A204" s="991"/>
      <c r="B204" s="1662"/>
      <c r="D204" s="1662"/>
      <c r="J204" s="1666"/>
      <c r="K204" s="1666"/>
      <c r="L204" s="1662"/>
      <c r="O204" s="1662"/>
      <c r="P204" s="1662"/>
      <c r="Q204" s="1662"/>
      <c r="R204" s="1662"/>
      <c r="T204" s="1662"/>
      <c r="U204" s="1662"/>
      <c r="V204" s="1662"/>
      <c r="W204" s="1662"/>
      <c r="X204" s="1662"/>
      <c r="Y204" s="1662"/>
      <c r="Z204" s="1662"/>
      <c r="AA204" s="1662"/>
      <c r="AB204" s="1662"/>
      <c r="AC204" s="1662"/>
      <c r="AD204" s="1662"/>
      <c r="AE204" s="1662"/>
      <c r="AF204" s="1662"/>
    </row>
    <row customHeight="1" ht="11.25">
      <c r="A205" s="991"/>
      <c r="B205" s="1662"/>
      <c r="D205" s="1662"/>
      <c r="J205" s="1666"/>
      <c r="K205" s="1666"/>
      <c r="L205" s="1662"/>
      <c r="O205" s="1662"/>
      <c r="P205" s="1662"/>
      <c r="Q205" s="1662"/>
      <c r="R205" s="1662"/>
      <c r="T205" s="1662"/>
      <c r="U205" s="1662"/>
      <c r="V205" s="1662"/>
      <c r="W205" s="1662"/>
      <c r="X205" s="1662"/>
      <c r="Y205" s="1662"/>
      <c r="Z205" s="1662"/>
      <c r="AA205" s="1662"/>
      <c r="AB205" s="1662"/>
      <c r="AC205" s="1662"/>
      <c r="AD205" s="1662"/>
      <c r="AE205" s="1662"/>
      <c r="AF205" s="1662"/>
    </row>
    <row customHeight="1" ht="11.25">
      <c r="A206" s="991"/>
      <c r="B206" s="1662"/>
      <c r="D206" s="1662"/>
      <c r="J206" s="1666"/>
      <c r="K206" s="1666"/>
      <c r="L206" s="1662"/>
      <c r="O206" s="1662"/>
      <c r="P206" s="1662"/>
      <c r="Q206" s="1662"/>
      <c r="R206" s="1662"/>
      <c r="T206" s="1662"/>
      <c r="U206" s="1662"/>
      <c r="V206" s="1662"/>
      <c r="W206" s="1662"/>
      <c r="X206" s="1662"/>
      <c r="Y206" s="1662"/>
      <c r="Z206" s="1662"/>
      <c r="AA206" s="1662"/>
      <c r="AB206" s="1662"/>
      <c r="AC206" s="1662"/>
      <c r="AD206" s="1662"/>
      <c r="AE206" s="1662"/>
      <c r="AF206" s="1662"/>
    </row>
    <row customHeight="1" ht="11.25">
      <c r="A207" s="991"/>
      <c r="B207" s="1662"/>
      <c r="D207" s="1662"/>
      <c r="J207" s="1666"/>
      <c r="K207" s="1666"/>
      <c r="L207" s="1662"/>
      <c r="O207" s="1662"/>
      <c r="P207" s="1662"/>
      <c r="Q207" s="1662"/>
      <c r="R207" s="1662"/>
      <c r="T207" s="1662"/>
      <c r="U207" s="1662"/>
      <c r="V207" s="1662"/>
      <c r="W207" s="1662"/>
      <c r="X207" s="1662"/>
      <c r="Y207" s="1662"/>
      <c r="Z207" s="1662"/>
      <c r="AA207" s="1662"/>
      <c r="AB207" s="1662"/>
      <c r="AC207" s="1662"/>
      <c r="AD207" s="1662"/>
      <c r="AE207" s="1662"/>
      <c r="AF207" s="1662"/>
    </row>
    <row customHeight="1" ht="11.25">
      <c r="A208" s="991"/>
      <c r="B208" s="1662"/>
      <c r="D208" s="1662"/>
      <c r="J208" s="1666"/>
      <c r="K208" s="1666"/>
      <c r="L208" s="1662"/>
      <c r="O208" s="1662"/>
      <c r="P208" s="1662"/>
      <c r="Q208" s="1662"/>
      <c r="R208" s="1662"/>
      <c r="T208" s="1662"/>
      <c r="U208" s="1662"/>
      <c r="V208" s="1662"/>
      <c r="W208" s="1662"/>
      <c r="X208" s="1662"/>
      <c r="Y208" s="1662"/>
      <c r="Z208" s="1662"/>
      <c r="AA208" s="1662"/>
      <c r="AB208" s="1662"/>
      <c r="AC208" s="1662"/>
      <c r="AD208" s="1662"/>
      <c r="AE208" s="1662"/>
      <c r="AF208" s="1662"/>
    </row>
    <row customHeight="1" ht="11.25">
      <c r="A209" s="991"/>
      <c r="B209" s="1662"/>
      <c r="D209" s="1662"/>
      <c r="J209" s="1666"/>
      <c r="K209" s="1666"/>
      <c r="L209" s="1662"/>
      <c r="O209" s="1662"/>
      <c r="P209" s="1662"/>
      <c r="Q209" s="1662"/>
      <c r="R209" s="1662"/>
      <c r="T209" s="1662"/>
      <c r="U209" s="1662"/>
      <c r="V209" s="1662"/>
      <c r="W209" s="1662"/>
      <c r="X209" s="1662"/>
      <c r="Y209" s="1662"/>
      <c r="Z209" s="1662"/>
      <c r="AA209" s="1662"/>
      <c r="AB209" s="1662"/>
      <c r="AC209" s="1662"/>
      <c r="AD209" s="1662"/>
      <c r="AE209" s="1662"/>
      <c r="AF209" s="1662"/>
    </row>
  </sheetData>
  <sheetProtection formatColumns="0" formatRows="0" autoFilter="0" sort="0" insertRows="0" insertColumns="1" deleteRows="0" deleteColumns="0"/>
  <mergeCells count="8">
    <mergeCell ref="F39:K39"/>
    <mergeCell ref="F40:K40"/>
    <mergeCell ref="E6:I6"/>
    <mergeCell ref="E7:I7"/>
    <mergeCell ref="F10:G10"/>
    <mergeCell ref="F11:G11"/>
    <mergeCell ref="F12:G12"/>
    <mergeCell ref="E13:G13"/>
  </mergeCells>
  <dataValidations count="5">
    <dataValidation type="decimal" allowBlank="1" showErrorMessage="1" errorTitle="Ошибка" error="Допускается ввод только действительных чисел!" sqref="H32:J34 K32 K33 K34">
      <formula1>-9.99999999999999E+37</formula1>
      <formula2>9.99999999999999E+37</formula2>
    </dataValidation>
    <dataValidation type="decimal" allowBlank="1" showErrorMessage="1" errorTitle="Ошибка" error="Допускается ввод только действительных чисел!" sqref="H30:J30 K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J35 K35">
      <formula1>900</formula1>
    </dataValidation>
    <dataValidation type="decimal" allowBlank="1" showErrorMessage="1" errorTitle="Ошибка" error="Допускается ввод только неотрицательных чисел!" sqref="H31:J31 H2:J2 H15:J15 H17:J27 H36:J37 K2 K15 K17 K18 K19 K20 K21 K22 K23 K24 K25 K26 K27 K31 K36 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K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14DF4-65B6-2B14-2BE5-1BA1DD7306C6}" mc:Ignorable="x14ac xr xr2 xr3">
  <sheetPr>
    <tabColor theme="9" tint="-0.25"/>
  </sheetPr>
  <dimension ref="A1:Y101"/>
  <sheetViews>
    <sheetView topLeftCell="C42" showGridLines="0" zoomScale="90" workbookViewId="0">
      <selection activeCell="K64" sqref="K64"/>
    </sheetView>
  </sheetViews>
  <sheetFormatPr defaultColWidth="10.57421875" customHeight="1" defaultRowHeight="11.25"/>
  <cols>
    <col min="1" max="1" style="1167" width="9.140625" hidden="1" customWidth="1"/>
    <col min="2" max="2" style="1673" width="3.57421875" hidden="1" customWidth="1"/>
    <col min="3" max="3" style="1666" width="3.7109375" customWidth="1"/>
    <col min="4" max="4" style="1666" width="7.7109375" customWidth="1"/>
    <col min="5" max="5" style="1666" width="69.8515625" customWidth="1"/>
    <col min="6" max="6" style="1666" width="11.140625" customWidth="1"/>
    <col min="7" max="8" style="1666" width="44.00390625" hidden="1" customWidth="1"/>
    <col min="9" max="9" style="1666" width="44.00390625" customWidth="1"/>
    <col min="10" max="10" style="1666" width="34.921875" customWidth="1"/>
    <col min="11" max="11" style="1666" width="44.00390625" customWidth="1"/>
    <col min="12" max="12" style="1666" width="30.79296875" customWidth="1"/>
    <col min="13" max="13" style="1666" width="74.00390625" customWidth="1"/>
    <col min="14" max="14" style="1666" width="3.7109375" customWidth="1"/>
    <col min="15" max="25" style="1666" width="10.57421875"/>
  </cols>
  <sheetData>
    <row s="1389" customFormat="1" customHeight="1" ht="11.25" hidden="1">
      <c r="A1" s="534"/>
      <c r="B1" s="509"/>
      <c r="G1" s="415">
        <v>4</v>
      </c>
      <c r="I1" s="415">
        <v>4</v>
      </c>
      <c r="K1" s="1389">
        <v>4</v>
      </c>
      <c r="L1" s="1389"/>
      <c r="M1" s="415">
        <v>5</v>
      </c>
    </row>
    <row customHeight="1" ht="3">
      <c r="K2" s="1666"/>
      <c r="L2" s="1666"/>
    </row>
    <row customHeight="1" ht="35.25">
      <c r="D3" s="1978" t="str">
        <f>KNE_NAME_FORM</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E3" s="1979"/>
      <c r="F3" s="1980"/>
      <c r="K3" s="1666"/>
      <c r="L3" s="1666"/>
    </row>
    <row s="1666" customFormat="1" customHeight="1" ht="20.25">
      <c r="A4" s="952"/>
      <c r="B4" s="509"/>
      <c r="D4" s="2035" t="str">
        <f>IF(org=0,"Не определено",org)</f>
        <v>ПАО "ТГК-2"</v>
      </c>
      <c r="E4" s="2036"/>
      <c r="F4" s="2037"/>
      <c r="K4" s="1666"/>
      <c r="L4" s="1666"/>
    </row>
    <row customHeight="1" ht="11.25">
      <c r="C5" s="507"/>
      <c r="D5" s="586"/>
      <c r="E5" s="586"/>
      <c r="F5" s="586"/>
      <c r="G5" s="586"/>
      <c r="H5" s="751"/>
      <c r="I5" s="586"/>
      <c r="J5" s="751"/>
      <c r="K5" s="1666"/>
      <c r="L5" s="751"/>
      <c r="M5" s="586"/>
    </row>
    <row customHeight="1" ht="0.75">
      <c r="C6" s="507"/>
      <c r="D6" s="507"/>
      <c r="E6" s="520"/>
      <c r="F6" s="612"/>
      <c r="G6" s="1023"/>
      <c r="H6" s="1023"/>
      <c r="I6" s="1023" t="s">
        <v>117</v>
      </c>
      <c r="J6" s="1023"/>
      <c r="K6" s="1023" t="s">
        <v>122</v>
      </c>
      <c r="L6" s="1023"/>
    </row>
    <row customHeight="1" ht="11.25">
      <c r="D7" s="708"/>
      <c r="E7" s="2290" t="s">
        <v>104</v>
      </c>
      <c r="F7" s="2291"/>
      <c r="G7" s="2329" t="str">
        <f>IF(G6="","",INDEX(DIFFERENTIATION_UNMERGE_VD,MATCH(G6,DIFFERENTIATION_ID_DIFF,0)))</f>
        <v/>
      </c>
      <c r="H7" s="2330"/>
      <c r="I7" s="2329" t="str">
        <f>IF(I6="","",INDEX(DIFFERENTIATION_UNMERGE_VD,MATCH(I6,DIFFERENTIATION_ID_DIFF,0)))</f>
        <v>Холодное водоснабжение. Техническая вода</v>
      </c>
      <c r="J7" s="2330"/>
      <c r="K7" s="2329" t="str">
        <f>IF(K6="","",INDEX(DIFFERENTIATION_UNMERGE_VD,MATCH(K6,DIFFERENTIATION_ID_DIFF,0)))</f>
        <v>Холодное водоснабжение. Техническая вода</v>
      </c>
      <c r="L7" s="2330"/>
      <c r="M7" s="1994"/>
      <c r="N7" s="507"/>
    </row>
    <row customHeight="1" ht="11.25">
      <c r="A8" s="701"/>
      <c r="D8" s="708"/>
      <c r="E8" s="2290" t="s">
        <v>415</v>
      </c>
      <c r="F8" s="2291"/>
      <c r="G8" s="2329" t="str">
        <f>IF(G6="","",INDEX(DIFFERENTIATION_UNMERGE_AREA,MATCH(G6,DIFFERENTIATION_ID_DIFF,0)))</f>
        <v/>
      </c>
      <c r="H8" s="2330"/>
      <c r="I8" s="2329" t="str">
        <f>IF(I6="","",INDEX(DIFFERENTIATION_UNMERGE_AREA,MATCH(I6,DIFFERENTIATION_ID_DIFF,0)))</f>
        <v>городской округ город Кострома</v>
      </c>
      <c r="J8" s="2330"/>
      <c r="K8" s="2329" t="str">
        <f>IF(K6="","",INDEX(DIFFERENTIATION_UNMERGE_AREA,MATCH(K6,DIFFERENTIATION_ID_DIFF,0)))</f>
        <v>городской округ город Кострома</v>
      </c>
      <c r="L8" s="2330"/>
      <c r="M8" s="2018"/>
      <c r="N8" s="507"/>
    </row>
    <row customHeight="1" ht="11.25">
      <c r="A9" s="701"/>
      <c r="D9" s="708"/>
      <c r="E9" s="2290" t="s">
        <v>416</v>
      </c>
      <c r="F9" s="2291"/>
      <c r="G9" s="2329" t="str">
        <f>IF(G6="","",INDEX(DIFFERENTIATION_UNMERGE_SYSTEM,MATCH(G6,DIFFERENTIATION_ID_DIFF,0)))</f>
        <v/>
      </c>
      <c r="H9" s="2330"/>
      <c r="I9" s="2329" t="str">
        <f>IF(I6="","",INDEX(DIFFERENTIATION_UNMERGE_SYSTEM,MATCH(I6,DIFFERENTIATION_ID_DIFF,0)))</f>
        <v>система холодного водоснабжения Костромской ТЭЦ-1</v>
      </c>
      <c r="J9" s="2330"/>
      <c r="K9" s="2329" t="str">
        <f>IF(K6="","",INDEX(DIFFERENTIATION_UNMERGE_SYSTEM,MATCH(K6,DIFFERENTIATION_ID_DIFF,0)))</f>
        <v>система холодного водоснабжения Костромской ТЭЦ-2</v>
      </c>
      <c r="L9" s="2330"/>
      <c r="M9" s="2018"/>
      <c r="N9" s="507"/>
    </row>
    <row s="1666" customFormat="1" customHeight="1" ht="11.25">
      <c r="A10" s="1022"/>
      <c r="B10" s="509"/>
      <c r="D10" s="1922" t="s">
        <v>290</v>
      </c>
      <c r="E10" s="1923"/>
      <c r="F10" s="1923"/>
      <c r="G10" s="1923"/>
      <c r="H10" s="1923"/>
      <c r="I10" s="1923"/>
      <c r="J10" s="1924"/>
      <c r="K10" s="2016"/>
      <c r="L10" s="2016"/>
      <c r="M10" s="2018"/>
      <c r="N10" s="507"/>
    </row>
    <row s="1666" customFormat="1" customHeight="1" ht="22.5">
      <c r="A11" s="2287"/>
      <c r="B11" s="2287"/>
      <c r="C11" s="654"/>
      <c r="D11" s="700" t="s">
        <v>87</v>
      </c>
      <c r="E11" s="702" t="s">
        <v>1816</v>
      </c>
      <c r="F11" s="702" t="s">
        <v>1614</v>
      </c>
      <c r="G11" s="463" t="s">
        <v>293</v>
      </c>
      <c r="H11" s="463" t="s">
        <v>382</v>
      </c>
      <c r="I11" s="805" t="s">
        <v>293</v>
      </c>
      <c r="J11" s="806" t="s">
        <v>382</v>
      </c>
      <c r="K11" s="2017" t="s">
        <v>293</v>
      </c>
      <c r="L11" s="2017" t="s">
        <v>382</v>
      </c>
      <c r="M11" s="2053"/>
      <c r="N11" s="655"/>
    </row>
    <row s="1673" customFormat="1" customHeight="1" ht="10.5">
      <c r="A12" s="953"/>
      <c r="D12" s="1026" t="s">
        <v>108</v>
      </c>
      <c r="E12" s="1026" t="s">
        <v>109</v>
      </c>
      <c r="F12" s="1026" t="s">
        <v>89</v>
      </c>
      <c r="G12" s="1027" t="str">
        <f>G1&amp;".1"</f>
        <v>4.1</v>
      </c>
      <c r="H12" s="1027" t="str">
        <f>G1&amp;".2"</f>
        <v>4.2</v>
      </c>
      <c r="I12" s="1027" t="str">
        <f>I1&amp;".1"</f>
        <v>4.1</v>
      </c>
      <c r="J12" s="1027" t="str">
        <f>I1&amp;".2"</f>
        <v>4.2</v>
      </c>
      <c r="K12" s="2172" t="str">
        <f>K1&amp;".1"</f>
        <v>4.1</v>
      </c>
      <c r="L12" s="2172" t="str">
        <f>K1&amp;".2"</f>
        <v>4.2</v>
      </c>
      <c r="M12" s="1027"/>
    </row>
    <row customHeight="1" ht="22.5" hidden="1">
      <c r="A13" s="2328" t="s">
        <v>594</v>
      </c>
      <c r="D13" s="954" t="s">
        <v>108</v>
      </c>
      <c r="E13" s="260" t="s">
        <v>1615</v>
      </c>
      <c r="F13" s="657" t="s">
        <v>1616</v>
      </c>
      <c r="G13" s="555"/>
      <c r="H13" s="658"/>
      <c r="I13" s="555"/>
      <c r="J13" s="658"/>
      <c r="K13" s="555"/>
      <c r="L13" s="659"/>
      <c r="M13" s="270" t="s">
        <v>1617</v>
      </c>
      <c r="N13" s="717"/>
    </row>
    <row customHeight="1" ht="22.5" hidden="1">
      <c r="A14" s="2328"/>
      <c r="D14" s="537" t="s">
        <v>109</v>
      </c>
      <c r="E14" s="260" t="s">
        <v>1618</v>
      </c>
      <c r="F14" s="657" t="s">
        <v>1619</v>
      </c>
      <c r="G14" s="555"/>
      <c r="H14" s="659"/>
      <c r="I14" s="555"/>
      <c r="J14" s="659"/>
      <c r="K14" s="555"/>
      <c r="L14" s="659"/>
      <c r="M14" s="270" t="s">
        <v>1620</v>
      </c>
      <c r="N14" s="717"/>
    </row>
    <row s="1666" customFormat="1" customHeight="1" ht="78.75" hidden="1">
      <c r="A15" s="2328"/>
      <c r="B15" s="509"/>
      <c r="D15" s="954" t="s">
        <v>89</v>
      </c>
      <c r="E15" s="704" t="s">
        <v>1623</v>
      </c>
      <c r="F15" s="951" t="s">
        <v>296</v>
      </c>
      <c r="G15" s="951" t="s">
        <v>296</v>
      </c>
      <c r="H15" s="86"/>
      <c r="I15" s="951" t="s">
        <v>296</v>
      </c>
      <c r="J15" s="86"/>
      <c r="K15" s="2017" t="s">
        <v>296</v>
      </c>
      <c r="L15" s="2061"/>
      <c r="M15" s="270" t="s">
        <v>1817</v>
      </c>
      <c r="N15" s="717"/>
    </row>
    <row s="1666" customFormat="1" customHeight="1" ht="22.5" hidden="1">
      <c r="A16" s="2328"/>
      <c r="B16" s="509"/>
      <c r="D16" s="954" t="s">
        <v>316</v>
      </c>
      <c r="E16" s="955" t="s">
        <v>1625</v>
      </c>
      <c r="F16" s="951" t="s">
        <v>1626</v>
      </c>
      <c r="G16" s="815"/>
      <c r="H16" s="86"/>
      <c r="I16" s="815"/>
      <c r="J16" s="86"/>
      <c r="K16" s="815"/>
      <c r="L16" s="2061"/>
      <c r="M16" s="270"/>
      <c r="N16" s="717"/>
    </row>
    <row s="1666" customFormat="1" customHeight="1" ht="22.5" hidden="1">
      <c r="A17" s="2328"/>
      <c r="B17" s="509"/>
      <c r="D17" s="954" t="s">
        <v>324</v>
      </c>
      <c r="E17" s="955" t="s">
        <v>1627</v>
      </c>
      <c r="F17" s="951" t="s">
        <v>1628</v>
      </c>
      <c r="G17" s="815"/>
      <c r="H17" s="86"/>
      <c r="I17" s="815"/>
      <c r="J17" s="86"/>
      <c r="K17" s="815"/>
      <c r="L17" s="2061"/>
      <c r="M17" s="270"/>
      <c r="N17" s="717"/>
    </row>
    <row s="1666" customFormat="1" customHeight="1" ht="33.75" hidden="1">
      <c r="A18" s="2328"/>
      <c r="B18" s="509"/>
      <c r="D18" s="954" t="s">
        <v>326</v>
      </c>
      <c r="E18" s="955" t="s">
        <v>1630</v>
      </c>
      <c r="F18" s="951" t="s">
        <v>1243</v>
      </c>
      <c r="G18" s="677"/>
      <c r="H18" s="86"/>
      <c r="I18" s="677"/>
      <c r="J18" s="86"/>
      <c r="K18" s="677"/>
      <c r="L18" s="2061"/>
      <c r="M18" s="270"/>
      <c r="N18" s="717"/>
    </row>
    <row customHeight="1" ht="101.25" hidden="1">
      <c r="A19" s="2328"/>
      <c r="D19" s="954" t="s">
        <v>90</v>
      </c>
      <c r="E19" s="260" t="s">
        <v>1818</v>
      </c>
      <c r="F19" s="657" t="s">
        <v>427</v>
      </c>
      <c r="G19" s="660"/>
      <c r="H19" s="659"/>
      <c r="I19" s="956"/>
      <c r="J19" s="659"/>
      <c r="K19" s="2079"/>
      <c r="L19" s="659"/>
      <c r="M19" s="270" t="s">
        <v>1819</v>
      </c>
      <c r="N19" s="717"/>
    </row>
    <row s="1666" customFormat="1" customHeight="1" ht="18.75" hidden="1">
      <c r="A20" s="2328"/>
      <c r="C20" s="957"/>
      <c r="D20" s="954" t="s">
        <v>1464</v>
      </c>
      <c r="E20" s="955" t="s">
        <v>1820</v>
      </c>
      <c r="F20" s="951" t="s">
        <v>296</v>
      </c>
      <c r="G20" s="951" t="s">
        <v>296</v>
      </c>
      <c r="H20" s="950" t="s">
        <v>296</v>
      </c>
      <c r="I20" s="951" t="s">
        <v>296</v>
      </c>
      <c r="J20" s="950" t="s">
        <v>296</v>
      </c>
      <c r="K20" s="2017" t="s">
        <v>296</v>
      </c>
      <c r="L20" s="2015" t="s">
        <v>296</v>
      </c>
      <c r="M20" s="949"/>
      <c r="N20" s="717"/>
      <c r="Y20" s="672"/>
    </row>
    <row s="1666" customFormat="1" customHeight="1" ht="33.75" hidden="1">
      <c r="A21" s="2328"/>
      <c r="C21" s="957"/>
      <c r="D21" s="954" t="s">
        <v>1472</v>
      </c>
      <c r="E21" s="574" t="s">
        <v>1821</v>
      </c>
      <c r="F21" s="951" t="s">
        <v>1822</v>
      </c>
      <c r="G21" s="943"/>
      <c r="H21" s="86"/>
      <c r="I21" s="943"/>
      <c r="J21" s="86"/>
      <c r="K21" s="943"/>
      <c r="L21" s="2061"/>
      <c r="M21" s="949"/>
      <c r="N21" s="717"/>
      <c r="Y21" s="672"/>
    </row>
    <row s="1666" customFormat="1" customHeight="1" ht="33.75" hidden="1">
      <c r="A22" s="2328"/>
      <c r="C22" s="957"/>
      <c r="D22" s="954" t="s">
        <v>1477</v>
      </c>
      <c r="E22" s="574" t="s">
        <v>1823</v>
      </c>
      <c r="F22" s="951" t="s">
        <v>1824</v>
      </c>
      <c r="G22" s="943"/>
      <c r="H22" s="86"/>
      <c r="I22" s="943"/>
      <c r="J22" s="86"/>
      <c r="K22" s="943"/>
      <c r="L22" s="2061"/>
      <c r="M22" s="949"/>
      <c r="N22" s="717"/>
      <c r="Y22" s="672"/>
    </row>
    <row s="1666" customFormat="1" customHeight="1" ht="22.5" hidden="1">
      <c r="A23" s="2328"/>
      <c r="C23" s="957"/>
      <c r="D23" s="954" t="s">
        <v>1481</v>
      </c>
      <c r="E23" s="955" t="s">
        <v>1825</v>
      </c>
      <c r="F23" s="951" t="s">
        <v>296</v>
      </c>
      <c r="G23" s="951" t="s">
        <v>296</v>
      </c>
      <c r="H23" s="950" t="s">
        <v>296</v>
      </c>
      <c r="I23" s="951" t="s">
        <v>296</v>
      </c>
      <c r="J23" s="950" t="s">
        <v>296</v>
      </c>
      <c r="K23" s="2017" t="s">
        <v>296</v>
      </c>
      <c r="L23" s="2015" t="s">
        <v>296</v>
      </c>
      <c r="M23" s="949"/>
      <c r="N23" s="717"/>
      <c r="Y23" s="672"/>
    </row>
    <row s="1666" customFormat="1" customHeight="1" ht="22.5" hidden="1">
      <c r="A24" s="2328"/>
      <c r="C24" s="957"/>
      <c r="D24" s="954" t="s">
        <v>1826</v>
      </c>
      <c r="E24" s="574" t="s">
        <v>1827</v>
      </c>
      <c r="F24" s="951" t="s">
        <v>1828</v>
      </c>
      <c r="G24" s="943"/>
      <c r="H24" s="683"/>
      <c r="I24" s="943"/>
      <c r="J24" s="683"/>
      <c r="K24" s="943"/>
      <c r="L24" s="2307"/>
      <c r="M24" s="949"/>
      <c r="N24" s="717"/>
      <c r="Y24" s="672"/>
    </row>
    <row s="1666" customFormat="1" customHeight="1" ht="22.5" hidden="1">
      <c r="A25" s="2328"/>
      <c r="C25" s="957"/>
      <c r="D25" s="954" t="s">
        <v>1829</v>
      </c>
      <c r="E25" s="574" t="s">
        <v>1830</v>
      </c>
      <c r="F25" s="951" t="s">
        <v>296</v>
      </c>
      <c r="G25" s="951" t="s">
        <v>296</v>
      </c>
      <c r="H25" s="950" t="s">
        <v>296</v>
      </c>
      <c r="I25" s="951" t="s">
        <v>296</v>
      </c>
      <c r="J25" s="950" t="s">
        <v>296</v>
      </c>
      <c r="K25" s="2017" t="s">
        <v>296</v>
      </c>
      <c r="L25" s="2015" t="s">
        <v>296</v>
      </c>
      <c r="M25" s="949"/>
      <c r="N25" s="717"/>
      <c r="Y25" s="672"/>
    </row>
    <row s="1666" customFormat="1" customHeight="1" ht="18.75" hidden="1">
      <c r="A26" s="2328"/>
      <c r="C26" s="957"/>
      <c r="D26" s="954" t="s">
        <v>1831</v>
      </c>
      <c r="E26" s="551" t="s">
        <v>1832</v>
      </c>
      <c r="F26" s="951" t="s">
        <v>1833</v>
      </c>
      <c r="G26" s="677"/>
      <c r="H26" s="683"/>
      <c r="I26" s="677"/>
      <c r="J26" s="683"/>
      <c r="K26" s="677"/>
      <c r="L26" s="2307"/>
      <c r="M26" s="949"/>
      <c r="N26" s="717"/>
      <c r="Y26" s="672"/>
    </row>
    <row s="1666" customFormat="1" customHeight="1" ht="18.75" hidden="1">
      <c r="A27" s="2328"/>
      <c r="C27" s="957"/>
      <c r="D27" s="954" t="s">
        <v>1834</v>
      </c>
      <c r="E27" s="551" t="s">
        <v>1835</v>
      </c>
      <c r="F27" s="951" t="s">
        <v>1836</v>
      </c>
      <c r="G27" s="677"/>
      <c r="H27" s="683"/>
      <c r="I27" s="677"/>
      <c r="J27" s="683"/>
      <c r="K27" s="677"/>
      <c r="L27" s="2307"/>
      <c r="M27" s="949"/>
      <c r="N27" s="717"/>
      <c r="Y27" s="672"/>
    </row>
    <row s="1666" customFormat="1" customHeight="1" ht="18.75" hidden="1">
      <c r="A28" s="2328"/>
      <c r="C28" s="957"/>
      <c r="D28" s="954" t="s">
        <v>1837</v>
      </c>
      <c r="E28" s="574" t="s">
        <v>1838</v>
      </c>
      <c r="F28" s="951" t="s">
        <v>296</v>
      </c>
      <c r="G28" s="951" t="s">
        <v>296</v>
      </c>
      <c r="H28" s="950" t="s">
        <v>296</v>
      </c>
      <c r="I28" s="951" t="s">
        <v>296</v>
      </c>
      <c r="J28" s="950" t="s">
        <v>296</v>
      </c>
      <c r="K28" s="2017" t="s">
        <v>296</v>
      </c>
      <c r="L28" s="2015" t="s">
        <v>296</v>
      </c>
      <c r="M28" s="949"/>
      <c r="N28" s="717"/>
      <c r="Y28" s="672"/>
    </row>
    <row s="1666" customFormat="1" customHeight="1" ht="18.75" hidden="1">
      <c r="A29" s="2328"/>
      <c r="C29" s="957"/>
      <c r="D29" s="954" t="s">
        <v>1839</v>
      </c>
      <c r="E29" s="551" t="s">
        <v>1832</v>
      </c>
      <c r="F29" s="951" t="s">
        <v>1840</v>
      </c>
      <c r="G29" s="677"/>
      <c r="H29" s="683"/>
      <c r="I29" s="677"/>
      <c r="J29" s="683"/>
      <c r="K29" s="677"/>
      <c r="L29" s="2307"/>
      <c r="M29" s="949"/>
      <c r="N29" s="717"/>
      <c r="Y29" s="672"/>
    </row>
    <row s="1666" customFormat="1" customHeight="1" ht="18.75" hidden="1">
      <c r="A30" s="2328"/>
      <c r="C30" s="957"/>
      <c r="D30" s="954" t="s">
        <v>1841</v>
      </c>
      <c r="E30" s="551" t="s">
        <v>1842</v>
      </c>
      <c r="F30" s="951" t="s">
        <v>1843</v>
      </c>
      <c r="G30" s="677"/>
      <c r="H30" s="683"/>
      <c r="I30" s="677"/>
      <c r="J30" s="683"/>
      <c r="K30" s="677"/>
      <c r="L30" s="2307"/>
      <c r="M30" s="949"/>
      <c r="N30" s="717"/>
      <c r="Y30" s="672"/>
    </row>
    <row customHeight="1" ht="126.75" hidden="1">
      <c r="A31" s="2328"/>
      <c r="D31" s="954" t="s">
        <v>110</v>
      </c>
      <c r="E31" s="260" t="s">
        <v>1844</v>
      </c>
      <c r="F31" s="657" t="s">
        <v>1632</v>
      </c>
      <c r="G31" s="555"/>
      <c r="H31" s="659"/>
      <c r="I31" s="555"/>
      <c r="J31" s="659"/>
      <c r="K31" s="555"/>
      <c r="L31" s="659"/>
      <c r="M31" s="270" t="s">
        <v>1845</v>
      </c>
      <c r="N31" s="717"/>
    </row>
    <row customHeight="1" ht="56.25" hidden="1">
      <c r="A32" s="2328"/>
      <c r="D32" s="954" t="s">
        <v>91</v>
      </c>
      <c r="E32" s="260" t="s">
        <v>1846</v>
      </c>
      <c r="F32" s="537" t="s">
        <v>1628</v>
      </c>
      <c r="G32" s="555"/>
      <c r="H32" s="659"/>
      <c r="I32" s="555"/>
      <c r="J32" s="659"/>
      <c r="K32" s="555"/>
      <c r="L32" s="659"/>
      <c r="M32" s="270" t="s">
        <v>1847</v>
      </c>
      <c r="N32" s="717"/>
    </row>
    <row customHeight="1" ht="11.25" hidden="1">
      <c r="A33" s="2328"/>
      <c r="E33" s="661"/>
      <c r="F33" s="161"/>
      <c r="G33" s="161"/>
      <c r="H33" s="161"/>
      <c r="I33" s="161"/>
      <c r="J33" s="161"/>
      <c r="K33" s="1065"/>
      <c r="L33" s="1065"/>
      <c r="M33" s="161"/>
    </row>
    <row customHeight="1" ht="12.75" hidden="1">
      <c r="A34" s="2328"/>
      <c r="D34" s="47">
        <v>1</v>
      </c>
      <c r="E34" s="323" t="s">
        <v>1848</v>
      </c>
      <c r="K34" s="1666"/>
      <c r="L34" s="1666"/>
    </row>
    <row customHeight="1" ht="11.25" hidden="1">
      <c r="A35" s="2328"/>
      <c r="D35" s="361"/>
      <c r="E35" s="323" t="s">
        <v>1849</v>
      </c>
      <c r="K35" s="1666"/>
      <c r="L35" s="1666"/>
    </row>
    <row s="1666" customFormat="1" customHeight="1" ht="11.25">
      <c r="A36" s="1034"/>
      <c r="B36" s="516"/>
      <c r="D36" s="1035"/>
      <c r="E36" s="1036"/>
      <c r="K36" s="1666"/>
      <c r="L36" s="1666"/>
    </row>
    <row s="1666" customFormat="1" customHeight="1" ht="22.5">
      <c r="A37" s="2328" t="s">
        <v>984</v>
      </c>
      <c r="B37" s="509"/>
      <c r="D37" s="954">
        <v>1</v>
      </c>
      <c r="E37" s="704" t="s">
        <v>1850</v>
      </c>
      <c r="F37" s="657" t="s">
        <v>1616</v>
      </c>
      <c r="G37" s="555"/>
      <c r="H37" s="517"/>
      <c r="I37" s="555">
        <v>0</v>
      </c>
      <c r="J37" s="517"/>
      <c r="K37" s="555">
        <v>0</v>
      </c>
      <c r="L37" s="517"/>
      <c r="M37" s="270" t="s">
        <v>1851</v>
      </c>
    </row>
    <row s="1666" customFormat="1" customHeight="1" ht="22.5">
      <c r="A38" s="2328"/>
      <c r="B38" s="509"/>
      <c r="D38" s="666" t="s">
        <v>109</v>
      </c>
      <c r="E38" s="1033" t="s">
        <v>1852</v>
      </c>
      <c r="F38" s="1037" t="s">
        <v>427</v>
      </c>
      <c r="G38" s="1037" t="s">
        <v>427</v>
      </c>
      <c r="H38" s="1031"/>
      <c r="I38" s="1037" t="s">
        <v>427</v>
      </c>
      <c r="J38" s="1031"/>
      <c r="K38" s="1037" t="s">
        <v>427</v>
      </c>
      <c r="L38" s="1031"/>
      <c r="M38" s="1032"/>
    </row>
    <row s="1666" customFormat="1" customHeight="1" ht="33.75">
      <c r="A39" s="2328"/>
      <c r="B39" s="509"/>
      <c r="D39" s="662" t="s">
        <v>455</v>
      </c>
      <c r="E39" s="721" t="s">
        <v>1853</v>
      </c>
      <c r="F39" s="657" t="s">
        <v>1854</v>
      </c>
      <c r="G39" s="665"/>
      <c r="H39" s="1024"/>
      <c r="I39" s="665">
        <v>0</v>
      </c>
      <c r="J39" s="1024"/>
      <c r="K39" s="1170">
        <v>0</v>
      </c>
      <c r="L39" s="1024"/>
      <c r="M39" s="270" t="s">
        <v>1855</v>
      </c>
    </row>
    <row s="1666" customFormat="1" customHeight="1" ht="33.75">
      <c r="A40" s="2328"/>
      <c r="B40" s="509"/>
      <c r="D40" s="662" t="s">
        <v>1766</v>
      </c>
      <c r="E40" s="721" t="s">
        <v>1856</v>
      </c>
      <c r="F40" s="1028" t="s">
        <v>1857</v>
      </c>
      <c r="G40" s="739"/>
      <c r="H40" s="1024"/>
      <c r="I40" s="739">
        <v>0</v>
      </c>
      <c r="J40" s="1024"/>
      <c r="K40" s="739">
        <v>0</v>
      </c>
      <c r="L40" s="1024"/>
      <c r="M40" s="270" t="s">
        <v>1858</v>
      </c>
    </row>
    <row s="1666" customFormat="1" customHeight="1" ht="22.5">
      <c r="A41" s="2328"/>
      <c r="B41" s="509"/>
      <c r="D41" s="662" t="s">
        <v>89</v>
      </c>
      <c r="E41" s="720" t="s">
        <v>1859</v>
      </c>
      <c r="F41" s="657" t="s">
        <v>427</v>
      </c>
      <c r="G41" s="657" t="s">
        <v>427</v>
      </c>
      <c r="H41" s="1025"/>
      <c r="I41" s="657" t="s">
        <v>427</v>
      </c>
      <c r="J41" s="1025"/>
      <c r="K41" s="1925" t="s">
        <v>427</v>
      </c>
      <c r="L41" s="1025"/>
      <c r="M41" s="282"/>
    </row>
    <row s="1666" customFormat="1" customHeight="1" ht="45">
      <c r="A42" s="2328"/>
      <c r="B42" s="509"/>
      <c r="D42" s="662" t="s">
        <v>316</v>
      </c>
      <c r="E42" s="721" t="s">
        <v>1860</v>
      </c>
      <c r="F42" s="657" t="s">
        <v>1632</v>
      </c>
      <c r="G42" s="555"/>
      <c r="H42" s="1025"/>
      <c r="I42" s="555">
        <v>0</v>
      </c>
      <c r="J42" s="1025"/>
      <c r="K42" s="555">
        <v>0</v>
      </c>
      <c r="L42" s="1025"/>
      <c r="M42" s="282" t="s">
        <v>1861</v>
      </c>
    </row>
    <row s="1666" customFormat="1" customHeight="1" ht="45">
      <c r="A43" s="2328"/>
      <c r="B43" s="509"/>
      <c r="D43" s="662" t="s">
        <v>324</v>
      </c>
      <c r="E43" s="664" t="s">
        <v>1862</v>
      </c>
      <c r="F43" s="1029" t="s">
        <v>1632</v>
      </c>
      <c r="G43" s="740"/>
      <c r="H43" s="1024"/>
      <c r="I43" s="740">
        <v>0</v>
      </c>
      <c r="J43" s="1024"/>
      <c r="K43" s="740">
        <v>0</v>
      </c>
      <c r="L43" s="1024"/>
      <c r="M43" s="282" t="s">
        <v>1863</v>
      </c>
    </row>
    <row s="1666" customFormat="1" customHeight="1" ht="11.25">
      <c r="A44" s="2328"/>
      <c r="B44" s="509"/>
      <c r="D44" s="662" t="s">
        <v>90</v>
      </c>
      <c r="E44" s="663" t="s">
        <v>1864</v>
      </c>
      <c r="F44" s="657" t="s">
        <v>1854</v>
      </c>
      <c r="G44" s="665"/>
      <c r="H44" s="1024"/>
      <c r="I44" s="665">
        <v>0</v>
      </c>
      <c r="J44" s="1024"/>
      <c r="K44" s="1170">
        <v>0</v>
      </c>
      <c r="L44" s="1024"/>
      <c r="M44" s="270"/>
    </row>
    <row s="1666" customFormat="1" customHeight="1" ht="11.25">
      <c r="A45" s="2328"/>
      <c r="B45" s="509"/>
      <c r="D45" s="662" t="s">
        <v>1464</v>
      </c>
      <c r="E45" s="664" t="s">
        <v>1865</v>
      </c>
      <c r="F45" s="657" t="s">
        <v>1854</v>
      </c>
      <c r="G45" s="665"/>
      <c r="H45" s="1024"/>
      <c r="I45" s="665">
        <v>0</v>
      </c>
      <c r="J45" s="1024"/>
      <c r="K45" s="1170">
        <v>0</v>
      </c>
      <c r="L45" s="1024"/>
      <c r="M45" s="270"/>
    </row>
    <row s="1666" customFormat="1" customHeight="1" ht="11.25">
      <c r="A46" s="2328"/>
      <c r="B46" s="509"/>
      <c r="D46" s="662" t="s">
        <v>1481</v>
      </c>
      <c r="E46" s="664" t="s">
        <v>1866</v>
      </c>
      <c r="F46" s="657" t="s">
        <v>1854</v>
      </c>
      <c r="G46" s="665"/>
      <c r="H46" s="1024"/>
      <c r="I46" s="665">
        <v>0</v>
      </c>
      <c r="J46" s="1024"/>
      <c r="K46" s="1170">
        <v>0</v>
      </c>
      <c r="L46" s="1024"/>
      <c r="M46" s="270"/>
    </row>
    <row s="1666" customFormat="1" customHeight="1" ht="11.25">
      <c r="A47" s="2328"/>
      <c r="B47" s="509"/>
      <c r="D47" s="662" t="s">
        <v>1629</v>
      </c>
      <c r="E47" s="664" t="s">
        <v>1867</v>
      </c>
      <c r="F47" s="657" t="s">
        <v>1854</v>
      </c>
      <c r="G47" s="665"/>
      <c r="H47" s="1024"/>
      <c r="I47" s="665">
        <v>0</v>
      </c>
      <c r="J47" s="1024"/>
      <c r="K47" s="1170">
        <v>0</v>
      </c>
      <c r="L47" s="1024"/>
      <c r="M47" s="270"/>
    </row>
    <row s="1666" customFormat="1" customHeight="1" ht="11.25">
      <c r="A48" s="2328"/>
      <c r="B48" s="509"/>
      <c r="D48" s="662" t="s">
        <v>1868</v>
      </c>
      <c r="E48" s="668" t="s">
        <v>1869</v>
      </c>
      <c r="F48" s="657" t="s">
        <v>1854</v>
      </c>
      <c r="G48" s="665"/>
      <c r="H48" s="1024"/>
      <c r="I48" s="665">
        <v>0</v>
      </c>
      <c r="J48" s="1024"/>
      <c r="K48" s="1170">
        <v>0</v>
      </c>
      <c r="L48" s="1024"/>
      <c r="M48" s="270"/>
    </row>
    <row s="1666" customFormat="1" customHeight="1" ht="11.25">
      <c r="A49" s="2328"/>
      <c r="B49" s="509"/>
      <c r="D49" s="662" t="s">
        <v>1870</v>
      </c>
      <c r="E49" s="668" t="s">
        <v>1871</v>
      </c>
      <c r="F49" s="657" t="s">
        <v>1854</v>
      </c>
      <c r="G49" s="665"/>
      <c r="H49" s="1024"/>
      <c r="I49" s="665">
        <v>0</v>
      </c>
      <c r="J49" s="1024"/>
      <c r="K49" s="1170">
        <v>0</v>
      </c>
      <c r="L49" s="1024"/>
      <c r="M49" s="270"/>
    </row>
    <row s="1666" customFormat="1" customHeight="1" ht="11.25">
      <c r="A50" s="2328"/>
      <c r="B50" s="509"/>
      <c r="D50" s="662" t="s">
        <v>1872</v>
      </c>
      <c r="E50" s="664" t="s">
        <v>1873</v>
      </c>
      <c r="F50" s="657" t="s">
        <v>1854</v>
      </c>
      <c r="G50" s="665"/>
      <c r="H50" s="1024"/>
      <c r="I50" s="665">
        <v>0</v>
      </c>
      <c r="J50" s="1024"/>
      <c r="K50" s="1170">
        <v>0</v>
      </c>
      <c r="L50" s="1024"/>
      <c r="M50" s="270"/>
    </row>
    <row s="1666" customFormat="1" customHeight="1" ht="11.25">
      <c r="A51" s="2328"/>
      <c r="B51" s="509"/>
      <c r="D51" s="662" t="s">
        <v>1874</v>
      </c>
      <c r="E51" s="664" t="s">
        <v>1875</v>
      </c>
      <c r="F51" s="657" t="s">
        <v>1854</v>
      </c>
      <c r="G51" s="665"/>
      <c r="H51" s="1024"/>
      <c r="I51" s="665">
        <v>0</v>
      </c>
      <c r="J51" s="1024"/>
      <c r="K51" s="1170">
        <v>0</v>
      </c>
      <c r="L51" s="1024"/>
      <c r="M51" s="270"/>
    </row>
    <row s="1666" customFormat="1" customHeight="1" ht="45">
      <c r="A52" s="2328"/>
      <c r="B52" s="509"/>
      <c r="D52" s="662" t="s">
        <v>110</v>
      </c>
      <c r="E52" s="663" t="s">
        <v>1876</v>
      </c>
      <c r="F52" s="657" t="s">
        <v>1854</v>
      </c>
      <c r="G52" s="665"/>
      <c r="H52" s="1024"/>
      <c r="I52" s="665">
        <v>0</v>
      </c>
      <c r="J52" s="1024"/>
      <c r="K52" s="1170">
        <v>0</v>
      </c>
      <c r="L52" s="1024"/>
      <c r="M52" s="270"/>
    </row>
    <row s="1666" customFormat="1" customHeight="1" ht="11.25">
      <c r="A53" s="2328"/>
      <c r="B53" s="509"/>
      <c r="D53" s="662" t="s">
        <v>305</v>
      </c>
      <c r="E53" s="664" t="s">
        <v>1865</v>
      </c>
      <c r="F53" s="657" t="s">
        <v>1854</v>
      </c>
      <c r="G53" s="665"/>
      <c r="H53" s="1024"/>
      <c r="I53" s="665">
        <v>0</v>
      </c>
      <c r="J53" s="1024"/>
      <c r="K53" s="1170">
        <v>0</v>
      </c>
      <c r="L53" s="1024"/>
      <c r="M53" s="270"/>
    </row>
    <row s="1666" customFormat="1" customHeight="1" ht="11.25">
      <c r="A54" s="2328"/>
      <c r="B54" s="509"/>
      <c r="D54" s="662" t="s">
        <v>307</v>
      </c>
      <c r="E54" s="664" t="s">
        <v>1866</v>
      </c>
      <c r="F54" s="657" t="s">
        <v>1854</v>
      </c>
      <c r="G54" s="665"/>
      <c r="H54" s="1024"/>
      <c r="I54" s="665">
        <v>0</v>
      </c>
      <c r="J54" s="1024"/>
      <c r="K54" s="1170">
        <v>0</v>
      </c>
      <c r="L54" s="1024"/>
      <c r="M54" s="270"/>
    </row>
    <row s="1666" customFormat="1" customHeight="1" ht="11.25">
      <c r="A55" s="2328"/>
      <c r="B55" s="509"/>
      <c r="D55" s="662" t="s">
        <v>310</v>
      </c>
      <c r="E55" s="664" t="s">
        <v>1867</v>
      </c>
      <c r="F55" s="657" t="s">
        <v>1854</v>
      </c>
      <c r="G55" s="665"/>
      <c r="H55" s="1024"/>
      <c r="I55" s="665">
        <v>0</v>
      </c>
      <c r="J55" s="1024"/>
      <c r="K55" s="1170">
        <v>0</v>
      </c>
      <c r="L55" s="1024"/>
      <c r="M55" s="270"/>
    </row>
    <row s="1666" customFormat="1" customHeight="1" ht="11.25">
      <c r="A56" s="2328"/>
      <c r="B56" s="509"/>
      <c r="D56" s="662" t="s">
        <v>1609</v>
      </c>
      <c r="E56" s="668" t="s">
        <v>1869</v>
      </c>
      <c r="F56" s="657" t="s">
        <v>1854</v>
      </c>
      <c r="G56" s="665"/>
      <c r="H56" s="1024"/>
      <c r="I56" s="665">
        <v>0</v>
      </c>
      <c r="J56" s="1024"/>
      <c r="K56" s="1170">
        <v>0</v>
      </c>
      <c r="L56" s="1024"/>
      <c r="M56" s="270"/>
    </row>
    <row s="1666" customFormat="1" customHeight="1" ht="11.25">
      <c r="A57" s="2328"/>
      <c r="B57" s="509"/>
      <c r="D57" s="662" t="s">
        <v>1877</v>
      </c>
      <c r="E57" s="668" t="s">
        <v>1871</v>
      </c>
      <c r="F57" s="657" t="s">
        <v>1854</v>
      </c>
      <c r="G57" s="665"/>
      <c r="H57" s="1024"/>
      <c r="I57" s="665">
        <v>0</v>
      </c>
      <c r="J57" s="1024"/>
      <c r="K57" s="1170">
        <v>0</v>
      </c>
      <c r="L57" s="1024"/>
      <c r="M57" s="270"/>
    </row>
    <row s="1666" customFormat="1" customHeight="1" ht="11.25">
      <c r="A58" s="2328"/>
      <c r="B58" s="509"/>
      <c r="D58" s="662" t="s">
        <v>312</v>
      </c>
      <c r="E58" s="664" t="s">
        <v>1873</v>
      </c>
      <c r="F58" s="657" t="s">
        <v>1854</v>
      </c>
      <c r="G58" s="665"/>
      <c r="H58" s="1024"/>
      <c r="I58" s="665">
        <v>0</v>
      </c>
      <c r="J58" s="1024"/>
      <c r="K58" s="1170">
        <v>0</v>
      </c>
      <c r="L58" s="1024"/>
      <c r="M58" s="270"/>
    </row>
    <row s="1666" customFormat="1" customHeight="1" ht="11.25">
      <c r="A59" s="2328"/>
      <c r="B59" s="509"/>
      <c r="D59" s="662" t="s">
        <v>1878</v>
      </c>
      <c r="E59" s="664" t="s">
        <v>1875</v>
      </c>
      <c r="F59" s="657" t="s">
        <v>1854</v>
      </c>
      <c r="G59" s="665"/>
      <c r="H59" s="1024"/>
      <c r="I59" s="665">
        <v>0</v>
      </c>
      <c r="J59" s="1024"/>
      <c r="K59" s="1170">
        <v>0</v>
      </c>
      <c r="L59" s="1024"/>
      <c r="M59" s="270"/>
    </row>
    <row s="1666" customFormat="1" customHeight="1" ht="33.75">
      <c r="A60" s="2328"/>
      <c r="B60" s="509"/>
      <c r="D60" s="662" t="s">
        <v>91</v>
      </c>
      <c r="E60" s="663" t="s">
        <v>1879</v>
      </c>
      <c r="F60" s="719" t="s">
        <v>1632</v>
      </c>
      <c r="G60" s="740"/>
      <c r="H60" s="1024"/>
      <c r="I60" s="740">
        <v>0</v>
      </c>
      <c r="J60" s="1024"/>
      <c r="K60" s="740">
        <v>0</v>
      </c>
      <c r="L60" s="1024"/>
      <c r="M60" s="282" t="s">
        <v>1880</v>
      </c>
    </row>
    <row s="1666" customFormat="1" customHeight="1" ht="33.75">
      <c r="A61" s="2328"/>
      <c r="B61" s="509"/>
      <c r="D61" s="662" t="s">
        <v>92</v>
      </c>
      <c r="E61" s="663" t="s">
        <v>1881</v>
      </c>
      <c r="F61" s="724" t="s">
        <v>1628</v>
      </c>
      <c r="G61" s="665"/>
      <c r="H61" s="1024"/>
      <c r="I61" s="665">
        <v>0</v>
      </c>
      <c r="J61" s="1024"/>
      <c r="K61" s="1170">
        <v>0</v>
      </c>
      <c r="L61" s="1024"/>
      <c r="M61" s="270"/>
    </row>
    <row s="1666" customFormat="1" customHeight="1" ht="22.5">
      <c r="A62" s="2328"/>
      <c r="B62" s="509" t="s">
        <v>1742</v>
      </c>
      <c r="D62" s="662" t="s">
        <v>111</v>
      </c>
      <c r="E62" s="663" t="s">
        <v>1882</v>
      </c>
      <c r="F62" s="724" t="s">
        <v>296</v>
      </c>
      <c r="G62" s="379"/>
      <c r="H62" s="1024"/>
      <c r="I62" s="379" t="s">
        <v>368</v>
      </c>
      <c r="J62" s="1024"/>
      <c r="K62" s="1165" t="s">
        <v>368</v>
      </c>
      <c r="L62" s="1024"/>
      <c r="M62" s="270" t="s">
        <v>1559</v>
      </c>
    </row>
    <row s="1666" customFormat="1" customHeight="1" ht="45">
      <c r="A63" s="2328"/>
      <c r="B63" s="509" t="s">
        <v>1742</v>
      </c>
      <c r="D63" s="662" t="s">
        <v>1883</v>
      </c>
      <c r="E63" s="664" t="s">
        <v>1884</v>
      </c>
      <c r="F63" s="719" t="s">
        <v>296</v>
      </c>
      <c r="G63" s="379"/>
      <c r="H63" s="1024"/>
      <c r="I63" s="379" t="s">
        <v>368</v>
      </c>
      <c r="J63" s="1024"/>
      <c r="K63" s="1165" t="s">
        <v>368</v>
      </c>
      <c r="L63" s="1024"/>
      <c r="M63" s="270" t="s">
        <v>1559</v>
      </c>
    </row>
    <row s="1666" customFormat="1" customHeight="1" ht="11.25">
      <c r="A64" s="1034"/>
      <c r="B64" s="516"/>
      <c r="D64" s="1035"/>
      <c r="E64" s="1036"/>
      <c r="K64" s="1666"/>
      <c r="L64" s="1666"/>
    </row>
    <row s="1666" customFormat="1" customHeight="1" ht="22.5" hidden="1">
      <c r="A65" s="2328" t="s">
        <v>1007</v>
      </c>
      <c r="B65" s="509"/>
      <c r="D65" s="662">
        <v>1</v>
      </c>
      <c r="E65" s="742" t="s">
        <v>1885</v>
      </c>
      <c r="F65" s="738" t="s">
        <v>1616</v>
      </c>
      <c r="G65" s="739"/>
      <c r="H65" s="1030"/>
      <c r="I65" s="739"/>
      <c r="J65" s="1030"/>
      <c r="K65" s="739"/>
      <c r="L65" s="1030"/>
      <c r="M65" s="281" t="s">
        <v>1886</v>
      </c>
    </row>
    <row s="1666" customFormat="1" customHeight="1" ht="56.25" hidden="1">
      <c r="A66" s="2328"/>
      <c r="B66" s="509"/>
      <c r="D66" s="741" t="s">
        <v>109</v>
      </c>
      <c r="E66" s="704" t="s">
        <v>1887</v>
      </c>
      <c r="F66" s="657" t="s">
        <v>427</v>
      </c>
      <c r="G66" s="657" t="s">
        <v>427</v>
      </c>
      <c r="H66" s="517"/>
      <c r="I66" s="657" t="s">
        <v>427</v>
      </c>
      <c r="J66" s="517"/>
      <c r="K66" s="1925" t="s">
        <v>427</v>
      </c>
      <c r="L66" s="517"/>
      <c r="M66" s="270"/>
    </row>
    <row s="1666" customFormat="1" customHeight="1" ht="33.75" hidden="1">
      <c r="A67" s="2328"/>
      <c r="B67" s="509"/>
      <c r="D67" s="741" t="s">
        <v>453</v>
      </c>
      <c r="E67" s="955" t="s">
        <v>1888</v>
      </c>
      <c r="F67" s="657" t="s">
        <v>1857</v>
      </c>
      <c r="G67" s="725"/>
      <c r="H67" s="517"/>
      <c r="I67" s="725"/>
      <c r="J67" s="517"/>
      <c r="K67" s="725"/>
      <c r="L67" s="517"/>
      <c r="M67" s="270"/>
    </row>
    <row s="1666" customFormat="1" customHeight="1" ht="22.5" hidden="1">
      <c r="A68" s="2328"/>
      <c r="B68" s="509"/>
      <c r="D68" s="741" t="s">
        <v>297</v>
      </c>
      <c r="E68" s="955" t="s">
        <v>1889</v>
      </c>
      <c r="F68" s="657" t="s">
        <v>1857</v>
      </c>
      <c r="G68" s="725"/>
      <c r="H68" s="517"/>
      <c r="I68" s="725"/>
      <c r="J68" s="517"/>
      <c r="K68" s="725"/>
      <c r="L68" s="517"/>
      <c r="M68" s="270"/>
    </row>
    <row s="1666" customFormat="1" customHeight="1" ht="22.5" hidden="1">
      <c r="A69" s="2328"/>
      <c r="B69" s="509"/>
      <c r="D69" s="741" t="s">
        <v>300</v>
      </c>
      <c r="E69" s="955" t="s">
        <v>1890</v>
      </c>
      <c r="F69" s="719" t="s">
        <v>1632</v>
      </c>
      <c r="G69" s="740"/>
      <c r="H69" s="517"/>
      <c r="I69" s="740"/>
      <c r="J69" s="517"/>
      <c r="K69" s="740"/>
      <c r="L69" s="517"/>
      <c r="M69" s="270"/>
    </row>
    <row s="1666" customFormat="1" customHeight="1" ht="22.5" hidden="1">
      <c r="A70" s="2328"/>
      <c r="B70" s="509"/>
      <c r="D70" s="741" t="s">
        <v>1365</v>
      </c>
      <c r="E70" s="955" t="s">
        <v>1891</v>
      </c>
      <c r="F70" s="719" t="s">
        <v>1632</v>
      </c>
      <c r="G70" s="740"/>
      <c r="H70" s="517"/>
      <c r="I70" s="740"/>
      <c r="J70" s="517"/>
      <c r="K70" s="740"/>
      <c r="L70" s="517"/>
      <c r="M70" s="270"/>
    </row>
    <row s="1666" customFormat="1" customHeight="1" ht="22.5" hidden="1">
      <c r="A71" s="2328"/>
      <c r="B71" s="509"/>
      <c r="D71" s="662" t="s">
        <v>89</v>
      </c>
      <c r="E71" s="663" t="s">
        <v>1892</v>
      </c>
      <c r="F71" s="657" t="s">
        <v>1857</v>
      </c>
      <c r="G71" s="555"/>
      <c r="H71" s="1031"/>
      <c r="I71" s="555"/>
      <c r="J71" s="1031"/>
      <c r="K71" s="555"/>
      <c r="L71" s="1031"/>
      <c r="M71" s="282"/>
    </row>
    <row s="1666" customFormat="1" customHeight="1" ht="56.25" hidden="1">
      <c r="A72" s="2328"/>
      <c r="B72" s="509"/>
      <c r="D72" s="662" t="s">
        <v>90</v>
      </c>
      <c r="E72" s="663" t="s">
        <v>1893</v>
      </c>
      <c r="F72" s="719" t="s">
        <v>1632</v>
      </c>
      <c r="G72" s="740"/>
      <c r="H72" s="1024"/>
      <c r="I72" s="740"/>
      <c r="J72" s="1024"/>
      <c r="K72" s="740"/>
      <c r="L72" s="1024"/>
      <c r="M72" s="282"/>
    </row>
    <row s="1666" customFormat="1" customHeight="1" ht="33.75" hidden="1">
      <c r="A73" s="2328"/>
      <c r="B73" s="509"/>
      <c r="D73" s="662" t="s">
        <v>110</v>
      </c>
      <c r="E73" s="663" t="s">
        <v>1894</v>
      </c>
      <c r="F73" s="724" t="s">
        <v>1628</v>
      </c>
      <c r="G73" s="665"/>
      <c r="H73" s="1024"/>
      <c r="I73" s="665"/>
      <c r="J73" s="1024"/>
      <c r="K73" s="1170"/>
      <c r="L73" s="1024"/>
      <c r="M73" s="270"/>
    </row>
    <row s="1666" customFormat="1" customHeight="1" ht="22.5" hidden="1">
      <c r="A74" s="2328"/>
      <c r="B74" s="509" t="s">
        <v>1742</v>
      </c>
      <c r="D74" s="662" t="s">
        <v>91</v>
      </c>
      <c r="E74" s="663" t="s">
        <v>1895</v>
      </c>
      <c r="F74" s="724" t="s">
        <v>296</v>
      </c>
      <c r="G74" s="379"/>
      <c r="H74" s="1024"/>
      <c r="I74" s="379"/>
      <c r="J74" s="1024"/>
      <c r="K74" s="1165"/>
      <c r="L74" s="1024"/>
      <c r="M74" s="270" t="s">
        <v>1559</v>
      </c>
    </row>
    <row s="1666" customFormat="1" customHeight="1" ht="45" hidden="1">
      <c r="A75" s="2328"/>
      <c r="B75" s="509" t="s">
        <v>1742</v>
      </c>
      <c r="D75" s="662" t="s">
        <v>1369</v>
      </c>
      <c r="E75" s="664" t="s">
        <v>1896</v>
      </c>
      <c r="F75" s="719" t="s">
        <v>296</v>
      </c>
      <c r="G75" s="379"/>
      <c r="H75" s="1024"/>
      <c r="I75" s="379"/>
      <c r="J75" s="1024"/>
      <c r="K75" s="1165"/>
      <c r="L75" s="1024"/>
      <c r="M75" s="270" t="s">
        <v>1559</v>
      </c>
    </row>
    <row s="1666" customFormat="1" customHeight="1" ht="11.25">
      <c r="A76" s="1034"/>
      <c r="B76" s="516"/>
      <c r="D76" s="1035"/>
      <c r="E76" s="1036"/>
      <c r="K76" s="1666"/>
      <c r="L76" s="1666"/>
    </row>
    <row s="1666" customFormat="1" customHeight="1" ht="11.25" hidden="1">
      <c r="A77" s="2328" t="s">
        <v>596</v>
      </c>
      <c r="B77" s="509"/>
      <c r="D77" s="662">
        <v>1</v>
      </c>
      <c r="E77" s="663" t="s">
        <v>1897</v>
      </c>
      <c r="F77" s="719" t="s">
        <v>1616</v>
      </c>
      <c r="G77" s="722"/>
      <c r="H77" s="1024"/>
      <c r="I77" s="722"/>
      <c r="J77" s="1024"/>
      <c r="K77" s="722"/>
      <c r="L77" s="1024"/>
      <c r="M77" s="270" t="s">
        <v>1898</v>
      </c>
    </row>
    <row s="1666" customFormat="1" customHeight="1" ht="11.25" hidden="1">
      <c r="A78" s="2328"/>
      <c r="B78" s="509"/>
      <c r="D78" s="662" t="s">
        <v>109</v>
      </c>
      <c r="E78" s="663" t="s">
        <v>1899</v>
      </c>
      <c r="F78" s="719" t="s">
        <v>1616</v>
      </c>
      <c r="G78" s="722"/>
      <c r="H78" s="1024"/>
      <c r="I78" s="722"/>
      <c r="J78" s="1024"/>
      <c r="K78" s="722"/>
      <c r="L78" s="1024"/>
      <c r="M78" s="270" t="s">
        <v>1900</v>
      </c>
    </row>
    <row s="1666" customFormat="1" customHeight="1" ht="22.5" hidden="1">
      <c r="A79" s="2328"/>
      <c r="B79" s="509"/>
      <c r="D79" s="662" t="s">
        <v>89</v>
      </c>
      <c r="E79" s="720" t="s">
        <v>1901</v>
      </c>
      <c r="F79" s="657" t="s">
        <v>1854</v>
      </c>
      <c r="G79" s="722"/>
      <c r="H79" s="1024"/>
      <c r="I79" s="722"/>
      <c r="J79" s="1024"/>
      <c r="K79" s="722"/>
      <c r="L79" s="1024"/>
      <c r="M79" s="270" t="s">
        <v>1902</v>
      </c>
    </row>
    <row s="1666" customFormat="1" customHeight="1" ht="11.25" hidden="1">
      <c r="A80" s="2328"/>
      <c r="B80" s="509"/>
      <c r="D80" s="662" t="s">
        <v>316</v>
      </c>
      <c r="E80" s="721" t="s">
        <v>1903</v>
      </c>
      <c r="F80" s="657" t="s">
        <v>1854</v>
      </c>
      <c r="G80" s="722"/>
      <c r="H80" s="1024"/>
      <c r="I80" s="722"/>
      <c r="J80" s="1024"/>
      <c r="K80" s="722"/>
      <c r="L80" s="1024"/>
      <c r="M80" s="270"/>
    </row>
    <row s="1666" customFormat="1" customHeight="1" ht="11.25" hidden="1">
      <c r="A81" s="2328"/>
      <c r="B81" s="509"/>
      <c r="D81" s="662" t="s">
        <v>324</v>
      </c>
      <c r="E81" s="721" t="s">
        <v>1904</v>
      </c>
      <c r="F81" s="657" t="s">
        <v>1854</v>
      </c>
      <c r="G81" s="722"/>
      <c r="H81" s="1024"/>
      <c r="I81" s="722"/>
      <c r="J81" s="1024"/>
      <c r="K81" s="722"/>
      <c r="L81" s="1024"/>
      <c r="M81" s="270"/>
    </row>
    <row s="1666" customFormat="1" customHeight="1" ht="11.25" hidden="1">
      <c r="A82" s="2328"/>
      <c r="B82" s="509"/>
      <c r="D82" s="662" t="s">
        <v>326</v>
      </c>
      <c r="E82" s="721" t="s">
        <v>1905</v>
      </c>
      <c r="F82" s="657" t="s">
        <v>1854</v>
      </c>
      <c r="G82" s="722"/>
      <c r="H82" s="1024"/>
      <c r="I82" s="722"/>
      <c r="J82" s="1024"/>
      <c r="K82" s="722"/>
      <c r="L82" s="1024"/>
      <c r="M82" s="270"/>
    </row>
    <row s="1666" customFormat="1" customHeight="1" ht="11.25" hidden="1">
      <c r="A83" s="2328"/>
      <c r="B83" s="509"/>
      <c r="D83" s="662" t="s">
        <v>328</v>
      </c>
      <c r="E83" s="721" t="s">
        <v>1906</v>
      </c>
      <c r="F83" s="657" t="s">
        <v>1854</v>
      </c>
      <c r="G83" s="722"/>
      <c r="H83" s="1024"/>
      <c r="I83" s="722"/>
      <c r="J83" s="1024"/>
      <c r="K83" s="722"/>
      <c r="L83" s="1024"/>
      <c r="M83" s="270"/>
    </row>
    <row s="1666" customFormat="1" customHeight="1" ht="11.25" hidden="1">
      <c r="A84" s="2328"/>
      <c r="B84" s="509"/>
      <c r="D84" s="662" t="s">
        <v>1907</v>
      </c>
      <c r="E84" s="721" t="s">
        <v>1908</v>
      </c>
      <c r="F84" s="657" t="s">
        <v>1854</v>
      </c>
      <c r="G84" s="722"/>
      <c r="H84" s="1024"/>
      <c r="I84" s="722"/>
      <c r="J84" s="1024"/>
      <c r="K84" s="722"/>
      <c r="L84" s="1024"/>
      <c r="M84" s="270"/>
    </row>
    <row s="1666" customFormat="1" customHeight="1" ht="11.25" hidden="1">
      <c r="A85" s="2328"/>
      <c r="B85" s="509"/>
      <c r="D85" s="662" t="s">
        <v>1909</v>
      </c>
      <c r="E85" s="721" t="s">
        <v>1910</v>
      </c>
      <c r="F85" s="657" t="s">
        <v>1854</v>
      </c>
      <c r="G85" s="722"/>
      <c r="H85" s="1024"/>
      <c r="I85" s="722"/>
      <c r="J85" s="1024"/>
      <c r="K85" s="722"/>
      <c r="L85" s="1024"/>
      <c r="M85" s="270"/>
    </row>
    <row s="1666" customFormat="1" customHeight="1" ht="11.25" hidden="1">
      <c r="A86" s="2328"/>
      <c r="B86" s="509"/>
      <c r="D86" s="662" t="s">
        <v>1911</v>
      </c>
      <c r="E86" s="721" t="s">
        <v>1912</v>
      </c>
      <c r="F86" s="657" t="s">
        <v>1854</v>
      </c>
      <c r="G86" s="722"/>
      <c r="H86" s="1024"/>
      <c r="I86" s="722"/>
      <c r="J86" s="1024"/>
      <c r="K86" s="722"/>
      <c r="L86" s="1024"/>
      <c r="M86" s="270"/>
    </row>
    <row s="1666" customFormat="1" customHeight="1" ht="45" hidden="1">
      <c r="A87" s="2328"/>
      <c r="B87" s="509"/>
      <c r="D87" s="662" t="s">
        <v>90</v>
      </c>
      <c r="E87" s="663" t="s">
        <v>1913</v>
      </c>
      <c r="F87" s="657" t="s">
        <v>1854</v>
      </c>
      <c r="G87" s="722"/>
      <c r="H87" s="1024"/>
      <c r="I87" s="722"/>
      <c r="J87" s="1024"/>
      <c r="K87" s="722"/>
      <c r="L87" s="1024"/>
      <c r="M87" s="270" t="s">
        <v>1914</v>
      </c>
    </row>
    <row s="1666" customFormat="1" customHeight="1" ht="11.25" hidden="1">
      <c r="A88" s="2328"/>
      <c r="B88" s="509"/>
      <c r="D88" s="662" t="s">
        <v>1464</v>
      </c>
      <c r="E88" s="721" t="s">
        <v>1903</v>
      </c>
      <c r="F88" s="657" t="s">
        <v>1854</v>
      </c>
      <c r="G88" s="722"/>
      <c r="H88" s="1024"/>
      <c r="I88" s="722"/>
      <c r="J88" s="1024"/>
      <c r="K88" s="722"/>
      <c r="L88" s="1024"/>
      <c r="M88" s="270"/>
    </row>
    <row s="1666" customFormat="1" customHeight="1" ht="11.25" hidden="1">
      <c r="A89" s="2328"/>
      <c r="B89" s="509"/>
      <c r="D89" s="662" t="s">
        <v>1481</v>
      </c>
      <c r="E89" s="721" t="s">
        <v>1904</v>
      </c>
      <c r="F89" s="657" t="s">
        <v>1854</v>
      </c>
      <c r="G89" s="722"/>
      <c r="H89" s="1024"/>
      <c r="I89" s="722"/>
      <c r="J89" s="1024"/>
      <c r="K89" s="722"/>
      <c r="L89" s="1024"/>
      <c r="M89" s="270"/>
    </row>
    <row s="1666" customFormat="1" customHeight="1" ht="11.25" hidden="1">
      <c r="A90" s="2328"/>
      <c r="B90" s="509"/>
      <c r="D90" s="662" t="s">
        <v>1629</v>
      </c>
      <c r="E90" s="721" t="s">
        <v>1905</v>
      </c>
      <c r="F90" s="657" t="s">
        <v>1854</v>
      </c>
      <c r="G90" s="722"/>
      <c r="H90" s="1024"/>
      <c r="I90" s="722"/>
      <c r="J90" s="1024"/>
      <c r="K90" s="722"/>
      <c r="L90" s="1024"/>
      <c r="M90" s="270"/>
    </row>
    <row s="1666" customFormat="1" customHeight="1" ht="11.25" hidden="1">
      <c r="A91" s="2328"/>
      <c r="B91" s="509"/>
      <c r="D91" s="662" t="s">
        <v>1872</v>
      </c>
      <c r="E91" s="721" t="s">
        <v>1906</v>
      </c>
      <c r="F91" s="657" t="s">
        <v>1854</v>
      </c>
      <c r="G91" s="722"/>
      <c r="H91" s="1024"/>
      <c r="I91" s="722"/>
      <c r="J91" s="1024"/>
      <c r="K91" s="722"/>
      <c r="L91" s="1024"/>
      <c r="M91" s="270"/>
    </row>
    <row s="1666" customFormat="1" customHeight="1" ht="11.25" hidden="1">
      <c r="A92" s="2328"/>
      <c r="B92" s="509"/>
      <c r="D92" s="662" t="s">
        <v>1874</v>
      </c>
      <c r="E92" s="721" t="s">
        <v>1908</v>
      </c>
      <c r="F92" s="657" t="s">
        <v>1854</v>
      </c>
      <c r="G92" s="722"/>
      <c r="H92" s="1024"/>
      <c r="I92" s="722"/>
      <c r="J92" s="1024"/>
      <c r="K92" s="722"/>
      <c r="L92" s="1024"/>
      <c r="M92" s="270"/>
    </row>
    <row s="1666" customFormat="1" customHeight="1" ht="11.25" hidden="1">
      <c r="A93" s="2328"/>
      <c r="B93" s="509"/>
      <c r="D93" s="662" t="s">
        <v>1915</v>
      </c>
      <c r="E93" s="721" t="s">
        <v>1910</v>
      </c>
      <c r="F93" s="657" t="s">
        <v>1854</v>
      </c>
      <c r="G93" s="722"/>
      <c r="H93" s="1024"/>
      <c r="I93" s="722"/>
      <c r="J93" s="1024"/>
      <c r="K93" s="722"/>
      <c r="L93" s="1024"/>
      <c r="M93" s="270"/>
    </row>
    <row s="1666" customFormat="1" customHeight="1" ht="11.25" hidden="1">
      <c r="A94" s="2328"/>
      <c r="B94" s="509"/>
      <c r="D94" s="662" t="s">
        <v>1916</v>
      </c>
      <c r="E94" s="721" t="s">
        <v>1912</v>
      </c>
      <c r="F94" s="657" t="s">
        <v>1854</v>
      </c>
      <c r="G94" s="722"/>
      <c r="H94" s="1024"/>
      <c r="I94" s="722"/>
      <c r="J94" s="1024"/>
      <c r="K94" s="722"/>
      <c r="L94" s="1024"/>
      <c r="M94" s="270"/>
    </row>
    <row s="1666" customFormat="1" customHeight="1" ht="24.75" hidden="1">
      <c r="A95" s="2328"/>
      <c r="B95" s="509"/>
      <c r="D95" s="662" t="s">
        <v>110</v>
      </c>
      <c r="E95" s="663" t="s">
        <v>1917</v>
      </c>
      <c r="F95" s="723" t="s">
        <v>1632</v>
      </c>
      <c r="G95" s="725"/>
      <c r="H95" s="1024"/>
      <c r="I95" s="725"/>
      <c r="J95" s="1024"/>
      <c r="K95" s="725"/>
      <c r="L95" s="1024"/>
      <c r="M95" s="270" t="s">
        <v>1918</v>
      </c>
    </row>
    <row s="1666" customFormat="1" customHeight="1" ht="33.75" hidden="1">
      <c r="A96" s="2328"/>
      <c r="B96" s="509"/>
      <c r="D96" s="662" t="s">
        <v>91</v>
      </c>
      <c r="E96" s="663" t="s">
        <v>1919</v>
      </c>
      <c r="F96" s="724" t="s">
        <v>1628</v>
      </c>
      <c r="G96" s="726"/>
      <c r="H96" s="1024"/>
      <c r="I96" s="726"/>
      <c r="J96" s="1024"/>
      <c r="K96" s="726"/>
      <c r="L96" s="1024"/>
      <c r="M96" s="270"/>
    </row>
    <row s="1666" customFormat="1" customHeight="1" ht="22.5" hidden="1">
      <c r="A97" s="2328"/>
      <c r="B97" s="509" t="s">
        <v>1742</v>
      </c>
      <c r="D97" s="662" t="s">
        <v>92</v>
      </c>
      <c r="E97" s="663" t="s">
        <v>1920</v>
      </c>
      <c r="F97" s="724" t="s">
        <v>296</v>
      </c>
      <c r="G97" s="382"/>
      <c r="H97" s="1024"/>
      <c r="I97" s="382"/>
      <c r="J97" s="1024"/>
      <c r="K97" s="382"/>
      <c r="L97" s="1024"/>
      <c r="M97" s="270" t="s">
        <v>1559</v>
      </c>
    </row>
    <row s="1666" customFormat="1" customHeight="1" ht="45" hidden="1">
      <c r="A98" s="2328"/>
      <c r="B98" s="509" t="s">
        <v>1742</v>
      </c>
      <c r="D98" s="662" t="s">
        <v>1921</v>
      </c>
      <c r="E98" s="664" t="s">
        <v>1922</v>
      </c>
      <c r="F98" s="719" t="s">
        <v>296</v>
      </c>
      <c r="G98" s="382"/>
      <c r="H98" s="1024"/>
      <c r="I98" s="382"/>
      <c r="J98" s="1024"/>
      <c r="K98" s="382"/>
      <c r="L98" s="1024"/>
      <c r="M98" s="270" t="s">
        <v>1559</v>
      </c>
    </row>
    <row s="1666" customFormat="1" customHeight="1" ht="95.25" hidden="1">
      <c r="A99" s="2328"/>
      <c r="B99" s="509" t="s">
        <v>1742</v>
      </c>
      <c r="D99" s="662" t="s">
        <v>111</v>
      </c>
      <c r="E99" s="663" t="s">
        <v>1923</v>
      </c>
      <c r="F99" s="719" t="s">
        <v>296</v>
      </c>
      <c r="G99" s="382"/>
      <c r="H99" s="1024"/>
      <c r="I99" s="382"/>
      <c r="J99" s="1024"/>
      <c r="K99" s="382"/>
      <c r="L99" s="1024"/>
      <c r="M99" s="270" t="s">
        <v>1559</v>
      </c>
    </row>
    <row s="1666" customFormat="1" customHeight="1" ht="22.5" hidden="1">
      <c r="A100" s="2328"/>
      <c r="B100" s="509" t="s">
        <v>1742</v>
      </c>
      <c r="D100" s="662" t="s">
        <v>152</v>
      </c>
      <c r="E100" s="663" t="s">
        <v>1924</v>
      </c>
      <c r="F100" s="719" t="s">
        <v>296</v>
      </c>
      <c r="G100" s="382"/>
      <c r="H100" s="1024"/>
      <c r="I100" s="382"/>
      <c r="J100" s="1024"/>
      <c r="K100" s="382"/>
      <c r="L100" s="1024"/>
      <c r="M100" s="270" t="s">
        <v>1559</v>
      </c>
    </row>
    <row s="1666" customFormat="1" customHeight="1" ht="11.25">
      <c r="A101" s="1034"/>
      <c r="B101" s="516"/>
      <c r="D101" s="1035"/>
      <c r="E101" s="1036"/>
      <c r="K101" s="1666"/>
      <c r="L101" s="1666"/>
    </row>
  </sheetData>
  <sheetProtection formatColumns="0" formatRows="0" autoFilter="0" sort="0" insertRows="0" insertColumns="1" deleteRows="0" deleteColumns="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J13:J14 L13:L14 J31:J32 L31:L32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62" r:id="rId1" tooltip="Кликните по гиперссылке, чтобы перейти по ней или отредактировать её" xr:uid="{139CF159-9D1C-8756-DB16-199CAB424228}"/>
    <hyperlink ref="K62" r:id="rId2" tooltip="Кликните по гиперссылке, чтобы перейти по ней или отредактировать её" xr:uid="{769A0D01-F6A2-9F6E-83AF-4032DEF69DC9}"/>
    <hyperlink ref="I63" r:id="rId3" tooltip="Кликните по гиперссылке, чтобы перейти по ней или отредактировать её" xr:uid="{6895EE63-2F6C-B6C2-EA6C-FEE034AB09EF}"/>
    <hyperlink ref="K63" r:id="rId4" tooltip="Кликните по гиперссылке, чтобы перейти по ней или отредактировать её" xr:uid="{E98D5605-D317-585B-1743-A15F6EF814B2}"/>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9C956B-03F4-4F15-5FBC-70A8F40CD6F5}"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1167" width="6.7109375" hidden="1" customWidth="1"/>
    <col min="4" max="4" style="1389" width="6.7109375" hidden="1" customWidth="1"/>
    <col min="5" max="5" style="1666" width="3.7109375" customWidth="1"/>
    <col min="6" max="6" style="1666" width="6.28125" customWidth="1"/>
    <col min="7" max="7" style="1666" width="37.7109375" customWidth="1"/>
    <col min="8" max="8" style="1666" width="16.57421875" customWidth="1"/>
    <col min="9" max="10" style="1666" width="19.7109375" customWidth="1"/>
    <col min="11" max="11" style="1666" width="25.00390625" customWidth="1"/>
    <col min="12" max="13" style="1666" width="25.7109375" customWidth="1"/>
    <col min="14" max="16" style="1666" width="17.7109375" customWidth="1"/>
    <col min="17" max="24" style="1666" width="19.7109375" customWidth="1"/>
    <col min="25" max="25" style="1666" width="8.00390625" customWidth="1"/>
    <col min="26" max="26" style="1666" width="3.28125" customWidth="1"/>
    <col min="27" max="27" style="1666" width="6.28125" customWidth="1"/>
    <col min="28" max="28" style="1666" width="34.140625" customWidth="1"/>
    <col min="29" max="30" style="1666" width="9.140625"/>
  </cols>
  <sheetData>
    <row s="1389" customFormat="1" customHeight="1" ht="10.5" hidden="1">
      <c r="A1" s="895"/>
      <c r="B1" s="895"/>
      <c r="C1" s="895"/>
      <c r="E1" s="535"/>
      <c r="H1" s="1161"/>
    </row>
    <row customHeight="1" ht="10.5" hidden="1"/>
    <row s="1663" customFormat="1" customHeight="1" ht="10.5" hidden="1">
      <c r="A3" s="895"/>
      <c r="B3" s="895"/>
      <c r="C3" s="895"/>
      <c r="D3" s="415"/>
      <c r="E3" s="352"/>
      <c r="H3" s="1157"/>
    </row>
    <row customHeight="1" ht="3"/>
    <row customHeight="1" ht="30">
      <c r="F5" s="2163" t="s">
        <v>1925</v>
      </c>
      <c r="G5" s="2163"/>
      <c r="H5" s="2163"/>
      <c r="I5" s="2163"/>
      <c r="J5" s="2163"/>
      <c r="K5" s="2163"/>
      <c r="M5" s="580"/>
      <c r="AB5" s="906"/>
    </row>
    <row s="1666" customFormat="1" customHeight="1" ht="15.75">
      <c r="A6" s="1167"/>
      <c r="B6" s="1167"/>
      <c r="C6" s="1167"/>
      <c r="D6" s="1161"/>
      <c r="E6" s="1666"/>
      <c r="F6" s="2164" t="str">
        <f>IF(org=0,"Не определено",org)</f>
        <v>ПАО "ТГК-2"</v>
      </c>
      <c r="G6" s="2164"/>
      <c r="H6" s="2164"/>
      <c r="I6" s="2164"/>
      <c r="J6" s="2164"/>
      <c r="K6" s="2164"/>
      <c r="M6" s="580"/>
      <c r="AB6" s="1149"/>
    </row>
    <row r="8" customHeight="1" ht="10.5">
      <c r="A8" s="1052"/>
      <c r="B8" s="1052"/>
      <c r="C8" s="1052"/>
      <c r="F8" s="1922" t="s">
        <v>290</v>
      </c>
      <c r="G8" s="1923"/>
      <c r="H8" s="1923"/>
      <c r="I8" s="1923"/>
      <c r="J8" s="1923"/>
      <c r="K8" s="1923"/>
      <c r="L8" s="1923"/>
      <c r="M8" s="1923"/>
      <c r="N8" s="1923"/>
      <c r="O8" s="1923"/>
      <c r="P8" s="1923"/>
      <c r="Q8" s="1923"/>
      <c r="R8" s="1923"/>
      <c r="S8" s="1923"/>
      <c r="T8" s="1923"/>
      <c r="U8" s="1923"/>
      <c r="V8" s="1923"/>
      <c r="W8" s="1923"/>
      <c r="X8" s="1923"/>
      <c r="Y8" s="1923"/>
      <c r="Z8" s="1923"/>
      <c r="AA8" s="1923"/>
      <c r="AB8" s="1924"/>
    </row>
    <row customHeight="1" ht="41.25">
      <c r="A9" s="905"/>
      <c r="B9" s="905"/>
      <c r="C9" s="905"/>
      <c r="F9" s="1948" t="s">
        <v>87</v>
      </c>
      <c r="G9" s="1948" t="s">
        <v>1926</v>
      </c>
      <c r="H9" s="1994" t="s">
        <v>1927</v>
      </c>
      <c r="I9" s="1948" t="s">
        <v>1928</v>
      </c>
      <c r="J9" s="1948" t="s">
        <v>1929</v>
      </c>
      <c r="K9" s="1948" t="s">
        <v>1930</v>
      </c>
      <c r="L9" s="1948" t="s">
        <v>1931</v>
      </c>
      <c r="M9" s="1948" t="s">
        <v>1932</v>
      </c>
      <c r="N9" s="2029" t="s">
        <v>1933</v>
      </c>
      <c r="O9" s="2029"/>
      <c r="P9" s="2029"/>
      <c r="Q9" s="2331" t="s">
        <v>1934</v>
      </c>
      <c r="R9" s="2332"/>
      <c r="S9" s="2332"/>
      <c r="T9" s="2333"/>
      <c r="U9" s="2331" t="s">
        <v>1935</v>
      </c>
      <c r="V9" s="2332"/>
      <c r="W9" s="2332"/>
      <c r="X9" s="2333"/>
      <c r="Y9" s="1922" t="s">
        <v>1936</v>
      </c>
      <c r="Z9" s="1923"/>
      <c r="AA9" s="1923"/>
      <c r="AB9" s="1924"/>
    </row>
    <row customHeight="1" ht="41.25">
      <c r="A10" s="905"/>
      <c r="B10" s="905"/>
      <c r="C10" s="905"/>
      <c r="F10" s="1994"/>
      <c r="G10" s="1994"/>
      <c r="H10" s="2053"/>
      <c r="I10" s="1994"/>
      <c r="J10" s="1994"/>
      <c r="K10" s="1994"/>
      <c r="L10" s="1994"/>
      <c r="M10" s="1994"/>
      <c r="N10" s="903" t="s">
        <v>1937</v>
      </c>
      <c r="O10" s="903" t="s">
        <v>1938</v>
      </c>
      <c r="P10" s="904" t="s">
        <v>1939</v>
      </c>
      <c r="Q10" s="915" t="s">
        <v>88</v>
      </c>
      <c r="R10" s="915" t="s">
        <v>1940</v>
      </c>
      <c r="S10" s="915" t="s">
        <v>1941</v>
      </c>
      <c r="T10" s="916" t="s">
        <v>1942</v>
      </c>
      <c r="U10" s="915" t="s">
        <v>88</v>
      </c>
      <c r="V10" s="915" t="s">
        <v>1943</v>
      </c>
      <c r="W10" s="915" t="s">
        <v>1941</v>
      </c>
      <c r="X10" s="916" t="s">
        <v>1942</v>
      </c>
      <c r="Y10" s="281" t="s">
        <v>1944</v>
      </c>
      <c r="Z10" s="1922" t="s">
        <v>87</v>
      </c>
      <c r="AA10" s="1924"/>
      <c r="AB10" s="1050" t="s">
        <v>1945</v>
      </c>
    </row>
    <row s="1673" customFormat="1" customHeight="1" ht="5.25" hidden="1">
      <c r="A11" s="1053"/>
      <c r="B11" s="1053"/>
      <c r="C11" s="1053"/>
      <c r="E11" s="1051"/>
      <c r="F11" s="2060" t="s">
        <v>368</v>
      </c>
      <c r="G11" s="2284"/>
      <c r="H11" s="2334"/>
      <c r="I11" s="2334"/>
      <c r="J11" s="2334"/>
      <c r="K11" s="2335"/>
      <c r="L11" s="2335"/>
      <c r="M11" s="2335"/>
      <c r="N11" s="2334"/>
      <c r="O11" s="2334"/>
      <c r="P11" s="1948"/>
      <c r="Q11" s="1998"/>
      <c r="R11" s="1998"/>
      <c r="S11" s="1998"/>
      <c r="T11" s="2334"/>
      <c r="U11" s="1998"/>
      <c r="V11" s="1998"/>
      <c r="W11" s="1998"/>
      <c r="X11" s="2334"/>
      <c r="Y11" s="1929"/>
      <c r="Z11" s="1929"/>
      <c r="AA11" s="1929"/>
      <c r="AB11" s="1929"/>
      <c r="AD11" s="509" t="s">
        <v>1946</v>
      </c>
    </row>
    <row s="1673" customFormat="1" customHeight="1" ht="5.25" hidden="1">
      <c r="A12" s="896"/>
      <c r="B12" s="896"/>
      <c r="C12" s="896"/>
      <c r="E12" s="516"/>
      <c r="F12" s="2060"/>
      <c r="G12" s="2284"/>
      <c r="H12" s="2334"/>
      <c r="I12" s="2334"/>
      <c r="J12" s="2334"/>
      <c r="K12" s="2335"/>
      <c r="L12" s="2335"/>
      <c r="M12" s="2335"/>
      <c r="N12" s="2334"/>
      <c r="O12" s="2334"/>
      <c r="P12" s="1948"/>
      <c r="Q12" s="1998"/>
      <c r="R12" s="1998"/>
      <c r="S12" s="1998"/>
      <c r="T12" s="2334"/>
      <c r="U12" s="1998"/>
      <c r="V12" s="1998"/>
      <c r="W12" s="1998"/>
      <c r="X12" s="2334"/>
      <c r="Y12" s="2336"/>
      <c r="Z12" s="2336"/>
      <c r="AA12" s="2336"/>
      <c r="AB12" s="2336"/>
    </row>
    <row customHeight="1" ht="10.5">
      <c r="F13" s="902"/>
      <c r="G13" s="647" t="s">
        <v>1947</v>
      </c>
      <c r="H13" s="1169"/>
      <c r="I13" s="570"/>
      <c r="J13" s="570"/>
      <c r="K13" s="570"/>
      <c r="L13" s="570"/>
      <c r="M13" s="570"/>
      <c r="N13" s="570"/>
      <c r="O13" s="570"/>
      <c r="P13" s="570"/>
      <c r="Q13" s="570"/>
      <c r="R13" s="570"/>
      <c r="S13" s="570"/>
      <c r="T13" s="570"/>
      <c r="U13" s="570"/>
      <c r="V13" s="570"/>
      <c r="W13" s="570"/>
      <c r="X13" s="570"/>
      <c r="Y13" s="570"/>
      <c r="Z13" s="693"/>
      <c r="AA13" s="693"/>
      <c r="AB13" s="917"/>
    </row>
    <row r="15" s="1673" customFormat="1" customHeight="1" ht="10.5">
      <c r="A15" s="1168"/>
      <c r="B15" s="1168"/>
      <c r="C15" s="1168"/>
      <c r="E15" s="516"/>
      <c r="H15" s="509">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6F06A-6F19-5BE4-5737-0239EA8D35E1}"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1167" width="4.140625" hidden="1" customWidth="1"/>
    <col min="4" max="4" style="1389" width="4.140625" hidden="1" customWidth="1"/>
    <col min="5" max="5" style="1666" width="3.7109375" customWidth="1"/>
    <col min="6" max="6" style="1666" width="14.421875" customWidth="1"/>
    <col min="7" max="7" style="1666" width="3.7109375" customWidth="1"/>
    <col min="8" max="8" style="1666" width="7.7109375" customWidth="1"/>
    <col min="9" max="10" style="1666" width="16.7109375" customWidth="1"/>
    <col min="11" max="11" style="1666" width="25.7109375" customWidth="1"/>
    <col min="12" max="12" style="1666" width="8.00390625" customWidth="1"/>
    <col min="13" max="13" style="1666" width="15.57421875" customWidth="1"/>
    <col min="14" max="14" style="1666" width="3.28125" customWidth="1"/>
    <col min="15" max="15" style="1666" width="4.7109375" customWidth="1"/>
    <col min="16" max="16" style="1666" width="9.00390625" customWidth="1"/>
    <col min="17" max="17" style="1666" width="21.7109375" customWidth="1"/>
    <col min="18" max="18" style="1666" width="14.7109375" customWidth="1"/>
    <col min="19" max="20" style="1666" width="17.7109375" customWidth="1"/>
    <col min="21" max="21" style="1666" width="9.7109375" customWidth="1"/>
    <col min="22" max="22" style="1666" width="12.7109375" customWidth="1"/>
    <col min="23" max="23" style="1666" width="9.7109375" customWidth="1"/>
    <col min="24" max="24" style="1666" width="21.7109375" customWidth="1"/>
    <col min="25" max="25" style="1666" width="12.7109375" customWidth="1"/>
    <col min="26" max="26" style="1666" width="3.28125" customWidth="1"/>
    <col min="27" max="27" style="1666" width="7.140625" customWidth="1"/>
    <col min="28" max="28" style="1666" width="38.421875" customWidth="1"/>
    <col min="29" max="29" style="1666" width="15.7109375" customWidth="1"/>
    <col min="30" max="30" style="1666" width="37.57421875" customWidth="1"/>
    <col min="31" max="31" style="1666" width="15.7109375" customWidth="1"/>
    <col min="32" max="37" style="1666" width="16.7109375" customWidth="1"/>
    <col min="38" max="58" style="1666" width="9.140625"/>
  </cols>
  <sheetData>
    <row s="1389" customFormat="1" customHeight="1" ht="10.5" hidden="1">
      <c r="A1" s="895"/>
      <c r="B1" s="895"/>
      <c r="C1" s="895"/>
      <c r="E1" s="535"/>
      <c r="H1" s="1161"/>
      <c r="L1" s="1129"/>
      <c r="M1" s="1129"/>
      <c r="AD1" s="1129"/>
      <c r="AH1" s="1148"/>
      <c r="AI1" s="1141"/>
    </row>
    <row customHeight="1" ht="10.5" hidden="1"/>
    <row s="1663" customFormat="1" customHeight="1" ht="10.5" hidden="1">
      <c r="A3" s="895"/>
      <c r="B3" s="895"/>
      <c r="C3" s="895"/>
      <c r="D3" s="415"/>
      <c r="E3" s="352"/>
      <c r="H3" s="1157"/>
      <c r="L3" s="1127"/>
      <c r="M3" s="1127"/>
      <c r="AD3" s="1127"/>
      <c r="AH3" s="1146"/>
      <c r="AI3" s="1139"/>
    </row>
    <row customHeight="1" ht="3"/>
    <row customHeight="1" ht="30">
      <c r="F5" s="2163" t="s">
        <v>1925</v>
      </c>
      <c r="G5" s="2163"/>
      <c r="H5" s="2163"/>
      <c r="I5" s="2163"/>
      <c r="J5" s="2163"/>
      <c r="K5" s="2163"/>
      <c r="L5" s="1136"/>
      <c r="M5" s="1136"/>
      <c r="AG5" s="906"/>
      <c r="AH5" s="1149"/>
    </row>
    <row customHeight="1" ht="10.5">
      <c r="F6" s="2031" t="str">
        <f>IF(org=0,"Не определено",org)</f>
        <v>ПАО "ТГК-2"</v>
      </c>
      <c r="G6" s="2031"/>
      <c r="H6" s="2031"/>
      <c r="I6" s="2031"/>
      <c r="J6" s="2031"/>
      <c r="K6" s="2031"/>
      <c r="L6" s="1137"/>
      <c r="M6" s="1137"/>
    </row>
    <row customHeight="1" ht="11.25">
      <c r="E7" s="908"/>
      <c r="F7" s="919"/>
      <c r="G7" s="919"/>
      <c r="H7" s="1187"/>
      <c r="I7" s="919"/>
      <c r="J7" s="919"/>
      <c r="K7" s="921"/>
      <c r="L7" s="1134"/>
      <c r="M7" s="1134"/>
      <c r="N7" s="919"/>
      <c r="O7" s="919"/>
      <c r="P7" s="919"/>
      <c r="Q7" s="921"/>
      <c r="R7" s="919"/>
      <c r="S7" s="919"/>
      <c r="T7" s="919"/>
      <c r="U7" s="919"/>
      <c r="V7" s="919"/>
      <c r="W7" s="919"/>
      <c r="X7" s="919"/>
      <c r="Y7" s="919"/>
      <c r="Z7" s="919"/>
      <c r="AA7" s="919"/>
      <c r="AB7" s="919"/>
      <c r="AC7" s="920"/>
      <c r="AD7" s="1133"/>
      <c r="AE7" s="920"/>
      <c r="AF7" s="919"/>
      <c r="AG7" s="919"/>
      <c r="AH7" s="1151"/>
      <c r="AI7" s="1144"/>
      <c r="AJ7" s="919"/>
      <c r="AK7" s="919"/>
      <c r="AL7" s="910"/>
      <c r="AM7" s="910"/>
      <c r="AN7" s="910"/>
      <c r="AO7" s="907"/>
      <c r="AP7" s="907"/>
      <c r="AQ7" s="907"/>
      <c r="AR7" s="907"/>
      <c r="AS7" s="907"/>
      <c r="AT7" s="907"/>
      <c r="AU7" s="907"/>
      <c r="AV7" s="907"/>
      <c r="AW7" s="907"/>
      <c r="AX7" s="907"/>
      <c r="AY7" s="907"/>
      <c r="AZ7" s="907"/>
      <c r="BA7" s="907"/>
      <c r="BB7" s="907"/>
      <c r="BC7" s="907"/>
      <c r="BD7" s="907"/>
      <c r="BE7" s="907"/>
      <c r="BF7" s="907"/>
    </row>
    <row customHeight="1" ht="10.5">
      <c r="E8" s="908"/>
      <c r="F8" s="2345" t="s">
        <v>290</v>
      </c>
      <c r="G8" s="2346"/>
      <c r="H8" s="2346"/>
      <c r="I8" s="2346"/>
      <c r="J8" s="2346"/>
      <c r="K8" s="2346"/>
      <c r="L8" s="2346"/>
      <c r="M8" s="2346"/>
      <c r="N8" s="2346"/>
      <c r="O8" s="2346"/>
      <c r="P8" s="2346"/>
      <c r="Q8" s="2346"/>
      <c r="R8" s="2346"/>
      <c r="S8" s="2346"/>
      <c r="T8" s="2346"/>
      <c r="U8" s="2346"/>
      <c r="V8" s="2346"/>
      <c r="W8" s="2346"/>
      <c r="X8" s="2346"/>
      <c r="Y8" s="2346"/>
      <c r="Z8" s="2346"/>
      <c r="AA8" s="2346"/>
      <c r="AB8" s="2346"/>
      <c r="AC8" s="2346"/>
      <c r="AD8" s="2346"/>
      <c r="AE8" s="2346"/>
      <c r="AF8" s="2346"/>
      <c r="AG8" s="2346"/>
      <c r="AH8" s="2346"/>
      <c r="AI8" s="2346"/>
      <c r="AJ8" s="2346"/>
      <c r="AK8" s="2347"/>
      <c r="AL8" s="909"/>
      <c r="AM8" s="907"/>
      <c r="AN8" s="907"/>
      <c r="AO8" s="907"/>
      <c r="AP8" s="907"/>
      <c r="AQ8" s="907"/>
      <c r="AR8" s="907"/>
      <c r="AS8" s="907"/>
      <c r="AT8" s="907"/>
      <c r="AU8" s="907"/>
      <c r="AV8" s="907"/>
      <c r="AW8" s="907"/>
      <c r="AX8" s="907"/>
      <c r="AY8" s="907"/>
      <c r="AZ8" s="907"/>
      <c r="BA8" s="907"/>
      <c r="BB8" s="907"/>
      <c r="BC8" s="907"/>
      <c r="BD8" s="907"/>
      <c r="BE8" s="907"/>
      <c r="BF8" s="907"/>
    </row>
    <row customHeight="1" ht="23.25">
      <c r="A9" s="905"/>
      <c r="B9" s="905"/>
      <c r="C9" s="905"/>
      <c r="E9" s="908"/>
      <c r="F9" s="2338" t="s">
        <v>1948</v>
      </c>
      <c r="G9" s="2339" t="s">
        <v>1949</v>
      </c>
      <c r="H9" s="2340"/>
      <c r="I9" s="1948" t="s">
        <v>1950</v>
      </c>
      <c r="J9" s="1948"/>
      <c r="K9" s="1948" t="s">
        <v>1951</v>
      </c>
      <c r="L9" s="1948"/>
      <c r="M9" s="1948"/>
      <c r="N9" s="1948"/>
      <c r="O9" s="1948"/>
      <c r="P9" s="1948"/>
      <c r="Q9" s="1948"/>
      <c r="R9" s="1948"/>
      <c r="S9" s="1948"/>
      <c r="T9" s="1948"/>
      <c r="U9" s="1948"/>
      <c r="V9" s="1948"/>
      <c r="W9" s="1948"/>
      <c r="X9" s="1948"/>
      <c r="Y9" s="1948"/>
      <c r="Z9" s="2011" t="s">
        <v>1952</v>
      </c>
      <c r="AA9" s="2012"/>
      <c r="AB9" s="1948" t="s">
        <v>1953</v>
      </c>
      <c r="AC9" s="1948"/>
      <c r="AD9" s="1948"/>
      <c r="AE9" s="1948"/>
      <c r="AF9" s="1994" t="s">
        <v>1954</v>
      </c>
      <c r="AG9" s="1948" t="s">
        <v>1955</v>
      </c>
      <c r="AH9" s="1948"/>
      <c r="AI9" s="1994" t="s">
        <v>1956</v>
      </c>
      <c r="AJ9" s="1948" t="s">
        <v>1957</v>
      </c>
      <c r="AK9" s="1948"/>
      <c r="AL9" s="1143"/>
      <c r="AM9" s="907"/>
      <c r="AN9" s="907"/>
      <c r="AO9" s="907"/>
      <c r="AP9" s="907"/>
      <c r="AQ9" s="907"/>
      <c r="AR9" s="907"/>
      <c r="AS9" s="907"/>
      <c r="AT9" s="907"/>
      <c r="AU9" s="907"/>
      <c r="AV9" s="907"/>
      <c r="AW9" s="907"/>
      <c r="AX9" s="907"/>
      <c r="AY9" s="907"/>
      <c r="AZ9" s="907"/>
      <c r="BA9" s="907"/>
      <c r="BB9" s="907"/>
      <c r="BC9" s="907"/>
      <c r="BD9" s="907"/>
      <c r="BE9" s="907"/>
      <c r="BF9" s="907"/>
    </row>
    <row customHeight="1" ht="23.25">
      <c r="A10" s="905"/>
      <c r="B10" s="905"/>
      <c r="C10" s="905"/>
      <c r="E10" s="912"/>
      <c r="F10" s="2338"/>
      <c r="G10" s="2341"/>
      <c r="H10" s="2342"/>
      <c r="I10" s="1948"/>
      <c r="J10" s="1948"/>
      <c r="K10" s="1948" t="s">
        <v>1958</v>
      </c>
      <c r="L10" s="1922" t="s">
        <v>1959</v>
      </c>
      <c r="M10" s="1924"/>
      <c r="N10" s="1948" t="s">
        <v>1960</v>
      </c>
      <c r="O10" s="1948"/>
      <c r="P10" s="1948"/>
      <c r="Q10" s="1948"/>
      <c r="R10" s="1948"/>
      <c r="S10" s="1948"/>
      <c r="T10" s="1948"/>
      <c r="U10" s="1948"/>
      <c r="V10" s="1948"/>
      <c r="W10" s="1948"/>
      <c r="X10" s="1948"/>
      <c r="Y10" s="1948"/>
      <c r="Z10" s="2013"/>
      <c r="AA10" s="2014"/>
      <c r="AB10" s="1948"/>
      <c r="AC10" s="1948"/>
      <c r="AD10" s="1948"/>
      <c r="AE10" s="1948"/>
      <c r="AF10" s="2018"/>
      <c r="AG10" s="1948"/>
      <c r="AH10" s="1948"/>
      <c r="AI10" s="2018"/>
      <c r="AJ10" s="1948"/>
      <c r="AK10" s="1948"/>
      <c r="AL10" s="1143"/>
      <c r="AM10" s="913"/>
      <c r="AN10" s="913"/>
      <c r="AO10" s="913"/>
      <c r="AP10" s="913"/>
      <c r="AQ10" s="913"/>
      <c r="AR10" s="913"/>
      <c r="AS10" s="913"/>
      <c r="AT10" s="913"/>
      <c r="AU10" s="913"/>
      <c r="AV10" s="913"/>
      <c r="AW10" s="913"/>
      <c r="AX10" s="913"/>
      <c r="AY10" s="913"/>
      <c r="AZ10" s="913"/>
      <c r="BA10" s="913"/>
      <c r="BB10" s="913"/>
      <c r="BC10" s="913"/>
      <c r="BD10" s="913"/>
      <c r="BE10" s="913"/>
      <c r="BF10" s="913"/>
    </row>
    <row s="1666" customFormat="1" customHeight="1" ht="23.25">
      <c r="A11" s="1130"/>
      <c r="B11" s="1130"/>
      <c r="C11" s="1130"/>
      <c r="D11" s="1129"/>
      <c r="E11" s="1131"/>
      <c r="F11" s="2338"/>
      <c r="G11" s="2341"/>
      <c r="H11" s="2342"/>
      <c r="I11" s="1948"/>
      <c r="J11" s="1948"/>
      <c r="K11" s="1948"/>
      <c r="L11" s="1994" t="s">
        <v>1961</v>
      </c>
      <c r="M11" s="1994" t="s">
        <v>1962</v>
      </c>
      <c r="N11" s="1948" t="s">
        <v>1963</v>
      </c>
      <c r="O11" s="1948"/>
      <c r="P11" s="2348" t="s">
        <v>1944</v>
      </c>
      <c r="Q11" s="2348" t="s">
        <v>1964</v>
      </c>
      <c r="R11" s="2348" t="s">
        <v>1965</v>
      </c>
      <c r="S11" s="2348" t="s">
        <v>1966</v>
      </c>
      <c r="T11" s="2348"/>
      <c r="U11" s="2348"/>
      <c r="V11" s="2348"/>
      <c r="W11" s="2348"/>
      <c r="X11" s="2348"/>
      <c r="Y11" s="2348"/>
      <c r="Z11" s="2013"/>
      <c r="AA11" s="2014"/>
      <c r="AB11" s="1948" t="s">
        <v>1967</v>
      </c>
      <c r="AC11" s="1948"/>
      <c r="AD11" s="1922" t="s">
        <v>1968</v>
      </c>
      <c r="AE11" s="1924"/>
      <c r="AF11" s="2018"/>
      <c r="AG11" s="1948"/>
      <c r="AH11" s="1948"/>
      <c r="AI11" s="2018"/>
      <c r="AJ11" s="1948"/>
      <c r="AK11" s="194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row>
    <row customHeight="1" ht="33.75">
      <c r="A12" s="905"/>
      <c r="B12" s="905"/>
      <c r="C12" s="905"/>
      <c r="E12" s="908"/>
      <c r="F12" s="2338"/>
      <c r="G12" s="2343"/>
      <c r="H12" s="2344"/>
      <c r="I12" s="1154" t="s">
        <v>88</v>
      </c>
      <c r="J12" s="1154" t="s">
        <v>1969</v>
      </c>
      <c r="K12" s="1948"/>
      <c r="L12" s="2053"/>
      <c r="M12" s="2053"/>
      <c r="N12" s="1948"/>
      <c r="O12" s="1948"/>
      <c r="P12" s="2348"/>
      <c r="Q12" s="2348"/>
      <c r="R12" s="2348"/>
      <c r="S12" s="1135" t="s">
        <v>85</v>
      </c>
      <c r="T12" s="1135" t="s">
        <v>86</v>
      </c>
      <c r="U12" s="1135" t="s">
        <v>84</v>
      </c>
      <c r="V12" s="1135" t="s">
        <v>1970</v>
      </c>
      <c r="W12" s="1135" t="s">
        <v>84</v>
      </c>
      <c r="X12" s="1135" t="s">
        <v>1971</v>
      </c>
      <c r="Y12" s="1135" t="s">
        <v>1972</v>
      </c>
      <c r="Z12" s="2019"/>
      <c r="AA12" s="2020"/>
      <c r="AB12" s="1142" t="s">
        <v>1973</v>
      </c>
      <c r="AC12" s="1142" t="s">
        <v>1974</v>
      </c>
      <c r="AD12" s="1142" t="s">
        <v>1973</v>
      </c>
      <c r="AE12" s="1142" t="s">
        <v>1974</v>
      </c>
      <c r="AF12" s="2053"/>
      <c r="AG12" s="1155" t="s">
        <v>1975</v>
      </c>
      <c r="AH12" s="1155" t="s">
        <v>1976</v>
      </c>
      <c r="AI12" s="2053"/>
      <c r="AJ12" s="1155" t="s">
        <v>1975</v>
      </c>
      <c r="AK12" s="1155" t="s">
        <v>1976</v>
      </c>
      <c r="AL12" s="1143"/>
      <c r="AM12" s="907"/>
      <c r="AN12" s="907"/>
      <c r="AO12" s="907"/>
      <c r="AP12" s="907"/>
      <c r="AQ12" s="907"/>
      <c r="AR12" s="907"/>
      <c r="AS12" s="907"/>
      <c r="AT12" s="907"/>
      <c r="AU12" s="907"/>
      <c r="AV12" s="907"/>
      <c r="AW12" s="907"/>
      <c r="AX12" s="907"/>
      <c r="AY12" s="907"/>
      <c r="AZ12" s="907"/>
      <c r="BA12" s="907"/>
      <c r="BB12" s="907"/>
      <c r="BC12" s="907"/>
      <c r="BD12" s="907"/>
      <c r="BE12" s="907"/>
      <c r="BF12" s="907"/>
    </row>
    <row customHeight="1" ht="0.75">
      <c r="E13" s="908"/>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09"/>
      <c r="AM13" s="907"/>
      <c r="AN13" s="907"/>
      <c r="AO13" s="907"/>
      <c r="AP13" s="907"/>
      <c r="AQ13" s="907"/>
      <c r="AR13" s="907"/>
      <c r="AS13" s="907"/>
      <c r="AT13" s="907"/>
      <c r="AU13" s="907"/>
      <c r="AV13" s="907"/>
      <c r="AW13" s="907"/>
      <c r="AX13" s="907"/>
      <c r="AY13" s="907"/>
      <c r="AZ13" s="907"/>
      <c r="BA13" s="907"/>
      <c r="BB13" s="907"/>
      <c r="BC13" s="907"/>
      <c r="BD13" s="907"/>
      <c r="BE13" s="907"/>
      <c r="BF13" s="907"/>
    </row>
    <row customHeight="1" ht="10.5">
      <c r="E14" s="907"/>
      <c r="F14" s="918"/>
      <c r="G14" s="918"/>
      <c r="H14" s="1174"/>
      <c r="I14" s="918"/>
      <c r="J14" s="918"/>
      <c r="K14" s="918"/>
      <c r="L14" s="1132"/>
      <c r="M14" s="1132"/>
      <c r="N14" s="918"/>
      <c r="O14" s="918"/>
      <c r="P14" s="918"/>
      <c r="Q14" s="918"/>
      <c r="R14" s="918"/>
      <c r="S14" s="918"/>
      <c r="T14" s="918"/>
      <c r="U14" s="918"/>
      <c r="V14" s="918"/>
      <c r="W14" s="918"/>
      <c r="X14" s="918"/>
      <c r="Y14" s="918"/>
      <c r="Z14" s="918"/>
      <c r="AA14" s="918"/>
      <c r="AB14" s="918"/>
      <c r="AC14" s="918"/>
      <c r="AD14" s="1132"/>
      <c r="AE14" s="918"/>
      <c r="AF14" s="918"/>
      <c r="AG14" s="918"/>
      <c r="AH14" s="1150"/>
      <c r="AI14" s="1143"/>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row>
    <row customHeight="1" ht="12.75">
      <c r="E15" s="907"/>
      <c r="F15" s="914" t="s">
        <v>1977</v>
      </c>
      <c r="G15" s="914"/>
      <c r="H15" s="1173"/>
      <c r="I15" s="914"/>
      <c r="J15" s="914"/>
      <c r="K15" s="911"/>
      <c r="L15" s="1128"/>
      <c r="M15" s="1128"/>
      <c r="N15" s="913"/>
      <c r="O15" s="913"/>
      <c r="P15" s="913"/>
      <c r="Q15" s="913"/>
      <c r="R15" s="913"/>
      <c r="S15" s="913"/>
      <c r="T15" s="913"/>
      <c r="U15" s="913"/>
      <c r="V15" s="913"/>
      <c r="W15" s="913"/>
      <c r="X15" s="913"/>
      <c r="Y15" s="913"/>
      <c r="Z15" s="911"/>
      <c r="AA15" s="911"/>
      <c r="AB15" s="911"/>
      <c r="AC15" s="911"/>
      <c r="AD15" s="1128"/>
      <c r="AE15" s="911"/>
      <c r="AF15" s="911"/>
      <c r="AG15" s="911"/>
      <c r="AH15" s="1147"/>
      <c r="AI15" s="1140"/>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row>
    <row r="17" customHeight="1" ht="10.5">
      <c r="E17" s="907"/>
      <c r="F17" s="2337"/>
      <c r="G17" s="2337"/>
      <c r="H17" s="2337"/>
      <c r="I17" s="2337"/>
      <c r="J17" s="2337"/>
      <c r="K17" s="911"/>
      <c r="L17" s="1128"/>
      <c r="M17" s="1128"/>
      <c r="N17" s="913"/>
      <c r="O17" s="913"/>
      <c r="P17" s="913"/>
      <c r="Q17" s="913"/>
      <c r="R17" s="913"/>
      <c r="S17" s="913"/>
      <c r="T17" s="913"/>
      <c r="U17" s="913"/>
      <c r="V17" s="913"/>
      <c r="W17" s="913"/>
      <c r="X17" s="913"/>
      <c r="Y17" s="913"/>
      <c r="Z17" s="911"/>
      <c r="AA17" s="911"/>
      <c r="AB17" s="911"/>
      <c r="AC17" s="911"/>
      <c r="AD17" s="1128"/>
      <c r="AE17" s="911"/>
      <c r="AF17" s="911"/>
      <c r="AG17" s="911"/>
      <c r="AH17" s="1147"/>
      <c r="AI17" s="1140"/>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row>
    <row customHeight="1" ht="10.5">
      <c r="E18" s="907"/>
      <c r="F18" s="2337"/>
      <c r="G18" s="2337"/>
      <c r="H18" s="2337"/>
      <c r="I18" s="2337"/>
      <c r="J18" s="2337"/>
      <c r="K18" s="911"/>
      <c r="L18" s="1128"/>
      <c r="M18" s="1128"/>
      <c r="N18" s="913"/>
      <c r="O18" s="913"/>
      <c r="P18" s="913"/>
      <c r="Q18" s="913"/>
      <c r="R18" s="913"/>
      <c r="S18" s="913"/>
      <c r="T18" s="913"/>
      <c r="U18" s="913"/>
      <c r="V18" s="913"/>
      <c r="W18" s="913"/>
      <c r="X18" s="913"/>
      <c r="Y18" s="913"/>
      <c r="Z18" s="911"/>
      <c r="AA18" s="911"/>
      <c r="AB18" s="911"/>
      <c r="AC18" s="911"/>
      <c r="AD18" s="1128"/>
      <c r="AE18" s="911"/>
      <c r="AF18" s="911"/>
      <c r="AG18" s="911"/>
      <c r="AH18" s="1147"/>
      <c r="AI18" s="1140"/>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row>
    <row customHeight="1" ht="10.5">
      <c r="E19" s="907"/>
      <c r="F19" s="2337"/>
      <c r="G19" s="2337"/>
      <c r="H19" s="2337"/>
      <c r="I19" s="2337"/>
      <c r="J19" s="2337"/>
      <c r="K19" s="911"/>
      <c r="L19" s="1128"/>
      <c r="M19" s="1128"/>
      <c r="N19" s="913"/>
      <c r="O19" s="913"/>
      <c r="P19" s="913"/>
      <c r="Q19" s="913"/>
      <c r="R19" s="913"/>
      <c r="S19" s="913"/>
      <c r="T19" s="913"/>
      <c r="U19" s="913"/>
      <c r="V19" s="913"/>
      <c r="W19" s="913"/>
      <c r="X19" s="913"/>
      <c r="Y19" s="913"/>
      <c r="Z19" s="911"/>
      <c r="AA19" s="911"/>
      <c r="AB19" s="911"/>
      <c r="AC19" s="911"/>
      <c r="AD19" s="1128"/>
      <c r="AE19" s="911"/>
      <c r="AF19" s="911"/>
      <c r="AG19" s="911"/>
      <c r="AH19" s="1147"/>
      <c r="AI19" s="1140"/>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D4F59-D383-45C2-81EB-E7AA3880612C}"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1167" width="4.140625" hidden="1" customWidth="1"/>
    <col min="4" max="4" style="1389" width="4.140625" hidden="1" customWidth="1"/>
    <col min="5" max="5" style="1666" width="3.7109375" customWidth="1"/>
    <col min="6" max="6" style="1666" width="6.28125" customWidth="1"/>
    <col min="7" max="7" style="1666" width="60.140625" customWidth="1"/>
    <col min="8" max="9" style="1666" width="21.7109375" hidden="1" customWidth="1"/>
    <col min="10" max="10" style="1666" width="0.140625" customWidth="1"/>
    <col min="11" max="11" style="1666" width="1.7109375" customWidth="1"/>
    <col min="12" max="22" style="1666" width="9.140625"/>
  </cols>
  <sheetData>
    <row s="1389" customFormat="1" customHeight="1" ht="10.5" hidden="1">
      <c r="A1" s="1167"/>
      <c r="B1" s="1167"/>
      <c r="C1" s="1167"/>
      <c r="E1" s="535"/>
    </row>
    <row customHeight="1" ht="10.5" hidden="1"/>
    <row s="1663" customFormat="1" customHeight="1" ht="10.5" hidden="1">
      <c r="A3" s="1167"/>
      <c r="B3" s="1167"/>
      <c r="C3" s="1167"/>
      <c r="D3" s="1161"/>
      <c r="E3" s="352"/>
    </row>
    <row customHeight="1" ht="3"/>
    <row customHeight="1" ht="30">
      <c r="F5" s="2163" t="s">
        <v>1978</v>
      </c>
      <c r="G5" s="2163"/>
      <c r="H5" s="2163"/>
      <c r="I5" s="2163"/>
      <c r="J5" s="2163"/>
    </row>
    <row customHeight="1" ht="10.5">
      <c r="F6" s="2031" t="str">
        <f>IF(org=0,"Не определено",org)</f>
        <v>ПАО "ТГК-2"</v>
      </c>
      <c r="G6" s="2031"/>
      <c r="H6" s="2031"/>
      <c r="I6" s="2031"/>
      <c r="J6" s="2031"/>
    </row>
    <row customHeight="1" ht="11.25">
      <c r="E7" s="1171"/>
      <c r="F7" s="1238"/>
      <c r="G7" s="1238"/>
      <c r="H7" s="1238"/>
      <c r="I7" s="1238"/>
      <c r="J7" s="1238"/>
      <c r="K7" s="1158"/>
      <c r="L7" s="1158"/>
      <c r="M7" s="1158"/>
      <c r="N7" s="1158"/>
      <c r="O7" s="1158"/>
      <c r="P7" s="1158"/>
      <c r="Q7" s="1158"/>
      <c r="R7" s="1158"/>
      <c r="S7" s="1158"/>
      <c r="T7" s="1158"/>
      <c r="U7" s="1158"/>
      <c r="V7" s="1158"/>
    </row>
    <row s="1673" customFormat="1" customHeight="1" ht="5.25">
      <c r="A8" s="1168"/>
      <c r="B8" s="1168"/>
      <c r="C8" s="1168"/>
      <c r="E8" s="1239"/>
      <c r="F8" s="1240"/>
      <c r="G8" s="1240"/>
      <c r="H8" s="1240"/>
      <c r="I8" s="1240"/>
      <c r="J8" s="1240"/>
      <c r="K8" s="1239"/>
      <c r="L8" s="1239"/>
      <c r="M8" s="1239"/>
      <c r="N8" s="1239"/>
      <c r="O8" s="1239"/>
      <c r="P8" s="1239"/>
      <c r="Q8" s="1239"/>
      <c r="R8" s="1239"/>
      <c r="S8" s="1239"/>
      <c r="T8" s="1239"/>
      <c r="U8" s="1239"/>
      <c r="V8" s="1239"/>
    </row>
    <row customHeight="1" ht="10.5">
      <c r="E9" s="1171"/>
      <c r="F9" s="2349" t="s">
        <v>290</v>
      </c>
      <c r="G9" s="2350"/>
      <c r="H9" s="2350"/>
      <c r="I9" s="2350"/>
      <c r="J9" s="2350"/>
      <c r="K9" s="1251"/>
      <c r="L9" s="1158"/>
      <c r="M9" s="1158"/>
      <c r="N9" s="1158"/>
      <c r="O9" s="1158"/>
      <c r="P9" s="1158"/>
      <c r="Q9" s="1158"/>
      <c r="R9" s="1158"/>
      <c r="S9" s="1158"/>
      <c r="T9" s="1158"/>
      <c r="U9" s="1158"/>
      <c r="V9" s="1158"/>
    </row>
    <row customHeight="1" ht="24">
      <c r="E10" s="1158"/>
      <c r="F10" s="2353" t="s">
        <v>87</v>
      </c>
      <c r="G10" s="2358" t="s">
        <v>1979</v>
      </c>
      <c r="H10" s="2356" t="s">
        <v>1980</v>
      </c>
      <c r="I10" s="2356"/>
      <c r="J10" s="2356"/>
      <c r="K10" s="1244"/>
      <c r="L10" s="1158"/>
      <c r="M10" s="1158"/>
      <c r="N10" s="1158"/>
      <c r="O10" s="1158"/>
      <c r="P10" s="1158"/>
      <c r="Q10" s="1158"/>
      <c r="R10" s="1158"/>
      <c r="S10" s="1158"/>
      <c r="T10" s="1158"/>
      <c r="U10" s="1158"/>
      <c r="V10" s="1158"/>
    </row>
    <row customHeight="1" ht="24">
      <c r="E11" s="1158"/>
      <c r="F11" s="2354"/>
      <c r="G11" s="2358"/>
      <c r="H11" s="2357">
        <f>INDEX(IP_MAIN_LIST_NAME_IP,MATCH(H8,IP_MAIN_LIST_IP_ID,0))&amp;" ("&amp;INDEX(IP_MAIN_START_DATE,MATCH(H8,IP_MAIN_LIST_IP_ID,0))&amp;"-"&amp;INDEX(IP_MAIN_END_DATE,MATCH(H8,IP_MAIN_LIST_IP_ID,0))&amp;")"</f>
      </c>
      <c r="I11" s="2357"/>
      <c r="J11" s="2357"/>
      <c r="K11" s="1244"/>
      <c r="L11" s="1158"/>
      <c r="M11" s="1158"/>
      <c r="N11" s="1158"/>
      <c r="O11" s="1158"/>
      <c r="P11" s="1158"/>
      <c r="Q11" s="1158"/>
      <c r="R11" s="1158"/>
      <c r="S11" s="1158"/>
      <c r="T11" s="1158"/>
      <c r="U11" s="1158"/>
      <c r="V11" s="1158"/>
    </row>
    <row customHeight="1" ht="10.5">
      <c r="F12" s="2355"/>
      <c r="G12" s="2358"/>
      <c r="H12" s="1237" t="s">
        <v>1981</v>
      </c>
      <c r="I12" s="1243"/>
      <c r="J12" s="1237"/>
      <c r="K12" s="1245"/>
    </row>
    <row customHeight="1" ht="10.5" hidden="1">
      <c r="F13" s="1237">
        <v>1</v>
      </c>
      <c r="G13" s="1237">
        <v>2</v>
      </c>
      <c r="H13" s="1237">
        <v>3</v>
      </c>
      <c r="I13" s="1237">
        <v>4</v>
      </c>
      <c r="J13" s="1237">
        <v>5</v>
      </c>
      <c r="K13" s="1245"/>
    </row>
    <row customHeight="1" ht="11.25">
      <c r="F14" s="1236" t="s">
        <v>1071</v>
      </c>
      <c r="G14" s="2351" t="s">
        <v>1982</v>
      </c>
      <c r="H14" s="2351"/>
      <c r="I14" s="2351"/>
      <c r="J14" s="2351"/>
      <c r="K14" s="1245"/>
    </row>
    <row customHeight="1" ht="11.25">
      <c r="F15" s="1241">
        <v>1</v>
      </c>
      <c r="G15" s="687" t="s">
        <v>1983</v>
      </c>
      <c r="H15" s="1247">
        <f>SUM(I15:J15)</f>
        <v>0</v>
      </c>
      <c r="I15" s="1247">
        <f>SUM(I16:I27)</f>
        <v>0</v>
      </c>
      <c r="J15" s="1236"/>
      <c r="K15" s="1245"/>
    </row>
    <row customHeight="1" ht="22.5">
      <c r="F16" s="1241" t="s">
        <v>428</v>
      </c>
      <c r="G16" s="1248" t="s">
        <v>1019</v>
      </c>
      <c r="H16" s="1247">
        <f>SUM(I16:J16)</f>
        <v>0</v>
      </c>
      <c r="I16" s="1246"/>
      <c r="J16" s="1236"/>
      <c r="K16" s="1245"/>
    </row>
    <row customHeight="1" ht="22.5">
      <c r="F17" s="1241" t="s">
        <v>443</v>
      </c>
      <c r="G17" s="1248" t="s">
        <v>1024</v>
      </c>
      <c r="H17" s="1247">
        <f>SUM(I17:J17)</f>
        <v>0</v>
      </c>
      <c r="I17" s="1246"/>
      <c r="J17" s="1236"/>
      <c r="K17" s="1245"/>
    </row>
    <row customHeight="1" ht="33.75">
      <c r="F18" s="1241" t="s">
        <v>446</v>
      </c>
      <c r="G18" s="1248" t="s">
        <v>1011</v>
      </c>
      <c r="H18" s="1247">
        <f>SUM(I18:J18)</f>
        <v>0</v>
      </c>
      <c r="I18" s="1246"/>
      <c r="J18" s="1236"/>
      <c r="K18" s="1245"/>
    </row>
    <row customHeight="1" ht="33.75">
      <c r="F19" s="1241" t="s">
        <v>1984</v>
      </c>
      <c r="G19" s="1248" t="s">
        <v>1050</v>
      </c>
      <c r="H19" s="1247">
        <f>SUM(I19:J19)</f>
        <v>0</v>
      </c>
      <c r="I19" s="1246"/>
      <c r="J19" s="1236"/>
      <c r="K19" s="1245"/>
    </row>
    <row customHeight="1" ht="45">
      <c r="F20" s="1241" t="s">
        <v>1985</v>
      </c>
      <c r="G20" s="1248" t="s">
        <v>1055</v>
      </c>
      <c r="H20" s="1247">
        <f>SUM(I20:J20)</f>
        <v>0</v>
      </c>
      <c r="I20" s="1246"/>
      <c r="J20" s="1236"/>
      <c r="K20" s="1245"/>
    </row>
    <row customHeight="1" ht="33.75">
      <c r="F21" s="1241" t="s">
        <v>1986</v>
      </c>
      <c r="G21" s="1248" t="s">
        <v>1061</v>
      </c>
      <c r="H21" s="1247">
        <f>SUM(I21:J21)</f>
        <v>0</v>
      </c>
      <c r="I21" s="1246"/>
      <c r="J21" s="1236"/>
      <c r="K21" s="1245"/>
    </row>
    <row customHeight="1" ht="33.75">
      <c r="F22" s="1241" t="s">
        <v>1987</v>
      </c>
      <c r="G22" s="1248" t="s">
        <v>1068</v>
      </c>
      <c r="H22" s="1247">
        <f>SUM(I22:J22)</f>
        <v>0</v>
      </c>
      <c r="I22" s="1246"/>
      <c r="J22" s="1236"/>
      <c r="K22" s="1245"/>
    </row>
    <row customHeight="1" ht="22.5">
      <c r="F23" s="1241" t="s">
        <v>1988</v>
      </c>
      <c r="G23" s="1248" t="s">
        <v>1073</v>
      </c>
      <c r="H23" s="1247">
        <f>SUM(I23:J23)</f>
        <v>0</v>
      </c>
      <c r="I23" s="1246"/>
      <c r="J23" s="1236"/>
      <c r="K23" s="1245"/>
    </row>
    <row customHeight="1" ht="22.5">
      <c r="F24" s="1241" t="s">
        <v>1989</v>
      </c>
      <c r="G24" s="1248" t="s">
        <v>1045</v>
      </c>
      <c r="H24" s="1247">
        <f>SUM(I24:J24)</f>
        <v>0</v>
      </c>
      <c r="I24" s="1246"/>
      <c r="J24" s="1236"/>
      <c r="K24" s="1245"/>
    </row>
    <row customHeight="1" ht="33.75">
      <c r="F25" s="1241" t="s">
        <v>1990</v>
      </c>
      <c r="G25" s="1248" t="s">
        <v>1112</v>
      </c>
      <c r="H25" s="1247">
        <f>SUM(I25:J25)</f>
        <v>0</v>
      </c>
      <c r="I25" s="1246"/>
      <c r="J25" s="1236"/>
      <c r="K25" s="1245"/>
    </row>
    <row customHeight="1" ht="33.75">
      <c r="F26" s="1241" t="s">
        <v>1991</v>
      </c>
      <c r="G26" s="1248" t="s">
        <v>1114</v>
      </c>
      <c r="H26" s="1247">
        <f>SUM(I26:J26)</f>
        <v>0</v>
      </c>
      <c r="I26" s="1246"/>
      <c r="J26" s="1236"/>
      <c r="K26" s="1245"/>
    </row>
    <row customHeight="1" ht="11.25">
      <c r="F27" s="1241" t="s">
        <v>1992</v>
      </c>
      <c r="G27" s="1248" t="s">
        <v>1023</v>
      </c>
      <c r="H27" s="1247">
        <f>SUM(I27:J27)</f>
        <v>0</v>
      </c>
      <c r="I27" s="1246"/>
      <c r="J27" s="1236"/>
      <c r="K27" s="1245"/>
    </row>
    <row customHeight="1" ht="11.25">
      <c r="F28" s="1241">
        <v>2</v>
      </c>
      <c r="G28" s="687" t="s">
        <v>1993</v>
      </c>
      <c r="H28" s="1247">
        <f>SUM(I28:J28)</f>
        <v>0</v>
      </c>
      <c r="I28" s="1247">
        <f>SUM(I29:I31)</f>
        <v>0</v>
      </c>
      <c r="J28" s="1236"/>
      <c r="K28" s="1245"/>
    </row>
    <row customHeight="1" ht="11.25">
      <c r="F29" s="1241" t="s">
        <v>453</v>
      </c>
      <c r="G29" s="1248" t="s">
        <v>1994</v>
      </c>
      <c r="H29" s="1247">
        <f>SUM(I29:J29)</f>
        <v>0</v>
      </c>
      <c r="I29" s="1246"/>
      <c r="J29" s="1236"/>
      <c r="K29" s="1245"/>
    </row>
    <row customHeight="1" ht="11.25">
      <c r="F30" s="1241" t="s">
        <v>297</v>
      </c>
      <c r="G30" s="1248" t="s">
        <v>1020</v>
      </c>
      <c r="H30" s="1247">
        <f>SUM(I30:J30)</f>
        <v>0</v>
      </c>
      <c r="I30" s="1246"/>
      <c r="J30" s="1236"/>
      <c r="K30" s="1245"/>
    </row>
    <row customHeight="1" ht="11.25">
      <c r="F31" s="1241" t="s">
        <v>300</v>
      </c>
      <c r="G31" s="1248" t="s">
        <v>1067</v>
      </c>
      <c r="H31" s="1247">
        <f>SUM(I31:J31)</f>
        <v>0</v>
      </c>
      <c r="I31" s="1246"/>
      <c r="J31" s="1236"/>
      <c r="K31" s="1245"/>
    </row>
    <row customHeight="1" ht="11.25">
      <c r="F32" s="1241">
        <v>3</v>
      </c>
      <c r="G32" s="687" t="s">
        <v>1995</v>
      </c>
      <c r="H32" s="1247">
        <f>SUM(I32:J32)</f>
        <v>0</v>
      </c>
      <c r="I32" s="1247">
        <f>SUM(I33:I34)</f>
        <v>0</v>
      </c>
      <c r="J32" s="1236"/>
      <c r="K32" s="1245"/>
    </row>
    <row customHeight="1" ht="33.75">
      <c r="F33" s="1241" t="s">
        <v>316</v>
      </c>
      <c r="G33" s="1248" t="s">
        <v>1996</v>
      </c>
      <c r="H33" s="1247">
        <f>SUM(I33:J33)</f>
        <v>0</v>
      </c>
      <c r="I33" s="1246"/>
      <c r="J33" s="1236"/>
      <c r="K33" s="1245"/>
    </row>
    <row customHeight="1" ht="11.25">
      <c r="F34" s="1241" t="s">
        <v>324</v>
      </c>
      <c r="G34" s="1248" t="s">
        <v>1997</v>
      </c>
      <c r="H34" s="1247">
        <f>SUM(I34:J34)</f>
        <v>0</v>
      </c>
      <c r="I34" s="1246"/>
      <c r="J34" s="1236"/>
      <c r="K34" s="1245"/>
    </row>
    <row customHeight="1" ht="11.25">
      <c r="F35" s="1241">
        <v>4</v>
      </c>
      <c r="G35" s="687" t="s">
        <v>1998</v>
      </c>
      <c r="H35" s="1247">
        <f>SUM(I35:J35)</f>
        <v>0</v>
      </c>
      <c r="I35" s="1246"/>
      <c r="J35" s="1236"/>
      <c r="K35" s="1245"/>
    </row>
    <row customHeight="1" ht="11.25">
      <c r="F36" s="1241"/>
      <c r="G36" s="690" t="s">
        <v>1999</v>
      </c>
      <c r="H36" s="1247">
        <f>SUM(I36:J36)</f>
        <v>0</v>
      </c>
      <c r="I36" s="1247">
        <f>SUM(I15,I28,I32,I35)</f>
        <v>0</v>
      </c>
      <c r="J36" s="1236"/>
      <c r="K36" s="1245"/>
    </row>
    <row customHeight="1" ht="27.75">
      <c r="F37" s="1242" t="s">
        <v>1203</v>
      </c>
      <c r="G37" s="2352" t="s">
        <v>2000</v>
      </c>
      <c r="H37" s="2352"/>
      <c r="I37" s="2352"/>
      <c r="J37" s="2352"/>
      <c r="K37" s="1245"/>
    </row>
    <row customHeight="1" ht="22.5">
      <c r="F38" s="1241" t="s">
        <v>108</v>
      </c>
      <c r="G38" s="687" t="s">
        <v>2001</v>
      </c>
      <c r="H38" s="1247">
        <f>SUM(I38:J38)</f>
        <v>0</v>
      </c>
      <c r="I38" s="1247">
        <f>SUM(I39,I44,I47)</f>
        <v>0</v>
      </c>
      <c r="J38" s="1236"/>
      <c r="K38" s="1245"/>
    </row>
    <row customHeight="1" ht="11.25">
      <c r="F39" s="1241" t="s">
        <v>428</v>
      </c>
      <c r="G39" s="1248" t="s">
        <v>1983</v>
      </c>
      <c r="H39" s="1247">
        <f>SUM(I39:J39)</f>
        <v>0</v>
      </c>
      <c r="I39" s="1247">
        <f>SUM(I40:I43)</f>
        <v>0</v>
      </c>
      <c r="J39" s="1236"/>
      <c r="K39" s="1245"/>
    </row>
    <row customHeight="1" ht="22.5">
      <c r="F40" s="1241" t="s">
        <v>441</v>
      </c>
      <c r="G40" s="1249" t="s">
        <v>2002</v>
      </c>
      <c r="H40" s="1247">
        <f>SUM(I40:J40)</f>
        <v>0</v>
      </c>
      <c r="I40" s="1246"/>
      <c r="J40" s="1236"/>
      <c r="K40" s="1245"/>
    </row>
    <row customHeight="1" ht="11.25">
      <c r="F41" s="1241" t="s">
        <v>2003</v>
      </c>
      <c r="G41" s="1249" t="s">
        <v>1012</v>
      </c>
      <c r="H41" s="1247">
        <f>SUM(I41:J41)</f>
        <v>0</v>
      </c>
      <c r="I41" s="1246"/>
      <c r="J41" s="1236"/>
      <c r="K41" s="1245"/>
    </row>
    <row customHeight="1" ht="11.25">
      <c r="F42" s="1241" t="s">
        <v>2004</v>
      </c>
      <c r="G42" s="1249" t="s">
        <v>2005</v>
      </c>
      <c r="H42" s="1247">
        <f>SUM(I42:J42)</f>
        <v>0</v>
      </c>
      <c r="I42" s="1246"/>
      <c r="J42" s="1236"/>
      <c r="K42" s="1245"/>
    </row>
    <row customHeight="1" ht="33.75">
      <c r="F43" s="1241" t="s">
        <v>2006</v>
      </c>
      <c r="G43" s="1249" t="s">
        <v>2007</v>
      </c>
      <c r="H43" s="1247">
        <f>SUM(I43:J43)</f>
        <v>0</v>
      </c>
      <c r="I43" s="1246"/>
      <c r="J43" s="1236"/>
      <c r="K43" s="1245"/>
    </row>
    <row customHeight="1" ht="11.25">
      <c r="F44" s="1241" t="s">
        <v>443</v>
      </c>
      <c r="G44" s="1248" t="s">
        <v>1995</v>
      </c>
      <c r="H44" s="1247">
        <f>SUM(I44:J44)</f>
        <v>0</v>
      </c>
      <c r="I44" s="1247">
        <f>SUM(I45:I46)</f>
        <v>0</v>
      </c>
      <c r="J44" s="1236"/>
      <c r="K44" s="1245"/>
    </row>
    <row customHeight="1" ht="45">
      <c r="F45" s="1241" t="s">
        <v>444</v>
      </c>
      <c r="G45" s="1249" t="s">
        <v>1996</v>
      </c>
      <c r="H45" s="1247">
        <f>SUM(I45:J45)</f>
        <v>0</v>
      </c>
      <c r="I45" s="1246"/>
      <c r="J45" s="1236"/>
      <c r="K45" s="1245"/>
    </row>
    <row customHeight="1" ht="11.25">
      <c r="F46" s="1241" t="s">
        <v>2008</v>
      </c>
      <c r="G46" s="1249" t="s">
        <v>1997</v>
      </c>
      <c r="H46" s="1247">
        <f>SUM(I46:J46)</f>
        <v>0</v>
      </c>
      <c r="I46" s="1246"/>
      <c r="J46" s="1236"/>
      <c r="K46" s="1245"/>
    </row>
    <row customHeight="1" ht="11.25">
      <c r="F47" s="1241" t="s">
        <v>446</v>
      </c>
      <c r="G47" s="1248" t="s">
        <v>2009</v>
      </c>
      <c r="H47" s="1247">
        <f>SUM(I47:J47)</f>
        <v>0</v>
      </c>
      <c r="I47" s="1246"/>
      <c r="J47" s="1236"/>
      <c r="K47" s="1245"/>
    </row>
    <row customHeight="1" ht="22.5">
      <c r="F48" s="1241" t="s">
        <v>109</v>
      </c>
      <c r="G48" s="687" t="s">
        <v>2010</v>
      </c>
      <c r="H48" s="1247">
        <f>SUM(I48:J48)</f>
        <v>0</v>
      </c>
      <c r="I48" s="1247">
        <f>SUM(I49,I54,I57)</f>
        <v>0</v>
      </c>
      <c r="J48" s="1236"/>
      <c r="K48" s="1245"/>
    </row>
    <row customHeight="1" ht="11.25">
      <c r="F49" s="1241" t="s">
        <v>453</v>
      </c>
      <c r="G49" s="1248" t="s">
        <v>1983</v>
      </c>
      <c r="H49" s="1247">
        <f>SUM(I49:J49)</f>
        <v>0</v>
      </c>
      <c r="I49" s="1247">
        <f>SUM(I50:I53)</f>
        <v>0</v>
      </c>
      <c r="J49" s="1236"/>
      <c r="K49" s="1245"/>
    </row>
    <row customHeight="1" ht="22.5">
      <c r="F50" s="1241" t="s">
        <v>455</v>
      </c>
      <c r="G50" s="1249" t="s">
        <v>2002</v>
      </c>
      <c r="H50" s="1247">
        <f>SUM(I50:J50)</f>
        <v>0</v>
      </c>
      <c r="I50" s="1246"/>
      <c r="J50" s="1236"/>
      <c r="K50" s="1245"/>
    </row>
    <row customHeight="1" ht="11.25">
      <c r="F51" s="1241" t="s">
        <v>1766</v>
      </c>
      <c r="G51" s="1249" t="s">
        <v>1012</v>
      </c>
      <c r="H51" s="1247">
        <f>SUM(I51:J51)</f>
        <v>0</v>
      </c>
      <c r="I51" s="1246"/>
      <c r="J51" s="1236"/>
      <c r="K51" s="1245"/>
    </row>
    <row customHeight="1" ht="11.25">
      <c r="F52" s="1241" t="s">
        <v>2011</v>
      </c>
      <c r="G52" s="1249" t="s">
        <v>2005</v>
      </c>
      <c r="H52" s="1247">
        <f>SUM(I52:J52)</f>
        <v>0</v>
      </c>
      <c r="I52" s="1246"/>
      <c r="J52" s="1236"/>
      <c r="K52" s="1245"/>
    </row>
    <row customHeight="1" ht="33.75">
      <c r="F53" s="1241" t="s">
        <v>2012</v>
      </c>
      <c r="G53" s="1249" t="s">
        <v>2007</v>
      </c>
      <c r="H53" s="1247">
        <f>SUM(I53:J53)</f>
        <v>0</v>
      </c>
      <c r="I53" s="1246"/>
      <c r="J53" s="1236"/>
      <c r="K53" s="1245"/>
    </row>
    <row customHeight="1" ht="11.25">
      <c r="F54" s="1241" t="s">
        <v>297</v>
      </c>
      <c r="G54" s="1248" t="s">
        <v>1995</v>
      </c>
      <c r="H54" s="1247">
        <f>SUM(I54:J54)</f>
        <v>0</v>
      </c>
      <c r="I54" s="1247">
        <f>SUM(I55:I56)</f>
        <v>0</v>
      </c>
      <c r="J54" s="1236"/>
      <c r="K54" s="1245"/>
    </row>
    <row customHeight="1" ht="45">
      <c r="F55" s="1241" t="s">
        <v>1371</v>
      </c>
      <c r="G55" s="1249" t="s">
        <v>1996</v>
      </c>
      <c r="H55" s="1247">
        <f>SUM(I55:J55)</f>
        <v>0</v>
      </c>
      <c r="I55" s="1246"/>
      <c r="J55" s="1236"/>
      <c r="K55" s="1245"/>
    </row>
    <row customHeight="1" ht="11.25">
      <c r="F56" s="1241" t="s">
        <v>1376</v>
      </c>
      <c r="G56" s="1249" t="s">
        <v>1997</v>
      </c>
      <c r="H56" s="1247">
        <f>SUM(I56:J56)</f>
        <v>0</v>
      </c>
      <c r="I56" s="1246"/>
      <c r="J56" s="1236"/>
      <c r="K56" s="1245"/>
    </row>
    <row customHeight="1" ht="11.25">
      <c r="F57" s="1241" t="s">
        <v>300</v>
      </c>
      <c r="G57" s="1248" t="s">
        <v>2009</v>
      </c>
      <c r="H57" s="1247">
        <f>SUM(I57:J57)</f>
        <v>0</v>
      </c>
      <c r="I57" s="1246"/>
      <c r="J57" s="1236"/>
      <c r="K57" s="1245"/>
    </row>
    <row customHeight="1" ht="11.25">
      <c r="F58" s="1241"/>
      <c r="G58" s="1250" t="s">
        <v>1999</v>
      </c>
      <c r="H58" s="1247">
        <f>SUM(I58:J58)</f>
        <v>0</v>
      </c>
      <c r="I58" s="1247">
        <f>SUM(I38,I48)</f>
        <v>0</v>
      </c>
      <c r="J58" s="1236"/>
      <c r="K58" s="1245"/>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E6BEE-F8AE-2D8A-1BEE-1DCA8593C0B8}"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1064" width="4.7109375" hidden="1" customWidth="1"/>
    <col min="2" max="2" style="936" width="4.7109375" hidden="1" customWidth="1"/>
    <col min="3" max="4" style="1064" width="4.7109375" hidden="1" customWidth="1"/>
    <col min="5" max="5" style="1064" width="3.57421875" customWidth="1"/>
    <col min="6" max="6" style="1064" width="6.7109375" customWidth="1"/>
    <col min="7" max="7" style="1064" width="18.7109375" customWidth="1"/>
    <col min="8" max="8" style="1064" width="27.28125" customWidth="1"/>
    <col min="9" max="9" style="1064" width="18.710937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9.140625"/>
  </cols>
  <sheetData>
    <row s="925" customFormat="1" customHeight="1" ht="12" hidden="1">
      <c r="B1" s="923"/>
      <c r="C1" s="924"/>
      <c r="D1" s="924"/>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row>
    <row s="1957" customFormat="1" customHeight="1" ht="24">
      <c r="B5" s="944"/>
      <c r="E5" s="946"/>
      <c r="F5" s="1978" t="str">
        <f>"Информация о реализации инвестиционных программ и показатели качества, надежности и энергетической эффективности в сфере "&amp;TEMPLATE_SPHERE_RUS&amp;" на "&amp;TITLE_FIL_YEAR&amp;" год"</f>
        <v>Информация о реализации инвестиционных программ и показатели качества, надежности и энергетической эффективности в сфере холодного водоснабжения на 2023 год</v>
      </c>
      <c r="G5" s="1979"/>
      <c r="H5" s="1979"/>
      <c r="I5" s="1979"/>
      <c r="J5" s="1979"/>
      <c r="K5" s="1979"/>
      <c r="L5" s="1979"/>
      <c r="M5" s="1979"/>
      <c r="N5" s="1979"/>
      <c r="O5" s="1979"/>
      <c r="P5" s="1979"/>
      <c r="Q5" s="1979"/>
      <c r="R5" s="1979"/>
      <c r="S5" s="1979"/>
      <c r="T5" s="1979"/>
      <c r="U5" s="1979"/>
      <c r="V5" s="1979"/>
      <c r="W5" s="1979"/>
      <c r="X5" s="1979"/>
      <c r="Y5" s="1979"/>
      <c r="Z5" s="1979"/>
      <c r="AA5" s="1979"/>
      <c r="AB5" s="1979"/>
      <c r="AC5" s="1979"/>
      <c r="AD5" s="1979"/>
      <c r="AE5" s="1979"/>
      <c r="AF5" s="1979"/>
      <c r="AG5" s="1979"/>
      <c r="AH5" s="1979"/>
      <c r="AI5" s="1979"/>
      <c r="AJ5" s="1979"/>
      <c r="AK5" s="1979"/>
      <c r="AL5" s="1979"/>
      <c r="AM5" s="1979"/>
      <c r="AN5" s="1979"/>
      <c r="AO5" s="1979"/>
      <c r="AP5" s="1979"/>
      <c r="AQ5" s="1979"/>
      <c r="AR5" s="1979"/>
      <c r="AS5" s="1979"/>
      <c r="AT5" s="1979"/>
      <c r="AU5" s="1979"/>
      <c r="AV5" s="1979"/>
      <c r="AW5" s="1979"/>
      <c r="AX5" s="1979"/>
      <c r="AY5" s="1979"/>
      <c r="AZ5" s="1979"/>
      <c r="BA5" s="1979"/>
      <c r="BB5" s="1979"/>
      <c r="BC5" s="1979"/>
      <c r="BD5" s="1979"/>
      <c r="BE5" s="1979"/>
      <c r="BF5" s="1979"/>
      <c r="BG5" s="1979"/>
      <c r="BH5" s="1979"/>
      <c r="BI5" s="1979"/>
      <c r="BJ5" s="1979"/>
      <c r="BK5" s="1979"/>
      <c r="BL5" s="1979"/>
      <c r="BM5" s="1979"/>
      <c r="BN5" s="1979"/>
      <c r="BO5" s="1979"/>
      <c r="BP5" s="1979"/>
      <c r="BQ5" s="1979"/>
      <c r="BR5" s="1979"/>
      <c r="BS5" s="1979"/>
    </row>
    <row s="1957" customFormat="1" customHeight="1" ht="18">
      <c r="B6" s="944"/>
      <c r="E6" s="946"/>
      <c r="F6" s="2035" t="str">
        <f>IF(org=0,"Не определено",org)</f>
        <v>ПАО "ТГК-2"</v>
      </c>
      <c r="G6" s="2036"/>
      <c r="H6" s="2036"/>
      <c r="I6" s="2036"/>
      <c r="J6" s="2036"/>
      <c r="K6" s="2036"/>
      <c r="L6" s="2036"/>
      <c r="M6" s="2036"/>
      <c r="N6" s="2036"/>
      <c r="O6" s="2036"/>
      <c r="P6" s="2036"/>
      <c r="Q6" s="2036"/>
      <c r="R6" s="2036"/>
      <c r="S6" s="2036"/>
      <c r="T6" s="2036"/>
      <c r="U6" s="2036"/>
      <c r="V6" s="2036"/>
      <c r="W6" s="2036"/>
      <c r="X6" s="2036"/>
      <c r="Y6" s="2036"/>
      <c r="Z6" s="2036"/>
      <c r="AA6" s="2036"/>
      <c r="AB6" s="2036"/>
      <c r="AC6" s="2036"/>
      <c r="AD6" s="2036"/>
      <c r="AE6" s="2036"/>
      <c r="AF6" s="2036"/>
      <c r="AG6" s="2036"/>
      <c r="AH6" s="2036"/>
      <c r="AI6" s="2036"/>
      <c r="AJ6" s="2036"/>
      <c r="AK6" s="2036"/>
      <c r="AL6" s="2036"/>
      <c r="AM6" s="2036"/>
      <c r="AN6" s="2036"/>
      <c r="AO6" s="2036"/>
      <c r="AP6" s="2036"/>
      <c r="AQ6" s="2036"/>
      <c r="AR6" s="2036"/>
      <c r="AS6" s="2036"/>
      <c r="AT6" s="2036"/>
      <c r="AU6" s="2036"/>
      <c r="AV6" s="2036"/>
      <c r="AW6" s="2036"/>
      <c r="AX6" s="2036"/>
      <c r="AY6" s="2036"/>
      <c r="AZ6" s="2036"/>
      <c r="BA6" s="2036"/>
      <c r="BB6" s="2036"/>
      <c r="BC6" s="2036"/>
      <c r="BD6" s="2036"/>
      <c r="BE6" s="2036"/>
      <c r="BF6" s="2036"/>
      <c r="BG6" s="2036"/>
      <c r="BH6" s="2036"/>
      <c r="BI6" s="2036"/>
      <c r="BJ6" s="2036"/>
      <c r="BK6" s="2036"/>
      <c r="BL6" s="2036"/>
      <c r="BM6" s="2036"/>
      <c r="BN6" s="2036"/>
      <c r="BO6" s="2036"/>
      <c r="BP6" s="2036"/>
      <c r="BQ6" s="2036"/>
      <c r="BR6" s="2036"/>
      <c r="BS6" s="2036"/>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row>
    <row s="933" customFormat="1" customHeight="1" ht="11.25" hidden="1">
      <c r="B8" s="934"/>
      <c r="F8" s="1057"/>
      <c r="G8" s="762"/>
      <c r="H8" s="348"/>
      <c r="I8" s="348"/>
      <c r="J8" s="348"/>
      <c r="K8" s="348"/>
      <c r="L8" s="348"/>
      <c r="M8" s="1057"/>
      <c r="N8" s="1057"/>
      <c r="O8" s="2379" t="s">
        <v>2013</v>
      </c>
      <c r="P8" s="2380"/>
      <c r="Q8" s="2380"/>
      <c r="R8" s="2380"/>
      <c r="S8" s="2380"/>
      <c r="T8" s="2380"/>
      <c r="U8" s="2380"/>
      <c r="V8" s="2380"/>
      <c r="W8" s="2380"/>
      <c r="X8" s="2380"/>
      <c r="Y8" s="2380"/>
      <c r="Z8" s="2380"/>
      <c r="AA8" s="2380"/>
      <c r="AB8" s="2380"/>
      <c r="AC8" s="2380"/>
      <c r="AD8" s="2380"/>
      <c r="AE8" s="2380"/>
      <c r="AF8" s="2380"/>
      <c r="AG8" s="2380"/>
      <c r="AH8" s="2380"/>
      <c r="AI8" s="2380"/>
      <c r="AJ8" s="2380"/>
      <c r="AK8" s="2380"/>
      <c r="AL8" s="2380"/>
      <c r="AM8" s="2380"/>
      <c r="AN8" s="2380"/>
      <c r="AO8" s="2380"/>
      <c r="AP8" s="2380"/>
      <c r="AQ8" s="2380"/>
      <c r="AR8" s="2380"/>
      <c r="AS8" s="2380"/>
      <c r="AT8" s="2380"/>
      <c r="AU8" s="2380"/>
      <c r="AV8" s="2380"/>
      <c r="AW8" s="2380"/>
      <c r="AX8" s="2380"/>
      <c r="AY8" s="2380"/>
      <c r="AZ8" s="2380"/>
      <c r="BA8" s="2380"/>
      <c r="BB8" s="2380"/>
      <c r="BC8" s="2380"/>
      <c r="BD8" s="2380"/>
      <c r="BE8" s="2380"/>
      <c r="BF8" s="2380"/>
      <c r="BG8" s="2380"/>
      <c r="BH8" s="2380"/>
      <c r="BI8" s="2380"/>
      <c r="BJ8" s="2380"/>
      <c r="BK8" s="2380"/>
      <c r="BL8" s="2380"/>
      <c r="BM8" s="2380"/>
      <c r="BN8" s="2380"/>
      <c r="BO8" s="2380"/>
      <c r="BP8" s="2380"/>
      <c r="BQ8" s="2380"/>
      <c r="BR8" s="2380"/>
      <c r="BS8" s="2381"/>
      <c r="BT8" s="2368"/>
      <c r="BU8" s="2369"/>
      <c r="BV8" s="2369"/>
      <c r="BW8" s="2369"/>
      <c r="BX8" s="2369"/>
      <c r="BY8" s="2369"/>
      <c r="BZ8" s="2369"/>
      <c r="CA8" s="2369"/>
      <c r="CB8" s="2369"/>
      <c r="CC8" s="2369"/>
      <c r="CD8" s="2369"/>
      <c r="CE8" s="2369"/>
      <c r="CF8" s="2369"/>
      <c r="CG8" s="2369"/>
      <c r="CH8" s="2369"/>
      <c r="CI8" s="2369"/>
      <c r="CJ8" s="2369"/>
      <c r="CK8" s="2369"/>
      <c r="CL8" s="2369"/>
      <c r="CM8" s="2369"/>
      <c r="CN8" s="2369"/>
      <c r="CO8" s="2369"/>
      <c r="CP8" s="2369"/>
      <c r="CQ8" s="2369"/>
      <c r="CR8" s="2369"/>
      <c r="CS8" s="2369"/>
      <c r="CT8" s="2369"/>
      <c r="CU8" s="2369"/>
      <c r="CV8" s="2369"/>
      <c r="CW8" s="2369"/>
      <c r="CX8" s="2370"/>
      <c r="CY8" s="2371"/>
      <c r="CZ8" s="2372"/>
      <c r="DA8" s="2372"/>
      <c r="DB8" s="2372"/>
      <c r="DC8" s="2372"/>
      <c r="DD8" s="2372"/>
      <c r="DE8" s="2372"/>
      <c r="DF8" s="2372"/>
      <c r="DG8" s="2372"/>
      <c r="DH8" s="2372"/>
      <c r="DI8" s="2372"/>
      <c r="DJ8" s="2372"/>
      <c r="DK8" s="2372"/>
      <c r="DL8" s="2372"/>
      <c r="DM8" s="2372"/>
      <c r="DN8" s="2372"/>
      <c r="DO8" s="2372"/>
      <c r="DP8" s="2372"/>
      <c r="DQ8" s="2372"/>
      <c r="DR8" s="2372"/>
      <c r="DS8" s="2372"/>
      <c r="DT8" s="2372"/>
      <c r="DU8" s="2372"/>
      <c r="DV8" s="2372"/>
      <c r="DW8" s="2372"/>
      <c r="DX8" s="2373"/>
      <c r="DY8" s="2374" t="s">
        <v>2014</v>
      </c>
      <c r="DZ8" s="2375"/>
      <c r="EA8" s="2375"/>
      <c r="EB8" s="2375"/>
      <c r="EC8" s="2375"/>
      <c r="ED8" s="2375"/>
      <c r="EE8" s="2375"/>
      <c r="EF8" s="2375"/>
      <c r="EG8" s="2375"/>
      <c r="EH8" s="2375"/>
      <c r="EI8" s="2375"/>
      <c r="EJ8" s="2375"/>
      <c r="EK8" s="2375"/>
      <c r="EL8" s="2375"/>
      <c r="EM8" s="2375"/>
      <c r="EN8" s="2375"/>
      <c r="EO8" s="2375"/>
      <c r="EP8" s="2375"/>
      <c r="EQ8" s="2375"/>
      <c r="ER8" s="2375"/>
      <c r="ES8" s="2375"/>
      <c r="ET8" s="2375"/>
      <c r="EU8" s="2375"/>
      <c r="EV8" s="2375"/>
      <c r="EW8" s="2375"/>
      <c r="EX8" s="2375"/>
      <c r="EY8" s="2375"/>
      <c r="EZ8" s="2375"/>
      <c r="FA8" s="2375"/>
      <c r="FB8" s="2375"/>
      <c r="FC8" s="2375"/>
      <c r="FD8" s="2375"/>
      <c r="FE8" s="2375"/>
      <c r="FF8" s="2375"/>
      <c r="FG8" s="2375"/>
      <c r="FH8" s="2375"/>
      <c r="FI8" s="2375"/>
      <c r="FJ8" s="2375"/>
      <c r="FK8" s="2375"/>
      <c r="FL8" s="2375"/>
      <c r="FM8" s="2375"/>
      <c r="FN8" s="2375"/>
      <c r="FO8" s="2375"/>
      <c r="FP8" s="2375"/>
      <c r="FQ8" s="2375"/>
      <c r="FR8" s="2375"/>
      <c r="FS8" s="2375"/>
      <c r="FT8" s="2375"/>
      <c r="FU8" s="2375"/>
      <c r="FV8" s="2375"/>
      <c r="FW8" s="2376"/>
      <c r="FX8" s="1057"/>
    </row>
    <row s="933" customFormat="1" customHeight="1" ht="11.25" hidden="1">
      <c r="B9" s="934"/>
      <c r="F9" s="1057"/>
      <c r="G9" s="762"/>
      <c r="H9" s="348"/>
      <c r="I9" s="348"/>
      <c r="J9" s="348"/>
      <c r="K9" s="348"/>
      <c r="L9" s="348"/>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377"/>
      <c r="FX9" s="1057"/>
    </row>
    <row s="933" customFormat="1" customHeight="1" ht="11.25">
      <c r="B10" s="934"/>
      <c r="F10" s="2359" t="s">
        <v>290</v>
      </c>
      <c r="G10" s="2360"/>
      <c r="H10" s="2360"/>
      <c r="I10" s="2360"/>
      <c r="J10" s="2360"/>
      <c r="K10" s="2360"/>
      <c r="L10" s="2360"/>
      <c r="M10" s="2360"/>
      <c r="N10" s="2360"/>
      <c r="O10" s="2360"/>
      <c r="P10" s="2360"/>
      <c r="Q10" s="2360"/>
      <c r="R10" s="2360"/>
      <c r="S10" s="2360"/>
      <c r="T10" s="2360"/>
      <c r="U10" s="2360"/>
      <c r="V10" s="2360"/>
      <c r="W10" s="2360"/>
      <c r="X10" s="2360"/>
      <c r="Y10" s="2360"/>
      <c r="Z10" s="2360"/>
      <c r="AA10" s="2360"/>
      <c r="AB10" s="2360"/>
      <c r="AC10" s="2360"/>
      <c r="AD10" s="2360"/>
      <c r="AE10" s="2360"/>
      <c r="AF10" s="2360"/>
      <c r="AG10" s="2360"/>
      <c r="AH10" s="2360"/>
      <c r="AI10" s="2360"/>
      <c r="AJ10" s="2360"/>
      <c r="AK10" s="2360"/>
      <c r="AL10" s="2360"/>
      <c r="AM10" s="2360"/>
      <c r="AN10" s="2360"/>
      <c r="AO10" s="2360"/>
      <c r="AP10" s="2360"/>
      <c r="AQ10" s="2360"/>
      <c r="AR10" s="2360"/>
      <c r="AS10" s="2360"/>
      <c r="AT10" s="2360"/>
      <c r="AU10" s="2360"/>
      <c r="AV10" s="2360"/>
      <c r="AW10" s="2360"/>
      <c r="AX10" s="2360"/>
      <c r="AY10" s="2360"/>
      <c r="AZ10" s="2360"/>
      <c r="BA10" s="2360"/>
      <c r="BB10" s="2360"/>
      <c r="BC10" s="2360"/>
      <c r="BD10" s="2360"/>
      <c r="BE10" s="2360"/>
      <c r="BF10" s="2360"/>
      <c r="BG10" s="2360"/>
      <c r="BH10" s="2360"/>
      <c r="BI10" s="2360"/>
      <c r="BJ10" s="2360"/>
      <c r="BK10" s="2360"/>
      <c r="BL10" s="2360"/>
      <c r="BM10" s="2360"/>
      <c r="BN10" s="2360"/>
      <c r="BO10" s="2360"/>
      <c r="BP10" s="2360"/>
      <c r="BQ10" s="2360"/>
      <c r="BR10" s="2360"/>
      <c r="BS10" s="2360"/>
      <c r="BT10" s="2360"/>
      <c r="BU10" s="2360"/>
      <c r="BV10" s="2360"/>
      <c r="BW10" s="2360"/>
      <c r="BX10" s="2360"/>
      <c r="BY10" s="2360"/>
      <c r="BZ10" s="2360"/>
      <c r="CA10" s="2360"/>
      <c r="CB10" s="2360"/>
      <c r="CC10" s="2360"/>
      <c r="CD10" s="2360"/>
      <c r="CE10" s="2360"/>
      <c r="CF10" s="2360"/>
      <c r="CG10" s="2360"/>
      <c r="CH10" s="2360"/>
      <c r="CI10" s="2360"/>
      <c r="CJ10" s="2360"/>
      <c r="CK10" s="2360"/>
      <c r="CL10" s="2360"/>
      <c r="CM10" s="2360"/>
      <c r="CN10" s="2360"/>
      <c r="CO10" s="2360"/>
      <c r="CP10" s="2360"/>
      <c r="CQ10" s="2360"/>
      <c r="CR10" s="2360"/>
      <c r="CS10" s="2360"/>
      <c r="CT10" s="2360"/>
      <c r="CU10" s="2360"/>
      <c r="CV10" s="2360"/>
      <c r="CW10" s="2360"/>
      <c r="CX10" s="2360"/>
      <c r="CY10" s="2360"/>
      <c r="CZ10" s="2360"/>
      <c r="DA10" s="2360"/>
      <c r="DB10" s="2360"/>
      <c r="DC10" s="2360"/>
      <c r="DD10" s="2360"/>
      <c r="DE10" s="2360"/>
      <c r="DF10" s="2360"/>
      <c r="DG10" s="2360"/>
      <c r="DH10" s="2360"/>
      <c r="DI10" s="2360"/>
      <c r="DJ10" s="2360"/>
      <c r="DK10" s="2360"/>
      <c r="DL10" s="2360"/>
      <c r="DM10" s="2360"/>
      <c r="DN10" s="2360"/>
      <c r="DO10" s="2360"/>
      <c r="DP10" s="2360"/>
      <c r="DQ10" s="2360"/>
      <c r="DR10" s="2360"/>
      <c r="DS10" s="2360"/>
      <c r="DT10" s="2360"/>
      <c r="DU10" s="2360"/>
      <c r="DV10" s="2360"/>
      <c r="DW10" s="2360"/>
      <c r="DX10" s="2360"/>
      <c r="DY10" s="2360"/>
      <c r="DZ10" s="2360"/>
      <c r="EA10" s="2360"/>
      <c r="EB10" s="2360"/>
      <c r="EC10" s="2360"/>
      <c r="ED10" s="2360"/>
      <c r="EE10" s="2360"/>
      <c r="EF10" s="2360"/>
      <c r="EG10" s="2360"/>
      <c r="EH10" s="2360"/>
      <c r="EI10" s="2360"/>
      <c r="EJ10" s="2360"/>
      <c r="EK10" s="2360"/>
      <c r="EL10" s="2360"/>
      <c r="EM10" s="2360"/>
      <c r="EN10" s="2360"/>
      <c r="EO10" s="2360"/>
      <c r="EP10" s="2360"/>
      <c r="EQ10" s="2360"/>
      <c r="ER10" s="2360"/>
      <c r="ES10" s="2360"/>
      <c r="ET10" s="2360"/>
      <c r="EU10" s="2360"/>
      <c r="EV10" s="2360"/>
      <c r="EW10" s="2360"/>
      <c r="EX10" s="2360"/>
      <c r="EY10" s="2360"/>
      <c r="EZ10" s="2360"/>
      <c r="FA10" s="2360"/>
      <c r="FB10" s="2360"/>
      <c r="FC10" s="2360"/>
      <c r="FD10" s="2360"/>
      <c r="FE10" s="2360"/>
      <c r="FF10" s="2360"/>
      <c r="FG10" s="2360"/>
      <c r="FH10" s="2360"/>
      <c r="FI10" s="2360"/>
      <c r="FJ10" s="2360"/>
      <c r="FK10" s="2360"/>
      <c r="FL10" s="2360"/>
      <c r="FM10" s="2360"/>
      <c r="FN10" s="2360"/>
      <c r="FO10" s="2360"/>
      <c r="FP10" s="2360"/>
      <c r="FQ10" s="2360"/>
      <c r="FR10" s="2360"/>
      <c r="FS10" s="2360"/>
      <c r="FT10" s="2360"/>
      <c r="FU10" s="2360"/>
      <c r="FV10" s="2361"/>
      <c r="FW10" s="2377"/>
      <c r="FX10" s="1057"/>
    </row>
    <row customHeight="1" ht="12">
      <c r="E11" s="937"/>
      <c r="F11" s="2024" t="s">
        <v>87</v>
      </c>
      <c r="G11" s="2024" t="s">
        <v>2015</v>
      </c>
      <c r="H11" s="2366" t="s">
        <v>2016</v>
      </c>
      <c r="I11" s="2366" t="s">
        <v>2017</v>
      </c>
      <c r="J11" s="2367"/>
      <c r="K11" s="2367"/>
      <c r="L11" s="2367"/>
      <c r="M11" s="2367"/>
      <c r="N11" s="2367"/>
      <c r="O11" s="2029" t="s">
        <v>2018</v>
      </c>
      <c r="P11" s="2029"/>
      <c r="Q11" s="2029"/>
      <c r="R11" s="2029"/>
      <c r="S11" s="2029"/>
      <c r="T11" s="2029"/>
      <c r="U11" s="2029"/>
      <c r="V11" s="2029"/>
      <c r="W11" s="2029"/>
      <c r="X11" s="2029"/>
      <c r="Y11" s="2029"/>
      <c r="Z11" s="2029"/>
      <c r="AA11" s="2029"/>
      <c r="AB11" s="2029"/>
      <c r="AC11" s="2362"/>
      <c r="AD11" s="2362"/>
      <c r="AE11" s="2362"/>
      <c r="AF11" s="2362"/>
      <c r="AG11" s="2362"/>
      <c r="AH11" s="2362"/>
      <c r="AI11" s="2362"/>
      <c r="AJ11" s="2362"/>
      <c r="AK11" s="2362"/>
      <c r="AL11" s="2362"/>
      <c r="AM11" s="2362"/>
      <c r="AN11" s="2362"/>
      <c r="AO11" s="2362"/>
      <c r="AP11" s="2362"/>
      <c r="AQ11" s="2362"/>
      <c r="AR11" s="2362"/>
      <c r="AS11" s="2362"/>
      <c r="AT11" s="2362"/>
      <c r="AU11" s="2362"/>
      <c r="AV11" s="2362"/>
      <c r="AW11" s="2362"/>
      <c r="AX11" s="2362"/>
      <c r="AY11" s="2362"/>
      <c r="AZ11" s="2362"/>
      <c r="BA11" s="2362"/>
      <c r="BB11" s="2362"/>
      <c r="BC11" s="2362"/>
      <c r="BD11" s="2362"/>
      <c r="BE11" s="2362"/>
      <c r="BF11" s="2362"/>
      <c r="BG11" s="2362"/>
      <c r="BH11" s="2362"/>
      <c r="BI11" s="2362"/>
      <c r="BJ11" s="2362"/>
      <c r="BK11" s="2362"/>
      <c r="BL11" s="2362"/>
      <c r="BM11" s="2362"/>
      <c r="BN11" s="2362"/>
      <c r="BO11" s="2362"/>
      <c r="BP11" s="2362"/>
      <c r="BQ11" s="2362"/>
      <c r="BR11" s="2362"/>
      <c r="BS11" s="2382"/>
      <c r="BT11" s="2299" t="s">
        <v>2018</v>
      </c>
      <c r="BU11" s="2300"/>
      <c r="BV11" s="2300"/>
      <c r="BW11" s="2300"/>
      <c r="BX11" s="2300"/>
      <c r="BY11" s="2300"/>
      <c r="BZ11" s="2300"/>
      <c r="CA11" s="2300"/>
      <c r="CB11" s="2300"/>
      <c r="CC11" s="2300"/>
      <c r="CD11" s="2300"/>
      <c r="CE11" s="2300"/>
      <c r="CF11" s="2300"/>
      <c r="CG11" s="2300"/>
      <c r="CH11" s="2300"/>
      <c r="CI11" s="2300"/>
      <c r="CJ11" s="2300"/>
      <c r="CK11" s="2301"/>
      <c r="CL11" s="2365"/>
      <c r="CM11" s="2362"/>
      <c r="CN11" s="2362"/>
      <c r="CO11" s="2362"/>
      <c r="CP11" s="2362"/>
      <c r="CQ11" s="2362"/>
      <c r="CR11" s="2362"/>
      <c r="CS11" s="2362"/>
      <c r="CT11" s="2362"/>
      <c r="CU11" s="2362"/>
      <c r="CV11" s="2362"/>
      <c r="CW11" s="2362"/>
      <c r="CX11" s="2382"/>
      <c r="CY11" s="2299" t="s">
        <v>2018</v>
      </c>
      <c r="CZ11" s="2300"/>
      <c r="DA11" s="2300"/>
      <c r="DB11" s="2300"/>
      <c r="DC11" s="2300"/>
      <c r="DD11" s="2300"/>
      <c r="DE11" s="2300"/>
      <c r="DF11" s="2300"/>
      <c r="DG11" s="2300"/>
      <c r="DH11" s="2300"/>
      <c r="DI11" s="2300"/>
      <c r="DJ11" s="2301"/>
      <c r="DK11" s="2365"/>
      <c r="DL11" s="2362"/>
      <c r="DM11" s="2362"/>
      <c r="DN11" s="2362"/>
      <c r="DO11" s="2362"/>
      <c r="DP11" s="2362"/>
      <c r="DQ11" s="2362"/>
      <c r="DR11" s="2362"/>
      <c r="DS11" s="2362"/>
      <c r="DT11" s="2362"/>
      <c r="DU11" s="2362"/>
      <c r="DV11" s="2362"/>
      <c r="DW11" s="2362"/>
      <c r="DX11" s="2362"/>
      <c r="DY11" s="2362"/>
      <c r="DZ11" s="2362"/>
      <c r="EA11" s="2362"/>
      <c r="EB11" s="2362"/>
      <c r="EC11" s="2362"/>
      <c r="ED11" s="2362"/>
      <c r="EE11" s="2362"/>
      <c r="EF11" s="2362"/>
      <c r="EG11" s="2362"/>
      <c r="EH11" s="2362"/>
      <c r="EI11" s="2362"/>
      <c r="EJ11" s="2362"/>
      <c r="EK11" s="2362"/>
      <c r="EL11" s="2362"/>
      <c r="EM11" s="2362"/>
      <c r="EN11" s="2362"/>
      <c r="EO11" s="2362"/>
      <c r="EP11" s="2362"/>
      <c r="EQ11" s="2362"/>
      <c r="ER11" s="2362"/>
      <c r="ES11" s="2362"/>
      <c r="ET11" s="2362"/>
      <c r="EU11" s="2362"/>
      <c r="EV11" s="2362"/>
      <c r="EW11" s="2362"/>
      <c r="EX11" s="2362"/>
      <c r="EY11" s="2362"/>
      <c r="EZ11" s="2362"/>
      <c r="FA11" s="2362"/>
      <c r="FB11" s="2362"/>
      <c r="FC11" s="2362"/>
      <c r="FD11" s="2362"/>
      <c r="FE11" s="2362"/>
      <c r="FF11" s="2362"/>
      <c r="FG11" s="2362"/>
      <c r="FH11" s="2362"/>
      <c r="FI11" s="2362"/>
      <c r="FJ11" s="2362"/>
      <c r="FK11" s="2362"/>
      <c r="FL11" s="2362"/>
      <c r="FM11" s="2362"/>
      <c r="FN11" s="2362"/>
      <c r="FO11" s="2362"/>
      <c r="FP11" s="2362"/>
      <c r="FQ11" s="2362"/>
      <c r="FR11" s="2362"/>
      <c r="FS11" s="2362"/>
      <c r="FT11" s="2362"/>
      <c r="FU11" s="2362"/>
      <c r="FV11" s="2362"/>
      <c r="FW11" s="2377"/>
      <c r="FX11" s="761"/>
    </row>
    <row customHeight="1" ht="12">
      <c r="D12" s="938"/>
      <c r="E12" s="937"/>
      <c r="F12" s="2024"/>
      <c r="G12" s="2024"/>
      <c r="H12" s="2366"/>
      <c r="I12" s="2366"/>
      <c r="J12" s="2367"/>
      <c r="K12" s="2367"/>
      <c r="L12" s="2367"/>
      <c r="M12" s="2367"/>
      <c r="N12" s="2367"/>
      <c r="O12" s="2029" t="s">
        <v>2019</v>
      </c>
      <c r="P12" s="2029"/>
      <c r="Q12" s="2029"/>
      <c r="R12" s="2029"/>
      <c r="S12" s="2029" t="s">
        <v>2020</v>
      </c>
      <c r="T12" s="2029"/>
      <c r="U12" s="2029"/>
      <c r="V12" s="2029"/>
      <c r="W12" s="2029"/>
      <c r="X12" s="2029"/>
      <c r="Y12" s="2029"/>
      <c r="Z12" s="2029"/>
      <c r="AA12" s="2029"/>
      <c r="AB12" s="2029"/>
      <c r="AC12" s="2362"/>
      <c r="AD12" s="2362"/>
      <c r="AE12" s="2362"/>
      <c r="AF12" s="2362"/>
      <c r="AG12" s="2362"/>
      <c r="AH12" s="2362"/>
      <c r="AI12" s="2362"/>
      <c r="AJ12" s="2362"/>
      <c r="AK12" s="2362"/>
      <c r="AL12" s="2362"/>
      <c r="AM12" s="2362"/>
      <c r="AN12" s="2362"/>
      <c r="AO12" s="2362"/>
      <c r="AP12" s="2362"/>
      <c r="AQ12" s="2362"/>
      <c r="AR12" s="2362"/>
      <c r="AS12" s="2362"/>
      <c r="AT12" s="2362"/>
      <c r="AU12" s="2362"/>
      <c r="AV12" s="2362"/>
      <c r="AW12" s="2362"/>
      <c r="AX12" s="2362"/>
      <c r="AY12" s="2362"/>
      <c r="AZ12" s="2362"/>
      <c r="BA12" s="2362"/>
      <c r="BB12" s="2362"/>
      <c r="BC12" s="2362"/>
      <c r="BD12" s="2362"/>
      <c r="BE12" s="2362"/>
      <c r="BF12" s="2362"/>
      <c r="BG12" s="2362"/>
      <c r="BH12" s="2362"/>
      <c r="BI12" s="2362"/>
      <c r="BJ12" s="2362"/>
      <c r="BK12" s="2362"/>
      <c r="BL12" s="2362"/>
      <c r="BM12" s="2362"/>
      <c r="BN12" s="2362"/>
      <c r="BO12" s="2362"/>
      <c r="BP12" s="2362"/>
      <c r="BQ12" s="2362"/>
      <c r="BR12" s="2362"/>
      <c r="BS12" s="2382"/>
      <c r="BT12" s="2299" t="s">
        <v>2021</v>
      </c>
      <c r="BU12" s="2300"/>
      <c r="BV12" s="2300"/>
      <c r="BW12" s="2301"/>
      <c r="BX12" s="2299" t="s">
        <v>2022</v>
      </c>
      <c r="BY12" s="2300"/>
      <c r="BZ12" s="2300"/>
      <c r="CA12" s="2301"/>
      <c r="CB12" s="2299" t="s">
        <v>2023</v>
      </c>
      <c r="CC12" s="2301"/>
      <c r="CD12" s="2299" t="s">
        <v>2024</v>
      </c>
      <c r="CE12" s="2300"/>
      <c r="CF12" s="2300"/>
      <c r="CG12" s="2300"/>
      <c r="CH12" s="2300"/>
      <c r="CI12" s="2300"/>
      <c r="CJ12" s="2300"/>
      <c r="CK12" s="2301"/>
      <c r="CL12" s="2365"/>
      <c r="CM12" s="2362"/>
      <c r="CN12" s="2362"/>
      <c r="CO12" s="2362"/>
      <c r="CP12" s="2362"/>
      <c r="CQ12" s="2362"/>
      <c r="CR12" s="2362"/>
      <c r="CS12" s="2362"/>
      <c r="CT12" s="2362"/>
      <c r="CU12" s="2362"/>
      <c r="CV12" s="2362"/>
      <c r="CW12" s="2362"/>
      <c r="CX12" s="2382"/>
      <c r="CY12" s="2299" t="s">
        <v>2025</v>
      </c>
      <c r="CZ12" s="2300"/>
      <c r="DA12" s="2300"/>
      <c r="DB12" s="2300"/>
      <c r="DC12" s="2300"/>
      <c r="DD12" s="2301"/>
      <c r="DE12" s="2299" t="s">
        <v>2026</v>
      </c>
      <c r="DF12" s="2301"/>
      <c r="DG12" s="2299" t="s">
        <v>2024</v>
      </c>
      <c r="DH12" s="2300"/>
      <c r="DI12" s="2300"/>
      <c r="DJ12" s="2301"/>
      <c r="DK12" s="2365"/>
      <c r="DL12" s="2362"/>
      <c r="DM12" s="2362"/>
      <c r="DN12" s="2362"/>
      <c r="DO12" s="2362"/>
      <c r="DP12" s="2362"/>
      <c r="DQ12" s="2362"/>
      <c r="DR12" s="2362"/>
      <c r="DS12" s="2362"/>
      <c r="DT12" s="2362"/>
      <c r="DU12" s="2362"/>
      <c r="DV12" s="2362"/>
      <c r="DW12" s="2362"/>
      <c r="DX12" s="2362"/>
      <c r="DY12" s="2362"/>
      <c r="DZ12" s="2362"/>
      <c r="EA12" s="2362"/>
      <c r="EB12" s="2362"/>
      <c r="EC12" s="2362"/>
      <c r="ED12" s="2362"/>
      <c r="EE12" s="2362"/>
      <c r="EF12" s="2362"/>
      <c r="EG12" s="2362"/>
      <c r="EH12" s="2362"/>
      <c r="EI12" s="2362"/>
      <c r="EJ12" s="2362"/>
      <c r="EK12" s="2362"/>
      <c r="EL12" s="2362"/>
      <c r="EM12" s="2362"/>
      <c r="EN12" s="2362"/>
      <c r="EO12" s="2362"/>
      <c r="EP12" s="2362"/>
      <c r="EQ12" s="2362"/>
      <c r="ER12" s="2362"/>
      <c r="ES12" s="2362"/>
      <c r="ET12" s="2362"/>
      <c r="EU12" s="2362"/>
      <c r="EV12" s="2362"/>
      <c r="EW12" s="2362"/>
      <c r="EX12" s="2362"/>
      <c r="EY12" s="2362"/>
      <c r="EZ12" s="2362"/>
      <c r="FA12" s="2362"/>
      <c r="FB12" s="2362"/>
      <c r="FC12" s="2362"/>
      <c r="FD12" s="2362"/>
      <c r="FE12" s="2362"/>
      <c r="FF12" s="2362"/>
      <c r="FG12" s="2362"/>
      <c r="FH12" s="2362"/>
      <c r="FI12" s="2362"/>
      <c r="FJ12" s="2362"/>
      <c r="FK12" s="2362"/>
      <c r="FL12" s="2362"/>
      <c r="FM12" s="2362"/>
      <c r="FN12" s="2362"/>
      <c r="FO12" s="2362"/>
      <c r="FP12" s="2362"/>
      <c r="FQ12" s="2362"/>
      <c r="FR12" s="2362"/>
      <c r="FS12" s="2362"/>
      <c r="FT12" s="2362"/>
      <c r="FU12" s="2362"/>
      <c r="FV12" s="2362"/>
      <c r="FW12" s="2377"/>
      <c r="FX12" s="761"/>
    </row>
    <row customHeight="1" ht="36">
      <c r="D13" s="938"/>
      <c r="E13" s="937"/>
      <c r="F13" s="2024"/>
      <c r="G13" s="2024"/>
      <c r="H13" s="2366"/>
      <c r="I13" s="2366"/>
      <c r="J13" s="2367"/>
      <c r="K13" s="2367"/>
      <c r="L13" s="2367"/>
      <c r="M13" s="2367"/>
      <c r="N13" s="2367"/>
      <c r="O13" s="2029" t="s">
        <v>2027</v>
      </c>
      <c r="P13" s="2029"/>
      <c r="Q13" s="2029"/>
      <c r="R13" s="2029"/>
      <c r="S13" s="2243" t="s">
        <v>2028</v>
      </c>
      <c r="T13" s="2363"/>
      <c r="U13" s="1948" t="s">
        <v>2029</v>
      </c>
      <c r="V13" s="1948"/>
      <c r="W13" s="1948"/>
      <c r="X13" s="1948"/>
      <c r="Y13" s="1948" t="s">
        <v>2030</v>
      </c>
      <c r="Z13" s="1948"/>
      <c r="AA13" s="1948"/>
      <c r="AB13" s="1948"/>
      <c r="AC13" s="2362"/>
      <c r="AD13" s="2362"/>
      <c r="AE13" s="2362"/>
      <c r="AF13" s="2362"/>
      <c r="AG13" s="2362"/>
      <c r="AH13" s="2362"/>
      <c r="AI13" s="2362"/>
      <c r="AJ13" s="2362"/>
      <c r="AK13" s="2362"/>
      <c r="AL13" s="2362"/>
      <c r="AM13" s="2362"/>
      <c r="AN13" s="2362"/>
      <c r="AO13" s="2362"/>
      <c r="AP13" s="2362"/>
      <c r="AQ13" s="2362"/>
      <c r="AR13" s="2362"/>
      <c r="AS13" s="2362"/>
      <c r="AT13" s="2362"/>
      <c r="AU13" s="2362"/>
      <c r="AV13" s="2362"/>
      <c r="AW13" s="2362"/>
      <c r="AX13" s="2362"/>
      <c r="AY13" s="2362"/>
      <c r="AZ13" s="2362"/>
      <c r="BA13" s="2362"/>
      <c r="BB13" s="2362"/>
      <c r="BC13" s="2362"/>
      <c r="BD13" s="2362"/>
      <c r="BE13" s="2362"/>
      <c r="BF13" s="2362"/>
      <c r="BG13" s="2362"/>
      <c r="BH13" s="2362"/>
      <c r="BI13" s="2362"/>
      <c r="BJ13" s="2362"/>
      <c r="BK13" s="2362"/>
      <c r="BL13" s="2362"/>
      <c r="BM13" s="2362"/>
      <c r="BN13" s="2362"/>
      <c r="BO13" s="2362"/>
      <c r="BP13" s="2362"/>
      <c r="BQ13" s="2362"/>
      <c r="BR13" s="2362"/>
      <c r="BS13" s="2382"/>
      <c r="BT13" s="2243" t="s">
        <v>2031</v>
      </c>
      <c r="BU13" s="2363"/>
      <c r="BV13" s="2243" t="s">
        <v>2032</v>
      </c>
      <c r="BW13" s="2363"/>
      <c r="BX13" s="2243" t="s">
        <v>2033</v>
      </c>
      <c r="BY13" s="2363"/>
      <c r="BZ13" s="2243" t="s">
        <v>2034</v>
      </c>
      <c r="CA13" s="2363"/>
      <c r="CB13" s="2243" t="s">
        <v>2035</v>
      </c>
      <c r="CC13" s="2363"/>
      <c r="CD13" s="2243" t="s">
        <v>2036</v>
      </c>
      <c r="CE13" s="2363"/>
      <c r="CF13" s="2243" t="s">
        <v>2037</v>
      </c>
      <c r="CG13" s="2363"/>
      <c r="CH13" s="2299" t="s">
        <v>2038</v>
      </c>
      <c r="CI13" s="2300"/>
      <c r="CJ13" s="2300"/>
      <c r="CK13" s="2301"/>
      <c r="CL13" s="2365"/>
      <c r="CM13" s="2362"/>
      <c r="CN13" s="2362"/>
      <c r="CO13" s="2362"/>
      <c r="CP13" s="2362"/>
      <c r="CQ13" s="2362"/>
      <c r="CR13" s="2362"/>
      <c r="CS13" s="2362"/>
      <c r="CT13" s="2362"/>
      <c r="CU13" s="2362"/>
      <c r="CV13" s="2362"/>
      <c r="CW13" s="2362"/>
      <c r="CX13" s="2382"/>
      <c r="CY13" s="2243" t="s">
        <v>2039</v>
      </c>
      <c r="CZ13" s="2363"/>
      <c r="DA13" s="2243" t="s">
        <v>2040</v>
      </c>
      <c r="DB13" s="2363"/>
      <c r="DC13" s="2243" t="s">
        <v>2041</v>
      </c>
      <c r="DD13" s="2363"/>
      <c r="DE13" s="2243" t="s">
        <v>2042</v>
      </c>
      <c r="DF13" s="2363"/>
      <c r="DG13" s="2299" t="s">
        <v>2043</v>
      </c>
      <c r="DH13" s="2300"/>
      <c r="DI13" s="2300"/>
      <c r="DJ13" s="2301"/>
      <c r="DK13" s="2365"/>
      <c r="DL13" s="2362"/>
      <c r="DM13" s="2362"/>
      <c r="DN13" s="2362"/>
      <c r="DO13" s="2362"/>
      <c r="DP13" s="2362"/>
      <c r="DQ13" s="2362"/>
      <c r="DR13" s="2362"/>
      <c r="DS13" s="2362"/>
      <c r="DT13" s="2362"/>
      <c r="DU13" s="2362"/>
      <c r="DV13" s="2362"/>
      <c r="DW13" s="2362"/>
      <c r="DX13" s="2362"/>
      <c r="DY13" s="2362"/>
      <c r="DZ13" s="2362"/>
      <c r="EA13" s="2362"/>
      <c r="EB13" s="2362"/>
      <c r="EC13" s="2362"/>
      <c r="ED13" s="2362"/>
      <c r="EE13" s="2362"/>
      <c r="EF13" s="2362"/>
      <c r="EG13" s="2362"/>
      <c r="EH13" s="2362"/>
      <c r="EI13" s="2362"/>
      <c r="EJ13" s="2362"/>
      <c r="EK13" s="2362"/>
      <c r="EL13" s="2362"/>
      <c r="EM13" s="2362"/>
      <c r="EN13" s="2362"/>
      <c r="EO13" s="2362"/>
      <c r="EP13" s="2362"/>
      <c r="EQ13" s="2362"/>
      <c r="ER13" s="2362"/>
      <c r="ES13" s="2362"/>
      <c r="ET13" s="2362"/>
      <c r="EU13" s="2362"/>
      <c r="EV13" s="2362"/>
      <c r="EW13" s="2362"/>
      <c r="EX13" s="2362"/>
      <c r="EY13" s="2362"/>
      <c r="EZ13" s="2362"/>
      <c r="FA13" s="2362"/>
      <c r="FB13" s="2362"/>
      <c r="FC13" s="2362"/>
      <c r="FD13" s="2362"/>
      <c r="FE13" s="2362"/>
      <c r="FF13" s="2362"/>
      <c r="FG13" s="2362"/>
      <c r="FH13" s="2362"/>
      <c r="FI13" s="2362"/>
      <c r="FJ13" s="2362"/>
      <c r="FK13" s="2362"/>
      <c r="FL13" s="2362"/>
      <c r="FM13" s="2362"/>
      <c r="FN13" s="2362"/>
      <c r="FO13" s="2362"/>
      <c r="FP13" s="2362"/>
      <c r="FQ13" s="2362"/>
      <c r="FR13" s="2362"/>
      <c r="FS13" s="2362"/>
      <c r="FT13" s="2362"/>
      <c r="FU13" s="2362"/>
      <c r="FV13" s="2362"/>
      <c r="FW13" s="2377"/>
      <c r="FX13" s="761"/>
    </row>
    <row customHeight="1" ht="36">
      <c r="D14" s="938"/>
      <c r="E14" s="937"/>
      <c r="F14" s="2024"/>
      <c r="G14" s="2024"/>
      <c r="H14" s="2366"/>
      <c r="I14" s="2366"/>
      <c r="J14" s="2367"/>
      <c r="K14" s="2367"/>
      <c r="L14" s="2367"/>
      <c r="M14" s="2367"/>
      <c r="N14" s="2367"/>
      <c r="O14" s="2243" t="s">
        <v>2044</v>
      </c>
      <c r="P14" s="2363"/>
      <c r="Q14" s="2243" t="s">
        <v>2045</v>
      </c>
      <c r="R14" s="2363"/>
      <c r="S14" s="2244"/>
      <c r="T14" s="2030"/>
      <c r="U14" s="2243" t="s">
        <v>1832</v>
      </c>
      <c r="V14" s="2363"/>
      <c r="W14" s="2243" t="s">
        <v>1835</v>
      </c>
      <c r="X14" s="2363"/>
      <c r="Y14" s="2243" t="s">
        <v>1832</v>
      </c>
      <c r="Z14" s="2363"/>
      <c r="AA14" s="2243" t="s">
        <v>1842</v>
      </c>
      <c r="AB14" s="2363"/>
      <c r="AC14" s="2362"/>
      <c r="AD14" s="2362"/>
      <c r="AE14" s="2362"/>
      <c r="AF14" s="2362"/>
      <c r="AG14" s="2362"/>
      <c r="AH14" s="2362"/>
      <c r="AI14" s="2362"/>
      <c r="AJ14" s="2362"/>
      <c r="AK14" s="2362"/>
      <c r="AL14" s="2362"/>
      <c r="AM14" s="2362"/>
      <c r="AN14" s="2362"/>
      <c r="AO14" s="2362"/>
      <c r="AP14" s="2362"/>
      <c r="AQ14" s="2362"/>
      <c r="AR14" s="2362"/>
      <c r="AS14" s="2362"/>
      <c r="AT14" s="2362"/>
      <c r="AU14" s="2362"/>
      <c r="AV14" s="2362"/>
      <c r="AW14" s="2362"/>
      <c r="AX14" s="2362"/>
      <c r="AY14" s="2362"/>
      <c r="AZ14" s="2362"/>
      <c r="BA14" s="2362"/>
      <c r="BB14" s="2362"/>
      <c r="BC14" s="2362"/>
      <c r="BD14" s="2362"/>
      <c r="BE14" s="2362"/>
      <c r="BF14" s="2362"/>
      <c r="BG14" s="2362"/>
      <c r="BH14" s="2362"/>
      <c r="BI14" s="2362"/>
      <c r="BJ14" s="2362"/>
      <c r="BK14" s="2362"/>
      <c r="BL14" s="2362"/>
      <c r="BM14" s="2362"/>
      <c r="BN14" s="2362"/>
      <c r="BO14" s="2362"/>
      <c r="BP14" s="2362"/>
      <c r="BQ14" s="2362"/>
      <c r="BR14" s="2362"/>
      <c r="BS14" s="2382"/>
      <c r="BT14" s="2244"/>
      <c r="BU14" s="2030"/>
      <c r="BV14" s="2244"/>
      <c r="BW14" s="2030"/>
      <c r="BX14" s="2244"/>
      <c r="BY14" s="2030"/>
      <c r="BZ14" s="2244"/>
      <c r="CA14" s="2030"/>
      <c r="CB14" s="2244"/>
      <c r="CC14" s="2030"/>
      <c r="CD14" s="2244"/>
      <c r="CE14" s="2030"/>
      <c r="CF14" s="2244"/>
      <c r="CG14" s="2030"/>
      <c r="CH14" s="2243" t="s">
        <v>2046</v>
      </c>
      <c r="CI14" s="2363"/>
      <c r="CJ14" s="2243" t="s">
        <v>2047</v>
      </c>
      <c r="CK14" s="2363"/>
      <c r="CL14" s="2365"/>
      <c r="CM14" s="2362"/>
      <c r="CN14" s="2362"/>
      <c r="CO14" s="2362"/>
      <c r="CP14" s="2362"/>
      <c r="CQ14" s="2362"/>
      <c r="CR14" s="2362"/>
      <c r="CS14" s="2362"/>
      <c r="CT14" s="2362"/>
      <c r="CU14" s="2362"/>
      <c r="CV14" s="2362"/>
      <c r="CW14" s="2362"/>
      <c r="CX14" s="2382"/>
      <c r="CY14" s="2244"/>
      <c r="CZ14" s="2030"/>
      <c r="DA14" s="2244"/>
      <c r="DB14" s="2030"/>
      <c r="DC14" s="2244"/>
      <c r="DD14" s="2030"/>
      <c r="DE14" s="2244"/>
      <c r="DF14" s="2030"/>
      <c r="DG14" s="2243" t="s">
        <v>2048</v>
      </c>
      <c r="DH14" s="2363"/>
      <c r="DI14" s="2243" t="s">
        <v>2049</v>
      </c>
      <c r="DJ14" s="2363"/>
      <c r="DK14" s="2365"/>
      <c r="DL14" s="2362"/>
      <c r="DM14" s="2362"/>
      <c r="DN14" s="2362"/>
      <c r="DO14" s="2362"/>
      <c r="DP14" s="2362"/>
      <c r="DQ14" s="2362"/>
      <c r="DR14" s="2362"/>
      <c r="DS14" s="2362"/>
      <c r="DT14" s="2362"/>
      <c r="DU14" s="2362"/>
      <c r="DV14" s="2362"/>
      <c r="DW14" s="2362"/>
      <c r="DX14" s="2362"/>
      <c r="DY14" s="2362"/>
      <c r="DZ14" s="2362"/>
      <c r="EA14" s="2362"/>
      <c r="EB14" s="2362"/>
      <c r="EC14" s="2362"/>
      <c r="ED14" s="2362"/>
      <c r="EE14" s="2362"/>
      <c r="EF14" s="2362"/>
      <c r="EG14" s="2362"/>
      <c r="EH14" s="2362"/>
      <c r="EI14" s="2362"/>
      <c r="EJ14" s="2362"/>
      <c r="EK14" s="2362"/>
      <c r="EL14" s="2362"/>
      <c r="EM14" s="2362"/>
      <c r="EN14" s="2362"/>
      <c r="EO14" s="2362"/>
      <c r="EP14" s="2362"/>
      <c r="EQ14" s="2362"/>
      <c r="ER14" s="2362"/>
      <c r="ES14" s="2362"/>
      <c r="ET14" s="2362"/>
      <c r="EU14" s="2362"/>
      <c r="EV14" s="2362"/>
      <c r="EW14" s="2362"/>
      <c r="EX14" s="2362"/>
      <c r="EY14" s="2362"/>
      <c r="EZ14" s="2362"/>
      <c r="FA14" s="2362"/>
      <c r="FB14" s="2362"/>
      <c r="FC14" s="2362"/>
      <c r="FD14" s="2362"/>
      <c r="FE14" s="2362"/>
      <c r="FF14" s="2362"/>
      <c r="FG14" s="2362"/>
      <c r="FH14" s="2362"/>
      <c r="FI14" s="2362"/>
      <c r="FJ14" s="2362"/>
      <c r="FK14" s="2362"/>
      <c r="FL14" s="2362"/>
      <c r="FM14" s="2362"/>
      <c r="FN14" s="2362"/>
      <c r="FO14" s="2362"/>
      <c r="FP14" s="2362"/>
      <c r="FQ14" s="2362"/>
      <c r="FR14" s="2362"/>
      <c r="FS14" s="2362"/>
      <c r="FT14" s="2362"/>
      <c r="FU14" s="2362"/>
      <c r="FV14" s="2362"/>
      <c r="FW14" s="2377"/>
      <c r="FX14" s="761"/>
    </row>
    <row customHeight="1" ht="36">
      <c r="D15" s="938"/>
      <c r="E15" s="937"/>
      <c r="F15" s="2024"/>
      <c r="G15" s="2024"/>
      <c r="H15" s="2366"/>
      <c r="I15" s="2366"/>
      <c r="J15" s="2367"/>
      <c r="K15" s="2367"/>
      <c r="L15" s="2367"/>
      <c r="M15" s="2367"/>
      <c r="N15" s="2367"/>
      <c r="O15" s="2245"/>
      <c r="P15" s="2364"/>
      <c r="Q15" s="2245"/>
      <c r="R15" s="2364"/>
      <c r="S15" s="2245"/>
      <c r="T15" s="2364"/>
      <c r="U15" s="2245"/>
      <c r="V15" s="2364"/>
      <c r="W15" s="2245"/>
      <c r="X15" s="2364"/>
      <c r="Y15" s="2245"/>
      <c r="Z15" s="2364"/>
      <c r="AA15" s="2245"/>
      <c r="AB15" s="2364"/>
      <c r="AC15" s="2362"/>
      <c r="AD15" s="2362"/>
      <c r="AE15" s="2362"/>
      <c r="AF15" s="2362"/>
      <c r="AG15" s="2362"/>
      <c r="AH15" s="2362"/>
      <c r="AI15" s="2362"/>
      <c r="AJ15" s="2362"/>
      <c r="AK15" s="2362"/>
      <c r="AL15" s="2362"/>
      <c r="AM15" s="2362"/>
      <c r="AN15" s="2362"/>
      <c r="AO15" s="2362"/>
      <c r="AP15" s="2362"/>
      <c r="AQ15" s="2362"/>
      <c r="AR15" s="2362"/>
      <c r="AS15" s="2362"/>
      <c r="AT15" s="2362"/>
      <c r="AU15" s="2362"/>
      <c r="AV15" s="2362"/>
      <c r="AW15" s="2362"/>
      <c r="AX15" s="2362"/>
      <c r="AY15" s="2362"/>
      <c r="AZ15" s="2362"/>
      <c r="BA15" s="2362"/>
      <c r="BB15" s="2362"/>
      <c r="BC15" s="2362"/>
      <c r="BD15" s="2362"/>
      <c r="BE15" s="2362"/>
      <c r="BF15" s="2362"/>
      <c r="BG15" s="2362"/>
      <c r="BH15" s="2362"/>
      <c r="BI15" s="2362"/>
      <c r="BJ15" s="2362"/>
      <c r="BK15" s="2362"/>
      <c r="BL15" s="2362"/>
      <c r="BM15" s="2362"/>
      <c r="BN15" s="2362"/>
      <c r="BO15" s="2362"/>
      <c r="BP15" s="2362"/>
      <c r="BQ15" s="2362"/>
      <c r="BR15" s="2362"/>
      <c r="BS15" s="2382"/>
      <c r="BT15" s="2245"/>
      <c r="BU15" s="2364"/>
      <c r="BV15" s="2245"/>
      <c r="BW15" s="2364"/>
      <c r="BX15" s="2245"/>
      <c r="BY15" s="2364"/>
      <c r="BZ15" s="2245"/>
      <c r="CA15" s="2364"/>
      <c r="CB15" s="2245"/>
      <c r="CC15" s="2364"/>
      <c r="CD15" s="2245"/>
      <c r="CE15" s="2364"/>
      <c r="CF15" s="2245"/>
      <c r="CG15" s="2364"/>
      <c r="CH15" s="2245"/>
      <c r="CI15" s="2364"/>
      <c r="CJ15" s="2245"/>
      <c r="CK15" s="2364"/>
      <c r="CL15" s="2365"/>
      <c r="CM15" s="2362"/>
      <c r="CN15" s="2362"/>
      <c r="CO15" s="2362"/>
      <c r="CP15" s="2362"/>
      <c r="CQ15" s="2362"/>
      <c r="CR15" s="2362"/>
      <c r="CS15" s="2362"/>
      <c r="CT15" s="2362"/>
      <c r="CU15" s="2362"/>
      <c r="CV15" s="2362"/>
      <c r="CW15" s="2362"/>
      <c r="CX15" s="2382"/>
      <c r="CY15" s="2245"/>
      <c r="CZ15" s="2364"/>
      <c r="DA15" s="2245"/>
      <c r="DB15" s="2364"/>
      <c r="DC15" s="2245"/>
      <c r="DD15" s="2364"/>
      <c r="DE15" s="2245"/>
      <c r="DF15" s="2364"/>
      <c r="DG15" s="2245"/>
      <c r="DH15" s="2364"/>
      <c r="DI15" s="2245"/>
      <c r="DJ15" s="2364"/>
      <c r="DK15" s="2365"/>
      <c r="DL15" s="2362"/>
      <c r="DM15" s="2362"/>
      <c r="DN15" s="2362"/>
      <c r="DO15" s="2362"/>
      <c r="DP15" s="2362"/>
      <c r="DQ15" s="2362"/>
      <c r="DR15" s="2362"/>
      <c r="DS15" s="2362"/>
      <c r="DT15" s="2362"/>
      <c r="DU15" s="2362"/>
      <c r="DV15" s="2362"/>
      <c r="DW15" s="2362"/>
      <c r="DX15" s="2362"/>
      <c r="DY15" s="2362"/>
      <c r="DZ15" s="2362"/>
      <c r="EA15" s="2362"/>
      <c r="EB15" s="2362"/>
      <c r="EC15" s="2362"/>
      <c r="ED15" s="2362"/>
      <c r="EE15" s="2362"/>
      <c r="EF15" s="2362"/>
      <c r="EG15" s="2362"/>
      <c r="EH15" s="2362"/>
      <c r="EI15" s="2362"/>
      <c r="EJ15" s="2362"/>
      <c r="EK15" s="2362"/>
      <c r="EL15" s="2362"/>
      <c r="EM15" s="2362"/>
      <c r="EN15" s="2362"/>
      <c r="EO15" s="2362"/>
      <c r="EP15" s="2362"/>
      <c r="EQ15" s="2362"/>
      <c r="ER15" s="2362"/>
      <c r="ES15" s="2362"/>
      <c r="ET15" s="2362"/>
      <c r="EU15" s="2362"/>
      <c r="EV15" s="2362"/>
      <c r="EW15" s="2362"/>
      <c r="EX15" s="2362"/>
      <c r="EY15" s="2362"/>
      <c r="EZ15" s="2362"/>
      <c r="FA15" s="2362"/>
      <c r="FB15" s="2362"/>
      <c r="FC15" s="2362"/>
      <c r="FD15" s="2362"/>
      <c r="FE15" s="2362"/>
      <c r="FF15" s="2362"/>
      <c r="FG15" s="2362"/>
      <c r="FH15" s="2362"/>
      <c r="FI15" s="2362"/>
      <c r="FJ15" s="2362"/>
      <c r="FK15" s="2362"/>
      <c r="FL15" s="2362"/>
      <c r="FM15" s="2362"/>
      <c r="FN15" s="2362"/>
      <c r="FO15" s="2362"/>
      <c r="FP15" s="2362"/>
      <c r="FQ15" s="2362"/>
      <c r="FR15" s="2362"/>
      <c r="FS15" s="2362"/>
      <c r="FT15" s="2362"/>
      <c r="FU15" s="2362"/>
      <c r="FV15" s="2362"/>
      <c r="FW15" s="2377"/>
      <c r="FX15" s="761"/>
    </row>
    <row customHeight="1" ht="12">
      <c r="D16" s="938"/>
      <c r="E16" s="937"/>
      <c r="F16" s="2024"/>
      <c r="G16" s="2024"/>
      <c r="H16" s="2366"/>
      <c r="I16" s="2366"/>
      <c r="J16" s="2367"/>
      <c r="K16" s="2367"/>
      <c r="L16" s="2367"/>
      <c r="M16" s="2367"/>
      <c r="N16" s="2367"/>
      <c r="O16" s="2299" t="s">
        <v>1822</v>
      </c>
      <c r="P16" s="2301"/>
      <c r="Q16" s="2299" t="s">
        <v>1824</v>
      </c>
      <c r="R16" s="2301"/>
      <c r="S16" s="2299" t="s">
        <v>1828</v>
      </c>
      <c r="T16" s="2301"/>
      <c r="U16" s="2299" t="s">
        <v>1833</v>
      </c>
      <c r="V16" s="2301"/>
      <c r="W16" s="2299" t="s">
        <v>1836</v>
      </c>
      <c r="X16" s="2301"/>
      <c r="Y16" s="2299" t="s">
        <v>1840</v>
      </c>
      <c r="Z16" s="2301"/>
      <c r="AA16" s="2299" t="s">
        <v>1843</v>
      </c>
      <c r="AB16" s="2301"/>
      <c r="AC16" s="2362"/>
      <c r="AD16" s="2362"/>
      <c r="AE16" s="2362"/>
      <c r="AF16" s="2362"/>
      <c r="AG16" s="2362"/>
      <c r="AH16" s="2362"/>
      <c r="AI16" s="2362"/>
      <c r="AJ16" s="2362"/>
      <c r="AK16" s="2362"/>
      <c r="AL16" s="2362"/>
      <c r="AM16" s="2362"/>
      <c r="AN16" s="2362"/>
      <c r="AO16" s="2362"/>
      <c r="AP16" s="2362"/>
      <c r="AQ16" s="2362"/>
      <c r="AR16" s="2362"/>
      <c r="AS16" s="2362"/>
      <c r="AT16" s="2362"/>
      <c r="AU16" s="2362"/>
      <c r="AV16" s="2362"/>
      <c r="AW16" s="2362"/>
      <c r="AX16" s="2362"/>
      <c r="AY16" s="2362"/>
      <c r="AZ16" s="2362"/>
      <c r="BA16" s="2362"/>
      <c r="BB16" s="2362"/>
      <c r="BC16" s="2362"/>
      <c r="BD16" s="2362"/>
      <c r="BE16" s="2362"/>
      <c r="BF16" s="2362"/>
      <c r="BG16" s="2362"/>
      <c r="BH16" s="2362"/>
      <c r="BI16" s="2362"/>
      <c r="BJ16" s="2362"/>
      <c r="BK16" s="2362"/>
      <c r="BL16" s="2362"/>
      <c r="BM16" s="2362"/>
      <c r="BN16" s="2362"/>
      <c r="BO16" s="2362"/>
      <c r="BP16" s="2362"/>
      <c r="BQ16" s="2362"/>
      <c r="BR16" s="2362"/>
      <c r="BS16" s="2382"/>
      <c r="BT16" s="2299" t="s">
        <v>1632</v>
      </c>
      <c r="BU16" s="2301"/>
      <c r="BV16" s="2299" t="s">
        <v>1632</v>
      </c>
      <c r="BW16" s="2301"/>
      <c r="BX16" s="2299" t="s">
        <v>1632</v>
      </c>
      <c r="BY16" s="2301"/>
      <c r="BZ16" s="2299" t="s">
        <v>1632</v>
      </c>
      <c r="CA16" s="2301"/>
      <c r="CB16" s="2299" t="s">
        <v>2050</v>
      </c>
      <c r="CC16" s="2301"/>
      <c r="CD16" s="2299" t="s">
        <v>1632</v>
      </c>
      <c r="CE16" s="2301"/>
      <c r="CF16" s="2299" t="s">
        <v>2051</v>
      </c>
      <c r="CG16" s="2301"/>
      <c r="CH16" s="2299" t="s">
        <v>2052</v>
      </c>
      <c r="CI16" s="2301"/>
      <c r="CJ16" s="2299" t="s">
        <v>2052</v>
      </c>
      <c r="CK16" s="2301"/>
      <c r="CL16" s="2365"/>
      <c r="CM16" s="2362"/>
      <c r="CN16" s="2362"/>
      <c r="CO16" s="2362"/>
      <c r="CP16" s="2362"/>
      <c r="CQ16" s="2362"/>
      <c r="CR16" s="2362"/>
      <c r="CS16" s="2362"/>
      <c r="CT16" s="2362"/>
      <c r="CU16" s="2362"/>
      <c r="CV16" s="2362"/>
      <c r="CW16" s="2362"/>
      <c r="CX16" s="2382"/>
      <c r="CY16" s="2243" t="s">
        <v>1632</v>
      </c>
      <c r="CZ16" s="2363"/>
      <c r="DA16" s="2243" t="s">
        <v>1632</v>
      </c>
      <c r="DB16" s="2363"/>
      <c r="DC16" s="2243" t="s">
        <v>1632</v>
      </c>
      <c r="DD16" s="2363"/>
      <c r="DE16" s="2299" t="s">
        <v>2050</v>
      </c>
      <c r="DF16" s="2301"/>
      <c r="DG16" s="2299" t="s">
        <v>2053</v>
      </c>
      <c r="DH16" s="2301"/>
      <c r="DI16" s="2299" t="s">
        <v>2053</v>
      </c>
      <c r="DJ16" s="2301"/>
      <c r="DK16" s="2365"/>
      <c r="DL16" s="2362"/>
      <c r="DM16" s="2362"/>
      <c r="DN16" s="2362"/>
      <c r="DO16" s="2362"/>
      <c r="DP16" s="2362"/>
      <c r="DQ16" s="2362"/>
      <c r="DR16" s="2362"/>
      <c r="DS16" s="2362"/>
      <c r="DT16" s="2362"/>
      <c r="DU16" s="2362"/>
      <c r="DV16" s="2362"/>
      <c r="DW16" s="2362"/>
      <c r="DX16" s="2362"/>
      <c r="DY16" s="2362"/>
      <c r="DZ16" s="2362"/>
      <c r="EA16" s="2362"/>
      <c r="EB16" s="2362"/>
      <c r="EC16" s="2362"/>
      <c r="ED16" s="2362"/>
      <c r="EE16" s="2362"/>
      <c r="EF16" s="2362"/>
      <c r="EG16" s="2362"/>
      <c r="EH16" s="2362"/>
      <c r="EI16" s="2362"/>
      <c r="EJ16" s="2362"/>
      <c r="EK16" s="2362"/>
      <c r="EL16" s="2362"/>
      <c r="EM16" s="2362"/>
      <c r="EN16" s="2362"/>
      <c r="EO16" s="2362"/>
      <c r="EP16" s="2362"/>
      <c r="EQ16" s="2362"/>
      <c r="ER16" s="2362"/>
      <c r="ES16" s="2362"/>
      <c r="ET16" s="2362"/>
      <c r="EU16" s="2362"/>
      <c r="EV16" s="2362"/>
      <c r="EW16" s="2362"/>
      <c r="EX16" s="2362"/>
      <c r="EY16" s="2362"/>
      <c r="EZ16" s="2362"/>
      <c r="FA16" s="2362"/>
      <c r="FB16" s="2362"/>
      <c r="FC16" s="2362"/>
      <c r="FD16" s="2362"/>
      <c r="FE16" s="2362"/>
      <c r="FF16" s="2362"/>
      <c r="FG16" s="2362"/>
      <c r="FH16" s="2362"/>
      <c r="FI16" s="2362"/>
      <c r="FJ16" s="2362"/>
      <c r="FK16" s="2362"/>
      <c r="FL16" s="2362"/>
      <c r="FM16" s="2362"/>
      <c r="FN16" s="2362"/>
      <c r="FO16" s="2362"/>
      <c r="FP16" s="2362"/>
      <c r="FQ16" s="2362"/>
      <c r="FR16" s="2362"/>
      <c r="FS16" s="2362"/>
      <c r="FT16" s="2362"/>
      <c r="FU16" s="2362"/>
      <c r="FV16" s="2362"/>
      <c r="FW16" s="2377"/>
      <c r="FX16" s="761"/>
    </row>
    <row customHeight="1" ht="15">
      <c r="E17" s="937"/>
      <c r="F17" s="2024"/>
      <c r="G17" s="2024"/>
      <c r="H17" s="2366"/>
      <c r="I17" s="2366"/>
      <c r="J17" s="2367"/>
      <c r="K17" s="2367"/>
      <c r="L17" s="2367"/>
      <c r="M17" s="2367"/>
      <c r="N17" s="2367"/>
      <c r="O17" s="1194" t="s">
        <v>2054</v>
      </c>
      <c r="P17" s="1194" t="s">
        <v>2055</v>
      </c>
      <c r="Q17" s="1194" t="s">
        <v>2054</v>
      </c>
      <c r="R17" s="1194" t="s">
        <v>2055</v>
      </c>
      <c r="S17" s="1194" t="s">
        <v>2054</v>
      </c>
      <c r="T17" s="1194" t="s">
        <v>2055</v>
      </c>
      <c r="U17" s="1194" t="s">
        <v>2054</v>
      </c>
      <c r="V17" s="1194" t="s">
        <v>2055</v>
      </c>
      <c r="W17" s="1194" t="s">
        <v>2054</v>
      </c>
      <c r="X17" s="1194" t="s">
        <v>2055</v>
      </c>
      <c r="Y17" s="1194" t="s">
        <v>2054</v>
      </c>
      <c r="Z17" s="1194" t="s">
        <v>2055</v>
      </c>
      <c r="AA17" s="1194" t="s">
        <v>2054</v>
      </c>
      <c r="AB17" s="1194" t="s">
        <v>2055</v>
      </c>
      <c r="AC17" s="2362"/>
      <c r="AD17" s="2362"/>
      <c r="AE17" s="2362"/>
      <c r="AF17" s="2362"/>
      <c r="AG17" s="2362"/>
      <c r="AH17" s="2362"/>
      <c r="AI17" s="2362"/>
      <c r="AJ17" s="2362"/>
      <c r="AK17" s="2362"/>
      <c r="AL17" s="2362"/>
      <c r="AM17" s="2362"/>
      <c r="AN17" s="2362"/>
      <c r="AO17" s="2362"/>
      <c r="AP17" s="2362"/>
      <c r="AQ17" s="2362"/>
      <c r="AR17" s="2362"/>
      <c r="AS17" s="2362"/>
      <c r="AT17" s="2362"/>
      <c r="AU17" s="2362"/>
      <c r="AV17" s="2362"/>
      <c r="AW17" s="2362"/>
      <c r="AX17" s="2362"/>
      <c r="AY17" s="2362"/>
      <c r="AZ17" s="2362"/>
      <c r="BA17" s="2362"/>
      <c r="BB17" s="2362"/>
      <c r="BC17" s="2362"/>
      <c r="BD17" s="2362"/>
      <c r="BE17" s="2362"/>
      <c r="BF17" s="2362"/>
      <c r="BG17" s="2362"/>
      <c r="BH17" s="2362"/>
      <c r="BI17" s="2362"/>
      <c r="BJ17" s="2362"/>
      <c r="BK17" s="2362"/>
      <c r="BL17" s="2362"/>
      <c r="BM17" s="2362"/>
      <c r="BN17" s="2362"/>
      <c r="BO17" s="2362"/>
      <c r="BP17" s="2362"/>
      <c r="BQ17" s="2362"/>
      <c r="BR17" s="2362"/>
      <c r="BS17" s="2382"/>
      <c r="BT17" s="1194" t="s">
        <v>2054</v>
      </c>
      <c r="BU17" s="1194" t="s">
        <v>2055</v>
      </c>
      <c r="BV17" s="1194" t="s">
        <v>2054</v>
      </c>
      <c r="BW17" s="1194" t="s">
        <v>2055</v>
      </c>
      <c r="BX17" s="1194" t="s">
        <v>2054</v>
      </c>
      <c r="BY17" s="1194" t="s">
        <v>2055</v>
      </c>
      <c r="BZ17" s="1194" t="s">
        <v>2054</v>
      </c>
      <c r="CA17" s="1194" t="s">
        <v>2055</v>
      </c>
      <c r="CB17" s="1194" t="s">
        <v>2054</v>
      </c>
      <c r="CC17" s="1194" t="s">
        <v>2055</v>
      </c>
      <c r="CD17" s="1194" t="s">
        <v>2054</v>
      </c>
      <c r="CE17" s="1194" t="s">
        <v>2055</v>
      </c>
      <c r="CF17" s="1194" t="s">
        <v>2054</v>
      </c>
      <c r="CG17" s="1194" t="s">
        <v>2055</v>
      </c>
      <c r="CH17" s="1194" t="s">
        <v>2054</v>
      </c>
      <c r="CI17" s="1194" t="s">
        <v>2055</v>
      </c>
      <c r="CJ17" s="1194" t="s">
        <v>2054</v>
      </c>
      <c r="CK17" s="1194" t="s">
        <v>2055</v>
      </c>
      <c r="CL17" s="2365"/>
      <c r="CM17" s="2362"/>
      <c r="CN17" s="2362"/>
      <c r="CO17" s="2362"/>
      <c r="CP17" s="2362"/>
      <c r="CQ17" s="2362"/>
      <c r="CR17" s="2362"/>
      <c r="CS17" s="2362"/>
      <c r="CT17" s="2362"/>
      <c r="CU17" s="2362"/>
      <c r="CV17" s="2362"/>
      <c r="CW17" s="2362"/>
      <c r="CX17" s="2382"/>
      <c r="CY17" s="1194" t="s">
        <v>2054</v>
      </c>
      <c r="CZ17" s="1194" t="s">
        <v>2055</v>
      </c>
      <c r="DA17" s="1194" t="s">
        <v>2054</v>
      </c>
      <c r="DB17" s="1194" t="s">
        <v>2055</v>
      </c>
      <c r="DC17" s="1194" t="s">
        <v>2054</v>
      </c>
      <c r="DD17" s="1194" t="s">
        <v>2055</v>
      </c>
      <c r="DE17" s="1194" t="s">
        <v>2054</v>
      </c>
      <c r="DF17" s="1194" t="s">
        <v>2055</v>
      </c>
      <c r="DG17" s="1194" t="s">
        <v>2054</v>
      </c>
      <c r="DH17" s="1194" t="s">
        <v>2055</v>
      </c>
      <c r="DI17" s="1194" t="s">
        <v>2054</v>
      </c>
      <c r="DJ17" s="1194" t="s">
        <v>2055</v>
      </c>
      <c r="DK17" s="2365"/>
      <c r="DL17" s="2362"/>
      <c r="DM17" s="2362"/>
      <c r="DN17" s="2362"/>
      <c r="DO17" s="2362"/>
      <c r="DP17" s="2362"/>
      <c r="DQ17" s="2362"/>
      <c r="DR17" s="2362"/>
      <c r="DS17" s="2362"/>
      <c r="DT17" s="2362"/>
      <c r="DU17" s="2362"/>
      <c r="DV17" s="2362"/>
      <c r="DW17" s="2362"/>
      <c r="DX17" s="2362"/>
      <c r="DY17" s="2362"/>
      <c r="DZ17" s="2362"/>
      <c r="EA17" s="2362"/>
      <c r="EB17" s="2362"/>
      <c r="EC17" s="2362"/>
      <c r="ED17" s="2362"/>
      <c r="EE17" s="2362"/>
      <c r="EF17" s="2362"/>
      <c r="EG17" s="2362"/>
      <c r="EH17" s="2362"/>
      <c r="EI17" s="2362"/>
      <c r="EJ17" s="2362"/>
      <c r="EK17" s="2362"/>
      <c r="EL17" s="2362"/>
      <c r="EM17" s="2362"/>
      <c r="EN17" s="2362"/>
      <c r="EO17" s="2362"/>
      <c r="EP17" s="2362"/>
      <c r="EQ17" s="2362"/>
      <c r="ER17" s="2362"/>
      <c r="ES17" s="2362"/>
      <c r="ET17" s="2362"/>
      <c r="EU17" s="2362"/>
      <c r="EV17" s="2362"/>
      <c r="EW17" s="2362"/>
      <c r="EX17" s="2362"/>
      <c r="EY17" s="2362"/>
      <c r="EZ17" s="2362"/>
      <c r="FA17" s="2362"/>
      <c r="FB17" s="2362"/>
      <c r="FC17" s="2362"/>
      <c r="FD17" s="2362"/>
      <c r="FE17" s="2362"/>
      <c r="FF17" s="2362"/>
      <c r="FG17" s="2362"/>
      <c r="FH17" s="2362"/>
      <c r="FI17" s="2362"/>
      <c r="FJ17" s="2362"/>
      <c r="FK17" s="2362"/>
      <c r="FL17" s="2362"/>
      <c r="FM17" s="2362"/>
      <c r="FN17" s="2362"/>
      <c r="FO17" s="2362"/>
      <c r="FP17" s="2362"/>
      <c r="FQ17" s="2362"/>
      <c r="FR17" s="2362"/>
      <c r="FS17" s="2362"/>
      <c r="FT17" s="2362"/>
      <c r="FU17" s="2362"/>
      <c r="FV17" s="2362"/>
      <c r="FW17" s="2378"/>
      <c r="FX17" s="761"/>
    </row>
    <row s="925" customFormat="1" customHeight="1" ht="12" hidden="1">
      <c r="B18" s="923"/>
      <c r="E18" s="939"/>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row>
    <row s="925" customFormat="1" customHeight="1" ht="11.25" hidden="1">
      <c r="B19" s="923"/>
      <c r="E19" s="939"/>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row>
    <row s="925" customFormat="1" customHeight="1" ht="11.25" hidden="1">
      <c r="B20" s="940"/>
      <c r="D20" s="924"/>
      <c r="E20" s="939"/>
      <c r="F20" s="1200" t="s">
        <v>368</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row>
    <row s="925" customFormat="1" customHeight="1" ht="12">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row>
    <row s="925" customFormat="1" customHeight="1" ht="12">
      <c r="A22" s="941"/>
      <c r="B22" s="941"/>
      <c r="C22" s="941"/>
      <c r="D22" s="941"/>
      <c r="E22" s="941"/>
      <c r="FX22" s="941"/>
      <c r="FY22" s="941"/>
      <c r="FZ22" s="941"/>
      <c r="GA22" s="941"/>
      <c r="GB22" s="941"/>
    </row>
    <row s="1064" customFormat="1" customHeight="1" ht="12">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row>
    <row customHeight="1" ht="12">
      <c r="S24" s="938"/>
      <c r="T24" s="938"/>
      <c r="U24" s="938"/>
      <c r="V24" s="938"/>
      <c r="W24" s="938"/>
      <c r="X24" s="938"/>
      <c r="Y24" s="938"/>
      <c r="Z24" s="938"/>
      <c r="AA24" s="938"/>
      <c r="AB24" s="938"/>
      <c r="FX24" s="938"/>
      <c r="FY24" s="938"/>
      <c r="FZ24" s="938"/>
      <c r="GA24" s="938"/>
      <c r="GB24" s="938"/>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68412A-43C8-1376-9E35-80F96B88E28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2056</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2057</v>
      </c>
      <c r="AM4" s="498"/>
      <c r="AN4" s="498" t="str">
        <f>IF(T4="","",T4)</f>
        <v>Наименование централизованной системы горячего водоснабжения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516">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506" t="s">
        <v>2058</v>
      </c>
      <c r="W38" s="2177" t="s">
        <v>2059</v>
      </c>
      <c r="X38" s="2178"/>
      <c r="Y38" s="2177" t="s">
        <v>495</v>
      </c>
      <c r="Z38" s="2184"/>
      <c r="AA38" s="2178"/>
      <c r="AB38" s="2193"/>
      <c r="AC38" s="1506" t="s">
        <v>2058</v>
      </c>
      <c r="AD38" s="2177" t="s">
        <v>2059</v>
      </c>
      <c r="AE38" s="2178"/>
      <c r="AF38" s="2177" t="s">
        <v>495</v>
      </c>
      <c r="AG38" s="2184"/>
      <c r="AH38" s="2178"/>
      <c r="AI38" s="2193"/>
      <c r="AJ38" s="2196"/>
      <c r="AK38" s="1948"/>
    </row>
    <row customHeight="1" ht="86.2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506" t="s">
        <v>2060</v>
      </c>
      <c r="W39" s="1230" t="s">
        <v>2061</v>
      </c>
      <c r="X39" s="1230" t="s">
        <v>2062</v>
      </c>
      <c r="Y39" s="1512" t="s">
        <v>505</v>
      </c>
      <c r="Z39" s="2185" t="s">
        <v>506</v>
      </c>
      <c r="AA39" s="2186"/>
      <c r="AB39" s="2194"/>
      <c r="AC39" s="1506" t="s">
        <v>2060</v>
      </c>
      <c r="AD39" s="1230" t="s">
        <v>2061</v>
      </c>
      <c r="AE39" s="1230" t="s">
        <v>2062</v>
      </c>
      <c r="AF39" s="1512" t="s">
        <v>505</v>
      </c>
      <c r="AG39" s="2185" t="s">
        <v>506</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241</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241</v>
      </c>
      <c r="B42" s="1386" t="s">
        <v>242</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241</v>
      </c>
      <c r="B43" s="1386" t="s">
        <v>242</v>
      </c>
      <c r="C43" s="1386" t="s">
        <v>243</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2056</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2057</v>
      </c>
      <c r="AM43" s="498"/>
      <c r="AN43" s="498" t="str">
        <f>IF(T43="","",T43)</f>
        <v>Наименование централизованной системы горячего водоснабжения</v>
      </c>
      <c r="AO43" s="498"/>
      <c r="AP43" s="498"/>
    </row>
    <row customHeight="1" ht="23.25">
      <c r="A44" s="1386" t="s">
        <v>241</v>
      </c>
      <c r="B44" s="1386" t="s">
        <v>242</v>
      </c>
      <c r="C44" s="1386" t="s">
        <v>243</v>
      </c>
      <c r="D44" s="1386" t="s">
        <v>2063</v>
      </c>
      <c r="E44" s="2174"/>
      <c r="F44" s="2174"/>
      <c r="G44" s="2174"/>
      <c r="H44" s="2174"/>
      <c r="I44" s="2171" t="str">
        <f>S43&amp;".1"</f>
        <v>...1</v>
      </c>
      <c r="J44" s="1386"/>
      <c r="K44" s="1386"/>
      <c r="L44" s="1387"/>
      <c r="P44" s="2172">
        <v>1</v>
      </c>
      <c r="Q44" s="1504"/>
      <c r="R44" s="344"/>
      <c r="S44" s="1516"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241</v>
      </c>
      <c r="B45" s="1386" t="s">
        <v>242</v>
      </c>
      <c r="C45" s="1386" t="s">
        <v>243</v>
      </c>
      <c r="D45" s="1386" t="s">
        <v>2063</v>
      </c>
      <c r="E45" s="2174"/>
      <c r="F45" s="2174"/>
      <c r="G45" s="2174"/>
      <c r="H45" s="2174"/>
      <c r="I45" s="2201"/>
      <c r="J45" s="2171" t="str">
        <f>I44&amp;".1"</f>
        <v>...1.1</v>
      </c>
      <c r="K45" s="1386"/>
      <c r="L45" s="1387" t="s">
        <v>468</v>
      </c>
      <c r="P45" s="2172"/>
      <c r="Q45" s="2172">
        <v>1</v>
      </c>
      <c r="R45" s="345"/>
      <c r="S45" s="1516"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241</v>
      </c>
      <c r="B46" s="1386" t="s">
        <v>242</v>
      </c>
      <c r="C46" s="1386" t="s">
        <v>243</v>
      </c>
      <c r="D46" s="1386" t="s">
        <v>2063</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58</v>
      </c>
      <c r="AA46" s="2182"/>
      <c r="AB46" s="2183" t="s">
        <v>58</v>
      </c>
      <c r="AC46" s="749"/>
      <c r="AD46" s="749"/>
      <c r="AE46" s="1278"/>
      <c r="AF46" s="2180"/>
      <c r="AG46" s="1928" t="s">
        <v>58</v>
      </c>
      <c r="AH46" s="2202"/>
      <c r="AI46" s="1928" t="s">
        <v>56</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241</v>
      </c>
      <c r="B47" s="1386" t="s">
        <v>242</v>
      </c>
      <c r="C47" s="1386" t="s">
        <v>243</v>
      </c>
      <c r="D47" s="1386" t="s">
        <v>2063</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241</v>
      </c>
      <c r="B48" s="1386" t="s">
        <v>242</v>
      </c>
      <c r="C48" s="1386" t="s">
        <v>243</v>
      </c>
      <c r="D48" s="1386" t="s">
        <v>2063</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241</v>
      </c>
      <c r="B49" s="1386" t="s">
        <v>242</v>
      </c>
      <c r="C49" s="1386" t="s">
        <v>243</v>
      </c>
      <c r="D49" s="1386" t="s">
        <v>2063</v>
      </c>
      <c r="E49" s="2174"/>
      <c r="F49" s="2174"/>
      <c r="G49" s="2174"/>
      <c r="H49" s="2174"/>
      <c r="I49" s="2171"/>
      <c r="J49" s="1386"/>
      <c r="K49" s="1386"/>
      <c r="L49" s="1387"/>
      <c r="P49" s="2172"/>
      <c r="Q49" s="1504"/>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241</v>
      </c>
      <c r="B50" s="1386" t="s">
        <v>242</v>
      </c>
      <c r="C50" s="1386" t="s">
        <v>243</v>
      </c>
      <c r="D50" s="1386" t="s">
        <v>2063</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241</v>
      </c>
      <c r="B51" s="1366" t="s">
        <v>242</v>
      </c>
      <c r="C51" s="1337"/>
      <c r="D51" s="1337"/>
      <c r="E51" s="2174"/>
      <c r="F51" s="2173"/>
      <c r="G51" s="1337"/>
      <c r="H51" s="1337"/>
      <c r="I51" s="1337"/>
      <c r="J51" s="1337"/>
      <c r="K51" s="1337"/>
      <c r="L51" s="1517"/>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241</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2064</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2065</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68CC6-8A57-BFF8-4E6C-83416C49FF1F}" mc:Ignorable="x14ac xr xr2 xr3">
  <sheetPr>
    <tabColor rgb="FFCCCCFF"/>
  </sheetPr>
  <dimension ref="A1:AR130"/>
  <sheetViews>
    <sheetView topLeftCell="C4" showGridLines="0" zoomScale="90" workbookViewId="0">
      <selection activeCell="A1" sqref="A1"/>
    </sheetView>
  </sheetViews>
  <sheetFormatPr defaultColWidth="9.140625" customHeight="1" defaultRowHeight="11.25"/>
  <cols>
    <col min="1" max="2" style="1655" width="3.7109375" hidden="1" customWidth="1"/>
    <col min="3" max="3" style="1888" width="3.7109375" customWidth="1"/>
    <col min="4" max="4" style="1888" width="6.140625" customWidth="1"/>
    <col min="5" max="5" style="1888" width="43.140625" customWidth="1"/>
    <col min="6" max="6" style="1888" width="15.00390625" customWidth="1"/>
    <col min="7" max="7" style="1888" width="43.140625" customWidth="1"/>
    <col min="8" max="8" style="1888" width="3.7109375" customWidth="1"/>
    <col min="9" max="9" style="1888" width="5.421875" customWidth="1"/>
    <col min="10" max="10" style="1888" width="47.8515625" customWidth="1"/>
    <col min="11" max="12" style="1888" width="3.7109375" customWidth="1"/>
    <col min="13" max="13" style="1888" width="5.7109375" customWidth="1"/>
    <col min="14" max="14" style="1888" width="28.140625" customWidth="1"/>
    <col min="15" max="16" style="1888" width="3.7109375" customWidth="1"/>
    <col min="17" max="17" style="1888" width="5.7109375" customWidth="1"/>
    <col min="18" max="18" style="1888" width="34.421875" customWidth="1"/>
    <col min="19" max="20" style="1888" width="3.7109375" hidden="1" customWidth="1"/>
    <col min="21" max="21" style="1888" width="5.7109375" hidden="1" customWidth="1"/>
    <col min="22" max="22" style="1888" width="34.421875" hidden="1" customWidth="1"/>
    <col min="23" max="23" style="1888" width="30.7109375" customWidth="1"/>
    <col min="24" max="24" style="1888" width="3.7109375" customWidth="1"/>
    <col min="25" max="28" style="1288" width="9.8515625" hidden="1" customWidth="1"/>
    <col min="29" max="29" style="1288" width="27.00390625" hidden="1" customWidth="1"/>
    <col min="30" max="30" style="1288" width="10.57421875" hidden="1" customWidth="1"/>
    <col min="31" max="31" style="1288" width="10.7109375" hidden="1" customWidth="1"/>
    <col min="32" max="32" style="1288" width="10.00390625" hidden="1" customWidth="1"/>
    <col min="33" max="33" style="1288" width="12.8515625" hidden="1" customWidth="1"/>
    <col min="34" max="34" style="1288" width="10.28125" hidden="1" customWidth="1"/>
    <col min="35" max="35" style="1288" width="15.8515625" hidden="1" customWidth="1"/>
    <col min="36" max="36" style="1288" width="19.421875" hidden="1" customWidth="1"/>
    <col min="37" max="37" style="1288" width="11.00390625" hidden="1" customWidth="1"/>
    <col min="38" max="38" style="1288" width="23.57421875" hidden="1" customWidth="1"/>
    <col min="39" max="39" style="1288" width="23.8515625" hidden="1" customWidth="1"/>
    <col min="40" max="40" style="1288" width="25.28125" hidden="1" customWidth="1"/>
    <col min="41" max="41" style="1288" width="16.8515625" hidden="1" customWidth="1"/>
    <col min="42" max="42" style="1288" width="29.57421875" hidden="1" customWidth="1"/>
    <col min="43" max="43" style="1288" width="29.8515625" hidden="1" customWidth="1"/>
    <col min="44" max="44" style="1888" width="9.140625" hidden="1"/>
  </cols>
  <sheetData>
    <row customHeight="1" ht="11.25" hidden="1">
      <c r="A1" s="136"/>
    </row>
    <row customHeight="1" ht="11.25" hidden="1"/>
    <row customHeight="1" ht="11.25" hidden="1"/>
    <row customHeight="1" ht="3"/>
    <row s="587" customFormat="1" customHeight="1" ht="39">
      <c r="A5" s="134"/>
      <c r="B5" s="134"/>
      <c r="D5" s="197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979"/>
      <c r="F5" s="1979"/>
      <c r="G5" s="1979"/>
      <c r="H5" s="1979"/>
      <c r="I5" s="1979"/>
      <c r="J5" s="1980"/>
      <c r="K5" s="244"/>
      <c r="L5" s="122"/>
      <c r="M5" s="122"/>
      <c r="N5" s="122"/>
      <c r="O5" s="122"/>
      <c r="P5" s="122"/>
      <c r="Q5" s="122"/>
      <c r="R5" s="122"/>
      <c r="S5" s="271"/>
      <c r="T5" s="271"/>
      <c r="U5" s="271"/>
      <c r="V5" s="271"/>
      <c r="W5" s="122"/>
      <c r="Y5" s="1282"/>
      <c r="Z5" s="1282"/>
      <c r="AA5" s="1282"/>
      <c r="AB5" s="1282"/>
      <c r="AC5" s="1282"/>
      <c r="AD5" s="1282"/>
      <c r="AE5" s="1282"/>
      <c r="AF5" s="1282"/>
      <c r="AG5" s="1282"/>
      <c r="AH5" s="1282"/>
      <c r="AI5" s="1282"/>
      <c r="AJ5" s="1282"/>
      <c r="AK5" s="1282"/>
      <c r="AL5" s="1282"/>
      <c r="AM5" s="1282"/>
      <c r="AN5" s="1282"/>
      <c r="AO5" s="1282"/>
      <c r="AP5" s="1282"/>
      <c r="AQ5" s="1282"/>
    </row>
    <row s="587" customFormat="1" customHeight="1" ht="15">
      <c r="A6" s="583"/>
      <c r="B6" s="583"/>
      <c r="C6" s="583"/>
      <c r="D6" s="1984" t="str">
        <f>IF(org=0,"Не определено",org)</f>
        <v>ПАО "ТГК-2"</v>
      </c>
      <c r="E6" s="1984"/>
      <c r="F6" s="1984"/>
      <c r="G6" s="1984"/>
      <c r="H6" s="1984"/>
      <c r="I6" s="1984"/>
      <c r="J6" s="1984"/>
      <c r="K6" s="584"/>
      <c r="L6" s="584"/>
      <c r="M6" s="584"/>
      <c r="N6" s="584"/>
      <c r="O6" s="868"/>
      <c r="P6" s="868"/>
      <c r="Q6" s="868"/>
      <c r="R6" s="868"/>
      <c r="S6" s="868"/>
      <c r="T6" s="868"/>
      <c r="U6" s="868"/>
      <c r="V6" s="868"/>
      <c r="W6" s="868"/>
      <c r="X6" s="584"/>
      <c r="Y6" s="1283"/>
      <c r="Z6" s="1283"/>
      <c r="AA6" s="1283"/>
      <c r="AB6" s="1283"/>
      <c r="AC6" s="1283"/>
      <c r="AD6" s="1283"/>
      <c r="AE6" s="1283"/>
      <c r="AF6" s="1283"/>
      <c r="AG6" s="1283"/>
      <c r="AH6" s="1283"/>
      <c r="AI6" s="1283"/>
      <c r="AJ6" s="1283"/>
      <c r="AK6" s="1283"/>
      <c r="AL6" s="1283"/>
      <c r="AM6" s="1283"/>
      <c r="AN6" s="1283"/>
      <c r="AO6" s="1283"/>
      <c r="AP6" s="1283"/>
      <c r="AQ6" s="1283"/>
    </row>
    <row s="279" customFormat="1" customHeight="1" ht="11.25">
      <c r="A7" s="190"/>
      <c r="B7" s="190"/>
      <c r="D7" s="1981"/>
      <c r="E7" s="1982"/>
      <c r="F7" s="1982"/>
      <c r="G7" s="1982"/>
      <c r="H7" s="1982"/>
      <c r="I7" s="1982"/>
      <c r="J7" s="1983"/>
      <c r="S7" s="279"/>
      <c r="T7" s="279"/>
      <c r="U7" s="279"/>
      <c r="V7" s="279"/>
      <c r="Y7" s="1284"/>
      <c r="Z7" s="1284"/>
      <c r="AA7" s="1284"/>
      <c r="AB7" s="1284"/>
      <c r="AC7" s="1284"/>
      <c r="AD7" s="1284"/>
      <c r="AE7" s="1284"/>
      <c r="AF7" s="1284"/>
      <c r="AG7" s="1284"/>
      <c r="AH7" s="1284"/>
      <c r="AI7" s="1284"/>
      <c r="AJ7" s="1284"/>
      <c r="AK7" s="1284"/>
      <c r="AL7" s="1284"/>
      <c r="AM7" s="1284"/>
      <c r="AN7" s="1284"/>
      <c r="AO7" s="1284"/>
      <c r="AP7" s="1284"/>
      <c r="AQ7" s="1284"/>
    </row>
    <row s="587" customFormat="1" customHeight="1" ht="0.75">
      <c r="A8" s="134"/>
      <c r="B8" s="134"/>
      <c r="D8" s="191"/>
      <c r="E8" s="191"/>
      <c r="F8" s="191"/>
      <c r="G8" s="191"/>
      <c r="H8" s="191"/>
      <c r="I8" s="191"/>
      <c r="J8" s="191"/>
      <c r="K8" s="191"/>
      <c r="L8" s="191"/>
      <c r="M8" s="191"/>
      <c r="N8" s="191"/>
      <c r="O8" s="191"/>
      <c r="P8" s="191"/>
      <c r="Q8" s="191"/>
      <c r="R8" s="191"/>
      <c r="S8" s="191"/>
      <c r="T8" s="191"/>
      <c r="U8" s="191"/>
      <c r="V8" s="191"/>
      <c r="W8" s="191"/>
      <c r="X8" s="112"/>
      <c r="Y8" s="1282"/>
      <c r="Z8" s="1282"/>
      <c r="AA8" s="1282"/>
      <c r="AB8" s="1282"/>
      <c r="AC8" s="1282"/>
      <c r="AD8" s="1282"/>
      <c r="AE8" s="1282"/>
      <c r="AF8" s="1282"/>
      <c r="AG8" s="1282"/>
      <c r="AH8" s="1282"/>
      <c r="AI8" s="1282"/>
      <c r="AJ8" s="1282"/>
      <c r="AK8" s="1282"/>
      <c r="AL8" s="1282"/>
      <c r="AM8" s="1282"/>
      <c r="AN8" s="1282"/>
      <c r="AO8" s="1282"/>
      <c r="AP8" s="1282"/>
      <c r="AQ8" s="1282"/>
    </row>
    <row customHeight="1" ht="27">
      <c r="D9" s="1948" t="s">
        <v>87</v>
      </c>
      <c r="E9" s="1922" t="s">
        <v>126</v>
      </c>
      <c r="F9" s="1924"/>
      <c r="G9" s="1948" t="s">
        <v>104</v>
      </c>
      <c r="H9" s="1948" t="s">
        <v>87</v>
      </c>
      <c r="I9" s="1948"/>
      <c r="J9" s="1948" t="s">
        <v>127</v>
      </c>
      <c r="K9" s="1976" t="s">
        <v>128</v>
      </c>
      <c r="L9" s="1976"/>
      <c r="M9" s="1976"/>
      <c r="N9" s="1976"/>
      <c r="O9" s="1976" t="s">
        <v>129</v>
      </c>
      <c r="P9" s="1976"/>
      <c r="Q9" s="1976"/>
      <c r="R9" s="1976"/>
      <c r="S9" s="1976" t="s">
        <v>130</v>
      </c>
      <c r="T9" s="1976"/>
      <c r="U9" s="1976"/>
      <c r="V9" s="1976"/>
      <c r="W9" s="1948" t="s">
        <v>131</v>
      </c>
    </row>
    <row customHeight="1" ht="30">
      <c r="D10" s="1948"/>
      <c r="E10" s="1307" t="s">
        <v>88</v>
      </c>
      <c r="F10" s="1307" t="s">
        <v>132</v>
      </c>
      <c r="G10" s="1948"/>
      <c r="H10" s="1948"/>
      <c r="I10" s="1948"/>
      <c r="J10" s="1948"/>
      <c r="K10" s="90" t="s">
        <v>107</v>
      </c>
      <c r="L10" s="1948" t="s">
        <v>87</v>
      </c>
      <c r="M10" s="1948"/>
      <c r="N10" s="90" t="s">
        <v>133</v>
      </c>
      <c r="O10" s="90" t="s">
        <v>107</v>
      </c>
      <c r="P10" s="1948" t="s">
        <v>87</v>
      </c>
      <c r="Q10" s="1948"/>
      <c r="R10" s="90" t="s">
        <v>133</v>
      </c>
      <c r="S10" s="264" t="s">
        <v>107</v>
      </c>
      <c r="T10" s="1948" t="s">
        <v>87</v>
      </c>
      <c r="U10" s="1948"/>
      <c r="V10" s="264" t="s">
        <v>88</v>
      </c>
      <c r="W10" s="1948"/>
      <c r="Z10" s="1281" t="s">
        <v>134</v>
      </c>
      <c r="AA10" s="1281" t="s">
        <v>135</v>
      </c>
      <c r="AB10" s="1281" t="s">
        <v>136</v>
      </c>
      <c r="AC10" s="1281" t="s">
        <v>137</v>
      </c>
      <c r="AD10" s="1281" t="s">
        <v>138</v>
      </c>
      <c r="AE10" s="1281" t="s">
        <v>139</v>
      </c>
      <c r="AF10" s="1281" t="s">
        <v>140</v>
      </c>
      <c r="AG10" s="1281" t="s">
        <v>141</v>
      </c>
      <c r="AH10" s="1281" t="s">
        <v>142</v>
      </c>
      <c r="AI10" s="1281" t="s">
        <v>143</v>
      </c>
      <c r="AJ10" s="1281" t="s">
        <v>144</v>
      </c>
      <c r="AK10" s="1281" t="s">
        <v>145</v>
      </c>
      <c r="AL10" s="1281" t="s">
        <v>146</v>
      </c>
      <c r="AM10" s="1281" t="s">
        <v>147</v>
      </c>
      <c r="AN10" s="1281" t="s">
        <v>148</v>
      </c>
      <c r="AO10" s="1281" t="s">
        <v>149</v>
      </c>
      <c r="AP10" s="1281" t="s">
        <v>150</v>
      </c>
      <c r="AQ10" s="1281" t="s">
        <v>151</v>
      </c>
    </row>
    <row s="1655" customFormat="1" customHeight="1" ht="12" hidden="1">
      <c r="D11" s="1261" t="s">
        <v>108</v>
      </c>
      <c r="E11" s="1261" t="s">
        <v>109</v>
      </c>
      <c r="F11" s="1261"/>
      <c r="G11" s="1261" t="s">
        <v>89</v>
      </c>
      <c r="H11" s="1977" t="s">
        <v>110</v>
      </c>
      <c r="I11" s="1977"/>
      <c r="J11" s="1261" t="s">
        <v>91</v>
      </c>
      <c r="K11" s="1261" t="s">
        <v>92</v>
      </c>
      <c r="L11" s="1977" t="s">
        <v>111</v>
      </c>
      <c r="M11" s="1977"/>
      <c r="N11" s="1261" t="s">
        <v>152</v>
      </c>
      <c r="O11" s="1261" t="s">
        <v>153</v>
      </c>
      <c r="P11" s="1977" t="s">
        <v>154</v>
      </c>
      <c r="Q11" s="1977"/>
      <c r="R11" s="1261" t="s">
        <v>155</v>
      </c>
      <c r="S11" s="1261" t="s">
        <v>154</v>
      </c>
      <c r="T11" s="1977" t="s">
        <v>155</v>
      </c>
      <c r="U11" s="1977"/>
      <c r="V11" s="1261" t="s">
        <v>156</v>
      </c>
      <c r="W11" s="1261" t="s">
        <v>157</v>
      </c>
      <c r="Y11" s="1281"/>
      <c r="Z11" s="1281"/>
      <c r="AA11" s="1281"/>
      <c r="AB11" s="1281"/>
      <c r="AC11" s="1281"/>
      <c r="AD11" s="1281"/>
      <c r="AE11" s="1281"/>
      <c r="AF11" s="1281"/>
      <c r="AG11" s="1281"/>
      <c r="AH11" s="1281"/>
      <c r="AI11" s="1281"/>
      <c r="AJ11" s="1281"/>
      <c r="AK11" s="1281"/>
      <c r="AL11" s="1281"/>
      <c r="AM11" s="1281"/>
      <c r="AN11" s="1281"/>
      <c r="AO11" s="1281"/>
      <c r="AP11" s="1281"/>
      <c r="AQ11" s="1281"/>
    </row>
    <row customHeight="1" ht="14.25" hidden="1">
      <c r="C12" s="188"/>
      <c r="D12" s="1305">
        <v>0</v>
      </c>
      <c r="E12" s="229"/>
      <c r="F12" s="229"/>
      <c r="G12" s="229"/>
      <c r="H12" s="230"/>
      <c r="I12" s="230"/>
      <c r="J12" s="138"/>
      <c r="K12" s="92"/>
      <c r="L12" s="138"/>
      <c r="M12" s="138"/>
      <c r="N12" s="231"/>
      <c r="O12" s="92"/>
      <c r="P12" s="138"/>
      <c r="Q12" s="138"/>
      <c r="R12" s="232"/>
      <c r="S12" s="265"/>
      <c r="T12" s="273"/>
      <c r="U12" s="273"/>
      <c r="V12" s="276"/>
      <c r="W12" s="92"/>
      <c r="X12" s="121"/>
    </row>
    <row s="1888" customFormat="1" customHeight="1" ht="17.25" hidden="1">
      <c r="A13" s="306"/>
      <c r="C13" s="188"/>
      <c r="D13" s="1962">
        <v>1</v>
      </c>
      <c r="E13" s="1964" t="s">
        <v>158</v>
      </c>
      <c r="F13" s="1966" t="s">
        <v>56</v>
      </c>
      <c r="G13" s="1964"/>
      <c r="H13" s="1969"/>
      <c r="I13" s="1971"/>
      <c r="J13" s="1973"/>
      <c r="K13" s="1956"/>
      <c r="L13" s="1956"/>
      <c r="M13" s="1956"/>
      <c r="N13" s="1958"/>
      <c r="O13" s="1956"/>
      <c r="P13" s="1956"/>
      <c r="Q13" s="1956"/>
      <c r="R13" s="1961"/>
      <c r="S13" s="1956"/>
      <c r="T13" s="1443"/>
      <c r="U13" s="1443"/>
      <c r="V13" s="1442"/>
      <c r="W13" s="1319"/>
      <c r="Y13" s="1289"/>
      <c r="Z13" s="1289"/>
      <c r="AA13" s="1289"/>
      <c r="AB13" s="1289"/>
      <c r="AC13" s="1289" t="s">
        <v>159</v>
      </c>
      <c r="AD13" s="1289" t="s">
        <v>160</v>
      </c>
      <c r="AE13" s="1289" t="s">
        <v>161</v>
      </c>
      <c r="AF13" s="1289" t="s">
        <v>162</v>
      </c>
      <c r="AG13" s="1289" t="s">
        <v>163</v>
      </c>
      <c r="AH13" s="128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89" t="str">
        <f>IF($G$13=0,"",$G$13)</f>
        <v/>
      </c>
      <c r="AJ13" s="1289" t="str">
        <f>IF($J$13=0,"",$J$13)</f>
        <v/>
      </c>
      <c r="AK13" s="1289" t="str">
        <f>IF($K$13="нет","без дифференциации",IF($N$13=0,"",$N$13))</f>
        <v/>
      </c>
      <c r="AL13" s="1289" t="str">
        <f>IF($O$13="нет","без дифференциации",IF($R$13=0,"",$R$13))</f>
        <v/>
      </c>
      <c r="AM13" s="1289" t="str">
        <f>IF($S$13="нет","без дифференциации",IF($V$13=0,"",$V$13))</f>
        <v/>
      </c>
      <c r="AN13" s="1289">
        <f>$I$13</f>
        <v>0</v>
      </c>
      <c r="AO13" s="1289" t="str">
        <f>$I$13&amp;"."&amp;$M$13</f>
        <v>.</v>
      </c>
      <c r="AP13" s="1289" t="str">
        <f>$I$13&amp;"."&amp;$M$13&amp;"."&amp;$Q$13</f>
        <v>..</v>
      </c>
      <c r="AQ13" s="1289" t="str">
        <f>$I$13&amp;"."&amp;$M$13&amp;"."&amp;$Q$13&amp;"."&amp;$U$13</f>
        <v>...</v>
      </c>
    </row>
    <row s="1888" customFormat="1" customHeight="1" ht="17.25" hidden="1">
      <c r="A14" s="306"/>
      <c r="C14" s="305"/>
      <c r="D14" s="1962"/>
      <c r="E14" s="1964"/>
      <c r="F14" s="1967"/>
      <c r="G14" s="1964"/>
      <c r="H14" s="1970"/>
      <c r="I14" s="1972"/>
      <c r="J14" s="1974"/>
      <c r="K14" s="1957"/>
      <c r="L14" s="1957"/>
      <c r="M14" s="1957"/>
      <c r="N14" s="1959"/>
      <c r="O14" s="1957"/>
      <c r="P14" s="1957"/>
      <c r="Q14" s="1957"/>
      <c r="R14" s="1960"/>
      <c r="S14" s="1957"/>
      <c r="T14" s="1320"/>
      <c r="U14" s="1320"/>
      <c r="V14" s="1320"/>
      <c r="W14" s="1321"/>
      <c r="Y14" s="1281"/>
      <c r="Z14" s="1281"/>
      <c r="AA14" s="1281"/>
      <c r="AB14" s="1281"/>
      <c r="AC14" s="1281"/>
      <c r="AD14" s="1281"/>
      <c r="AE14" s="1281"/>
      <c r="AF14" s="1281"/>
      <c r="AG14" s="1281"/>
      <c r="AH14" s="1281"/>
      <c r="AI14" s="1281"/>
      <c r="AJ14" s="1281"/>
      <c r="AK14" s="1281"/>
      <c r="AL14" s="1281"/>
      <c r="AM14" s="1281"/>
      <c r="AN14" s="1281"/>
      <c r="AO14" s="1281"/>
      <c r="AP14" s="1281"/>
      <c r="AQ14" s="1281"/>
    </row>
    <row s="1888" customFormat="1" customHeight="1" ht="17.25" hidden="1">
      <c r="A15" s="306"/>
      <c r="C15" s="188"/>
      <c r="D15" s="1962"/>
      <c r="E15" s="1964"/>
      <c r="F15" s="1967"/>
      <c r="G15" s="1964"/>
      <c r="H15" s="1970"/>
      <c r="I15" s="1972"/>
      <c r="J15" s="1975"/>
      <c r="K15" s="1957"/>
      <c r="L15" s="1957"/>
      <c r="M15" s="1957"/>
      <c r="N15" s="1960"/>
      <c r="O15" s="1957"/>
      <c r="P15" s="1441"/>
      <c r="Q15" s="1320"/>
      <c r="R15" s="1320"/>
      <c r="S15" s="317"/>
      <c r="T15" s="317"/>
      <c r="U15" s="317"/>
      <c r="V15" s="317"/>
      <c r="W15" s="1321"/>
      <c r="Y15" s="1289"/>
      <c r="Z15" s="1289"/>
      <c r="AA15" s="1289"/>
      <c r="AB15" s="1289"/>
      <c r="AC15" s="1289"/>
      <c r="AD15" s="1289"/>
      <c r="AE15" s="1289"/>
      <c r="AF15" s="1289"/>
      <c r="AG15" s="1289"/>
      <c r="AH15" s="1289"/>
      <c r="AI15" s="1289"/>
      <c r="AJ15" s="1289"/>
      <c r="AK15" s="1289"/>
      <c r="AL15" s="1289"/>
      <c r="AM15" s="1289"/>
      <c r="AN15" s="1289"/>
      <c r="AO15" s="1289"/>
      <c r="AP15" s="1289"/>
      <c r="AQ15" s="1289"/>
    </row>
    <row s="1888" customFormat="1" customHeight="1" ht="17.25" hidden="1">
      <c r="A16" s="306"/>
      <c r="C16" s="305"/>
      <c r="D16" s="1962"/>
      <c r="E16" s="1964"/>
      <c r="F16" s="1967"/>
      <c r="G16" s="1964"/>
      <c r="H16" s="1970"/>
      <c r="I16" s="1972"/>
      <c r="J16" s="1975"/>
      <c r="K16" s="1957"/>
      <c r="L16" s="1320"/>
      <c r="M16" s="1320"/>
      <c r="N16" s="1320"/>
      <c r="O16" s="1320"/>
      <c r="P16" s="1320"/>
      <c r="Q16" s="1320"/>
      <c r="R16" s="1320"/>
      <c r="S16" s="317"/>
      <c r="T16" s="317"/>
      <c r="U16" s="317"/>
      <c r="V16" s="317"/>
      <c r="W16" s="1321"/>
      <c r="Y16" s="1281"/>
      <c r="Z16" s="1281"/>
      <c r="AA16" s="1281"/>
      <c r="AB16" s="1281"/>
      <c r="AC16" s="1281"/>
      <c r="AD16" s="1281"/>
      <c r="AE16" s="1281"/>
      <c r="AF16" s="1281"/>
      <c r="AG16" s="1281"/>
      <c r="AH16" s="1281"/>
      <c r="AI16" s="1281"/>
      <c r="AJ16" s="1281"/>
      <c r="AK16" s="1281"/>
      <c r="AL16" s="1281"/>
      <c r="AM16" s="1281"/>
      <c r="AN16" s="1281"/>
      <c r="AO16" s="1281"/>
      <c r="AP16" s="1281"/>
      <c r="AQ16" s="1281"/>
    </row>
    <row s="1888" customFormat="1" customHeight="1" ht="17.25" hidden="1">
      <c r="A17" s="306"/>
      <c r="C17" s="305"/>
      <c r="D17" s="1963"/>
      <c r="E17" s="1965"/>
      <c r="F17" s="1968"/>
      <c r="G17" s="1965"/>
      <c r="H17" s="1322"/>
      <c r="I17" s="1323"/>
      <c r="J17" s="1323"/>
      <c r="K17" s="1323"/>
      <c r="L17" s="1323"/>
      <c r="M17" s="1323"/>
      <c r="N17" s="1323"/>
      <c r="O17" s="1323"/>
      <c r="P17" s="1323"/>
      <c r="Q17" s="1323"/>
      <c r="R17" s="1323"/>
      <c r="S17" s="1324"/>
      <c r="T17" s="1324"/>
      <c r="U17" s="1324"/>
      <c r="V17" s="1324"/>
      <c r="W17" s="1325"/>
      <c r="Y17" s="1281"/>
      <c r="Z17" s="1281"/>
      <c r="AA17" s="1281"/>
      <c r="AB17" s="1281"/>
      <c r="AC17" s="1281"/>
      <c r="AD17" s="1281"/>
      <c r="AE17" s="1281"/>
      <c r="AF17" s="1281"/>
      <c r="AG17" s="1281"/>
      <c r="AH17" s="1281"/>
      <c r="AI17" s="1281"/>
      <c r="AJ17" s="1281"/>
      <c r="AK17" s="1281"/>
      <c r="AL17" s="1281"/>
      <c r="AM17" s="1281"/>
      <c r="AN17" s="1281"/>
      <c r="AO17" s="1281"/>
      <c r="AP17" s="1281"/>
      <c r="AQ17" s="1281"/>
    </row>
    <row s="1888" customFormat="1" customHeight="1" ht="17.25" hidden="1">
      <c r="A18" s="306"/>
      <c r="C18" s="188"/>
      <c r="D18" s="1962">
        <v>2</v>
      </c>
      <c r="E18" s="1964" t="s">
        <v>164</v>
      </c>
      <c r="F18" s="1966" t="s">
        <v>56</v>
      </c>
      <c r="G18" s="1964"/>
      <c r="H18" s="1969"/>
      <c r="I18" s="1971"/>
      <c r="J18" s="1973"/>
      <c r="K18" s="1956"/>
      <c r="L18" s="1956"/>
      <c r="M18" s="1956"/>
      <c r="N18" s="1958"/>
      <c r="O18" s="1956"/>
      <c r="P18" s="1956"/>
      <c r="Q18" s="1956"/>
      <c r="R18" s="1961"/>
      <c r="S18" s="1956"/>
      <c r="T18" s="1443"/>
      <c r="U18" s="1443"/>
      <c r="V18" s="1442"/>
      <c r="W18" s="1319"/>
      <c r="X18" s="1289"/>
      <c r="Y18" s="1289"/>
      <c r="Z18" s="1289"/>
      <c r="AA18" s="1289"/>
      <c r="AB18" s="1289"/>
      <c r="AC18" s="1289" t="s">
        <v>165</v>
      </c>
      <c r="AD18" s="1289" t="s">
        <v>166</v>
      </c>
      <c r="AE18" s="1289" t="s">
        <v>167</v>
      </c>
      <c r="AF18" s="1289" t="s">
        <v>168</v>
      </c>
      <c r="AG18" s="1289" t="s">
        <v>169</v>
      </c>
      <c r="AH18" s="128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89" t="str">
        <f>IF($G$18=0,"",$G$18)</f>
        <v/>
      </c>
      <c r="AJ18" s="1289" t="str">
        <f>IF($J$18=0,"",$J$18)</f>
        <v/>
      </c>
      <c r="AK18" s="1289" t="str">
        <f>IF($K$18="нет","без дифференциации",IF($N$18=0,"",$N$18))</f>
        <v/>
      </c>
      <c r="AL18" s="1289" t="str">
        <f>IF($O$18="нет","без дифференциации",IF($R$18=0,"",$R$18))</f>
        <v/>
      </c>
      <c r="AM18" s="1289" t="str">
        <f>IF($S$18="нет","без дифференциации",IF($V$18=0,"",$V$18))</f>
        <v/>
      </c>
      <c r="AN18" s="1805">
        <f>$I$18</f>
        <v>0</v>
      </c>
      <c r="AO18" s="1289" t="str">
        <f>$I$18&amp;"."&amp;$M$18</f>
        <v>.</v>
      </c>
      <c r="AP18" s="1281" t="str">
        <f>$I$18&amp;"."&amp;$M$18&amp;"."&amp;$Q$18</f>
        <v>..</v>
      </c>
      <c r="AQ18" s="1281" t="str">
        <f>$I$18&amp;"."&amp;$M$18&amp;"."&amp;$Q$18&amp;"."&amp;$U$18</f>
        <v>...</v>
      </c>
    </row>
    <row s="1888" customFormat="1" customHeight="1" ht="17.25" hidden="1">
      <c r="A19" s="306"/>
      <c r="C19" s="305"/>
      <c r="D19" s="1962"/>
      <c r="E19" s="1964"/>
      <c r="F19" s="1967"/>
      <c r="G19" s="1964"/>
      <c r="H19" s="1970"/>
      <c r="I19" s="1972"/>
      <c r="J19" s="1974"/>
      <c r="K19" s="1957"/>
      <c r="L19" s="1957"/>
      <c r="M19" s="1957"/>
      <c r="N19" s="1959"/>
      <c r="O19" s="1957"/>
      <c r="P19" s="1957"/>
      <c r="Q19" s="1957"/>
      <c r="R19" s="1960"/>
      <c r="S19" s="1957"/>
      <c r="T19" s="1320"/>
      <c r="U19" s="1320"/>
      <c r="V19" s="1320"/>
      <c r="W19" s="1321"/>
      <c r="X19" s="1281"/>
      <c r="Y19" s="1281"/>
      <c r="Z19" s="1281"/>
      <c r="AA19" s="1281"/>
      <c r="AB19" s="1281"/>
      <c r="AC19" s="1281"/>
      <c r="AD19" s="1281"/>
      <c r="AE19" s="1281"/>
      <c r="AF19" s="1281"/>
      <c r="AG19" s="1281"/>
      <c r="AH19" s="1281"/>
      <c r="AI19" s="1281"/>
      <c r="AJ19" s="1281"/>
      <c r="AK19" s="1281"/>
      <c r="AL19" s="1281"/>
      <c r="AM19" s="1281"/>
      <c r="AN19" s="1281"/>
      <c r="AO19" s="1281"/>
      <c r="AP19" s="1281"/>
      <c r="AQ19" s="1281"/>
    </row>
    <row s="1888" customFormat="1" customHeight="1" ht="17.25" hidden="1">
      <c r="A20" s="306"/>
      <c r="C20" s="305"/>
      <c r="D20" s="1963"/>
      <c r="E20" s="1965"/>
      <c r="F20" s="1967"/>
      <c r="G20" s="1965"/>
      <c r="H20" s="1970"/>
      <c r="I20" s="1972"/>
      <c r="J20" s="1975"/>
      <c r="K20" s="1957"/>
      <c r="L20" s="1957"/>
      <c r="M20" s="1957"/>
      <c r="N20" s="1960"/>
      <c r="O20" s="1957"/>
      <c r="P20" s="1441"/>
      <c r="Q20" s="1320"/>
      <c r="R20" s="1320"/>
      <c r="S20" s="317"/>
      <c r="T20" s="317"/>
      <c r="U20" s="317"/>
      <c r="V20" s="317"/>
      <c r="W20" s="1321"/>
      <c r="X20" s="1281"/>
      <c r="Y20" s="1281"/>
      <c r="Z20" s="1281"/>
      <c r="AA20" s="1281"/>
      <c r="AB20" s="1281"/>
      <c r="AC20" s="1281"/>
      <c r="AD20" s="1281"/>
      <c r="AE20" s="1281"/>
      <c r="AF20" s="1281"/>
      <c r="AG20" s="1281"/>
      <c r="AH20" s="1281"/>
      <c r="AI20" s="1281"/>
      <c r="AJ20" s="1281"/>
      <c r="AK20" s="1281"/>
      <c r="AL20" s="1281"/>
      <c r="AM20" s="1281"/>
      <c r="AN20" s="1281"/>
      <c r="AO20" s="1281"/>
      <c r="AP20" s="1281"/>
      <c r="AQ20" s="1281"/>
    </row>
    <row s="1888" customFormat="1" customHeight="1" ht="17.25" hidden="1">
      <c r="A21" s="306"/>
      <c r="C21" s="305"/>
      <c r="D21" s="1963"/>
      <c r="E21" s="1965"/>
      <c r="F21" s="1967"/>
      <c r="G21" s="1965"/>
      <c r="H21" s="1970"/>
      <c r="I21" s="1972"/>
      <c r="J21" s="1975"/>
      <c r="K21" s="1957"/>
      <c r="L21" s="1320"/>
      <c r="M21" s="1320"/>
      <c r="N21" s="1320"/>
      <c r="O21" s="1320"/>
      <c r="P21" s="1320"/>
      <c r="Q21" s="1320"/>
      <c r="R21" s="1320"/>
      <c r="S21" s="317"/>
      <c r="T21" s="317"/>
      <c r="U21" s="317"/>
      <c r="V21" s="317"/>
      <c r="W21" s="1321"/>
      <c r="X21" s="1281"/>
      <c r="Y21" s="1281"/>
      <c r="Z21" s="1281"/>
      <c r="AA21" s="1281"/>
      <c r="AB21" s="1281"/>
      <c r="AC21" s="1281"/>
      <c r="AD21" s="1281"/>
      <c r="AE21" s="1281"/>
      <c r="AF21" s="1281"/>
      <c r="AG21" s="1281"/>
      <c r="AH21" s="1281"/>
      <c r="AI21" s="1281"/>
      <c r="AJ21" s="1281"/>
      <c r="AK21" s="1281"/>
      <c r="AL21" s="1281"/>
      <c r="AM21" s="1281"/>
      <c r="AN21" s="1281"/>
      <c r="AO21" s="1281"/>
      <c r="AP21" s="1281"/>
      <c r="AQ21" s="1281"/>
    </row>
    <row s="1888" customFormat="1" customHeight="1" ht="17.25" hidden="1">
      <c r="A22" s="306"/>
      <c r="C22" s="305"/>
      <c r="D22" s="1963"/>
      <c r="E22" s="1965"/>
      <c r="F22" s="1968"/>
      <c r="G22" s="1965"/>
      <c r="H22" s="1322"/>
      <c r="I22" s="1323"/>
      <c r="J22" s="1323"/>
      <c r="K22" s="1323"/>
      <c r="L22" s="1323"/>
      <c r="M22" s="1323"/>
      <c r="N22" s="1323"/>
      <c r="O22" s="1323"/>
      <c r="P22" s="1323"/>
      <c r="Q22" s="1323"/>
      <c r="R22" s="1323"/>
      <c r="S22" s="1324"/>
      <c r="T22" s="1324"/>
      <c r="U22" s="1324"/>
      <c r="V22" s="1324"/>
      <c r="W22" s="1325"/>
      <c r="X22" s="1281"/>
      <c r="Y22" s="1281"/>
      <c r="Z22" s="1281"/>
      <c r="AA22" s="1281"/>
      <c r="AB22" s="1281"/>
      <c r="AC22" s="1281"/>
      <c r="AD22" s="1281"/>
      <c r="AE22" s="1281"/>
      <c r="AF22" s="1281"/>
      <c r="AG22" s="1281"/>
      <c r="AH22" s="1281"/>
      <c r="AI22" s="1281"/>
      <c r="AJ22" s="1281"/>
      <c r="AK22" s="1281"/>
      <c r="AL22" s="1281"/>
      <c r="AM22" s="1281"/>
      <c r="AN22" s="1281"/>
      <c r="AO22" s="1281"/>
      <c r="AP22" s="1281"/>
      <c r="AQ22" s="1281"/>
    </row>
    <row s="1888" customFormat="1" customHeight="1" ht="17.25" hidden="1">
      <c r="A23" s="306"/>
      <c r="C23" s="188"/>
      <c r="D23" s="1962">
        <v>3</v>
      </c>
      <c r="E23" s="1964" t="s">
        <v>170</v>
      </c>
      <c r="F23" s="1966" t="s">
        <v>56</v>
      </c>
      <c r="G23" s="1964"/>
      <c r="H23" s="1969"/>
      <c r="I23" s="1971"/>
      <c r="J23" s="1973"/>
      <c r="K23" s="1956"/>
      <c r="L23" s="1956"/>
      <c r="M23" s="1956"/>
      <c r="N23" s="1958"/>
      <c r="O23" s="1956"/>
      <c r="P23" s="1956"/>
      <c r="Q23" s="1956"/>
      <c r="R23" s="1961"/>
      <c r="S23" s="1956"/>
      <c r="T23" s="1443"/>
      <c r="U23" s="1443"/>
      <c r="V23" s="1442"/>
      <c r="W23" s="1319"/>
      <c r="X23" s="1289"/>
      <c r="Y23" s="1289"/>
      <c r="Z23" s="1289"/>
      <c r="AA23" s="1289"/>
      <c r="AB23" s="1289"/>
      <c r="AC23" s="1289" t="s">
        <v>171</v>
      </c>
      <c r="AD23" s="1289" t="s">
        <v>172</v>
      </c>
      <c r="AE23" s="1289" t="s">
        <v>173</v>
      </c>
      <c r="AF23" s="1289" t="s">
        <v>174</v>
      </c>
      <c r="AG23" s="1289" t="s">
        <v>175</v>
      </c>
      <c r="AH23" s="1289" t="str">
        <f>IF($E$23=0,"",$E$23)</f>
        <v>Тарифы на теплоноситель, поставляемый теплоснабжающими организациями потребителям, другим теплоснабжающим организациям</v>
      </c>
      <c r="AI23" s="1289" t="str">
        <f>IF($G$23=0,"",$G$23)</f>
        <v/>
      </c>
      <c r="AJ23" s="1289" t="str">
        <f>IF($J$23=0,"",$J$23)</f>
        <v/>
      </c>
      <c r="AK23" s="1289" t="str">
        <f>IF($K$23="нет","без дифференциации",IF($N$23=0,"",$N$23))</f>
        <v/>
      </c>
      <c r="AL23" s="1289" t="str">
        <f>IF($O$23="нет","без дифференциации",IF($R$23=0,"",$R$23))</f>
        <v/>
      </c>
      <c r="AM23" s="1289" t="str">
        <f>IF($S$23="нет","без дифференциации",IF($V$23=0,"",$V$23))</f>
        <v/>
      </c>
      <c r="AN23" s="1805">
        <f>$I$23</f>
        <v>0</v>
      </c>
      <c r="AO23" s="1289" t="str">
        <f>$I$23&amp;"."&amp;$M$23</f>
        <v>.</v>
      </c>
      <c r="AP23" s="1281" t="str">
        <f>$I$23&amp;"."&amp;$M$23&amp;"."&amp;$Q$23</f>
        <v>..</v>
      </c>
      <c r="AQ23" s="1281" t="str">
        <f>$I$23&amp;"."&amp;$M$23&amp;"."&amp;$Q$23&amp;"."&amp;$U$23</f>
        <v>...</v>
      </c>
    </row>
    <row s="1888" customFormat="1" customHeight="1" ht="17.25" hidden="1">
      <c r="A24" s="306"/>
      <c r="C24" s="305"/>
      <c r="D24" s="1962"/>
      <c r="E24" s="1964"/>
      <c r="F24" s="1967"/>
      <c r="G24" s="1964"/>
      <c r="H24" s="1970"/>
      <c r="I24" s="1972"/>
      <c r="J24" s="1974"/>
      <c r="K24" s="1957"/>
      <c r="L24" s="1957"/>
      <c r="M24" s="1957"/>
      <c r="N24" s="1959"/>
      <c r="O24" s="1957"/>
      <c r="P24" s="1957"/>
      <c r="Q24" s="1957"/>
      <c r="R24" s="1960"/>
      <c r="S24" s="1957"/>
      <c r="T24" s="1320"/>
      <c r="U24" s="1320"/>
      <c r="V24" s="1320"/>
      <c r="W24" s="1321"/>
      <c r="X24" s="1281"/>
      <c r="Y24" s="1281"/>
      <c r="Z24" s="1281"/>
      <c r="AA24" s="1281"/>
      <c r="AB24" s="1281"/>
      <c r="AC24" s="1281"/>
      <c r="AD24" s="1281"/>
      <c r="AE24" s="1281"/>
      <c r="AF24" s="1281"/>
      <c r="AG24" s="1281"/>
      <c r="AH24" s="1281"/>
      <c r="AI24" s="1281"/>
      <c r="AJ24" s="1281"/>
      <c r="AK24" s="1281"/>
      <c r="AL24" s="1281"/>
      <c r="AM24" s="1281"/>
      <c r="AN24" s="1281"/>
      <c r="AO24" s="1281"/>
      <c r="AP24" s="1281"/>
      <c r="AQ24" s="1281"/>
    </row>
    <row s="1888" customFormat="1" customHeight="1" ht="17.25" hidden="1">
      <c r="A25" s="306"/>
      <c r="C25" s="305"/>
      <c r="D25" s="1963"/>
      <c r="E25" s="1965"/>
      <c r="F25" s="1967"/>
      <c r="G25" s="1965"/>
      <c r="H25" s="1970"/>
      <c r="I25" s="1972"/>
      <c r="J25" s="1975"/>
      <c r="K25" s="1957"/>
      <c r="L25" s="1957"/>
      <c r="M25" s="1957"/>
      <c r="N25" s="1960"/>
      <c r="O25" s="1957"/>
      <c r="P25" s="1441"/>
      <c r="Q25" s="1320"/>
      <c r="R25" s="1320"/>
      <c r="S25" s="317"/>
      <c r="T25" s="317"/>
      <c r="U25" s="317"/>
      <c r="V25" s="317"/>
      <c r="W25" s="1321"/>
      <c r="X25" s="1281"/>
      <c r="Y25" s="1281"/>
      <c r="Z25" s="1281"/>
      <c r="AA25" s="1281"/>
      <c r="AB25" s="1281"/>
      <c r="AC25" s="1281"/>
      <c r="AD25" s="1281"/>
      <c r="AE25" s="1281"/>
      <c r="AF25" s="1281"/>
      <c r="AG25" s="1281"/>
      <c r="AH25" s="1281"/>
      <c r="AI25" s="1281"/>
      <c r="AJ25" s="1281"/>
      <c r="AK25" s="1281"/>
      <c r="AL25" s="1281"/>
      <c r="AM25" s="1281"/>
      <c r="AN25" s="1281"/>
      <c r="AO25" s="1281"/>
      <c r="AP25" s="1281"/>
      <c r="AQ25" s="1281"/>
    </row>
    <row s="1888" customFormat="1" customHeight="1" ht="17.25" hidden="1">
      <c r="A26" s="306"/>
      <c r="C26" s="305"/>
      <c r="D26" s="1963"/>
      <c r="E26" s="1965"/>
      <c r="F26" s="1967"/>
      <c r="G26" s="1965"/>
      <c r="H26" s="1970"/>
      <c r="I26" s="1972"/>
      <c r="J26" s="1975"/>
      <c r="K26" s="1957"/>
      <c r="L26" s="1320"/>
      <c r="M26" s="1320"/>
      <c r="N26" s="1320"/>
      <c r="O26" s="1320"/>
      <c r="P26" s="1320"/>
      <c r="Q26" s="1320"/>
      <c r="R26" s="1320"/>
      <c r="S26" s="317"/>
      <c r="T26" s="317"/>
      <c r="U26" s="317"/>
      <c r="V26" s="317"/>
      <c r="W26" s="1321"/>
      <c r="X26" s="1281"/>
      <c r="Y26" s="1281"/>
      <c r="Z26" s="1281"/>
      <c r="AA26" s="1281"/>
      <c r="AB26" s="1281"/>
      <c r="AC26" s="1281"/>
      <c r="AD26" s="1281"/>
      <c r="AE26" s="1281"/>
      <c r="AF26" s="1281"/>
      <c r="AG26" s="1281"/>
      <c r="AH26" s="1281"/>
      <c r="AI26" s="1281"/>
      <c r="AJ26" s="1281"/>
      <c r="AK26" s="1281"/>
      <c r="AL26" s="1281"/>
      <c r="AM26" s="1281"/>
      <c r="AN26" s="1281"/>
      <c r="AO26" s="1281"/>
      <c r="AP26" s="1281"/>
      <c r="AQ26" s="1281"/>
    </row>
    <row s="1888" customFormat="1" customHeight="1" ht="17.25" hidden="1">
      <c r="A27" s="306"/>
      <c r="C27" s="305"/>
      <c r="D27" s="1963"/>
      <c r="E27" s="1965"/>
      <c r="F27" s="1968"/>
      <c r="G27" s="1965"/>
      <c r="H27" s="1322"/>
      <c r="I27" s="1323"/>
      <c r="J27" s="1323"/>
      <c r="K27" s="1323"/>
      <c r="L27" s="1323"/>
      <c r="M27" s="1323"/>
      <c r="N27" s="1323"/>
      <c r="O27" s="1323"/>
      <c r="P27" s="1323"/>
      <c r="Q27" s="1323"/>
      <c r="R27" s="1323"/>
      <c r="S27" s="1324"/>
      <c r="T27" s="1324"/>
      <c r="U27" s="1324"/>
      <c r="V27" s="1324"/>
      <c r="W27" s="1325"/>
      <c r="X27" s="1281"/>
      <c r="Y27" s="1281"/>
      <c r="Z27" s="1281"/>
      <c r="AA27" s="1281"/>
      <c r="AB27" s="1281"/>
      <c r="AC27" s="1281"/>
      <c r="AD27" s="1281"/>
      <c r="AE27" s="1281"/>
      <c r="AF27" s="1281"/>
      <c r="AG27" s="1281"/>
      <c r="AH27" s="1281"/>
      <c r="AI27" s="1281"/>
      <c r="AJ27" s="1281"/>
      <c r="AK27" s="1281"/>
      <c r="AL27" s="1281"/>
      <c r="AM27" s="1281"/>
      <c r="AN27" s="1281"/>
      <c r="AO27" s="1281"/>
      <c r="AP27" s="1281"/>
      <c r="AQ27" s="1281"/>
    </row>
    <row s="1888" customFormat="1" customHeight="1" ht="17.25" hidden="1">
      <c r="A28" s="306"/>
      <c r="C28" s="188"/>
      <c r="D28" s="1962">
        <v>4</v>
      </c>
      <c r="E28" s="1964" t="s">
        <v>176</v>
      </c>
      <c r="F28" s="1966" t="s">
        <v>56</v>
      </c>
      <c r="G28" s="1964"/>
      <c r="H28" s="1969"/>
      <c r="I28" s="1971"/>
      <c r="J28" s="1973"/>
      <c r="K28" s="1956"/>
      <c r="L28" s="1956"/>
      <c r="M28" s="1956"/>
      <c r="N28" s="1958"/>
      <c r="O28" s="1956"/>
      <c r="P28" s="1956"/>
      <c r="Q28" s="1956"/>
      <c r="R28" s="1961"/>
      <c r="S28" s="1956"/>
      <c r="T28" s="1443"/>
      <c r="U28" s="1443"/>
      <c r="V28" s="1442"/>
      <c r="W28" s="1319"/>
      <c r="X28" s="1289"/>
      <c r="Y28" s="1289"/>
      <c r="Z28" s="1289"/>
      <c r="AA28" s="1289"/>
      <c r="AB28" s="1289"/>
      <c r="AC28" s="1289" t="s">
        <v>177</v>
      </c>
      <c r="AD28" s="1289" t="s">
        <v>178</v>
      </c>
      <c r="AE28" s="1289" t="s">
        <v>179</v>
      </c>
      <c r="AF28" s="1289" t="s">
        <v>180</v>
      </c>
      <c r="AG28" s="1289" t="s">
        <v>181</v>
      </c>
      <c r="AH28" s="1289"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89" t="str">
        <f>IF($G$28=0,"",$G$28)</f>
        <v/>
      </c>
      <c r="AJ28" s="1289" t="str">
        <f>IF($J$28=0,"",$J$28)</f>
        <v/>
      </c>
      <c r="AK28" s="1289" t="str">
        <f>IF($K$28="нет","без дифференциации",IF($N$28=0,"",$N$28))</f>
        <v/>
      </c>
      <c r="AL28" s="1289" t="str">
        <f>IF($O$28="нет","без дифференциации",IF($R$28=0,"",$R$28))</f>
        <v/>
      </c>
      <c r="AM28" s="1289" t="str">
        <f>IF($S$28="нет","без дифференциации",IF($V$28=0,"",$V$28))</f>
        <v/>
      </c>
      <c r="AN28" s="1805">
        <f>$I$28</f>
        <v>0</v>
      </c>
      <c r="AO28" s="1289" t="str">
        <f>$I$28&amp;"."&amp;$M$28</f>
        <v>.</v>
      </c>
      <c r="AP28" s="1281" t="str">
        <f>$I$28&amp;"."&amp;$M$28&amp;"."&amp;$Q$28</f>
        <v>..</v>
      </c>
      <c r="AQ28" s="1281" t="str">
        <f>$I$28&amp;"."&amp;$M$28&amp;"."&amp;$Q$28&amp;"."&amp;$U$28</f>
        <v>...</v>
      </c>
    </row>
    <row s="1888" customFormat="1" customHeight="1" ht="17.25" hidden="1">
      <c r="A29" s="306"/>
      <c r="C29" s="305"/>
      <c r="D29" s="1962"/>
      <c r="E29" s="1964"/>
      <c r="F29" s="1967"/>
      <c r="G29" s="1964"/>
      <c r="H29" s="1970"/>
      <c r="I29" s="1972"/>
      <c r="J29" s="1974"/>
      <c r="K29" s="1957"/>
      <c r="L29" s="1957"/>
      <c r="M29" s="1957"/>
      <c r="N29" s="1959"/>
      <c r="O29" s="1957"/>
      <c r="P29" s="1957"/>
      <c r="Q29" s="1957"/>
      <c r="R29" s="1960"/>
      <c r="S29" s="1957"/>
      <c r="T29" s="1320"/>
      <c r="U29" s="1320"/>
      <c r="V29" s="1320"/>
      <c r="W29" s="1321"/>
      <c r="X29" s="1281"/>
      <c r="Y29" s="1281"/>
      <c r="Z29" s="1281"/>
      <c r="AA29" s="1281"/>
      <c r="AB29" s="1281"/>
      <c r="AC29" s="1281"/>
      <c r="AD29" s="1281"/>
      <c r="AE29" s="1281"/>
      <c r="AF29" s="1281"/>
      <c r="AG29" s="1281"/>
      <c r="AH29" s="1281"/>
      <c r="AI29" s="1281"/>
      <c r="AJ29" s="1281"/>
      <c r="AK29" s="1281"/>
      <c r="AL29" s="1281"/>
      <c r="AM29" s="1281"/>
      <c r="AN29" s="1281"/>
      <c r="AO29" s="1281"/>
      <c r="AP29" s="1281"/>
      <c r="AQ29" s="1281"/>
    </row>
    <row s="1888" customFormat="1" customHeight="1" ht="17.25" hidden="1">
      <c r="A30" s="306"/>
      <c r="C30" s="305"/>
      <c r="D30" s="1963"/>
      <c r="E30" s="1965"/>
      <c r="F30" s="1967"/>
      <c r="G30" s="1965"/>
      <c r="H30" s="1970"/>
      <c r="I30" s="1972"/>
      <c r="J30" s="1975"/>
      <c r="K30" s="1957"/>
      <c r="L30" s="1957"/>
      <c r="M30" s="1957"/>
      <c r="N30" s="1960"/>
      <c r="O30" s="1957"/>
      <c r="P30" s="1441"/>
      <c r="Q30" s="1320"/>
      <c r="R30" s="1320"/>
      <c r="S30" s="317"/>
      <c r="T30" s="317"/>
      <c r="U30" s="317"/>
      <c r="V30" s="317"/>
      <c r="W30" s="1321"/>
      <c r="X30" s="1281"/>
      <c r="Y30" s="1281"/>
      <c r="Z30" s="1281"/>
      <c r="AA30" s="1281"/>
      <c r="AB30" s="1281"/>
      <c r="AC30" s="1281"/>
      <c r="AD30" s="1281"/>
      <c r="AE30" s="1281"/>
      <c r="AF30" s="1281"/>
      <c r="AG30" s="1281"/>
      <c r="AH30" s="1281"/>
      <c r="AI30" s="1281"/>
      <c r="AJ30" s="1281"/>
      <c r="AK30" s="1281"/>
      <c r="AL30" s="1281"/>
      <c r="AM30" s="1281"/>
      <c r="AN30" s="1281"/>
      <c r="AO30" s="1281"/>
      <c r="AP30" s="1281"/>
      <c r="AQ30" s="1281"/>
    </row>
    <row s="1888" customFormat="1" customHeight="1" ht="17.25" hidden="1">
      <c r="A31" s="306"/>
      <c r="C31" s="305"/>
      <c r="D31" s="1963"/>
      <c r="E31" s="1965"/>
      <c r="F31" s="1967"/>
      <c r="G31" s="1965"/>
      <c r="H31" s="1970"/>
      <c r="I31" s="1972"/>
      <c r="J31" s="1975"/>
      <c r="K31" s="1957"/>
      <c r="L31" s="1320"/>
      <c r="M31" s="1320"/>
      <c r="N31" s="1320"/>
      <c r="O31" s="1320"/>
      <c r="P31" s="1320"/>
      <c r="Q31" s="1320"/>
      <c r="R31" s="1320"/>
      <c r="S31" s="317"/>
      <c r="T31" s="317"/>
      <c r="U31" s="317"/>
      <c r="V31" s="317"/>
      <c r="W31" s="1321"/>
      <c r="X31" s="1281"/>
      <c r="Y31" s="1281"/>
      <c r="Z31" s="1281"/>
      <c r="AA31" s="1281"/>
      <c r="AB31" s="1281"/>
      <c r="AC31" s="1281"/>
      <c r="AD31" s="1281"/>
      <c r="AE31" s="1281"/>
      <c r="AF31" s="1281"/>
      <c r="AG31" s="1281"/>
      <c r="AH31" s="1281"/>
      <c r="AI31" s="1281"/>
      <c r="AJ31" s="1281"/>
      <c r="AK31" s="1281"/>
      <c r="AL31" s="1281"/>
      <c r="AM31" s="1281"/>
      <c r="AN31" s="1281"/>
      <c r="AO31" s="1281"/>
      <c r="AP31" s="1281"/>
      <c r="AQ31" s="1281"/>
    </row>
    <row s="1888" customFormat="1" customHeight="1" ht="17.25" hidden="1">
      <c r="A32" s="306"/>
      <c r="C32" s="305"/>
      <c r="D32" s="1963"/>
      <c r="E32" s="1965"/>
      <c r="F32" s="1968"/>
      <c r="G32" s="1965"/>
      <c r="H32" s="1322"/>
      <c r="I32" s="1323"/>
      <c r="J32" s="1323"/>
      <c r="K32" s="1323"/>
      <c r="L32" s="1323"/>
      <c r="M32" s="1323"/>
      <c r="N32" s="1323"/>
      <c r="O32" s="1323"/>
      <c r="P32" s="1323"/>
      <c r="Q32" s="1323"/>
      <c r="R32" s="1323"/>
      <c r="S32" s="1324"/>
      <c r="T32" s="1324"/>
      <c r="U32" s="1324"/>
      <c r="V32" s="1324"/>
      <c r="W32" s="1325"/>
      <c r="X32" s="1281"/>
      <c r="Y32" s="1281"/>
      <c r="Z32" s="1281"/>
      <c r="AA32" s="1281"/>
      <c r="AB32" s="1281"/>
      <c r="AC32" s="1281"/>
      <c r="AD32" s="1281"/>
      <c r="AE32" s="1281"/>
      <c r="AF32" s="1281"/>
      <c r="AG32" s="1281"/>
      <c r="AH32" s="1281"/>
      <c r="AI32" s="1281"/>
      <c r="AJ32" s="1281"/>
      <c r="AK32" s="1281"/>
      <c r="AL32" s="1281"/>
      <c r="AM32" s="1281"/>
      <c r="AN32" s="1281"/>
      <c r="AO32" s="1281"/>
      <c r="AP32" s="1281"/>
      <c r="AQ32" s="1281"/>
    </row>
    <row s="1888" customFormat="1" customHeight="1" ht="17.25" hidden="1">
      <c r="A33" s="306"/>
      <c r="C33" s="188"/>
      <c r="D33" s="1962">
        <v>5</v>
      </c>
      <c r="E33" s="1964" t="s">
        <v>182</v>
      </c>
      <c r="F33" s="1966" t="s">
        <v>56</v>
      </c>
      <c r="G33" s="1964"/>
      <c r="H33" s="1969"/>
      <c r="I33" s="1971"/>
      <c r="J33" s="1973"/>
      <c r="K33" s="1956"/>
      <c r="L33" s="1956"/>
      <c r="M33" s="1956"/>
      <c r="N33" s="1958"/>
      <c r="O33" s="1956"/>
      <c r="P33" s="1956"/>
      <c r="Q33" s="1956"/>
      <c r="R33" s="1961"/>
      <c r="S33" s="1956"/>
      <c r="T33" s="1443"/>
      <c r="U33" s="1443"/>
      <c r="V33" s="1442"/>
      <c r="W33" s="1319"/>
      <c r="X33" s="1289"/>
      <c r="Y33" s="1289"/>
      <c r="Z33" s="1289"/>
      <c r="AA33" s="1289"/>
      <c r="AB33" s="1289"/>
      <c r="AC33" s="1289" t="s">
        <v>183</v>
      </c>
      <c r="AD33" s="1289" t="s">
        <v>184</v>
      </c>
      <c r="AE33" s="1289" t="s">
        <v>185</v>
      </c>
      <c r="AF33" s="1289" t="s">
        <v>186</v>
      </c>
      <c r="AG33" s="1289" t="s">
        <v>187</v>
      </c>
      <c r="AH33" s="1289" t="str">
        <f>IF($E$33=0,"",$E$33)</f>
        <v>Тарифы на услуги по передаче тепловой энергии</v>
      </c>
      <c r="AI33" s="1289" t="str">
        <f>IF($G$33=0,"",$G$33)</f>
        <v/>
      </c>
      <c r="AJ33" s="1289" t="str">
        <f>IF($J$33=0,"",$J$33)</f>
        <v/>
      </c>
      <c r="AK33" s="1289" t="str">
        <f>IF($K$33="нет","без дифференциации",IF($N$33=0,"",$N$33))</f>
        <v/>
      </c>
      <c r="AL33" s="1289" t="str">
        <f>IF($O$33="нет","без дифференциации",IF($R$33=0,"",$R$33))</f>
        <v/>
      </c>
      <c r="AM33" s="1289" t="str">
        <f>IF($S$33="нет","без дифференциации",IF($V$33=0,"",$V$33))</f>
        <v/>
      </c>
      <c r="AN33" s="1805">
        <f>$I$33</f>
        <v>0</v>
      </c>
      <c r="AO33" s="1289" t="str">
        <f>$I$33&amp;"."&amp;$M$33</f>
        <v>.</v>
      </c>
      <c r="AP33" s="1281" t="str">
        <f>$I$33&amp;"."&amp;$M$33&amp;"."&amp;$Q$33</f>
        <v>..</v>
      </c>
      <c r="AQ33" s="1281" t="str">
        <f>$I$33&amp;"."&amp;$M$33&amp;"."&amp;$Q$33&amp;"."&amp;$U$33</f>
        <v>...</v>
      </c>
    </row>
    <row s="1888" customFormat="1" customHeight="1" ht="17.25" hidden="1">
      <c r="A34" s="306"/>
      <c r="C34" s="305"/>
      <c r="D34" s="1962"/>
      <c r="E34" s="1964"/>
      <c r="F34" s="1967"/>
      <c r="G34" s="1964"/>
      <c r="H34" s="1970"/>
      <c r="I34" s="1972"/>
      <c r="J34" s="1974"/>
      <c r="K34" s="1957"/>
      <c r="L34" s="1957"/>
      <c r="M34" s="1957"/>
      <c r="N34" s="1959"/>
      <c r="O34" s="1957"/>
      <c r="P34" s="1957"/>
      <c r="Q34" s="1957"/>
      <c r="R34" s="1960"/>
      <c r="S34" s="1957"/>
      <c r="T34" s="1320"/>
      <c r="U34" s="1320"/>
      <c r="V34" s="1320"/>
      <c r="W34" s="1321"/>
      <c r="X34" s="1281"/>
      <c r="Y34" s="1281"/>
      <c r="Z34" s="1281"/>
      <c r="AA34" s="1281"/>
      <c r="AB34" s="1281"/>
      <c r="AC34" s="1281"/>
      <c r="AD34" s="1281"/>
      <c r="AE34" s="1281"/>
      <c r="AF34" s="1281"/>
      <c r="AG34" s="1281"/>
      <c r="AH34" s="1281"/>
      <c r="AI34" s="1281"/>
      <c r="AJ34" s="1281"/>
      <c r="AK34" s="1281"/>
      <c r="AL34" s="1281"/>
      <c r="AM34" s="1281"/>
      <c r="AN34" s="1281"/>
      <c r="AO34" s="1281"/>
      <c r="AP34" s="1281"/>
      <c r="AQ34" s="1281"/>
    </row>
    <row s="1888" customFormat="1" customHeight="1" ht="17.25" hidden="1">
      <c r="A35" s="306"/>
      <c r="C35" s="305"/>
      <c r="D35" s="1963"/>
      <c r="E35" s="1965"/>
      <c r="F35" s="1967"/>
      <c r="G35" s="1965"/>
      <c r="H35" s="1970"/>
      <c r="I35" s="1972"/>
      <c r="J35" s="1975"/>
      <c r="K35" s="1957"/>
      <c r="L35" s="1957"/>
      <c r="M35" s="1957"/>
      <c r="N35" s="1960"/>
      <c r="O35" s="1957"/>
      <c r="P35" s="1441"/>
      <c r="Q35" s="1320"/>
      <c r="R35" s="1320"/>
      <c r="S35" s="317"/>
      <c r="T35" s="317"/>
      <c r="U35" s="317"/>
      <c r="V35" s="317"/>
      <c r="W35" s="1321"/>
      <c r="X35" s="1281"/>
      <c r="Y35" s="1281"/>
      <c r="Z35" s="1281"/>
      <c r="AA35" s="1281"/>
      <c r="AB35" s="1281"/>
      <c r="AC35" s="1281"/>
      <c r="AD35" s="1281"/>
      <c r="AE35" s="1281"/>
      <c r="AF35" s="1281"/>
      <c r="AG35" s="1281"/>
      <c r="AH35" s="1281"/>
      <c r="AI35" s="1281"/>
      <c r="AJ35" s="1281"/>
      <c r="AK35" s="1281"/>
      <c r="AL35" s="1281"/>
      <c r="AM35" s="1281"/>
      <c r="AN35" s="1281"/>
      <c r="AO35" s="1281"/>
      <c r="AP35" s="1281"/>
      <c r="AQ35" s="1281"/>
    </row>
    <row s="1888" customFormat="1" customHeight="1" ht="17.25" hidden="1">
      <c r="A36" s="306"/>
      <c r="C36" s="305"/>
      <c r="D36" s="1963"/>
      <c r="E36" s="1965"/>
      <c r="F36" s="1967"/>
      <c r="G36" s="1965"/>
      <c r="H36" s="1970"/>
      <c r="I36" s="1972"/>
      <c r="J36" s="1975"/>
      <c r="K36" s="1957"/>
      <c r="L36" s="1320"/>
      <c r="M36" s="1320"/>
      <c r="N36" s="1320"/>
      <c r="O36" s="1320"/>
      <c r="P36" s="1320"/>
      <c r="Q36" s="1320"/>
      <c r="R36" s="1320"/>
      <c r="S36" s="317"/>
      <c r="T36" s="317"/>
      <c r="U36" s="317"/>
      <c r="V36" s="317"/>
      <c r="W36" s="1321"/>
      <c r="X36" s="1281"/>
      <c r="Y36" s="1281"/>
      <c r="Z36" s="1281"/>
      <c r="AA36" s="1281"/>
      <c r="AB36" s="1281"/>
      <c r="AC36" s="1281"/>
      <c r="AD36" s="1281"/>
      <c r="AE36" s="1281"/>
      <c r="AF36" s="1281"/>
      <c r="AG36" s="1281"/>
      <c r="AH36" s="1281"/>
      <c r="AI36" s="1281"/>
      <c r="AJ36" s="1281"/>
      <c r="AK36" s="1281"/>
      <c r="AL36" s="1281"/>
      <c r="AM36" s="1281"/>
      <c r="AN36" s="1281"/>
      <c r="AO36" s="1281"/>
      <c r="AP36" s="1281"/>
      <c r="AQ36" s="1281"/>
    </row>
    <row s="1888" customFormat="1" customHeight="1" ht="17.25" hidden="1">
      <c r="A37" s="306"/>
      <c r="C37" s="305"/>
      <c r="D37" s="1963"/>
      <c r="E37" s="1965"/>
      <c r="F37" s="1968"/>
      <c r="G37" s="1965"/>
      <c r="H37" s="1322"/>
      <c r="I37" s="1323"/>
      <c r="J37" s="1323"/>
      <c r="K37" s="1323"/>
      <c r="L37" s="1323"/>
      <c r="M37" s="1323"/>
      <c r="N37" s="1323"/>
      <c r="O37" s="1323"/>
      <c r="P37" s="1323"/>
      <c r="Q37" s="1323"/>
      <c r="R37" s="1323"/>
      <c r="S37" s="1324"/>
      <c r="T37" s="1324"/>
      <c r="U37" s="1324"/>
      <c r="V37" s="1324"/>
      <c r="W37" s="1325"/>
      <c r="X37" s="1281"/>
      <c r="Y37" s="1281"/>
      <c r="Z37" s="1281"/>
      <c r="AA37" s="1281"/>
      <c r="AB37" s="1281"/>
      <c r="AC37" s="1281"/>
      <c r="AD37" s="1281"/>
      <c r="AE37" s="1281"/>
      <c r="AF37" s="1281"/>
      <c r="AG37" s="1281"/>
      <c r="AH37" s="1281"/>
      <c r="AI37" s="1281"/>
      <c r="AJ37" s="1281"/>
      <c r="AK37" s="1281"/>
      <c r="AL37" s="1281"/>
      <c r="AM37" s="1281"/>
      <c r="AN37" s="1281"/>
      <c r="AO37" s="1281"/>
      <c r="AP37" s="1281"/>
      <c r="AQ37" s="1281"/>
    </row>
    <row s="1888" customFormat="1" customHeight="1" ht="17.25" hidden="1">
      <c r="A38" s="306"/>
      <c r="C38" s="188"/>
      <c r="D38" s="1962">
        <v>6</v>
      </c>
      <c r="E38" s="1964" t="s">
        <v>188</v>
      </c>
      <c r="F38" s="1966" t="s">
        <v>56</v>
      </c>
      <c r="G38" s="1964"/>
      <c r="H38" s="1969"/>
      <c r="I38" s="1971"/>
      <c r="J38" s="1973"/>
      <c r="K38" s="1956"/>
      <c r="L38" s="1956"/>
      <c r="M38" s="1956"/>
      <c r="N38" s="1958"/>
      <c r="O38" s="1956"/>
      <c r="P38" s="1956"/>
      <c r="Q38" s="1956"/>
      <c r="R38" s="1961"/>
      <c r="S38" s="1956"/>
      <c r="T38" s="1443"/>
      <c r="U38" s="1443"/>
      <c r="V38" s="1442"/>
      <c r="W38" s="1319"/>
      <c r="X38" s="1289"/>
      <c r="Y38" s="1289"/>
      <c r="Z38" s="1289"/>
      <c r="AA38" s="1289"/>
      <c r="AB38" s="1289"/>
      <c r="AC38" s="1289" t="s">
        <v>189</v>
      </c>
      <c r="AD38" s="1289" t="s">
        <v>190</v>
      </c>
      <c r="AE38" s="1289" t="s">
        <v>191</v>
      </c>
      <c r="AF38" s="1289" t="s">
        <v>192</v>
      </c>
      <c r="AG38" s="1289" t="s">
        <v>193</v>
      </c>
      <c r="AH38" s="1289" t="str">
        <f>IF($E$38=0,"",$E$38)</f>
        <v>Тарифы на услуги по передаче теплоносителя</v>
      </c>
      <c r="AI38" s="1289" t="str">
        <f>IF($G$38=0,"",$G$38)</f>
        <v/>
      </c>
      <c r="AJ38" s="1289" t="str">
        <f>IF($J$38=0,"",$J$38)</f>
        <v/>
      </c>
      <c r="AK38" s="1289" t="str">
        <f>IF($K$38="нет","без дифференциации",IF($N$38=0,"",$N$38))</f>
        <v/>
      </c>
      <c r="AL38" s="1289" t="str">
        <f>IF($O$38="нет","без дифференциации",IF($R$38=0,"",$R$38))</f>
        <v/>
      </c>
      <c r="AM38" s="1289" t="str">
        <f>IF($S$38="нет","без дифференциации",IF($V$38=0,"",$V$38))</f>
        <v/>
      </c>
      <c r="AN38" s="1805">
        <f>$I$38</f>
        <v>0</v>
      </c>
      <c r="AO38" s="1289" t="str">
        <f>$I$38&amp;"."&amp;$M$38</f>
        <v>.</v>
      </c>
      <c r="AP38" s="1281" t="str">
        <f>$I$38&amp;"."&amp;$M$38&amp;"."&amp;$Q$38</f>
        <v>..</v>
      </c>
      <c r="AQ38" s="1281" t="str">
        <f>$I$38&amp;"."&amp;$M$38&amp;"."&amp;$Q$38&amp;"."&amp;$U$38</f>
        <v>...</v>
      </c>
    </row>
    <row s="1888" customFormat="1" customHeight="1" ht="17.25" hidden="1">
      <c r="A39" s="306"/>
      <c r="C39" s="305"/>
      <c r="D39" s="1962"/>
      <c r="E39" s="1964"/>
      <c r="F39" s="1967"/>
      <c r="G39" s="1964"/>
      <c r="H39" s="1970"/>
      <c r="I39" s="1972"/>
      <c r="J39" s="1974"/>
      <c r="K39" s="1957"/>
      <c r="L39" s="1957"/>
      <c r="M39" s="1957"/>
      <c r="N39" s="1959"/>
      <c r="O39" s="1957"/>
      <c r="P39" s="1957"/>
      <c r="Q39" s="1957"/>
      <c r="R39" s="1960"/>
      <c r="S39" s="1957"/>
      <c r="T39" s="1320"/>
      <c r="U39" s="1320"/>
      <c r="V39" s="1320"/>
      <c r="W39" s="1321"/>
      <c r="X39" s="1281"/>
      <c r="Y39" s="1281"/>
      <c r="Z39" s="1281"/>
      <c r="AA39" s="1281"/>
      <c r="AB39" s="1281"/>
      <c r="AC39" s="1281"/>
      <c r="AD39" s="1281"/>
      <c r="AE39" s="1281"/>
      <c r="AF39" s="1281"/>
      <c r="AG39" s="1281"/>
      <c r="AH39" s="1281"/>
      <c r="AI39" s="1281"/>
      <c r="AJ39" s="1281"/>
      <c r="AK39" s="1281"/>
      <c r="AL39" s="1281"/>
      <c r="AM39" s="1281"/>
      <c r="AN39" s="1281"/>
      <c r="AO39" s="1281"/>
      <c r="AP39" s="1281"/>
      <c r="AQ39" s="1281"/>
    </row>
    <row s="1888" customFormat="1" customHeight="1" ht="17.25" hidden="1">
      <c r="A40" s="306"/>
      <c r="C40" s="305"/>
      <c r="D40" s="1963"/>
      <c r="E40" s="1965"/>
      <c r="F40" s="1967"/>
      <c r="G40" s="1965"/>
      <c r="H40" s="1970"/>
      <c r="I40" s="1972"/>
      <c r="J40" s="1975"/>
      <c r="K40" s="1957"/>
      <c r="L40" s="1957"/>
      <c r="M40" s="1957"/>
      <c r="N40" s="1960"/>
      <c r="O40" s="1957"/>
      <c r="P40" s="1441"/>
      <c r="Q40" s="1320"/>
      <c r="R40" s="1320"/>
      <c r="S40" s="317"/>
      <c r="T40" s="317"/>
      <c r="U40" s="317"/>
      <c r="V40" s="317"/>
      <c r="W40" s="1321"/>
      <c r="X40" s="1281"/>
      <c r="Y40" s="1281"/>
      <c r="Z40" s="1281"/>
      <c r="AA40" s="1281"/>
      <c r="AB40" s="1281"/>
      <c r="AC40" s="1281"/>
      <c r="AD40" s="1281"/>
      <c r="AE40" s="1281"/>
      <c r="AF40" s="1281"/>
      <c r="AG40" s="1281"/>
      <c r="AH40" s="1281"/>
      <c r="AI40" s="1281"/>
      <c r="AJ40" s="1281"/>
      <c r="AK40" s="1281"/>
      <c r="AL40" s="1281"/>
      <c r="AM40" s="1281"/>
      <c r="AN40" s="1281"/>
      <c r="AO40" s="1281"/>
      <c r="AP40" s="1281"/>
      <c r="AQ40" s="1281"/>
    </row>
    <row s="1888" customFormat="1" customHeight="1" ht="17.25" hidden="1">
      <c r="A41" s="306"/>
      <c r="C41" s="188"/>
      <c r="D41" s="1963"/>
      <c r="E41" s="1965"/>
      <c r="F41" s="1967"/>
      <c r="G41" s="1965"/>
      <c r="H41" s="1970"/>
      <c r="I41" s="1972"/>
      <c r="J41" s="1975"/>
      <c r="K41" s="1957"/>
      <c r="L41" s="1320"/>
      <c r="M41" s="1320"/>
      <c r="N41" s="1320"/>
      <c r="O41" s="1320"/>
      <c r="P41" s="1320"/>
      <c r="Q41" s="1320"/>
      <c r="R41" s="1320"/>
      <c r="S41" s="317"/>
      <c r="T41" s="317"/>
      <c r="U41" s="317"/>
      <c r="V41" s="317"/>
      <c r="W41" s="1321"/>
      <c r="Y41" s="1289"/>
      <c r="Z41" s="1289"/>
      <c r="AA41" s="1289"/>
      <c r="AB41" s="1289"/>
      <c r="AC41" s="1289"/>
      <c r="AD41" s="1289"/>
      <c r="AE41" s="1289"/>
      <c r="AF41" s="1289"/>
      <c r="AG41" s="1289"/>
      <c r="AH41" s="1289"/>
      <c r="AI41" s="1289"/>
      <c r="AJ41" s="1289"/>
      <c r="AK41" s="1289"/>
      <c r="AL41" s="1289"/>
      <c r="AM41" s="1289"/>
      <c r="AN41" s="1289"/>
      <c r="AO41" s="1289"/>
      <c r="AP41" s="1289"/>
      <c r="AQ41" s="1289"/>
    </row>
    <row s="1888" customFormat="1" customHeight="1" ht="17.25" hidden="1">
      <c r="A42" s="306"/>
      <c r="C42" s="305"/>
      <c r="D42" s="1963"/>
      <c r="E42" s="1965"/>
      <c r="F42" s="1968"/>
      <c r="G42" s="1965"/>
      <c r="H42" s="1322"/>
      <c r="I42" s="1323"/>
      <c r="J42" s="1323"/>
      <c r="K42" s="1323"/>
      <c r="L42" s="1323"/>
      <c r="M42" s="1323"/>
      <c r="N42" s="1323"/>
      <c r="O42" s="1323"/>
      <c r="P42" s="1323"/>
      <c r="Q42" s="1323"/>
      <c r="R42" s="1323"/>
      <c r="S42" s="1324"/>
      <c r="T42" s="1324"/>
      <c r="U42" s="1324"/>
      <c r="V42" s="1324"/>
      <c r="W42" s="1325"/>
      <c r="X42" s="1281"/>
      <c r="Y42" s="1281"/>
      <c r="Z42" s="1281"/>
      <c r="AA42" s="1281"/>
      <c r="AB42" s="1281"/>
      <c r="AC42" s="1281"/>
      <c r="AD42" s="1281"/>
      <c r="AE42" s="1281"/>
      <c r="AF42" s="1281"/>
      <c r="AG42" s="1281"/>
      <c r="AH42" s="1281"/>
      <c r="AI42" s="1281"/>
      <c r="AJ42" s="1281"/>
      <c r="AK42" s="1281"/>
      <c r="AL42" s="1281"/>
      <c r="AM42" s="1281"/>
      <c r="AN42" s="1281"/>
      <c r="AO42" s="1281"/>
      <c r="AP42" s="1281"/>
      <c r="AQ42" s="1281"/>
    </row>
    <row s="1888" customFormat="1" customHeight="1" ht="17.25" hidden="1">
      <c r="A43" s="306"/>
      <c r="C43" s="188"/>
      <c r="D43" s="1985">
        <v>7</v>
      </c>
      <c r="E43" s="1988" t="s">
        <v>194</v>
      </c>
      <c r="F43" s="1966" t="s">
        <v>56</v>
      </c>
      <c r="G43" s="1988"/>
      <c r="H43" s="1969"/>
      <c r="I43" s="1971"/>
      <c r="J43" s="1973"/>
      <c r="K43" s="1956"/>
      <c r="L43" s="1956"/>
      <c r="M43" s="1956"/>
      <c r="N43" s="1958"/>
      <c r="O43" s="1956"/>
      <c r="P43" s="1956"/>
      <c r="Q43" s="1956"/>
      <c r="R43" s="1961"/>
      <c r="S43" s="1956"/>
      <c r="T43" s="1443"/>
      <c r="U43" s="1443"/>
      <c r="V43" s="1442"/>
      <c r="W43" s="1319"/>
      <c r="X43" s="1289"/>
      <c r="Y43" s="1289"/>
      <c r="Z43" s="1289"/>
      <c r="AA43" s="1289"/>
      <c r="AB43" s="1289"/>
      <c r="AC43" s="1289" t="s">
        <v>195</v>
      </c>
      <c r="AD43" s="1289" t="s">
        <v>196</v>
      </c>
      <c r="AE43" s="1289" t="s">
        <v>197</v>
      </c>
      <c r="AF43" s="1289" t="s">
        <v>198</v>
      </c>
      <c r="AG43" s="1289" t="s">
        <v>199</v>
      </c>
      <c r="AH43" s="1289" t="str">
        <f>IF($E$43=0,"",$E$43)</f>
        <v>Плата за услуги по поддержанию резервной тепловой мощности при отсутствии потребления тепловой энергии</v>
      </c>
      <c r="AI43" s="1289" t="str">
        <f>IF($G$43=0,"",$G$43)</f>
        <v/>
      </c>
      <c r="AJ43" s="1289" t="str">
        <f>IF($J$43=0,"",$J$43)</f>
        <v/>
      </c>
      <c r="AK43" s="1289" t="str">
        <f>IF($K$43="нет","без дифференциации",IF($N$43=0,"",$N$43))</f>
        <v/>
      </c>
      <c r="AL43" s="1289" t="str">
        <f>IF($O$43="нет","без дифференциации",IF($R$43=0,"",$R$43))</f>
        <v/>
      </c>
      <c r="AM43" s="1289" t="str">
        <f>IF($S$43="нет","без дифференциации",IF($V$43=0,"",$V$43))</f>
        <v/>
      </c>
      <c r="AN43" s="1805">
        <f>$I$43</f>
        <v>0</v>
      </c>
      <c r="AO43" s="1289" t="str">
        <f>$I$43&amp;"."&amp;$M$43</f>
        <v>.</v>
      </c>
      <c r="AP43" s="1281" t="str">
        <f>$I$43&amp;"."&amp;$M$43&amp;"."&amp;$Q$43</f>
        <v>..</v>
      </c>
      <c r="AQ43" s="1281" t="str">
        <f>$I$43&amp;"."&amp;$M$43&amp;"."&amp;$Q$43&amp;"."&amp;$U$43</f>
        <v>...</v>
      </c>
    </row>
    <row s="1888" customFormat="1" customHeight="1" ht="17.25" hidden="1">
      <c r="A44" s="306"/>
      <c r="C44" s="305"/>
      <c r="D44" s="1986"/>
      <c r="E44" s="1989"/>
      <c r="F44" s="1967"/>
      <c r="G44" s="1989"/>
      <c r="H44" s="1970"/>
      <c r="I44" s="1972"/>
      <c r="J44" s="1974"/>
      <c r="K44" s="1957"/>
      <c r="L44" s="1957"/>
      <c r="M44" s="1957"/>
      <c r="N44" s="1959"/>
      <c r="O44" s="1957"/>
      <c r="P44" s="1957"/>
      <c r="Q44" s="1957"/>
      <c r="R44" s="1960"/>
      <c r="S44" s="1957"/>
      <c r="T44" s="1320"/>
      <c r="U44" s="1320"/>
      <c r="V44" s="1320"/>
      <c r="W44" s="1321"/>
      <c r="X44" s="1281"/>
      <c r="Y44" s="1281"/>
      <c r="Z44" s="1281"/>
      <c r="AA44" s="1281"/>
      <c r="AB44" s="1281"/>
      <c r="AC44" s="1281"/>
      <c r="AD44" s="1281"/>
      <c r="AE44" s="1281"/>
      <c r="AF44" s="1281"/>
      <c r="AG44" s="1281"/>
      <c r="AH44" s="1281"/>
      <c r="AI44" s="1281"/>
      <c r="AJ44" s="1281"/>
      <c r="AK44" s="1281"/>
      <c r="AL44" s="1281"/>
      <c r="AM44" s="1281"/>
      <c r="AN44" s="1281"/>
      <c r="AO44" s="1281"/>
      <c r="AP44" s="1281"/>
      <c r="AQ44" s="1281"/>
    </row>
    <row s="1888" customFormat="1" customHeight="1" ht="17.25" hidden="1">
      <c r="A45" s="306"/>
      <c r="C45" s="305"/>
      <c r="D45" s="1986"/>
      <c r="E45" s="1989"/>
      <c r="F45" s="1967"/>
      <c r="G45" s="1989"/>
      <c r="H45" s="1970"/>
      <c r="I45" s="1972"/>
      <c r="J45" s="1975"/>
      <c r="K45" s="1957"/>
      <c r="L45" s="1957"/>
      <c r="M45" s="1957"/>
      <c r="N45" s="1960"/>
      <c r="O45" s="1957"/>
      <c r="P45" s="1441"/>
      <c r="Q45" s="1320"/>
      <c r="R45" s="1320"/>
      <c r="S45" s="317"/>
      <c r="T45" s="317"/>
      <c r="U45" s="317"/>
      <c r="V45" s="317"/>
      <c r="W45" s="1321"/>
      <c r="X45" s="1281"/>
      <c r="Y45" s="1281"/>
      <c r="Z45" s="1281"/>
      <c r="AA45" s="1281"/>
      <c r="AB45" s="1281"/>
      <c r="AC45" s="1281"/>
      <c r="AD45" s="1281"/>
      <c r="AE45" s="1281"/>
      <c r="AF45" s="1281"/>
      <c r="AG45" s="1281"/>
      <c r="AH45" s="1281"/>
      <c r="AI45" s="1281"/>
      <c r="AJ45" s="1281"/>
      <c r="AK45" s="1281"/>
      <c r="AL45" s="1281"/>
      <c r="AM45" s="1281"/>
      <c r="AN45" s="1281"/>
      <c r="AO45" s="1281"/>
      <c r="AP45" s="1281"/>
      <c r="AQ45" s="1281"/>
    </row>
    <row s="1888" customFormat="1" customHeight="1" ht="17.25" hidden="1">
      <c r="A46" s="306"/>
      <c r="C46" s="188"/>
      <c r="D46" s="1986"/>
      <c r="E46" s="1989"/>
      <c r="F46" s="1967"/>
      <c r="G46" s="1989"/>
      <c r="H46" s="1970"/>
      <c r="I46" s="1972"/>
      <c r="J46" s="1975"/>
      <c r="K46" s="1957"/>
      <c r="L46" s="1320"/>
      <c r="M46" s="1320"/>
      <c r="N46" s="1320"/>
      <c r="O46" s="1320"/>
      <c r="P46" s="1320"/>
      <c r="Q46" s="1320"/>
      <c r="R46" s="1320"/>
      <c r="S46" s="317"/>
      <c r="T46" s="317"/>
      <c r="U46" s="317"/>
      <c r="V46" s="317"/>
      <c r="W46" s="1321"/>
      <c r="Y46" s="1289"/>
      <c r="Z46" s="1289"/>
      <c r="AA46" s="1289"/>
      <c r="AB46" s="1289"/>
      <c r="AC46" s="1289"/>
      <c r="AD46" s="1289"/>
      <c r="AE46" s="1289"/>
      <c r="AF46" s="1289"/>
      <c r="AG46" s="1289"/>
      <c r="AH46" s="1289"/>
      <c r="AI46" s="1289"/>
      <c r="AJ46" s="1289"/>
      <c r="AK46" s="1289"/>
      <c r="AL46" s="1289"/>
      <c r="AM46" s="1289"/>
      <c r="AN46" s="1289"/>
      <c r="AO46" s="1289"/>
      <c r="AP46" s="1289"/>
      <c r="AQ46" s="1289"/>
    </row>
    <row s="1888" customFormat="1" customHeight="1" ht="17.25" hidden="1">
      <c r="A47" s="306"/>
      <c r="C47" s="305"/>
      <c r="D47" s="1987"/>
      <c r="E47" s="1990"/>
      <c r="F47" s="1968"/>
      <c r="G47" s="1990"/>
      <c r="H47" s="1322"/>
      <c r="I47" s="1323"/>
      <c r="J47" s="1323"/>
      <c r="K47" s="1323"/>
      <c r="L47" s="1323"/>
      <c r="M47" s="1323"/>
      <c r="N47" s="1323"/>
      <c r="O47" s="1323"/>
      <c r="P47" s="1323"/>
      <c r="Q47" s="1323"/>
      <c r="R47" s="1323"/>
      <c r="S47" s="1324"/>
      <c r="T47" s="1324"/>
      <c r="U47" s="1324"/>
      <c r="V47" s="1324"/>
      <c r="W47" s="1325"/>
      <c r="X47" s="1281"/>
      <c r="Y47" s="1281"/>
      <c r="Z47" s="1281"/>
      <c r="AA47" s="1281"/>
      <c r="AB47" s="1281"/>
      <c r="AC47" s="1281"/>
      <c r="AD47" s="1281"/>
      <c r="AE47" s="1281"/>
      <c r="AF47" s="1281"/>
      <c r="AG47" s="1281"/>
      <c r="AH47" s="1281"/>
      <c r="AI47" s="1281"/>
      <c r="AJ47" s="1281"/>
      <c r="AK47" s="1281"/>
      <c r="AL47" s="1281"/>
      <c r="AM47" s="1281"/>
      <c r="AN47" s="1281"/>
      <c r="AO47" s="1281"/>
      <c r="AP47" s="1281"/>
      <c r="AQ47" s="1281"/>
    </row>
    <row s="1888" customFormat="1" customHeight="1" ht="17.25" hidden="1">
      <c r="A48" s="306"/>
      <c r="C48" s="188"/>
      <c r="D48" s="1962">
        <v>8</v>
      </c>
      <c r="E48" s="1964" t="s">
        <v>200</v>
      </c>
      <c r="F48" s="1966" t="s">
        <v>56</v>
      </c>
      <c r="G48" s="1964"/>
      <c r="H48" s="1969"/>
      <c r="I48" s="1971"/>
      <c r="J48" s="1973"/>
      <c r="K48" s="1956"/>
      <c r="L48" s="1956"/>
      <c r="M48" s="1956"/>
      <c r="N48" s="1958"/>
      <c r="O48" s="1956"/>
      <c r="P48" s="1956"/>
      <c r="Q48" s="1956"/>
      <c r="R48" s="1961"/>
      <c r="S48" s="1956"/>
      <c r="T48" s="1493"/>
      <c r="U48" s="1493"/>
      <c r="V48" s="1495"/>
      <c r="W48" s="1319"/>
      <c r="X48" s="1289"/>
      <c r="Y48" s="1289"/>
      <c r="Z48" s="1289"/>
      <c r="AA48" s="1289"/>
      <c r="AB48" s="1289"/>
      <c r="AC48" s="1289" t="s">
        <v>201</v>
      </c>
      <c r="AD48" s="1289" t="s">
        <v>202</v>
      </c>
      <c r="AE48" s="1289" t="s">
        <v>203</v>
      </c>
      <c r="AF48" s="1289" t="s">
        <v>204</v>
      </c>
      <c r="AG48" s="1289" t="s">
        <v>205</v>
      </c>
      <c r="AH48" s="1289" t="str">
        <f>IF($E$48=0,"",$E$48)</f>
        <v>Плата за подключение (технологическое присоединение) к системе теплоснабжения</v>
      </c>
      <c r="AI48" s="1289" t="str">
        <f>IF($G$48=0,"",$G$48)</f>
        <v/>
      </c>
      <c r="AJ48" s="1289" t="str">
        <f>IF($J$48=0,"",$J$48)</f>
        <v/>
      </c>
      <c r="AK48" s="1289" t="str">
        <f>IF($K$48="нет","без дифференциации",IF($N$48=0,"",$N$48))</f>
        <v/>
      </c>
      <c r="AL48" s="1289" t="str">
        <f>IF($O$48="нет","без дифференциации",IF($R$48=0,"",$R$48))</f>
        <v/>
      </c>
      <c r="AM48" s="1289" t="str">
        <f>IF($S$48="нет","без дифференциации",IF($V$48=0,"",$V$48))</f>
        <v/>
      </c>
      <c r="AN48" s="1805">
        <f>$I$48</f>
        <v>0</v>
      </c>
      <c r="AO48" s="1289" t="str">
        <f>$I$48&amp;"."&amp;$M$48</f>
        <v>.</v>
      </c>
      <c r="AP48" s="1281" t="str">
        <f>$I$48&amp;"."&amp;$M$48&amp;"."&amp;$Q$48</f>
        <v>..</v>
      </c>
      <c r="AQ48" s="1281" t="str">
        <f>$I$48&amp;"."&amp;$M$48&amp;"."&amp;$Q$48&amp;"."&amp;$U$48</f>
        <v>...</v>
      </c>
    </row>
    <row s="1888" customFormat="1" customHeight="1" ht="17.25" hidden="1">
      <c r="A49" s="306"/>
      <c r="C49" s="305"/>
      <c r="D49" s="1962"/>
      <c r="E49" s="1964"/>
      <c r="F49" s="1967"/>
      <c r="G49" s="1964"/>
      <c r="H49" s="1970"/>
      <c r="I49" s="1972"/>
      <c r="J49" s="1974"/>
      <c r="K49" s="1957"/>
      <c r="L49" s="1957"/>
      <c r="M49" s="1957"/>
      <c r="N49" s="1959"/>
      <c r="O49" s="1957"/>
      <c r="P49" s="1957"/>
      <c r="Q49" s="1957"/>
      <c r="R49" s="1960"/>
      <c r="S49" s="1957"/>
      <c r="T49" s="1320"/>
      <c r="U49" s="1320"/>
      <c r="V49" s="1320"/>
      <c r="W49" s="1321"/>
      <c r="X49" s="1281"/>
      <c r="Y49" s="1281"/>
      <c r="Z49" s="1281"/>
      <c r="AA49" s="1281"/>
      <c r="AB49" s="1281"/>
      <c r="AC49" s="1281"/>
      <c r="AD49" s="1281"/>
      <c r="AE49" s="1281"/>
      <c r="AF49" s="1281"/>
      <c r="AG49" s="1281"/>
      <c r="AH49" s="1281"/>
      <c r="AI49" s="1281"/>
      <c r="AJ49" s="1281"/>
      <c r="AK49" s="1281"/>
      <c r="AL49" s="1281"/>
      <c r="AM49" s="1281"/>
      <c r="AN49" s="1281"/>
      <c r="AO49" s="1281"/>
      <c r="AP49" s="1281"/>
      <c r="AQ49" s="1281"/>
    </row>
    <row s="1888" customFormat="1" customHeight="1" ht="17.25" hidden="1">
      <c r="A50" s="306"/>
      <c r="C50" s="305"/>
      <c r="D50" s="1963"/>
      <c r="E50" s="1965"/>
      <c r="F50" s="1967"/>
      <c r="G50" s="1965"/>
      <c r="H50" s="1970"/>
      <c r="I50" s="1972"/>
      <c r="J50" s="1975"/>
      <c r="K50" s="1957"/>
      <c r="L50" s="1957"/>
      <c r="M50" s="1957"/>
      <c r="N50" s="1960"/>
      <c r="O50" s="1957"/>
      <c r="P50" s="1494"/>
      <c r="Q50" s="1320"/>
      <c r="R50" s="1320"/>
      <c r="S50" s="317"/>
      <c r="T50" s="317"/>
      <c r="U50" s="317"/>
      <c r="V50" s="317"/>
      <c r="W50" s="1321"/>
      <c r="X50" s="1281"/>
      <c r="Y50" s="1281"/>
      <c r="Z50" s="1281"/>
      <c r="AA50" s="1281"/>
      <c r="AB50" s="1281"/>
      <c r="AC50" s="1281"/>
      <c r="AD50" s="1281"/>
      <c r="AE50" s="1281"/>
      <c r="AF50" s="1281"/>
      <c r="AG50" s="1281"/>
      <c r="AH50" s="1281"/>
      <c r="AI50" s="1281"/>
      <c r="AJ50" s="1281"/>
      <c r="AK50" s="1281"/>
      <c r="AL50" s="1281"/>
      <c r="AM50" s="1281"/>
      <c r="AN50" s="1281"/>
      <c r="AO50" s="1281"/>
      <c r="AP50" s="1281"/>
      <c r="AQ50" s="1281"/>
    </row>
    <row s="1888" customFormat="1" customHeight="1" ht="17.25" hidden="1">
      <c r="A51" s="306"/>
      <c r="C51" s="188"/>
      <c r="D51" s="1963"/>
      <c r="E51" s="1965"/>
      <c r="F51" s="1967"/>
      <c r="G51" s="1965"/>
      <c r="H51" s="1970"/>
      <c r="I51" s="1972"/>
      <c r="J51" s="1975"/>
      <c r="K51" s="1957"/>
      <c r="L51" s="1320"/>
      <c r="M51" s="1320"/>
      <c r="N51" s="1320"/>
      <c r="O51" s="1320"/>
      <c r="P51" s="1320"/>
      <c r="Q51" s="1320"/>
      <c r="R51" s="1320"/>
      <c r="S51" s="317"/>
      <c r="T51" s="317"/>
      <c r="U51" s="317"/>
      <c r="V51" s="317"/>
      <c r="W51" s="1321"/>
      <c r="Y51" s="1289"/>
      <c r="Z51" s="1289"/>
      <c r="AA51" s="1289"/>
      <c r="AB51" s="1289"/>
      <c r="AC51" s="1289"/>
      <c r="AD51" s="1289"/>
      <c r="AE51" s="1289"/>
      <c r="AF51" s="1289"/>
      <c r="AG51" s="1289"/>
      <c r="AH51" s="1289"/>
      <c r="AI51" s="1289"/>
      <c r="AJ51" s="1289"/>
      <c r="AK51" s="1289"/>
      <c r="AL51" s="1289"/>
      <c r="AM51" s="1289"/>
      <c r="AN51" s="1289"/>
      <c r="AO51" s="1289"/>
      <c r="AP51" s="1289"/>
      <c r="AQ51" s="1289"/>
    </row>
    <row s="1888" customFormat="1" customHeight="1" ht="17.25" hidden="1">
      <c r="A52" s="306"/>
      <c r="C52" s="305"/>
      <c r="D52" s="1963"/>
      <c r="E52" s="1965"/>
      <c r="F52" s="1968"/>
      <c r="G52" s="1965"/>
      <c r="H52" s="1322"/>
      <c r="I52" s="1323"/>
      <c r="J52" s="1323"/>
      <c r="K52" s="1323"/>
      <c r="L52" s="1323"/>
      <c r="M52" s="1323"/>
      <c r="N52" s="1323"/>
      <c r="O52" s="1323"/>
      <c r="P52" s="1323"/>
      <c r="Q52" s="1323"/>
      <c r="R52" s="1323"/>
      <c r="S52" s="1324"/>
      <c r="T52" s="1324"/>
      <c r="U52" s="1324"/>
      <c r="V52" s="1324"/>
      <c r="W52" s="1325"/>
      <c r="X52" s="1281"/>
      <c r="Y52" s="1281"/>
      <c r="Z52" s="1281"/>
      <c r="AA52" s="1281"/>
      <c r="AB52" s="1281"/>
      <c r="AC52" s="1281"/>
      <c r="AD52" s="1281"/>
      <c r="AE52" s="1281"/>
      <c r="AF52" s="1281"/>
      <c r="AG52" s="1281"/>
      <c r="AH52" s="1281"/>
      <c r="AI52" s="1281"/>
      <c r="AJ52" s="1281"/>
      <c r="AK52" s="1281"/>
      <c r="AL52" s="1281"/>
      <c r="AM52" s="1281"/>
      <c r="AN52" s="1281"/>
      <c r="AO52" s="1281"/>
      <c r="AP52" s="1281"/>
      <c r="AQ52" s="1281"/>
    </row>
    <row customHeight="1" ht="11.25" hidden="1"/>
    <row customHeight="1" ht="11.25" hidden="1">
      <c r="E54" s="1993" t="s">
        <v>206</v>
      </c>
      <c r="F54" s="1993"/>
      <c r="G54" s="1993"/>
      <c r="H54" s="1993"/>
      <c r="I54" s="1993"/>
      <c r="J54" s="1993"/>
      <c r="K54" s="1993"/>
      <c r="L54" s="1993"/>
      <c r="M54" s="1993"/>
      <c r="N54" s="1993"/>
      <c r="O54" s="1993"/>
      <c r="P54" s="1993"/>
      <c r="Q54" s="1993"/>
      <c r="R54" s="1993"/>
      <c r="S54" s="1993"/>
      <c r="T54" s="1993"/>
      <c r="U54" s="1993"/>
      <c r="V54" s="1993"/>
      <c r="W54" s="1993"/>
    </row>
    <row customHeight="1" ht="36.75" hidden="1">
      <c r="E55" s="1991" t="s">
        <v>207</v>
      </c>
      <c r="F55" s="1991"/>
      <c r="G55" s="1992"/>
      <c r="H55" s="1992"/>
      <c r="I55" s="1992"/>
      <c r="J55" s="1992"/>
      <c r="K55" s="1992"/>
      <c r="L55" s="1992"/>
      <c r="M55" s="1992"/>
      <c r="N55" s="1992"/>
      <c r="O55" s="1992"/>
      <c r="P55" s="1992"/>
      <c r="Q55" s="1992"/>
      <c r="R55" s="1992"/>
      <c r="S55" s="1992"/>
      <c r="T55" s="1992"/>
      <c r="U55" s="1992"/>
      <c r="V55" s="1992"/>
      <c r="W55" s="1992"/>
    </row>
    <row customHeight="1" ht="28.5" hidden="1">
      <c r="E56" s="1991" t="s">
        <v>208</v>
      </c>
      <c r="F56" s="1991"/>
      <c r="G56" s="1992"/>
      <c r="H56" s="1992"/>
      <c r="I56" s="1992"/>
      <c r="J56" s="1992"/>
      <c r="K56" s="1992"/>
      <c r="L56" s="1992"/>
      <c r="M56" s="1992"/>
      <c r="N56" s="1992"/>
      <c r="O56" s="1992"/>
      <c r="P56" s="1992"/>
      <c r="Q56" s="1992"/>
      <c r="R56" s="1992"/>
      <c r="S56" s="1992"/>
      <c r="T56" s="1992"/>
      <c r="U56" s="1992"/>
      <c r="V56" s="1992"/>
      <c r="W56" s="1992"/>
    </row>
    <row customHeight="1" ht="27" hidden="1">
      <c r="E57" s="1991" t="s">
        <v>209</v>
      </c>
      <c r="F57" s="1991"/>
      <c r="G57" s="1992"/>
      <c r="H57" s="1992"/>
      <c r="I57" s="1992"/>
      <c r="J57" s="1992"/>
      <c r="K57" s="1992"/>
      <c r="L57" s="1992"/>
      <c r="M57" s="1992"/>
      <c r="N57" s="1992"/>
      <c r="O57" s="1992"/>
      <c r="P57" s="1992"/>
      <c r="Q57" s="1992"/>
      <c r="R57" s="1992"/>
      <c r="S57" s="1992"/>
      <c r="T57" s="1992"/>
      <c r="U57" s="1992"/>
      <c r="V57" s="1992"/>
      <c r="W57" s="1992"/>
    </row>
    <row customHeight="1" ht="17.25" hidden="1">
      <c r="E58" s="1991" t="s">
        <v>210</v>
      </c>
      <c r="F58" s="1991"/>
      <c r="G58" s="1992"/>
      <c r="H58" s="1992"/>
      <c r="I58" s="1992"/>
      <c r="J58" s="1992"/>
      <c r="K58" s="1992"/>
      <c r="L58" s="1992"/>
      <c r="M58" s="1992"/>
      <c r="N58" s="1992"/>
      <c r="O58" s="1992"/>
      <c r="P58" s="1992"/>
      <c r="Q58" s="1992"/>
      <c r="R58" s="1992"/>
      <c r="S58" s="1992"/>
      <c r="T58" s="1992"/>
      <c r="U58" s="1992"/>
      <c r="V58" s="1992"/>
      <c r="W58" s="1992"/>
    </row>
    <row customHeight="1" ht="15" hidden="1">
      <c r="E59" s="328"/>
      <c r="F59" s="1308"/>
      <c r="G59" s="137"/>
      <c r="H59" s="137"/>
      <c r="I59" s="137"/>
      <c r="J59" s="137"/>
      <c r="K59" s="137"/>
      <c r="L59" s="137"/>
      <c r="M59" s="137"/>
      <c r="N59" s="137"/>
      <c r="O59" s="137"/>
      <c r="P59" s="137"/>
      <c r="Q59" s="137"/>
      <c r="R59" s="137"/>
      <c r="S59" s="137"/>
      <c r="T59" s="137"/>
      <c r="U59" s="137"/>
      <c r="V59" s="137"/>
      <c r="W59" s="137"/>
    </row>
    <row customHeight="1" ht="15" hidden="1">
      <c r="E60" s="1993" t="s">
        <v>211</v>
      </c>
      <c r="F60" s="1993"/>
      <c r="G60" s="1993"/>
      <c r="H60" s="1993"/>
      <c r="I60" s="1993"/>
      <c r="J60" s="1993"/>
      <c r="K60" s="1993"/>
      <c r="L60" s="1993"/>
      <c r="M60" s="1993"/>
      <c r="N60" s="1993"/>
      <c r="O60" s="1993"/>
      <c r="P60" s="1993"/>
      <c r="Q60" s="1993"/>
      <c r="R60" s="1993"/>
      <c r="S60" s="1993"/>
      <c r="T60" s="1993"/>
      <c r="U60" s="1993"/>
      <c r="V60" s="1993"/>
      <c r="W60" s="1993"/>
    </row>
    <row customHeight="1" ht="17.25" hidden="1">
      <c r="E61" s="1991" t="s">
        <v>212</v>
      </c>
      <c r="F61" s="1991"/>
      <c r="G61" s="1992"/>
      <c r="H61" s="1992"/>
      <c r="I61" s="1992"/>
      <c r="J61" s="1992"/>
      <c r="K61" s="1992"/>
      <c r="L61" s="1992"/>
      <c r="M61" s="1992"/>
      <c r="N61" s="1992"/>
      <c r="O61" s="1992"/>
      <c r="P61" s="1992"/>
      <c r="Q61" s="1992"/>
      <c r="R61" s="1992"/>
      <c r="S61" s="1992"/>
      <c r="T61" s="1992"/>
      <c r="U61" s="1992"/>
      <c r="V61" s="1992"/>
      <c r="W61" s="1992"/>
    </row>
    <row customHeight="1" ht="17.25" hidden="1">
      <c r="E62" s="1991" t="s">
        <v>213</v>
      </c>
      <c r="F62" s="1991"/>
      <c r="G62" s="1992"/>
      <c r="H62" s="1992"/>
      <c r="I62" s="1992"/>
      <c r="J62" s="1992"/>
      <c r="K62" s="1992"/>
      <c r="L62" s="1992"/>
      <c r="M62" s="1992"/>
      <c r="N62" s="1992"/>
      <c r="O62" s="1992"/>
      <c r="P62" s="1992"/>
      <c r="Q62" s="1992"/>
      <c r="R62" s="1992"/>
      <c r="S62" s="1992"/>
      <c r="T62" s="1992"/>
      <c r="U62" s="1992"/>
      <c r="V62" s="1992"/>
      <c r="W62" s="1992"/>
    </row>
    <row s="1888" customFormat="1" customHeight="1" ht="11.25">
      <c r="A63" s="256"/>
      <c r="B63" s="256"/>
      <c r="Y63" s="1281"/>
      <c r="Z63" s="1281"/>
      <c r="AA63" s="1281"/>
      <c r="AB63" s="1281"/>
      <c r="AC63" s="1281"/>
      <c r="AD63" s="1281"/>
      <c r="AE63" s="1281"/>
      <c r="AF63" s="1281"/>
      <c r="AG63" s="1281"/>
      <c r="AH63" s="1281"/>
      <c r="AI63" s="1281"/>
      <c r="AJ63" s="1281"/>
      <c r="AK63" s="1281"/>
      <c r="AL63" s="1281"/>
      <c r="AM63" s="1281"/>
      <c r="AN63" s="1281"/>
      <c r="AO63" s="1281"/>
      <c r="AP63" s="1281"/>
      <c r="AQ63" s="1281"/>
    </row>
    <row s="1888" customFormat="1" customHeight="1" ht="17.25" hidden="1">
      <c r="A64" s="306"/>
      <c r="C64" s="188"/>
      <c r="D64" s="1962">
        <v>1</v>
      </c>
      <c r="E64" s="1964" t="s">
        <v>214</v>
      </c>
      <c r="F64" s="1966" t="s">
        <v>56</v>
      </c>
      <c r="G64" s="1964"/>
      <c r="H64" s="1969"/>
      <c r="I64" s="1971"/>
      <c r="J64" s="1973"/>
      <c r="K64" s="1956"/>
      <c r="L64" s="1956"/>
      <c r="M64" s="1956"/>
      <c r="N64" s="1958"/>
      <c r="O64" s="1956"/>
      <c r="P64" s="1956"/>
      <c r="Q64" s="1956"/>
      <c r="R64" s="1961"/>
      <c r="S64" s="1956"/>
      <c r="T64" s="1493"/>
      <c r="U64" s="1493"/>
      <c r="V64" s="1495"/>
      <c r="W64" s="1319"/>
      <c r="Y64" s="1289"/>
      <c r="Z64" s="1289"/>
      <c r="AA64" s="1289"/>
      <c r="AB64" s="1289"/>
      <c r="AC64" s="1289" t="s">
        <v>215</v>
      </c>
      <c r="AD64" s="1289" t="s">
        <v>216</v>
      </c>
      <c r="AE64" s="1289" t="s">
        <v>217</v>
      </c>
      <c r="AF64" s="1289" t="s">
        <v>218</v>
      </c>
      <c r="AG64" s="1289"/>
      <c r="AH64" s="1289" t="str">
        <f>IF($E$64=0,"",$E$64)</f>
        <v>Тариф на питьевую воду (питьевое водоснабжение)</v>
      </c>
      <c r="AI64" s="1289" t="str">
        <f>IF($G$64=0,"",$G$64)</f>
        <v/>
      </c>
      <c r="AJ64" s="1289" t="str">
        <f>IF($J$64=0,"",$J$64)</f>
        <v/>
      </c>
      <c r="AK64" s="1289" t="str">
        <f>IF($K$64="нет","без дифференциации",IF($N$64=0,"",$N$64))</f>
        <v/>
      </c>
      <c r="AL64" s="1289" t="str">
        <f>IF($O$64="нет","без дифференциации",IF($R$64=0,"",$R$64))</f>
        <v/>
      </c>
      <c r="AM64" s="1289" t="str">
        <f>IF($S$64="нет","без дифференциации",IF($V$64=0,"",$V$64))</f>
        <v/>
      </c>
      <c r="AN64" s="1289">
        <f>$I$64</f>
        <v>0</v>
      </c>
      <c r="AO64" s="1289" t="str">
        <f>$I$64&amp;"."&amp;$M$64</f>
        <v>.</v>
      </c>
      <c r="AP64" s="1289" t="str">
        <f>$I$64&amp;"."&amp;$M$64&amp;"."&amp;$Q$64</f>
        <v>..</v>
      </c>
      <c r="AQ64" s="1289" t="str">
        <f>$I$64&amp;"."&amp;$M$64&amp;"."&amp;$Q$64&amp;"."&amp;$U$64</f>
        <v>...</v>
      </c>
    </row>
    <row s="1888" customFormat="1" customHeight="1" ht="17.25" hidden="1">
      <c r="A65" s="306"/>
      <c r="C65" s="305"/>
      <c r="D65" s="1962"/>
      <c r="E65" s="1964"/>
      <c r="F65" s="1967"/>
      <c r="G65" s="1964"/>
      <c r="H65" s="1970"/>
      <c r="I65" s="1972"/>
      <c r="J65" s="1974"/>
      <c r="K65" s="1957"/>
      <c r="L65" s="1957"/>
      <c r="M65" s="1957"/>
      <c r="N65" s="1959"/>
      <c r="O65" s="1957"/>
      <c r="P65" s="1957"/>
      <c r="Q65" s="1957"/>
      <c r="R65" s="1960"/>
      <c r="S65" s="1957"/>
      <c r="T65" s="1320"/>
      <c r="U65" s="1320"/>
      <c r="V65" s="1320"/>
      <c r="W65" s="1321"/>
      <c r="Y65" s="1281"/>
      <c r="Z65" s="1281"/>
      <c r="AA65" s="1281"/>
      <c r="AB65" s="1281"/>
      <c r="AC65" s="1281"/>
      <c r="AD65" s="1281"/>
      <c r="AE65" s="1281"/>
      <c r="AF65" s="1281"/>
      <c r="AG65" s="1281"/>
      <c r="AH65" s="1281"/>
      <c r="AI65" s="1281"/>
      <c r="AJ65" s="1281"/>
      <c r="AK65" s="1281"/>
      <c r="AL65" s="1281"/>
      <c r="AM65" s="1281"/>
      <c r="AN65" s="1281"/>
      <c r="AO65" s="1281"/>
      <c r="AP65" s="1281"/>
      <c r="AQ65" s="1281"/>
    </row>
    <row s="1888" customFormat="1" customHeight="1" ht="17.25" hidden="1">
      <c r="A66" s="306"/>
      <c r="C66" s="188"/>
      <c r="D66" s="1962"/>
      <c r="E66" s="1964"/>
      <c r="F66" s="1967"/>
      <c r="G66" s="1964"/>
      <c r="H66" s="1970"/>
      <c r="I66" s="1972"/>
      <c r="J66" s="1975"/>
      <c r="K66" s="1957"/>
      <c r="L66" s="1957"/>
      <c r="M66" s="1957"/>
      <c r="N66" s="1960"/>
      <c r="O66" s="1957"/>
      <c r="P66" s="1494"/>
      <c r="Q66" s="1320"/>
      <c r="R66" s="1320"/>
      <c r="S66" s="317"/>
      <c r="T66" s="317"/>
      <c r="U66" s="317"/>
      <c r="V66" s="317"/>
      <c r="W66" s="1321"/>
      <c r="Y66" s="1289"/>
      <c r="Z66" s="1289"/>
      <c r="AA66" s="1289"/>
      <c r="AB66" s="1289"/>
      <c r="AC66" s="1289"/>
      <c r="AD66" s="1289"/>
      <c r="AE66" s="1289"/>
      <c r="AF66" s="1289"/>
      <c r="AG66" s="1289"/>
      <c r="AH66" s="1289"/>
      <c r="AI66" s="1289"/>
      <c r="AJ66" s="1289"/>
      <c r="AK66" s="1289"/>
      <c r="AL66" s="1289"/>
      <c r="AM66" s="1289"/>
      <c r="AN66" s="1289"/>
      <c r="AO66" s="1289"/>
      <c r="AP66" s="1289"/>
      <c r="AQ66" s="1289"/>
    </row>
    <row s="1888" customFormat="1" customHeight="1" ht="17.25" hidden="1">
      <c r="A67" s="306"/>
      <c r="C67" s="305"/>
      <c r="D67" s="1962"/>
      <c r="E67" s="1964"/>
      <c r="F67" s="1967"/>
      <c r="G67" s="1964"/>
      <c r="H67" s="1970"/>
      <c r="I67" s="1972"/>
      <c r="J67" s="1975"/>
      <c r="K67" s="1957"/>
      <c r="L67" s="1320"/>
      <c r="M67" s="1320"/>
      <c r="N67" s="1320"/>
      <c r="O67" s="1320"/>
      <c r="P67" s="1320"/>
      <c r="Q67" s="1320"/>
      <c r="R67" s="1320"/>
      <c r="S67" s="317"/>
      <c r="T67" s="317"/>
      <c r="U67" s="317"/>
      <c r="V67" s="317"/>
      <c r="W67" s="1321"/>
      <c r="Y67" s="1281"/>
      <c r="Z67" s="1281"/>
      <c r="AA67" s="1281"/>
      <c r="AB67" s="1281"/>
      <c r="AC67" s="1281"/>
      <c r="AD67" s="1281"/>
      <c r="AE67" s="1281"/>
      <c r="AF67" s="1281"/>
      <c r="AG67" s="1281"/>
      <c r="AH67" s="1281"/>
      <c r="AI67" s="1281"/>
      <c r="AJ67" s="1281"/>
      <c r="AK67" s="1281"/>
      <c r="AL67" s="1281"/>
      <c r="AM67" s="1281"/>
      <c r="AN67" s="1281"/>
      <c r="AO67" s="1281"/>
      <c r="AP67" s="1281"/>
      <c r="AQ67" s="1281"/>
    </row>
    <row s="1888" customFormat="1" customHeight="1" ht="17.25" hidden="1">
      <c r="A68" s="306"/>
      <c r="C68" s="305"/>
      <c r="D68" s="1963"/>
      <c r="E68" s="1965"/>
      <c r="F68" s="1968"/>
      <c r="G68" s="1965"/>
      <c r="H68" s="1322"/>
      <c r="I68" s="1323"/>
      <c r="J68" s="1323"/>
      <c r="K68" s="1323"/>
      <c r="L68" s="1323"/>
      <c r="M68" s="1323"/>
      <c r="N68" s="1323"/>
      <c r="O68" s="1323"/>
      <c r="P68" s="1323"/>
      <c r="Q68" s="1323"/>
      <c r="R68" s="1323"/>
      <c r="S68" s="1324"/>
      <c r="T68" s="1324"/>
      <c r="U68" s="1324"/>
      <c r="V68" s="1324"/>
      <c r="W68" s="1325"/>
      <c r="Y68" s="1281"/>
      <c r="Z68" s="1281"/>
      <c r="AA68" s="1281"/>
      <c r="AB68" s="1281"/>
      <c r="AC68" s="1281"/>
      <c r="AD68" s="1281"/>
      <c r="AE68" s="1281"/>
      <c r="AF68" s="1281"/>
      <c r="AG68" s="1281"/>
      <c r="AH68" s="1281"/>
      <c r="AI68" s="1281"/>
      <c r="AJ68" s="1281"/>
      <c r="AK68" s="1281"/>
      <c r="AL68" s="1281"/>
      <c r="AM68" s="1281"/>
      <c r="AN68" s="1281"/>
      <c r="AO68" s="1281"/>
      <c r="AP68" s="1281"/>
      <c r="AQ68" s="1281"/>
    </row>
    <row s="1888" customFormat="1" customHeight="1" ht="17.25" hidden="1">
      <c r="A69" s="306"/>
      <c r="C69" s="188"/>
      <c r="D69" s="1962">
        <v>2</v>
      </c>
      <c r="E69" s="1964" t="s">
        <v>219</v>
      </c>
      <c r="F69" s="1966" t="s">
        <v>56</v>
      </c>
      <c r="G69" s="1964"/>
      <c r="H69" s="1969"/>
      <c r="I69" s="1971"/>
      <c r="J69" s="1973"/>
      <c r="K69" s="1956"/>
      <c r="L69" s="1956"/>
      <c r="M69" s="1956"/>
      <c r="N69" s="1958"/>
      <c r="O69" s="1956"/>
      <c r="P69" s="1956"/>
      <c r="Q69" s="1956"/>
      <c r="R69" s="1961"/>
      <c r="S69" s="1956"/>
      <c r="T69" s="1466"/>
      <c r="U69" s="1466"/>
      <c r="V69" s="1468"/>
      <c r="W69" s="1319"/>
      <c r="X69" s="1289"/>
      <c r="Y69" s="1289"/>
      <c r="Z69" s="1289"/>
      <c r="AA69" s="1289"/>
      <c r="AB69" s="1289"/>
      <c r="AC69" s="1289" t="s">
        <v>220</v>
      </c>
      <c r="AD69" s="1289" t="s">
        <v>221</v>
      </c>
      <c r="AE69" s="1289" t="s">
        <v>222</v>
      </c>
      <c r="AF69" s="1289" t="s">
        <v>223</v>
      </c>
      <c r="AG69" s="1289"/>
      <c r="AH69" s="1289" t="str">
        <f>IF($E$69=0,"",$E$69)</f>
        <v>Тариф на техническую воду</v>
      </c>
      <c r="AI69" s="1289" t="str">
        <f>IF($G$69=0,"",$G$69)</f>
        <v/>
      </c>
      <c r="AJ69" s="1289" t="str">
        <f>IF($J$69=0,"",$J$69)</f>
        <v/>
      </c>
      <c r="AK69" s="1289" t="str">
        <f>IF($K$69="нет","без дифференциации",IF($N$69=0,"",$N$69))</f>
        <v/>
      </c>
      <c r="AL69" s="1289" t="str">
        <f>IF($O$69="нет","без дифференциации",IF($R$69=0,"",$R$69))</f>
        <v/>
      </c>
      <c r="AM69" s="1289" t="str">
        <f>IF($S$69="нет","без дифференциации",IF($V$69=0,"",$V$69))</f>
        <v/>
      </c>
      <c r="AN69" s="1805">
        <f>$I$69</f>
        <v>0</v>
      </c>
      <c r="AO69" s="1289" t="str">
        <f>$I$69&amp;"."&amp;$M$69</f>
        <v>.</v>
      </c>
      <c r="AP69" s="1281" t="str">
        <f>$I$69&amp;"."&amp;$M$69&amp;"."&amp;$Q$69</f>
        <v>..</v>
      </c>
      <c r="AQ69" s="1281" t="str">
        <f>$I$69&amp;"."&amp;$M$69&amp;"."&amp;$Q$69&amp;"."&amp;$U$69</f>
        <v>...</v>
      </c>
    </row>
    <row s="1888" customFormat="1" customHeight="1" ht="17.25" hidden="1">
      <c r="A70" s="306"/>
      <c r="C70" s="305"/>
      <c r="D70" s="1962"/>
      <c r="E70" s="1964"/>
      <c r="F70" s="1967"/>
      <c r="G70" s="1964"/>
      <c r="H70" s="1970"/>
      <c r="I70" s="1972"/>
      <c r="J70" s="1974"/>
      <c r="K70" s="1957"/>
      <c r="L70" s="1957"/>
      <c r="M70" s="1957"/>
      <c r="N70" s="1959"/>
      <c r="O70" s="1957"/>
      <c r="P70" s="1957"/>
      <c r="Q70" s="1957"/>
      <c r="R70" s="1960"/>
      <c r="S70" s="1957"/>
      <c r="T70" s="1320"/>
      <c r="U70" s="1320"/>
      <c r="V70" s="1320"/>
      <c r="W70" s="1321"/>
      <c r="X70" s="1281"/>
      <c r="Y70" s="1281"/>
      <c r="Z70" s="1281"/>
      <c r="AA70" s="1281"/>
      <c r="AB70" s="1281"/>
      <c r="AC70" s="1281"/>
      <c r="AD70" s="1281"/>
      <c r="AE70" s="1281"/>
      <c r="AF70" s="1281"/>
      <c r="AG70" s="1281"/>
      <c r="AH70" s="1281"/>
      <c r="AI70" s="1281"/>
      <c r="AJ70" s="1281"/>
      <c r="AK70" s="1281"/>
      <c r="AL70" s="1281"/>
      <c r="AM70" s="1281"/>
      <c r="AN70" s="1281"/>
      <c r="AO70" s="1281"/>
      <c r="AP70" s="1281"/>
      <c r="AQ70" s="1281"/>
    </row>
    <row s="1888" customFormat="1" customHeight="1" ht="17.25" hidden="1">
      <c r="A71" s="306"/>
      <c r="C71" s="305"/>
      <c r="D71" s="1963"/>
      <c r="E71" s="1965"/>
      <c r="F71" s="1967"/>
      <c r="G71" s="1965"/>
      <c r="H71" s="1970"/>
      <c r="I71" s="1972"/>
      <c r="J71" s="1975"/>
      <c r="K71" s="1957"/>
      <c r="L71" s="1957"/>
      <c r="M71" s="1957"/>
      <c r="N71" s="1960"/>
      <c r="O71" s="1957"/>
      <c r="P71" s="1467"/>
      <c r="Q71" s="1320"/>
      <c r="R71" s="1320"/>
      <c r="S71" s="317"/>
      <c r="T71" s="317"/>
      <c r="U71" s="317"/>
      <c r="V71" s="317"/>
      <c r="W71" s="1321"/>
      <c r="X71" s="1281"/>
      <c r="Y71" s="1281"/>
      <c r="Z71" s="1281"/>
      <c r="AA71" s="1281"/>
      <c r="AB71" s="1281"/>
      <c r="AC71" s="1281"/>
      <c r="AD71" s="1281"/>
      <c r="AE71" s="1281"/>
      <c r="AF71" s="1281"/>
      <c r="AG71" s="1281"/>
      <c r="AH71" s="1281"/>
      <c r="AI71" s="1281"/>
      <c r="AJ71" s="1281"/>
      <c r="AK71" s="1281"/>
      <c r="AL71" s="1281"/>
      <c r="AM71" s="1281"/>
      <c r="AN71" s="1281"/>
      <c r="AO71" s="1281"/>
      <c r="AP71" s="1281"/>
      <c r="AQ71" s="1281"/>
    </row>
    <row s="1888" customFormat="1" customHeight="1" ht="17.25" hidden="1">
      <c r="A72" s="306"/>
      <c r="C72" s="305"/>
      <c r="D72" s="1963"/>
      <c r="E72" s="1965"/>
      <c r="F72" s="1967"/>
      <c r="G72" s="1965"/>
      <c r="H72" s="1970"/>
      <c r="I72" s="1972"/>
      <c r="J72" s="1975"/>
      <c r="K72" s="1957"/>
      <c r="L72" s="1320"/>
      <c r="M72" s="1320"/>
      <c r="N72" s="1320"/>
      <c r="O72" s="1320"/>
      <c r="P72" s="1320"/>
      <c r="Q72" s="1320"/>
      <c r="R72" s="1320"/>
      <c r="S72" s="317"/>
      <c r="T72" s="317"/>
      <c r="U72" s="317"/>
      <c r="V72" s="317"/>
      <c r="W72" s="1321"/>
      <c r="X72" s="1281"/>
      <c r="Y72" s="1281"/>
      <c r="Z72" s="1281"/>
      <c r="AA72" s="1281"/>
      <c r="AB72" s="1281"/>
      <c r="AC72" s="1281"/>
      <c r="AD72" s="1281"/>
      <c r="AE72" s="1281"/>
      <c r="AF72" s="1281"/>
      <c r="AG72" s="1281"/>
      <c r="AH72" s="1281"/>
      <c r="AI72" s="1281"/>
      <c r="AJ72" s="1281"/>
      <c r="AK72" s="1281"/>
      <c r="AL72" s="1281"/>
      <c r="AM72" s="1281"/>
      <c r="AN72" s="1281"/>
      <c r="AO72" s="1281"/>
      <c r="AP72" s="1281"/>
      <c r="AQ72" s="1281"/>
    </row>
    <row s="1888" customFormat="1" customHeight="1" ht="17.25" hidden="1">
      <c r="A73" s="306"/>
      <c r="C73" s="305"/>
      <c r="D73" s="1963"/>
      <c r="E73" s="1965"/>
      <c r="F73" s="1968"/>
      <c r="G73" s="1965"/>
      <c r="H73" s="1322"/>
      <c r="I73" s="1323"/>
      <c r="J73" s="1323"/>
      <c r="K73" s="1323"/>
      <c r="L73" s="1323"/>
      <c r="M73" s="1323"/>
      <c r="N73" s="1323"/>
      <c r="O73" s="1323"/>
      <c r="P73" s="1323"/>
      <c r="Q73" s="1323"/>
      <c r="R73" s="1323"/>
      <c r="S73" s="1324"/>
      <c r="T73" s="1324"/>
      <c r="U73" s="1324"/>
      <c r="V73" s="1324"/>
      <c r="W73" s="1325"/>
      <c r="X73" s="1281"/>
      <c r="Y73" s="1281"/>
      <c r="Z73" s="1281"/>
      <c r="AA73" s="1281"/>
      <c r="AB73" s="1281"/>
      <c r="AC73" s="1281"/>
      <c r="AD73" s="1281"/>
      <c r="AE73" s="1281"/>
      <c r="AF73" s="1281"/>
      <c r="AG73" s="1281"/>
      <c r="AH73" s="1281"/>
      <c r="AI73" s="1281"/>
      <c r="AJ73" s="1281"/>
      <c r="AK73" s="1281"/>
      <c r="AL73" s="1281"/>
      <c r="AM73" s="1281"/>
      <c r="AN73" s="1281"/>
      <c r="AO73" s="1281"/>
      <c r="AP73" s="1281"/>
      <c r="AQ73" s="1281"/>
    </row>
    <row s="1888" customFormat="1" customHeight="1" ht="17.25" hidden="1">
      <c r="A74" s="306"/>
      <c r="C74" s="188"/>
      <c r="D74" s="1962">
        <v>3</v>
      </c>
      <c r="E74" s="1964" t="s">
        <v>224</v>
      </c>
      <c r="F74" s="1966" t="s">
        <v>56</v>
      </c>
      <c r="G74" s="1964"/>
      <c r="H74" s="1969"/>
      <c r="I74" s="1971"/>
      <c r="J74" s="1973"/>
      <c r="K74" s="1956"/>
      <c r="L74" s="1956"/>
      <c r="M74" s="1956"/>
      <c r="N74" s="1958"/>
      <c r="O74" s="1956"/>
      <c r="P74" s="1956"/>
      <c r="Q74" s="1956"/>
      <c r="R74" s="1961"/>
      <c r="S74" s="1956"/>
      <c r="T74" s="1466"/>
      <c r="U74" s="1466"/>
      <c r="V74" s="1468"/>
      <c r="W74" s="1319"/>
      <c r="X74" s="1289"/>
      <c r="Y74" s="1289"/>
      <c r="Z74" s="1289"/>
      <c r="AA74" s="1289"/>
      <c r="AB74" s="1289"/>
      <c r="AC74" s="1289" t="s">
        <v>225</v>
      </c>
      <c r="AD74" s="1289" t="s">
        <v>226</v>
      </c>
      <c r="AE74" s="1289" t="s">
        <v>227</v>
      </c>
      <c r="AF74" s="1289" t="s">
        <v>228</v>
      </c>
      <c r="AG74" s="1289"/>
      <c r="AH74" s="1289" t="str">
        <f>IF($E$74=0,"",$E$74)</f>
        <v>Тариф на транспортировку воды</v>
      </c>
      <c r="AI74" s="1289" t="str">
        <f>IF($G$74=0,"",$G$74)</f>
        <v/>
      </c>
      <c r="AJ74" s="1289" t="str">
        <f>IF($J$74=0,"",$J$74)</f>
        <v/>
      </c>
      <c r="AK74" s="1289" t="str">
        <f>IF($K$74="нет","без дифференциации",IF($N$74=0,"",$N$74))</f>
        <v/>
      </c>
      <c r="AL74" s="1289" t="str">
        <f>IF($O$74="нет","без дифференциации",IF($R$74=0,"",$R$74))</f>
        <v/>
      </c>
      <c r="AM74" s="1289" t="str">
        <f>IF($S$74="нет","без дифференциации",IF($V$74=0,"",$V$74))</f>
        <v/>
      </c>
      <c r="AN74" s="1805">
        <f>$I$74</f>
        <v>0</v>
      </c>
      <c r="AO74" s="1289" t="str">
        <f>$I$74&amp;"."&amp;$M$74</f>
        <v>.</v>
      </c>
      <c r="AP74" s="1281" t="str">
        <f>$I$74&amp;"."&amp;$M$74&amp;"."&amp;$Q$74</f>
        <v>..</v>
      </c>
      <c r="AQ74" s="1281" t="str">
        <f>$I$74&amp;"."&amp;$M$74&amp;"."&amp;$Q$74&amp;"."&amp;$U$74</f>
        <v>...</v>
      </c>
    </row>
    <row s="1888" customFormat="1" customHeight="1" ht="17.25" hidden="1">
      <c r="A75" s="306"/>
      <c r="C75" s="305"/>
      <c r="D75" s="1962"/>
      <c r="E75" s="1964"/>
      <c r="F75" s="1967"/>
      <c r="G75" s="1964"/>
      <c r="H75" s="1970"/>
      <c r="I75" s="1972"/>
      <c r="J75" s="1974"/>
      <c r="K75" s="1957"/>
      <c r="L75" s="1957"/>
      <c r="M75" s="1957"/>
      <c r="N75" s="1959"/>
      <c r="O75" s="1957"/>
      <c r="P75" s="1957"/>
      <c r="Q75" s="1957"/>
      <c r="R75" s="1960"/>
      <c r="S75" s="1957"/>
      <c r="T75" s="1320"/>
      <c r="U75" s="1320"/>
      <c r="V75" s="1320"/>
      <c r="W75" s="1321"/>
      <c r="X75" s="1281"/>
      <c r="Y75" s="1281"/>
      <c r="Z75" s="1281"/>
      <c r="AA75" s="1281"/>
      <c r="AB75" s="1281"/>
      <c r="AC75" s="1281"/>
      <c r="AD75" s="1281"/>
      <c r="AE75" s="1281"/>
      <c r="AF75" s="1281"/>
      <c r="AG75" s="1281"/>
      <c r="AH75" s="1281"/>
      <c r="AI75" s="1281"/>
      <c r="AJ75" s="1281"/>
      <c r="AK75" s="1281"/>
      <c r="AL75" s="1281"/>
      <c r="AM75" s="1281"/>
      <c r="AN75" s="1281"/>
      <c r="AO75" s="1281"/>
      <c r="AP75" s="1281"/>
      <c r="AQ75" s="1281"/>
    </row>
    <row s="1888" customFormat="1" customHeight="1" ht="17.25" hidden="1">
      <c r="A76" s="306"/>
      <c r="C76" s="305"/>
      <c r="D76" s="1963"/>
      <c r="E76" s="1965"/>
      <c r="F76" s="1967"/>
      <c r="G76" s="1965"/>
      <c r="H76" s="1970"/>
      <c r="I76" s="1972"/>
      <c r="J76" s="1975"/>
      <c r="K76" s="1957"/>
      <c r="L76" s="1957"/>
      <c r="M76" s="1957"/>
      <c r="N76" s="1960"/>
      <c r="O76" s="1957"/>
      <c r="P76" s="1467"/>
      <c r="Q76" s="1320"/>
      <c r="R76" s="1320"/>
      <c r="S76" s="317"/>
      <c r="T76" s="317"/>
      <c r="U76" s="317"/>
      <c r="V76" s="317"/>
      <c r="W76" s="1321"/>
      <c r="X76" s="1281"/>
      <c r="Y76" s="1281"/>
      <c r="Z76" s="1281"/>
      <c r="AA76" s="1281"/>
      <c r="AB76" s="1281"/>
      <c r="AC76" s="1281"/>
      <c r="AD76" s="1281"/>
      <c r="AE76" s="1281"/>
      <c r="AF76" s="1281"/>
      <c r="AG76" s="1281"/>
      <c r="AH76" s="1281"/>
      <c r="AI76" s="1281"/>
      <c r="AJ76" s="1281"/>
      <c r="AK76" s="1281"/>
      <c r="AL76" s="1281"/>
      <c r="AM76" s="1281"/>
      <c r="AN76" s="1281"/>
      <c r="AO76" s="1281"/>
      <c r="AP76" s="1281"/>
      <c r="AQ76" s="1281"/>
    </row>
    <row s="1888" customFormat="1" customHeight="1" ht="17.25" hidden="1">
      <c r="A77" s="306"/>
      <c r="C77" s="305"/>
      <c r="D77" s="1963"/>
      <c r="E77" s="1965"/>
      <c r="F77" s="1967"/>
      <c r="G77" s="1965"/>
      <c r="H77" s="1970"/>
      <c r="I77" s="1972"/>
      <c r="J77" s="1975"/>
      <c r="K77" s="1957"/>
      <c r="L77" s="1320"/>
      <c r="M77" s="1320"/>
      <c r="N77" s="1320"/>
      <c r="O77" s="1320"/>
      <c r="P77" s="1320"/>
      <c r="Q77" s="1320"/>
      <c r="R77" s="1320"/>
      <c r="S77" s="317"/>
      <c r="T77" s="317"/>
      <c r="U77" s="317"/>
      <c r="V77" s="317"/>
      <c r="W77" s="1321"/>
      <c r="X77" s="1281"/>
      <c r="Y77" s="1281"/>
      <c r="Z77" s="1281"/>
      <c r="AA77" s="1281"/>
      <c r="AB77" s="1281"/>
      <c r="AC77" s="1281"/>
      <c r="AD77" s="1281"/>
      <c r="AE77" s="1281"/>
      <c r="AF77" s="1281"/>
      <c r="AG77" s="1281"/>
      <c r="AH77" s="1281"/>
      <c r="AI77" s="1281"/>
      <c r="AJ77" s="1281"/>
      <c r="AK77" s="1281"/>
      <c r="AL77" s="1281"/>
      <c r="AM77" s="1281"/>
      <c r="AN77" s="1281"/>
      <c r="AO77" s="1281"/>
      <c r="AP77" s="1281"/>
      <c r="AQ77" s="1281"/>
    </row>
    <row s="1888" customFormat="1" customHeight="1" ht="17.25" hidden="1">
      <c r="A78" s="306"/>
      <c r="C78" s="305"/>
      <c r="D78" s="1963"/>
      <c r="E78" s="1965"/>
      <c r="F78" s="1968"/>
      <c r="G78" s="1965"/>
      <c r="H78" s="1322"/>
      <c r="I78" s="1323"/>
      <c r="J78" s="1323"/>
      <c r="K78" s="1323"/>
      <c r="L78" s="1323"/>
      <c r="M78" s="1323"/>
      <c r="N78" s="1323"/>
      <c r="O78" s="1323"/>
      <c r="P78" s="1323"/>
      <c r="Q78" s="1323"/>
      <c r="R78" s="1323"/>
      <c r="S78" s="1324"/>
      <c r="T78" s="1324"/>
      <c r="U78" s="1324"/>
      <c r="V78" s="1324"/>
      <c r="W78" s="1325"/>
      <c r="X78" s="1281"/>
      <c r="Y78" s="1281"/>
      <c r="Z78" s="1281"/>
      <c r="AA78" s="1281"/>
      <c r="AB78" s="1281"/>
      <c r="AC78" s="1281"/>
      <c r="AD78" s="1281"/>
      <c r="AE78" s="1281"/>
      <c r="AF78" s="1281"/>
      <c r="AG78" s="1281"/>
      <c r="AH78" s="1281"/>
      <c r="AI78" s="1281"/>
      <c r="AJ78" s="1281"/>
      <c r="AK78" s="1281"/>
      <c r="AL78" s="1281"/>
      <c r="AM78" s="1281"/>
      <c r="AN78" s="1281"/>
      <c r="AO78" s="1281"/>
      <c r="AP78" s="1281"/>
      <c r="AQ78" s="1281"/>
    </row>
    <row s="1888" customFormat="1" customHeight="1" ht="17.25" hidden="1">
      <c r="A79" s="306"/>
      <c r="C79" s="188"/>
      <c r="D79" s="1962">
        <v>4</v>
      </c>
      <c r="E79" s="1964" t="s">
        <v>229</v>
      </c>
      <c r="F79" s="1966" t="s">
        <v>56</v>
      </c>
      <c r="G79" s="1964"/>
      <c r="H79" s="1969"/>
      <c r="I79" s="1971"/>
      <c r="J79" s="1973"/>
      <c r="K79" s="1956"/>
      <c r="L79" s="1956"/>
      <c r="M79" s="1956"/>
      <c r="N79" s="1958"/>
      <c r="O79" s="1956"/>
      <c r="P79" s="1956"/>
      <c r="Q79" s="1956"/>
      <c r="R79" s="1961"/>
      <c r="S79" s="1956"/>
      <c r="T79" s="1466"/>
      <c r="U79" s="1466"/>
      <c r="V79" s="1468"/>
      <c r="W79" s="1319"/>
      <c r="X79" s="1289"/>
      <c r="Y79" s="1289"/>
      <c r="Z79" s="1289"/>
      <c r="AA79" s="1289"/>
      <c r="AB79" s="1289"/>
      <c r="AC79" s="1289" t="s">
        <v>230</v>
      </c>
      <c r="AD79" s="1289" t="s">
        <v>231</v>
      </c>
      <c r="AE79" s="1289" t="s">
        <v>232</v>
      </c>
      <c r="AF79" s="1289" t="s">
        <v>233</v>
      </c>
      <c r="AG79" s="1289"/>
      <c r="AH79" s="1289" t="str">
        <f>IF($E$79=0,"",$E$79)</f>
        <v>Тариф на подвоз воды</v>
      </c>
      <c r="AI79" s="1289" t="str">
        <f>IF($G$79=0,"",$G$79)</f>
        <v/>
      </c>
      <c r="AJ79" s="1289" t="str">
        <f>IF($J$79=0,"",$J$79)</f>
        <v/>
      </c>
      <c r="AK79" s="1289" t="str">
        <f>IF($K$79="нет","без дифференциации",IF($N$79=0,"",$N$79))</f>
        <v/>
      </c>
      <c r="AL79" s="1289" t="str">
        <f>IF($O$79="нет","без дифференциации",IF($R$79=0,"",$R$79))</f>
        <v/>
      </c>
      <c r="AM79" s="1289" t="str">
        <f>IF($S$79="нет","без дифференциации",IF($V$79=0,"",$V$79))</f>
        <v/>
      </c>
      <c r="AN79" s="1805">
        <f>$I$79</f>
        <v>0</v>
      </c>
      <c r="AO79" s="1289" t="str">
        <f>$I$79&amp;"."&amp;$M$79</f>
        <v>.</v>
      </c>
      <c r="AP79" s="1281" t="str">
        <f>$I$79&amp;"."&amp;$M$79&amp;"."&amp;$Q$79</f>
        <v>..</v>
      </c>
      <c r="AQ79" s="1281" t="str">
        <f>$I$79&amp;"."&amp;$M$79&amp;"."&amp;$Q$79&amp;"."&amp;$U$79</f>
        <v>...</v>
      </c>
    </row>
    <row s="1888" customFormat="1" customHeight="1" ht="17.25" hidden="1">
      <c r="A80" s="306"/>
      <c r="C80" s="305"/>
      <c r="D80" s="1962"/>
      <c r="E80" s="1964"/>
      <c r="F80" s="1967"/>
      <c r="G80" s="1964"/>
      <c r="H80" s="1970"/>
      <c r="I80" s="1972"/>
      <c r="J80" s="1974"/>
      <c r="K80" s="1957"/>
      <c r="L80" s="1957"/>
      <c r="M80" s="1957"/>
      <c r="N80" s="1959"/>
      <c r="O80" s="1957"/>
      <c r="P80" s="1957"/>
      <c r="Q80" s="1957"/>
      <c r="R80" s="1960"/>
      <c r="S80" s="1957"/>
      <c r="T80" s="1320"/>
      <c r="U80" s="1320"/>
      <c r="V80" s="1320"/>
      <c r="W80" s="1321"/>
      <c r="X80" s="1281"/>
      <c r="Y80" s="1281"/>
      <c r="Z80" s="1281"/>
      <c r="AA80" s="1281"/>
      <c r="AB80" s="1281"/>
      <c r="AC80" s="1281"/>
      <c r="AD80" s="1281"/>
      <c r="AE80" s="1281"/>
      <c r="AF80" s="1281"/>
      <c r="AG80" s="1281"/>
      <c r="AH80" s="1281"/>
      <c r="AI80" s="1281"/>
      <c r="AJ80" s="1281"/>
      <c r="AK80" s="1281"/>
      <c r="AL80" s="1281"/>
      <c r="AM80" s="1281"/>
      <c r="AN80" s="1281"/>
      <c r="AO80" s="1281"/>
      <c r="AP80" s="1281"/>
      <c r="AQ80" s="1281"/>
    </row>
    <row s="1888" customFormat="1" customHeight="1" ht="17.25" hidden="1">
      <c r="A81" s="306"/>
      <c r="C81" s="305"/>
      <c r="D81" s="1963"/>
      <c r="E81" s="1965"/>
      <c r="F81" s="1967"/>
      <c r="G81" s="1965"/>
      <c r="H81" s="1970"/>
      <c r="I81" s="1972"/>
      <c r="J81" s="1975"/>
      <c r="K81" s="1957"/>
      <c r="L81" s="1957"/>
      <c r="M81" s="1957"/>
      <c r="N81" s="1960"/>
      <c r="O81" s="1957"/>
      <c r="P81" s="1467"/>
      <c r="Q81" s="1320"/>
      <c r="R81" s="1320"/>
      <c r="S81" s="317"/>
      <c r="T81" s="317"/>
      <c r="U81" s="317"/>
      <c r="V81" s="317"/>
      <c r="W81" s="1321"/>
      <c r="X81" s="1281"/>
      <c r="Y81" s="1281"/>
      <c r="Z81" s="1281"/>
      <c r="AA81" s="1281"/>
      <c r="AB81" s="1281"/>
      <c r="AC81" s="1281"/>
      <c r="AD81" s="1281"/>
      <c r="AE81" s="1281"/>
      <c r="AF81" s="1281"/>
      <c r="AG81" s="1281"/>
      <c r="AH81" s="1281"/>
      <c r="AI81" s="1281"/>
      <c r="AJ81" s="1281"/>
      <c r="AK81" s="1281"/>
      <c r="AL81" s="1281"/>
      <c r="AM81" s="1281"/>
      <c r="AN81" s="1281"/>
      <c r="AO81" s="1281"/>
      <c r="AP81" s="1281"/>
      <c r="AQ81" s="1281"/>
    </row>
    <row s="1888" customFormat="1" customHeight="1" ht="17.25" hidden="1">
      <c r="A82" s="306"/>
      <c r="C82" s="305"/>
      <c r="D82" s="1963"/>
      <c r="E82" s="1965"/>
      <c r="F82" s="1967"/>
      <c r="G82" s="1965"/>
      <c r="H82" s="1970"/>
      <c r="I82" s="1972"/>
      <c r="J82" s="1975"/>
      <c r="K82" s="1957"/>
      <c r="L82" s="1320"/>
      <c r="M82" s="1320"/>
      <c r="N82" s="1320"/>
      <c r="O82" s="1320"/>
      <c r="P82" s="1320"/>
      <c r="Q82" s="1320"/>
      <c r="R82" s="1320"/>
      <c r="S82" s="317"/>
      <c r="T82" s="317"/>
      <c r="U82" s="317"/>
      <c r="V82" s="317"/>
      <c r="W82" s="1321"/>
      <c r="X82" s="1281"/>
      <c r="Y82" s="1281"/>
      <c r="Z82" s="1281"/>
      <c r="AA82" s="1281"/>
      <c r="AB82" s="1281"/>
      <c r="AC82" s="1281"/>
      <c r="AD82" s="1281"/>
      <c r="AE82" s="1281"/>
      <c r="AF82" s="1281"/>
      <c r="AG82" s="1281"/>
      <c r="AH82" s="1281"/>
      <c r="AI82" s="1281"/>
      <c r="AJ82" s="1281"/>
      <c r="AK82" s="1281"/>
      <c r="AL82" s="1281"/>
      <c r="AM82" s="1281"/>
      <c r="AN82" s="1281"/>
      <c r="AO82" s="1281"/>
      <c r="AP82" s="1281"/>
      <c r="AQ82" s="1281"/>
    </row>
    <row s="1888" customFormat="1" customHeight="1" ht="17.25" hidden="1">
      <c r="A83" s="306"/>
      <c r="C83" s="305"/>
      <c r="D83" s="1963"/>
      <c r="E83" s="1965"/>
      <c r="F83" s="1968"/>
      <c r="G83" s="1965"/>
      <c r="H83" s="1322"/>
      <c r="I83" s="1323"/>
      <c r="J83" s="1323"/>
      <c r="K83" s="1323"/>
      <c r="L83" s="1323"/>
      <c r="M83" s="1323"/>
      <c r="N83" s="1323"/>
      <c r="O83" s="1323"/>
      <c r="P83" s="1323"/>
      <c r="Q83" s="1323"/>
      <c r="R83" s="1323"/>
      <c r="S83" s="1324"/>
      <c r="T83" s="1324"/>
      <c r="U83" s="1324"/>
      <c r="V83" s="1324"/>
      <c r="W83" s="1325"/>
      <c r="X83" s="1281"/>
      <c r="Y83" s="1281"/>
      <c r="Z83" s="1281"/>
      <c r="AA83" s="1281"/>
      <c r="AB83" s="1281"/>
      <c r="AC83" s="1281"/>
      <c r="AD83" s="1281"/>
      <c r="AE83" s="1281"/>
      <c r="AF83" s="1281"/>
      <c r="AG83" s="1281"/>
      <c r="AH83" s="1281"/>
      <c r="AI83" s="1281"/>
      <c r="AJ83" s="1281"/>
      <c r="AK83" s="1281"/>
      <c r="AL83" s="1281"/>
      <c r="AM83" s="1281"/>
      <c r="AN83" s="1281"/>
      <c r="AO83" s="1281"/>
      <c r="AP83" s="1281"/>
      <c r="AQ83" s="1281"/>
    </row>
    <row s="1888" customFormat="1" customHeight="1" ht="17.25" hidden="1">
      <c r="A84" s="306"/>
      <c r="C84" s="188"/>
      <c r="D84" s="1962">
        <v>5</v>
      </c>
      <c r="E84" s="1964" t="s">
        <v>234</v>
      </c>
      <c r="F84" s="1966" t="s">
        <v>56</v>
      </c>
      <c r="G84" s="1964"/>
      <c r="H84" s="1969"/>
      <c r="I84" s="1971"/>
      <c r="J84" s="1973"/>
      <c r="K84" s="1956"/>
      <c r="L84" s="1956"/>
      <c r="M84" s="1956"/>
      <c r="N84" s="1958"/>
      <c r="O84" s="1956"/>
      <c r="P84" s="1956"/>
      <c r="Q84" s="1956"/>
      <c r="R84" s="1961"/>
      <c r="S84" s="1956"/>
      <c r="T84" s="1493"/>
      <c r="U84" s="1493"/>
      <c r="V84" s="1495"/>
      <c r="W84" s="1319"/>
      <c r="X84" s="1289"/>
      <c r="Y84" s="1289"/>
      <c r="Z84" s="1289"/>
      <c r="AA84" s="1289"/>
      <c r="AB84" s="1289"/>
      <c r="AC84" s="1289" t="s">
        <v>235</v>
      </c>
      <c r="AD84" s="1289" t="s">
        <v>236</v>
      </c>
      <c r="AE84" s="1289" t="s">
        <v>237</v>
      </c>
      <c r="AF84" s="1289" t="s">
        <v>238</v>
      </c>
      <c r="AG84" s="1289"/>
      <c r="AH84" s="1289" t="str">
        <f>IF($E$84=0,"",$E$84)</f>
        <v>Тариф на подключение (технологическое присоединение) к централизованной системе холодного водоснабжения</v>
      </c>
      <c r="AI84" s="1289" t="str">
        <f>IF($G$84=0,"",$G$84)</f>
        <v/>
      </c>
      <c r="AJ84" s="1289" t="str">
        <f>IF($J$84=0,"",$J$84)</f>
        <v/>
      </c>
      <c r="AK84" s="1289" t="str">
        <f>IF($K$84="нет","без дифференциации",IF($N$84=0,"",$N$84))</f>
        <v/>
      </c>
      <c r="AL84" s="1289" t="str">
        <f>IF($O$84="нет","без дифференциации",IF($R$84=0,"",$R$84))</f>
        <v/>
      </c>
      <c r="AM84" s="1289" t="str">
        <f>IF($S$84="нет","без дифференциации",IF($V$84=0,"",$V$84))</f>
        <v/>
      </c>
      <c r="AN84" s="1805">
        <f>$I$84</f>
        <v>0</v>
      </c>
      <c r="AO84" s="1289" t="str">
        <f>$I$84&amp;"."&amp;$M$84</f>
        <v>.</v>
      </c>
      <c r="AP84" s="1281" t="str">
        <f>$I$84&amp;"."&amp;$M$84&amp;"."&amp;$Q$84</f>
        <v>..</v>
      </c>
      <c r="AQ84" s="1281" t="str">
        <f>$I$84&amp;"."&amp;$M$84&amp;"."&amp;$Q$84&amp;"."&amp;$U$84</f>
        <v>...</v>
      </c>
    </row>
    <row s="1888" customFormat="1" customHeight="1" ht="17.25" hidden="1">
      <c r="A85" s="306"/>
      <c r="C85" s="305"/>
      <c r="D85" s="1962"/>
      <c r="E85" s="1964"/>
      <c r="F85" s="1967"/>
      <c r="G85" s="1964"/>
      <c r="H85" s="1970"/>
      <c r="I85" s="1972"/>
      <c r="J85" s="1974"/>
      <c r="K85" s="1957"/>
      <c r="L85" s="1957"/>
      <c r="M85" s="1957"/>
      <c r="N85" s="1959"/>
      <c r="O85" s="1957"/>
      <c r="P85" s="1957"/>
      <c r="Q85" s="1957"/>
      <c r="R85" s="1960"/>
      <c r="S85" s="1957"/>
      <c r="T85" s="1320"/>
      <c r="U85" s="1320"/>
      <c r="V85" s="1320"/>
      <c r="W85" s="1321"/>
      <c r="X85" s="1281"/>
      <c r="Y85" s="1281"/>
      <c r="Z85" s="1281"/>
      <c r="AA85" s="1281"/>
      <c r="AB85" s="1281"/>
      <c r="AC85" s="1281"/>
      <c r="AD85" s="1281"/>
      <c r="AE85" s="1281"/>
      <c r="AF85" s="1281"/>
      <c r="AG85" s="1281"/>
      <c r="AH85" s="1281"/>
      <c r="AI85" s="1281"/>
      <c r="AJ85" s="1281"/>
      <c r="AK85" s="1281"/>
      <c r="AL85" s="1281"/>
      <c r="AM85" s="1281"/>
      <c r="AN85" s="1281"/>
      <c r="AO85" s="1281"/>
      <c r="AP85" s="1281"/>
      <c r="AQ85" s="1281"/>
    </row>
    <row s="1888" customFormat="1" customHeight="1" ht="17.25" hidden="1">
      <c r="A86" s="306"/>
      <c r="C86" s="305"/>
      <c r="D86" s="1963"/>
      <c r="E86" s="1965"/>
      <c r="F86" s="1967"/>
      <c r="G86" s="1965"/>
      <c r="H86" s="1970"/>
      <c r="I86" s="1972"/>
      <c r="J86" s="1975"/>
      <c r="K86" s="1957"/>
      <c r="L86" s="1957"/>
      <c r="M86" s="1957"/>
      <c r="N86" s="1960"/>
      <c r="O86" s="1957"/>
      <c r="P86" s="1494"/>
      <c r="Q86" s="1320"/>
      <c r="R86" s="1320"/>
      <c r="S86" s="317"/>
      <c r="T86" s="317"/>
      <c r="U86" s="317"/>
      <c r="V86" s="317"/>
      <c r="W86" s="1321"/>
      <c r="X86" s="1281"/>
      <c r="Y86" s="1281"/>
      <c r="Z86" s="1281"/>
      <c r="AA86" s="1281"/>
      <c r="AB86" s="1281"/>
      <c r="AC86" s="1281"/>
      <c r="AD86" s="1281"/>
      <c r="AE86" s="1281"/>
      <c r="AF86" s="1281"/>
      <c r="AG86" s="1281"/>
      <c r="AH86" s="1281"/>
      <c r="AI86" s="1281"/>
      <c r="AJ86" s="1281"/>
      <c r="AK86" s="1281"/>
      <c r="AL86" s="1281"/>
      <c r="AM86" s="1281"/>
      <c r="AN86" s="1281"/>
      <c r="AO86" s="1281"/>
      <c r="AP86" s="1281"/>
      <c r="AQ86" s="1281"/>
    </row>
    <row s="1888" customFormat="1" customHeight="1" ht="17.25" hidden="1">
      <c r="A87" s="306"/>
      <c r="C87" s="305"/>
      <c r="D87" s="1963"/>
      <c r="E87" s="1965"/>
      <c r="F87" s="1967"/>
      <c r="G87" s="1965"/>
      <c r="H87" s="1970"/>
      <c r="I87" s="1972"/>
      <c r="J87" s="1975"/>
      <c r="K87" s="1957"/>
      <c r="L87" s="1320"/>
      <c r="M87" s="1320"/>
      <c r="N87" s="1320"/>
      <c r="O87" s="1320"/>
      <c r="P87" s="1320"/>
      <c r="Q87" s="1320"/>
      <c r="R87" s="1320"/>
      <c r="S87" s="317"/>
      <c r="T87" s="317"/>
      <c r="U87" s="317"/>
      <c r="V87" s="317"/>
      <c r="W87" s="1321"/>
      <c r="X87" s="1281"/>
      <c r="Y87" s="1281"/>
      <c r="Z87" s="1281"/>
      <c r="AA87" s="1281"/>
      <c r="AB87" s="1281"/>
      <c r="AC87" s="1281"/>
      <c r="AD87" s="1281"/>
      <c r="AE87" s="1281"/>
      <c r="AF87" s="1281"/>
      <c r="AG87" s="1281"/>
      <c r="AH87" s="1281"/>
      <c r="AI87" s="1281"/>
      <c r="AJ87" s="1281"/>
      <c r="AK87" s="1281"/>
      <c r="AL87" s="1281"/>
      <c r="AM87" s="1281"/>
      <c r="AN87" s="1281"/>
      <c r="AO87" s="1281"/>
      <c r="AP87" s="1281"/>
      <c r="AQ87" s="1281"/>
    </row>
    <row s="1888" customFormat="1" customHeight="1" ht="17.25" hidden="1">
      <c r="A88" s="306"/>
      <c r="C88" s="305"/>
      <c r="D88" s="1963"/>
      <c r="E88" s="1965"/>
      <c r="F88" s="1968"/>
      <c r="G88" s="1965"/>
      <c r="H88" s="1322"/>
      <c r="I88" s="1323"/>
      <c r="J88" s="1323"/>
      <c r="K88" s="1323"/>
      <c r="L88" s="1323"/>
      <c r="M88" s="1323"/>
      <c r="N88" s="1323"/>
      <c r="O88" s="1323"/>
      <c r="P88" s="1323"/>
      <c r="Q88" s="1323"/>
      <c r="R88" s="1323"/>
      <c r="S88" s="1324"/>
      <c r="T88" s="1324"/>
      <c r="U88" s="1324"/>
      <c r="V88" s="1324"/>
      <c r="W88" s="1325"/>
      <c r="X88" s="1281"/>
      <c r="Y88" s="1281"/>
      <c r="Z88" s="1281"/>
      <c r="AA88" s="1281"/>
      <c r="AB88" s="1281"/>
      <c r="AC88" s="1281"/>
      <c r="AD88" s="1281"/>
      <c r="AE88" s="1281"/>
      <c r="AF88" s="1281"/>
      <c r="AG88" s="1281"/>
      <c r="AH88" s="1281"/>
      <c r="AI88" s="1281"/>
      <c r="AJ88" s="1281"/>
      <c r="AK88" s="1281"/>
      <c r="AL88" s="1281"/>
      <c r="AM88" s="1281"/>
      <c r="AN88" s="1281"/>
      <c r="AO88" s="1281"/>
      <c r="AP88" s="1281"/>
      <c r="AQ88" s="1281"/>
    </row>
    <row s="1888" customFormat="1" customHeight="1" ht="11.25">
      <c r="A89" s="256"/>
      <c r="B89" s="256"/>
      <c r="Y89" s="1281"/>
      <c r="Z89" s="1281"/>
      <c r="AA89" s="1281"/>
      <c r="AB89" s="1281"/>
      <c r="AC89" s="1281"/>
      <c r="AD89" s="1281"/>
      <c r="AE89" s="1281"/>
      <c r="AF89" s="1281"/>
      <c r="AG89" s="1281"/>
      <c r="AH89" s="1281"/>
      <c r="AI89" s="1281"/>
      <c r="AJ89" s="1281"/>
      <c r="AK89" s="1281"/>
      <c r="AL89" s="1281"/>
      <c r="AM89" s="1281"/>
      <c r="AN89" s="1281"/>
      <c r="AO89" s="1281"/>
      <c r="AP89" s="1281"/>
      <c r="AQ89" s="1281"/>
    </row>
    <row s="1888" customFormat="1" customHeight="1" ht="17.25" hidden="1">
      <c r="A90" s="306"/>
      <c r="C90" s="188"/>
      <c r="D90" s="1962">
        <v>1</v>
      </c>
      <c r="E90" s="1964" t="s">
        <v>239</v>
      </c>
      <c r="F90" s="1966" t="s">
        <v>56</v>
      </c>
      <c r="G90" s="1964"/>
      <c r="H90" s="1969"/>
      <c r="I90" s="1971"/>
      <c r="J90" s="1973"/>
      <c r="K90" s="1956"/>
      <c r="L90" s="1956"/>
      <c r="M90" s="1956"/>
      <c r="N90" s="1958"/>
      <c r="O90" s="1956"/>
      <c r="P90" s="1956"/>
      <c r="Q90" s="1956"/>
      <c r="R90" s="1961"/>
      <c r="S90" s="1956"/>
      <c r="T90" s="1493"/>
      <c r="U90" s="1493"/>
      <c r="V90" s="1495"/>
      <c r="W90" s="1319"/>
      <c r="Y90" s="1289"/>
      <c r="Z90" s="1289"/>
      <c r="AA90" s="1289"/>
      <c r="AB90" s="1289"/>
      <c r="AC90" s="1289" t="s">
        <v>240</v>
      </c>
      <c r="AD90" s="1289" t="s">
        <v>241</v>
      </c>
      <c r="AE90" s="1289" t="s">
        <v>242</v>
      </c>
      <c r="AF90" s="1289" t="s">
        <v>243</v>
      </c>
      <c r="AG90" s="1289"/>
      <c r="AH90" s="1289" t="str">
        <f>IF($E$90=0,"",$E$90)</f>
        <v>Тариф на горячую воду (горячее водоснабжение)</v>
      </c>
      <c r="AI90" s="1289" t="str">
        <f>IF($G$90=0,"",$G$90)</f>
        <v/>
      </c>
      <c r="AJ90" s="1289" t="str">
        <f>IF($J$90=0,"",$J$90)</f>
        <v/>
      </c>
      <c r="AK90" s="1289" t="str">
        <f>IF($K$90="нет","без дифференциации",IF($N$90=0,"",$N$90))</f>
        <v/>
      </c>
      <c r="AL90" s="1289" t="str">
        <f>IF($O$90="нет","без дифференциации",IF($R$90=0,"",$R$90))</f>
        <v/>
      </c>
      <c r="AM90" s="1289" t="str">
        <f>IF($S$90="нет","без дифференциации",IF($V$90=0,"",$V$90))</f>
        <v/>
      </c>
      <c r="AN90" s="1289">
        <f>$I$90</f>
        <v>0</v>
      </c>
      <c r="AO90" s="1289" t="str">
        <f>$I$90&amp;"."&amp;$M$90</f>
        <v>.</v>
      </c>
      <c r="AP90" s="1289" t="str">
        <f>$I$90&amp;"."&amp;$M$90&amp;"."&amp;$Q$90</f>
        <v>..</v>
      </c>
      <c r="AQ90" s="1289" t="str">
        <f>$I$90&amp;"."&amp;$M$90&amp;"."&amp;$Q$90&amp;"."&amp;$U$90</f>
        <v>...</v>
      </c>
    </row>
    <row s="1888" customFormat="1" customHeight="1" ht="17.25" hidden="1">
      <c r="A91" s="306"/>
      <c r="C91" s="305"/>
      <c r="D91" s="1962"/>
      <c r="E91" s="1964"/>
      <c r="F91" s="1967"/>
      <c r="G91" s="1964"/>
      <c r="H91" s="1970"/>
      <c r="I91" s="1972"/>
      <c r="J91" s="1974"/>
      <c r="K91" s="1957"/>
      <c r="L91" s="1957"/>
      <c r="M91" s="1957"/>
      <c r="N91" s="1959"/>
      <c r="O91" s="1957"/>
      <c r="P91" s="1957"/>
      <c r="Q91" s="1957"/>
      <c r="R91" s="1960"/>
      <c r="S91" s="1957"/>
      <c r="T91" s="1320"/>
      <c r="U91" s="1320"/>
      <c r="V91" s="1320"/>
      <c r="W91" s="1321"/>
      <c r="Y91" s="1281"/>
      <c r="Z91" s="1281"/>
      <c r="AA91" s="1281"/>
      <c r="AB91" s="1281"/>
      <c r="AC91" s="1281"/>
      <c r="AD91" s="1281"/>
      <c r="AE91" s="1281"/>
      <c r="AF91" s="1281"/>
      <c r="AG91" s="1281"/>
      <c r="AH91" s="1281"/>
      <c r="AI91" s="1281"/>
      <c r="AJ91" s="1281"/>
      <c r="AK91" s="1281"/>
      <c r="AL91" s="1281"/>
      <c r="AM91" s="1281"/>
      <c r="AN91" s="1281"/>
      <c r="AO91" s="1281"/>
      <c r="AP91" s="1281"/>
      <c r="AQ91" s="1281"/>
    </row>
    <row s="1888" customFormat="1" customHeight="1" ht="17.25" hidden="1">
      <c r="A92" s="306"/>
      <c r="C92" s="188"/>
      <c r="D92" s="1962"/>
      <c r="E92" s="1964"/>
      <c r="F92" s="1967"/>
      <c r="G92" s="1964"/>
      <c r="H92" s="1970"/>
      <c r="I92" s="1972"/>
      <c r="J92" s="1975"/>
      <c r="K92" s="1957"/>
      <c r="L92" s="1957"/>
      <c r="M92" s="1957"/>
      <c r="N92" s="1960"/>
      <c r="O92" s="1957"/>
      <c r="P92" s="1494"/>
      <c r="Q92" s="1320"/>
      <c r="R92" s="1320"/>
      <c r="S92" s="317"/>
      <c r="T92" s="317"/>
      <c r="U92" s="317"/>
      <c r="V92" s="317"/>
      <c r="W92" s="1321"/>
      <c r="Y92" s="1289"/>
      <c r="Z92" s="1289"/>
      <c r="AA92" s="1289"/>
      <c r="AB92" s="1289"/>
      <c r="AC92" s="1289"/>
      <c r="AD92" s="1289"/>
      <c r="AE92" s="1289"/>
      <c r="AF92" s="1289"/>
      <c r="AG92" s="1289"/>
      <c r="AH92" s="1289"/>
      <c r="AI92" s="1289"/>
      <c r="AJ92" s="1289"/>
      <c r="AK92" s="1289"/>
      <c r="AL92" s="1289"/>
      <c r="AM92" s="1289"/>
      <c r="AN92" s="1289"/>
      <c r="AO92" s="1289"/>
      <c r="AP92" s="1289"/>
      <c r="AQ92" s="1289"/>
    </row>
    <row s="1888" customFormat="1" customHeight="1" ht="17.25" hidden="1">
      <c r="A93" s="306"/>
      <c r="C93" s="305"/>
      <c r="D93" s="1962"/>
      <c r="E93" s="1964"/>
      <c r="F93" s="1967"/>
      <c r="G93" s="1964"/>
      <c r="H93" s="1970"/>
      <c r="I93" s="1972"/>
      <c r="J93" s="1975"/>
      <c r="K93" s="1957"/>
      <c r="L93" s="1320"/>
      <c r="M93" s="1320"/>
      <c r="N93" s="1320"/>
      <c r="O93" s="1320"/>
      <c r="P93" s="1320"/>
      <c r="Q93" s="1320"/>
      <c r="R93" s="1320"/>
      <c r="S93" s="317"/>
      <c r="T93" s="317"/>
      <c r="U93" s="317"/>
      <c r="V93" s="317"/>
      <c r="W93" s="1321"/>
      <c r="Y93" s="1281"/>
      <c r="Z93" s="1281"/>
      <c r="AA93" s="1281"/>
      <c r="AB93" s="1281"/>
      <c r="AC93" s="1281"/>
      <c r="AD93" s="1281"/>
      <c r="AE93" s="1281"/>
      <c r="AF93" s="1281"/>
      <c r="AG93" s="1281"/>
      <c r="AH93" s="1281"/>
      <c r="AI93" s="1281"/>
      <c r="AJ93" s="1281"/>
      <c r="AK93" s="1281"/>
      <c r="AL93" s="1281"/>
      <c r="AM93" s="1281"/>
      <c r="AN93" s="1281"/>
      <c r="AO93" s="1281"/>
      <c r="AP93" s="1281"/>
      <c r="AQ93" s="1281"/>
    </row>
    <row s="1888" customFormat="1" customHeight="1" ht="17.25" hidden="1">
      <c r="A94" s="306"/>
      <c r="C94" s="305"/>
      <c r="D94" s="1963"/>
      <c r="E94" s="1965"/>
      <c r="F94" s="1968"/>
      <c r="G94" s="1965"/>
      <c r="H94" s="1322"/>
      <c r="I94" s="1323"/>
      <c r="J94" s="1323"/>
      <c r="K94" s="1323"/>
      <c r="L94" s="1323"/>
      <c r="M94" s="1323"/>
      <c r="N94" s="1323"/>
      <c r="O94" s="1323"/>
      <c r="P94" s="1323"/>
      <c r="Q94" s="1323"/>
      <c r="R94" s="1323"/>
      <c r="S94" s="1324"/>
      <c r="T94" s="1324"/>
      <c r="U94" s="1324"/>
      <c r="V94" s="1324"/>
      <c r="W94" s="1325"/>
      <c r="Y94" s="1281"/>
      <c r="Z94" s="1281"/>
      <c r="AA94" s="1281"/>
      <c r="AB94" s="1281"/>
      <c r="AC94" s="1281"/>
      <c r="AD94" s="1281"/>
      <c r="AE94" s="1281"/>
      <c r="AF94" s="1281"/>
      <c r="AG94" s="1281"/>
      <c r="AH94" s="1281"/>
      <c r="AI94" s="1281"/>
      <c r="AJ94" s="1281"/>
      <c r="AK94" s="1281"/>
      <c r="AL94" s="1281"/>
      <c r="AM94" s="1281"/>
      <c r="AN94" s="1281"/>
      <c r="AO94" s="1281"/>
      <c r="AP94" s="1281"/>
      <c r="AQ94" s="1281"/>
    </row>
    <row s="1888" customFormat="1" customHeight="1" ht="17.25" hidden="1">
      <c r="A95" s="306"/>
      <c r="C95" s="188"/>
      <c r="D95" s="1962">
        <v>2</v>
      </c>
      <c r="E95" s="1964" t="s">
        <v>244</v>
      </c>
      <c r="F95" s="1966" t="s">
        <v>56</v>
      </c>
      <c r="G95" s="1964"/>
      <c r="H95" s="1969"/>
      <c r="I95" s="1971"/>
      <c r="J95" s="1973"/>
      <c r="K95" s="1956"/>
      <c r="L95" s="1956"/>
      <c r="M95" s="1956"/>
      <c r="N95" s="1958"/>
      <c r="O95" s="1956"/>
      <c r="P95" s="1956"/>
      <c r="Q95" s="1956"/>
      <c r="R95" s="1961"/>
      <c r="S95" s="1956"/>
      <c r="T95" s="1493"/>
      <c r="U95" s="1493"/>
      <c r="V95" s="1495"/>
      <c r="W95" s="1319"/>
      <c r="X95" s="1289"/>
      <c r="Y95" s="1289"/>
      <c r="Z95" s="1289"/>
      <c r="AA95" s="1289"/>
      <c r="AB95" s="1289"/>
      <c r="AC95" s="1289" t="s">
        <v>245</v>
      </c>
      <c r="AD95" s="1289" t="s">
        <v>246</v>
      </c>
      <c r="AE95" s="1289" t="s">
        <v>247</v>
      </c>
      <c r="AF95" s="1289" t="s">
        <v>248</v>
      </c>
      <c r="AG95" s="1289"/>
      <c r="AH95" s="1289" t="str">
        <f>IF($E$95=0,"",$E$95)</f>
        <v>Тариф на транспортировку горячей воды</v>
      </c>
      <c r="AI95" s="1289" t="str">
        <f>IF($G$95=0,"",$G$95)</f>
        <v/>
      </c>
      <c r="AJ95" s="1289" t="str">
        <f>IF($J$95=0,"",$J$95)</f>
        <v/>
      </c>
      <c r="AK95" s="1289" t="str">
        <f>IF($K$95="нет","без дифференциации",IF($N$95=0,"",$N$95))</f>
        <v/>
      </c>
      <c r="AL95" s="1289" t="str">
        <f>IF($O$95="нет","без дифференциации",IF($R$95=0,"",$R$95))</f>
        <v/>
      </c>
      <c r="AM95" s="1289" t="str">
        <f>IF($S$95="нет","без дифференциации",IF($V$95=0,"",$V$95))</f>
        <v/>
      </c>
      <c r="AN95" s="1805">
        <f>$I$95</f>
        <v>0</v>
      </c>
      <c r="AO95" s="1289" t="str">
        <f>$I$95&amp;"."&amp;$M$95</f>
        <v>.</v>
      </c>
      <c r="AP95" s="1281" t="str">
        <f>$I$95&amp;"."&amp;$M$95&amp;"."&amp;$Q$95</f>
        <v>..</v>
      </c>
      <c r="AQ95" s="1281" t="str">
        <f>$I$95&amp;"."&amp;$M$95&amp;"."&amp;$Q$95&amp;"."&amp;$U$95</f>
        <v>...</v>
      </c>
    </row>
    <row s="1888" customFormat="1" customHeight="1" ht="17.25" hidden="1">
      <c r="A96" s="306"/>
      <c r="C96" s="305"/>
      <c r="D96" s="1962"/>
      <c r="E96" s="1964"/>
      <c r="F96" s="1967"/>
      <c r="G96" s="1964"/>
      <c r="H96" s="1970"/>
      <c r="I96" s="1972"/>
      <c r="J96" s="1974"/>
      <c r="K96" s="1957"/>
      <c r="L96" s="1957"/>
      <c r="M96" s="1957"/>
      <c r="N96" s="1959"/>
      <c r="O96" s="1957"/>
      <c r="P96" s="1957"/>
      <c r="Q96" s="1957"/>
      <c r="R96" s="1960"/>
      <c r="S96" s="1957"/>
      <c r="T96" s="1320"/>
      <c r="U96" s="1320"/>
      <c r="V96" s="1320"/>
      <c r="W96" s="1321"/>
      <c r="X96" s="1281"/>
      <c r="Y96" s="1281"/>
      <c r="Z96" s="1281"/>
      <c r="AA96" s="1281"/>
      <c r="AB96" s="1281"/>
      <c r="AC96" s="1281"/>
      <c r="AD96" s="1281"/>
      <c r="AE96" s="1281"/>
      <c r="AF96" s="1281"/>
      <c r="AG96" s="1281"/>
      <c r="AH96" s="1281"/>
      <c r="AI96" s="1281"/>
      <c r="AJ96" s="1281"/>
      <c r="AK96" s="1281"/>
      <c r="AL96" s="1281"/>
      <c r="AM96" s="1281"/>
      <c r="AN96" s="1281"/>
      <c r="AO96" s="1281"/>
      <c r="AP96" s="1281"/>
      <c r="AQ96" s="1281"/>
    </row>
    <row s="1888" customFormat="1" customHeight="1" ht="17.25" hidden="1">
      <c r="A97" s="306"/>
      <c r="C97" s="305"/>
      <c r="D97" s="1963"/>
      <c r="E97" s="1965"/>
      <c r="F97" s="1967"/>
      <c r="G97" s="1965"/>
      <c r="H97" s="1970"/>
      <c r="I97" s="1972"/>
      <c r="J97" s="1975"/>
      <c r="K97" s="1957"/>
      <c r="L97" s="1957"/>
      <c r="M97" s="1957"/>
      <c r="N97" s="1960"/>
      <c r="O97" s="1957"/>
      <c r="P97" s="1494"/>
      <c r="Q97" s="1320"/>
      <c r="R97" s="1320"/>
      <c r="S97" s="317"/>
      <c r="T97" s="317"/>
      <c r="U97" s="317"/>
      <c r="V97" s="317"/>
      <c r="W97" s="1321"/>
      <c r="X97" s="1281"/>
      <c r="Y97" s="1281"/>
      <c r="Z97" s="1281"/>
      <c r="AA97" s="1281"/>
      <c r="AB97" s="1281"/>
      <c r="AC97" s="1281"/>
      <c r="AD97" s="1281"/>
      <c r="AE97" s="1281"/>
      <c r="AF97" s="1281"/>
      <c r="AG97" s="1281"/>
      <c r="AH97" s="1281"/>
      <c r="AI97" s="1281"/>
      <c r="AJ97" s="1281"/>
      <c r="AK97" s="1281"/>
      <c r="AL97" s="1281"/>
      <c r="AM97" s="1281"/>
      <c r="AN97" s="1281"/>
      <c r="AO97" s="1281"/>
      <c r="AP97" s="1281"/>
      <c r="AQ97" s="1281"/>
    </row>
    <row s="1888" customFormat="1" customHeight="1" ht="17.25" hidden="1">
      <c r="A98" s="306"/>
      <c r="C98" s="305"/>
      <c r="D98" s="1963"/>
      <c r="E98" s="1965"/>
      <c r="F98" s="1967"/>
      <c r="G98" s="1965"/>
      <c r="H98" s="1970"/>
      <c r="I98" s="1972"/>
      <c r="J98" s="1975"/>
      <c r="K98" s="1957"/>
      <c r="L98" s="1320"/>
      <c r="M98" s="1320"/>
      <c r="N98" s="1320"/>
      <c r="O98" s="1320"/>
      <c r="P98" s="1320"/>
      <c r="Q98" s="1320"/>
      <c r="R98" s="1320"/>
      <c r="S98" s="317"/>
      <c r="T98" s="317"/>
      <c r="U98" s="317"/>
      <c r="V98" s="317"/>
      <c r="W98" s="1321"/>
      <c r="X98" s="1281"/>
      <c r="Y98" s="1281"/>
      <c r="Z98" s="1281"/>
      <c r="AA98" s="1281"/>
      <c r="AB98" s="1281"/>
      <c r="AC98" s="1281"/>
      <c r="AD98" s="1281"/>
      <c r="AE98" s="1281"/>
      <c r="AF98" s="1281"/>
      <c r="AG98" s="1281"/>
      <c r="AH98" s="1281"/>
      <c r="AI98" s="1281"/>
      <c r="AJ98" s="1281"/>
      <c r="AK98" s="1281"/>
      <c r="AL98" s="1281"/>
      <c r="AM98" s="1281"/>
      <c r="AN98" s="1281"/>
      <c r="AO98" s="1281"/>
      <c r="AP98" s="1281"/>
      <c r="AQ98" s="1281"/>
    </row>
    <row s="1888" customFormat="1" customHeight="1" ht="17.25" hidden="1">
      <c r="A99" s="306"/>
      <c r="C99" s="305"/>
      <c r="D99" s="1963"/>
      <c r="E99" s="1965"/>
      <c r="F99" s="1968"/>
      <c r="G99" s="1965"/>
      <c r="H99" s="1322"/>
      <c r="I99" s="1323"/>
      <c r="J99" s="1323"/>
      <c r="K99" s="1323"/>
      <c r="L99" s="1323"/>
      <c r="M99" s="1323"/>
      <c r="N99" s="1323"/>
      <c r="O99" s="1323"/>
      <c r="P99" s="1323"/>
      <c r="Q99" s="1323"/>
      <c r="R99" s="1323"/>
      <c r="S99" s="1324"/>
      <c r="T99" s="1324"/>
      <c r="U99" s="1324"/>
      <c r="V99" s="1324"/>
      <c r="W99" s="1325"/>
      <c r="X99" s="1281"/>
      <c r="Y99" s="1281"/>
      <c r="Z99" s="1281"/>
      <c r="AA99" s="1281"/>
      <c r="AB99" s="1281"/>
      <c r="AC99" s="1281"/>
      <c r="AD99" s="1281"/>
      <c r="AE99" s="1281"/>
      <c r="AF99" s="1281"/>
      <c r="AG99" s="1281"/>
      <c r="AH99" s="1281"/>
      <c r="AI99" s="1281"/>
      <c r="AJ99" s="1281"/>
      <c r="AK99" s="1281"/>
      <c r="AL99" s="1281"/>
      <c r="AM99" s="1281"/>
      <c r="AN99" s="1281"/>
      <c r="AO99" s="1281"/>
      <c r="AP99" s="1281"/>
      <c r="AQ99" s="1281"/>
    </row>
    <row s="1888" customFormat="1" customHeight="1" ht="17.25" hidden="1">
      <c r="A100" s="306"/>
      <c r="C100" s="188"/>
      <c r="D100" s="1962">
        <v>3</v>
      </c>
      <c r="E100" s="1964" t="s">
        <v>249</v>
      </c>
      <c r="F100" s="1966" t="s">
        <v>56</v>
      </c>
      <c r="G100" s="1964"/>
      <c r="H100" s="1969"/>
      <c r="I100" s="1971"/>
      <c r="J100" s="1973"/>
      <c r="K100" s="1956"/>
      <c r="L100" s="1956"/>
      <c r="M100" s="1956"/>
      <c r="N100" s="1958"/>
      <c r="O100" s="1956"/>
      <c r="P100" s="1956"/>
      <c r="Q100" s="1956"/>
      <c r="R100" s="1961"/>
      <c r="S100" s="1956"/>
      <c r="T100" s="1493"/>
      <c r="U100" s="1493"/>
      <c r="V100" s="1495"/>
      <c r="W100" s="1319"/>
      <c r="X100" s="1289"/>
      <c r="Y100" s="1289"/>
      <c r="Z100" s="1289"/>
      <c r="AA100" s="1289"/>
      <c r="AB100" s="1289"/>
      <c r="AC100" s="1289" t="s">
        <v>250</v>
      </c>
      <c r="AD100" s="1289" t="s">
        <v>251</v>
      </c>
      <c r="AE100" s="1289" t="s">
        <v>252</v>
      </c>
      <c r="AF100" s="1289" t="s">
        <v>253</v>
      </c>
      <c r="AG100" s="1289"/>
      <c r="AH100" s="1289" t="str">
        <f>IF($E$100=0,"",$E$100)</f>
        <v>Тариф на подключение (технологическое присоединение) к централизованной системе горячего водоснабжения</v>
      </c>
      <c r="AI100" s="1289" t="str">
        <f>IF($G$100=0,"",$G$100)</f>
        <v/>
      </c>
      <c r="AJ100" s="1289" t="str">
        <f>IF($J$100=0,"",$J$100)</f>
        <v/>
      </c>
      <c r="AK100" s="1289" t="str">
        <f>IF($K$100="нет","без дифференциации",IF($N$100=0,"",$N$100))</f>
        <v/>
      </c>
      <c r="AL100" s="1289" t="str">
        <f>IF($O$100="нет","без дифференциации",IF($R$100=0,"",$R$100))</f>
        <v/>
      </c>
      <c r="AM100" s="1289" t="str">
        <f>IF($S$100="нет","без дифференциации",IF($V$100=0,"",$V$100))</f>
        <v/>
      </c>
      <c r="AN100" s="1805">
        <f>$I$100</f>
        <v>0</v>
      </c>
      <c r="AO100" s="1289" t="str">
        <f>$I$100&amp;"."&amp;$M$100</f>
        <v>.</v>
      </c>
      <c r="AP100" s="1281" t="str">
        <f>$I$100&amp;"."&amp;$M$100&amp;"."&amp;$Q$100</f>
        <v>..</v>
      </c>
      <c r="AQ100" s="1281" t="str">
        <f>$I$100&amp;"."&amp;$M$100&amp;"."&amp;$Q$100&amp;"."&amp;$U$100</f>
        <v>...</v>
      </c>
    </row>
    <row s="1888" customFormat="1" customHeight="1" ht="17.25" hidden="1">
      <c r="A101" s="306"/>
      <c r="C101" s="305"/>
      <c r="D101" s="1962"/>
      <c r="E101" s="1964"/>
      <c r="F101" s="1967"/>
      <c r="G101" s="1964"/>
      <c r="H101" s="1970"/>
      <c r="I101" s="1972"/>
      <c r="J101" s="1974"/>
      <c r="K101" s="1957"/>
      <c r="L101" s="1957"/>
      <c r="M101" s="1957"/>
      <c r="N101" s="1959"/>
      <c r="O101" s="1957"/>
      <c r="P101" s="1957"/>
      <c r="Q101" s="1957"/>
      <c r="R101" s="1960"/>
      <c r="S101" s="1957"/>
      <c r="T101" s="1320"/>
      <c r="U101" s="1320"/>
      <c r="V101" s="1320"/>
      <c r="W101" s="1321"/>
      <c r="X101" s="1281"/>
      <c r="Y101" s="1281"/>
      <c r="Z101" s="1281"/>
      <c r="AA101" s="1281"/>
      <c r="AB101" s="1281"/>
      <c r="AC101" s="1281"/>
      <c r="AD101" s="1281"/>
      <c r="AE101" s="1281"/>
      <c r="AF101" s="1281"/>
      <c r="AG101" s="1281"/>
      <c r="AH101" s="1281"/>
      <c r="AI101" s="1281"/>
      <c r="AJ101" s="1281"/>
      <c r="AK101" s="1281"/>
      <c r="AL101" s="1281"/>
      <c r="AM101" s="1281"/>
      <c r="AN101" s="1281"/>
      <c r="AO101" s="1281"/>
      <c r="AP101" s="1281"/>
      <c r="AQ101" s="1281"/>
    </row>
    <row s="1888" customFormat="1" customHeight="1" ht="17.25" hidden="1">
      <c r="A102" s="306"/>
      <c r="C102" s="305"/>
      <c r="D102" s="1963"/>
      <c r="E102" s="1965"/>
      <c r="F102" s="1967"/>
      <c r="G102" s="1965"/>
      <c r="H102" s="1970"/>
      <c r="I102" s="1972"/>
      <c r="J102" s="1975"/>
      <c r="K102" s="1957"/>
      <c r="L102" s="1957"/>
      <c r="M102" s="1957"/>
      <c r="N102" s="1960"/>
      <c r="O102" s="1957"/>
      <c r="P102" s="1494"/>
      <c r="Q102" s="1320"/>
      <c r="R102" s="1320"/>
      <c r="S102" s="317"/>
      <c r="T102" s="317"/>
      <c r="U102" s="317"/>
      <c r="V102" s="317"/>
      <c r="W102" s="1321"/>
      <c r="X102" s="1281"/>
      <c r="Y102" s="1281"/>
      <c r="Z102" s="1281"/>
      <c r="AA102" s="1281"/>
      <c r="AB102" s="1281"/>
      <c r="AC102" s="1281"/>
      <c r="AD102" s="1281"/>
      <c r="AE102" s="1281"/>
      <c r="AF102" s="1281"/>
      <c r="AG102" s="1281"/>
      <c r="AH102" s="1281"/>
      <c r="AI102" s="1281"/>
      <c r="AJ102" s="1281"/>
      <c r="AK102" s="1281"/>
      <c r="AL102" s="1281"/>
      <c r="AM102" s="1281"/>
      <c r="AN102" s="1281"/>
      <c r="AO102" s="1281"/>
      <c r="AP102" s="1281"/>
      <c r="AQ102" s="1281"/>
    </row>
    <row s="1888" customFormat="1" customHeight="1" ht="17.25" hidden="1">
      <c r="A103" s="306"/>
      <c r="C103" s="305"/>
      <c r="D103" s="1963"/>
      <c r="E103" s="1965"/>
      <c r="F103" s="1967"/>
      <c r="G103" s="1965"/>
      <c r="H103" s="1970"/>
      <c r="I103" s="1972"/>
      <c r="J103" s="1975"/>
      <c r="K103" s="1957"/>
      <c r="L103" s="1320"/>
      <c r="M103" s="1320"/>
      <c r="N103" s="1320"/>
      <c r="O103" s="1320"/>
      <c r="P103" s="1320"/>
      <c r="Q103" s="1320"/>
      <c r="R103" s="1320"/>
      <c r="S103" s="317"/>
      <c r="T103" s="317"/>
      <c r="U103" s="317"/>
      <c r="V103" s="317"/>
      <c r="W103" s="1321"/>
      <c r="X103" s="1281"/>
      <c r="Y103" s="1281"/>
      <c r="Z103" s="1281"/>
      <c r="AA103" s="1281"/>
      <c r="AB103" s="1281"/>
      <c r="AC103" s="1281"/>
      <c r="AD103" s="1281"/>
      <c r="AE103" s="1281"/>
      <c r="AF103" s="1281"/>
      <c r="AG103" s="1281"/>
      <c r="AH103" s="1281"/>
      <c r="AI103" s="1281"/>
      <c r="AJ103" s="1281"/>
      <c r="AK103" s="1281"/>
      <c r="AL103" s="1281"/>
      <c r="AM103" s="1281"/>
      <c r="AN103" s="1281"/>
      <c r="AO103" s="1281"/>
      <c r="AP103" s="1281"/>
      <c r="AQ103" s="1281"/>
    </row>
    <row s="1888" customFormat="1" customHeight="1" ht="17.25" hidden="1">
      <c r="A104" s="306"/>
      <c r="C104" s="305"/>
      <c r="D104" s="1963"/>
      <c r="E104" s="1965"/>
      <c r="F104" s="1968"/>
      <c r="G104" s="1965"/>
      <c r="H104" s="1322"/>
      <c r="I104" s="1323"/>
      <c r="J104" s="1323"/>
      <c r="K104" s="1323"/>
      <c r="L104" s="1323"/>
      <c r="M104" s="1323"/>
      <c r="N104" s="1323"/>
      <c r="O104" s="1323"/>
      <c r="P104" s="1323"/>
      <c r="Q104" s="1323"/>
      <c r="R104" s="1323"/>
      <c r="S104" s="1324"/>
      <c r="T104" s="1324"/>
      <c r="U104" s="1324"/>
      <c r="V104" s="1324"/>
      <c r="W104" s="1325"/>
      <c r="X104" s="1281"/>
      <c r="Y104" s="1281"/>
      <c r="Z104" s="1281"/>
      <c r="AA104" s="1281"/>
      <c r="AB104" s="1281"/>
      <c r="AC104" s="1281"/>
      <c r="AD104" s="1281"/>
      <c r="AE104" s="1281"/>
      <c r="AF104" s="1281"/>
      <c r="AG104" s="1281"/>
      <c r="AH104" s="1281"/>
      <c r="AI104" s="1281"/>
      <c r="AJ104" s="1281"/>
      <c r="AK104" s="1281"/>
      <c r="AL104" s="1281"/>
      <c r="AM104" s="1281"/>
      <c r="AN104" s="1281"/>
      <c r="AO104" s="1281"/>
      <c r="AP104" s="1281"/>
      <c r="AQ104" s="1281"/>
    </row>
    <row s="1888" customFormat="1" customHeight="1" ht="11.25">
      <c r="A105" s="256"/>
      <c r="B105" s="256"/>
      <c r="Y105" s="1281"/>
      <c r="Z105" s="1281"/>
      <c r="AA105" s="1281"/>
      <c r="AB105" s="1281"/>
      <c r="AC105" s="1281"/>
      <c r="AD105" s="1281"/>
      <c r="AE105" s="1281"/>
      <c r="AF105" s="1281"/>
      <c r="AG105" s="1281"/>
      <c r="AH105" s="1281"/>
      <c r="AI105" s="1281"/>
      <c r="AJ105" s="1281"/>
      <c r="AK105" s="1281"/>
      <c r="AL105" s="1281"/>
      <c r="AM105" s="1281"/>
      <c r="AN105" s="1281"/>
      <c r="AO105" s="1281"/>
      <c r="AP105" s="1281"/>
      <c r="AQ105" s="1281"/>
    </row>
    <row s="1888" customFormat="1" customHeight="1" ht="17.25" hidden="1">
      <c r="A106" s="306"/>
      <c r="C106" s="188"/>
      <c r="D106" s="1962">
        <v>1</v>
      </c>
      <c r="E106" s="1964" t="s">
        <v>254</v>
      </c>
      <c r="F106" s="1966" t="s">
        <v>56</v>
      </c>
      <c r="G106" s="1964"/>
      <c r="H106" s="1969"/>
      <c r="I106" s="1971"/>
      <c r="J106" s="1973"/>
      <c r="K106" s="1956"/>
      <c r="L106" s="1956"/>
      <c r="M106" s="1956"/>
      <c r="N106" s="1958"/>
      <c r="O106" s="1956"/>
      <c r="P106" s="1956"/>
      <c r="Q106" s="1956"/>
      <c r="R106" s="1961"/>
      <c r="S106" s="1956"/>
      <c r="T106" s="1493"/>
      <c r="U106" s="1493"/>
      <c r="V106" s="1495"/>
      <c r="W106" s="1319"/>
      <c r="Y106" s="1289"/>
      <c r="Z106" s="1289"/>
      <c r="AA106" s="1289"/>
      <c r="AB106" s="1289"/>
      <c r="AC106" s="1289" t="s">
        <v>255</v>
      </c>
      <c r="AD106" s="1289" t="s">
        <v>256</v>
      </c>
      <c r="AE106" s="1289" t="s">
        <v>257</v>
      </c>
      <c r="AF106" s="1289" t="s">
        <v>258</v>
      </c>
      <c r="AG106" s="1289"/>
      <c r="AH106" s="1289" t="str">
        <f>IF($E$106=0,"",$E$106)</f>
        <v>Тариф на водоотведение</v>
      </c>
      <c r="AI106" s="1289" t="str">
        <f>IF($G$106=0,"",$G$106)</f>
        <v/>
      </c>
      <c r="AJ106" s="1289" t="str">
        <f>IF($J$106=0,"",$J$106)</f>
        <v/>
      </c>
      <c r="AK106" s="1289" t="str">
        <f>IF($K$106="нет","без дифференциации",IF($N$106=0,"",$N$106))</f>
        <v/>
      </c>
      <c r="AL106" s="1289" t="str">
        <f>IF($O$106="нет","без дифференциации",IF($R$106=0,"",$R$106))</f>
        <v/>
      </c>
      <c r="AM106" s="1289" t="str">
        <f>IF($S$106="нет","без дифференциации",IF($V$106=0,"",$V$106))</f>
        <v/>
      </c>
      <c r="AN106" s="1289">
        <f>$I$106</f>
        <v>0</v>
      </c>
      <c r="AO106" s="1289" t="str">
        <f>$I$106&amp;"."&amp;$M$106</f>
        <v>.</v>
      </c>
      <c r="AP106" s="1289" t="str">
        <f>$I$106&amp;"."&amp;$M$106&amp;"."&amp;$Q$106</f>
        <v>..</v>
      </c>
      <c r="AQ106" s="1289" t="str">
        <f>$I$106&amp;"."&amp;$M$106&amp;"."&amp;$Q$106&amp;"."&amp;$U$106</f>
        <v>...</v>
      </c>
    </row>
    <row s="1888" customFormat="1" customHeight="1" ht="17.25" hidden="1">
      <c r="A107" s="306"/>
      <c r="C107" s="305"/>
      <c r="D107" s="1962"/>
      <c r="E107" s="1964"/>
      <c r="F107" s="1967"/>
      <c r="G107" s="1964"/>
      <c r="H107" s="1970"/>
      <c r="I107" s="1972"/>
      <c r="J107" s="1974"/>
      <c r="K107" s="1957"/>
      <c r="L107" s="1957"/>
      <c r="M107" s="1957"/>
      <c r="N107" s="1959"/>
      <c r="O107" s="1957"/>
      <c r="P107" s="1957"/>
      <c r="Q107" s="1957"/>
      <c r="R107" s="1960"/>
      <c r="S107" s="1957"/>
      <c r="T107" s="1320"/>
      <c r="U107" s="1320"/>
      <c r="V107" s="1320"/>
      <c r="W107" s="1321"/>
      <c r="Y107" s="1281"/>
      <c r="Z107" s="1281"/>
      <c r="AA107" s="1281"/>
      <c r="AB107" s="1281"/>
      <c r="AC107" s="1281"/>
      <c r="AD107" s="1281"/>
      <c r="AE107" s="1281"/>
      <c r="AF107" s="1281"/>
      <c r="AG107" s="1281"/>
      <c r="AH107" s="1281"/>
      <c r="AI107" s="1281"/>
      <c r="AJ107" s="1281"/>
      <c r="AK107" s="1281"/>
      <c r="AL107" s="1281"/>
      <c r="AM107" s="1281"/>
      <c r="AN107" s="1281"/>
      <c r="AO107" s="1281"/>
      <c r="AP107" s="1281"/>
      <c r="AQ107" s="1281"/>
    </row>
    <row s="1888" customFormat="1" customHeight="1" ht="17.25" hidden="1">
      <c r="A108" s="306"/>
      <c r="C108" s="188"/>
      <c r="D108" s="1962"/>
      <c r="E108" s="1964"/>
      <c r="F108" s="1967"/>
      <c r="G108" s="1964"/>
      <c r="H108" s="1970"/>
      <c r="I108" s="1972"/>
      <c r="J108" s="1975"/>
      <c r="K108" s="1957"/>
      <c r="L108" s="1957"/>
      <c r="M108" s="1957"/>
      <c r="N108" s="1960"/>
      <c r="O108" s="1957"/>
      <c r="P108" s="1494"/>
      <c r="Q108" s="1320"/>
      <c r="R108" s="1320"/>
      <c r="S108" s="317"/>
      <c r="T108" s="317"/>
      <c r="U108" s="317"/>
      <c r="V108" s="317"/>
      <c r="W108" s="1321"/>
      <c r="Y108" s="1289"/>
      <c r="Z108" s="1289"/>
      <c r="AA108" s="1289"/>
      <c r="AB108" s="1289"/>
      <c r="AC108" s="1289"/>
      <c r="AD108" s="1289"/>
      <c r="AE108" s="1289"/>
      <c r="AF108" s="1289"/>
      <c r="AG108" s="1289"/>
      <c r="AH108" s="1289"/>
      <c r="AI108" s="1289"/>
      <c r="AJ108" s="1289"/>
      <c r="AK108" s="1289"/>
      <c r="AL108" s="1289"/>
      <c r="AM108" s="1289"/>
      <c r="AN108" s="1289"/>
      <c r="AO108" s="1289"/>
      <c r="AP108" s="1289"/>
      <c r="AQ108" s="1289"/>
    </row>
    <row s="1888" customFormat="1" customHeight="1" ht="17.25" hidden="1">
      <c r="A109" s="306"/>
      <c r="C109" s="305"/>
      <c r="D109" s="1962"/>
      <c r="E109" s="1964"/>
      <c r="F109" s="1967"/>
      <c r="G109" s="1964"/>
      <c r="H109" s="1970"/>
      <c r="I109" s="1972"/>
      <c r="J109" s="1975"/>
      <c r="K109" s="1957"/>
      <c r="L109" s="1320"/>
      <c r="M109" s="1320"/>
      <c r="N109" s="1320"/>
      <c r="O109" s="1320"/>
      <c r="P109" s="1320"/>
      <c r="Q109" s="1320"/>
      <c r="R109" s="1320"/>
      <c r="S109" s="317"/>
      <c r="T109" s="317"/>
      <c r="U109" s="317"/>
      <c r="V109" s="317"/>
      <c r="W109" s="1321"/>
      <c r="Y109" s="1281"/>
      <c r="Z109" s="1281"/>
      <c r="AA109" s="1281"/>
      <c r="AB109" s="1281"/>
      <c r="AC109" s="1281"/>
      <c r="AD109" s="1281"/>
      <c r="AE109" s="1281"/>
      <c r="AF109" s="1281"/>
      <c r="AG109" s="1281"/>
      <c r="AH109" s="1281"/>
      <c r="AI109" s="1281"/>
      <c r="AJ109" s="1281"/>
      <c r="AK109" s="1281"/>
      <c r="AL109" s="1281"/>
      <c r="AM109" s="1281"/>
      <c r="AN109" s="1281"/>
      <c r="AO109" s="1281"/>
      <c r="AP109" s="1281"/>
      <c r="AQ109" s="1281"/>
    </row>
    <row s="1888" customFormat="1" customHeight="1" ht="17.25" hidden="1">
      <c r="A110" s="306"/>
      <c r="C110" s="305"/>
      <c r="D110" s="1963"/>
      <c r="E110" s="1965"/>
      <c r="F110" s="1968"/>
      <c r="G110" s="1965"/>
      <c r="H110" s="1322"/>
      <c r="I110" s="1323"/>
      <c r="J110" s="1323"/>
      <c r="K110" s="1323"/>
      <c r="L110" s="1323"/>
      <c r="M110" s="1323"/>
      <c r="N110" s="1323"/>
      <c r="O110" s="1323"/>
      <c r="P110" s="1323"/>
      <c r="Q110" s="1323"/>
      <c r="R110" s="1323"/>
      <c r="S110" s="1324"/>
      <c r="T110" s="1324"/>
      <c r="U110" s="1324"/>
      <c r="V110" s="1324"/>
      <c r="W110" s="1325"/>
      <c r="Y110" s="1281"/>
      <c r="Z110" s="1281"/>
      <c r="AA110" s="1281"/>
      <c r="AB110" s="1281"/>
      <c r="AC110" s="1281"/>
      <c r="AD110" s="1281"/>
      <c r="AE110" s="1281"/>
      <c r="AF110" s="1281"/>
      <c r="AG110" s="1281"/>
      <c r="AH110" s="1281"/>
      <c r="AI110" s="1281"/>
      <c r="AJ110" s="1281"/>
      <c r="AK110" s="1281"/>
      <c r="AL110" s="1281"/>
      <c r="AM110" s="1281"/>
      <c r="AN110" s="1281"/>
      <c r="AO110" s="1281"/>
      <c r="AP110" s="1281"/>
      <c r="AQ110" s="1281"/>
    </row>
    <row s="1888" customFormat="1" customHeight="1" ht="17.25" hidden="1">
      <c r="A111" s="306"/>
      <c r="C111" s="188"/>
      <c r="D111" s="1962">
        <v>2</v>
      </c>
      <c r="E111" s="1964" t="s">
        <v>259</v>
      </c>
      <c r="F111" s="1966" t="s">
        <v>56</v>
      </c>
      <c r="G111" s="1964"/>
      <c r="H111" s="1969"/>
      <c r="I111" s="1971"/>
      <c r="J111" s="1973"/>
      <c r="K111" s="1956"/>
      <c r="L111" s="1956"/>
      <c r="M111" s="1956"/>
      <c r="N111" s="1958"/>
      <c r="O111" s="1956"/>
      <c r="P111" s="1956"/>
      <c r="Q111" s="1956"/>
      <c r="R111" s="1961"/>
      <c r="S111" s="1956"/>
      <c r="T111" s="1493"/>
      <c r="U111" s="1493"/>
      <c r="V111" s="1495"/>
      <c r="W111" s="1319"/>
      <c r="X111" s="1289"/>
      <c r="Y111" s="1289"/>
      <c r="Z111" s="1289"/>
      <c r="AA111" s="1289"/>
      <c r="AB111" s="1289"/>
      <c r="AC111" s="1289" t="s">
        <v>260</v>
      </c>
      <c r="AD111" s="1289" t="s">
        <v>261</v>
      </c>
      <c r="AE111" s="1289" t="s">
        <v>262</v>
      </c>
      <c r="AF111" s="1289" t="s">
        <v>263</v>
      </c>
      <c r="AG111" s="1289"/>
      <c r="AH111" s="1289" t="str">
        <f>IF($E$111=0,"",$E$111)</f>
        <v>Тариф на транспортировку сточных вод</v>
      </c>
      <c r="AI111" s="1289" t="str">
        <f>IF($G$111=0,"",$G$111)</f>
        <v/>
      </c>
      <c r="AJ111" s="1289" t="str">
        <f>IF($J$111=0,"",$J$111)</f>
        <v/>
      </c>
      <c r="AK111" s="1289" t="str">
        <f>IF($K$111="нет","без дифференциации",IF($N$111=0,"",$N$111))</f>
        <v/>
      </c>
      <c r="AL111" s="1289" t="str">
        <f>IF($O$111="нет","без дифференциации",IF($R$111=0,"",$R$111))</f>
        <v/>
      </c>
      <c r="AM111" s="1289" t="str">
        <f>IF($S$111="нет","без дифференциации",IF($V$111=0,"",$V$111))</f>
        <v/>
      </c>
      <c r="AN111" s="1805">
        <f>$I$111</f>
        <v>0</v>
      </c>
      <c r="AO111" s="1289" t="str">
        <f>$I$111&amp;"."&amp;$M$111</f>
        <v>.</v>
      </c>
      <c r="AP111" s="1281" t="str">
        <f>$I$111&amp;"."&amp;$M$111&amp;"."&amp;$Q$111</f>
        <v>..</v>
      </c>
      <c r="AQ111" s="1281" t="str">
        <f>$I$111&amp;"."&amp;$M$111&amp;"."&amp;$Q$111&amp;"."&amp;$U$111</f>
        <v>...</v>
      </c>
    </row>
    <row s="1888" customFormat="1" customHeight="1" ht="17.25" hidden="1">
      <c r="A112" s="306"/>
      <c r="C112" s="305"/>
      <c r="D112" s="1962"/>
      <c r="E112" s="1964"/>
      <c r="F112" s="1967"/>
      <c r="G112" s="1964"/>
      <c r="H112" s="1970"/>
      <c r="I112" s="1972"/>
      <c r="J112" s="1974"/>
      <c r="K112" s="1957"/>
      <c r="L112" s="1957"/>
      <c r="M112" s="1957"/>
      <c r="N112" s="1959"/>
      <c r="O112" s="1957"/>
      <c r="P112" s="1957"/>
      <c r="Q112" s="1957"/>
      <c r="R112" s="1960"/>
      <c r="S112" s="1957"/>
      <c r="T112" s="1320"/>
      <c r="U112" s="1320"/>
      <c r="V112" s="1320"/>
      <c r="W112" s="1321"/>
      <c r="X112" s="1281"/>
      <c r="Y112" s="1281"/>
      <c r="Z112" s="1281"/>
      <c r="AA112" s="1281"/>
      <c r="AB112" s="1281"/>
      <c r="AC112" s="1281"/>
      <c r="AD112" s="1281"/>
      <c r="AE112" s="1281"/>
      <c r="AF112" s="1281"/>
      <c r="AG112" s="1281"/>
      <c r="AH112" s="1281"/>
      <c r="AI112" s="1281"/>
      <c r="AJ112" s="1281"/>
      <c r="AK112" s="1281"/>
      <c r="AL112" s="1281"/>
      <c r="AM112" s="1281"/>
      <c r="AN112" s="1281"/>
      <c r="AO112" s="1281"/>
      <c r="AP112" s="1281"/>
      <c r="AQ112" s="1281"/>
    </row>
    <row s="1888" customFormat="1" customHeight="1" ht="17.25" hidden="1">
      <c r="A113" s="306"/>
      <c r="C113" s="305"/>
      <c r="D113" s="1963"/>
      <c r="E113" s="1965"/>
      <c r="F113" s="1967"/>
      <c r="G113" s="1965"/>
      <c r="H113" s="1970"/>
      <c r="I113" s="1972"/>
      <c r="J113" s="1975"/>
      <c r="K113" s="1957"/>
      <c r="L113" s="1957"/>
      <c r="M113" s="1957"/>
      <c r="N113" s="1960"/>
      <c r="O113" s="1957"/>
      <c r="P113" s="1494"/>
      <c r="Q113" s="1320"/>
      <c r="R113" s="1320"/>
      <c r="S113" s="317"/>
      <c r="T113" s="317"/>
      <c r="U113" s="317"/>
      <c r="V113" s="317"/>
      <c r="W113" s="1321"/>
      <c r="X113" s="1281"/>
      <c r="Y113" s="1281"/>
      <c r="Z113" s="1281"/>
      <c r="AA113" s="1281"/>
      <c r="AB113" s="1281"/>
      <c r="AC113" s="1281"/>
      <c r="AD113" s="1281"/>
      <c r="AE113" s="1281"/>
      <c r="AF113" s="1281"/>
      <c r="AG113" s="1281"/>
      <c r="AH113" s="1281"/>
      <c r="AI113" s="1281"/>
      <c r="AJ113" s="1281"/>
      <c r="AK113" s="1281"/>
      <c r="AL113" s="1281"/>
      <c r="AM113" s="1281"/>
      <c r="AN113" s="1281"/>
      <c r="AO113" s="1281"/>
      <c r="AP113" s="1281"/>
      <c r="AQ113" s="1281"/>
    </row>
    <row s="1888" customFormat="1" customHeight="1" ht="17.25" hidden="1">
      <c r="A114" s="306"/>
      <c r="C114" s="305"/>
      <c r="D114" s="1963"/>
      <c r="E114" s="1965"/>
      <c r="F114" s="1967"/>
      <c r="G114" s="1965"/>
      <c r="H114" s="1970"/>
      <c r="I114" s="1972"/>
      <c r="J114" s="1975"/>
      <c r="K114" s="1957"/>
      <c r="L114" s="1320"/>
      <c r="M114" s="1320"/>
      <c r="N114" s="1320"/>
      <c r="O114" s="1320"/>
      <c r="P114" s="1320"/>
      <c r="Q114" s="1320"/>
      <c r="R114" s="1320"/>
      <c r="S114" s="317"/>
      <c r="T114" s="317"/>
      <c r="U114" s="317"/>
      <c r="V114" s="317"/>
      <c r="W114" s="1321"/>
      <c r="X114" s="1281"/>
      <c r="Y114" s="1281"/>
      <c r="Z114" s="1281"/>
      <c r="AA114" s="1281"/>
      <c r="AB114" s="1281"/>
      <c r="AC114" s="1281"/>
      <c r="AD114" s="1281"/>
      <c r="AE114" s="1281"/>
      <c r="AF114" s="1281"/>
      <c r="AG114" s="1281"/>
      <c r="AH114" s="1281"/>
      <c r="AI114" s="1281"/>
      <c r="AJ114" s="1281"/>
      <c r="AK114" s="1281"/>
      <c r="AL114" s="1281"/>
      <c r="AM114" s="1281"/>
      <c r="AN114" s="1281"/>
      <c r="AO114" s="1281"/>
      <c r="AP114" s="1281"/>
      <c r="AQ114" s="1281"/>
    </row>
    <row s="1888" customFormat="1" customHeight="1" ht="17.25" hidden="1">
      <c r="A115" s="306"/>
      <c r="C115" s="305"/>
      <c r="D115" s="1963"/>
      <c r="E115" s="1965"/>
      <c r="F115" s="1968"/>
      <c r="G115" s="1965"/>
      <c r="H115" s="1322"/>
      <c r="I115" s="1323"/>
      <c r="J115" s="1323"/>
      <c r="K115" s="1323"/>
      <c r="L115" s="1323"/>
      <c r="M115" s="1323"/>
      <c r="N115" s="1323"/>
      <c r="O115" s="1323"/>
      <c r="P115" s="1323"/>
      <c r="Q115" s="1323"/>
      <c r="R115" s="1323"/>
      <c r="S115" s="1324"/>
      <c r="T115" s="1324"/>
      <c r="U115" s="1324"/>
      <c r="V115" s="1324"/>
      <c r="W115" s="1325"/>
      <c r="X115" s="1281"/>
      <c r="Y115" s="1281"/>
      <c r="Z115" s="1281"/>
      <c r="AA115" s="1281"/>
      <c r="AB115" s="1281"/>
      <c r="AC115" s="1281"/>
      <c r="AD115" s="1281"/>
      <c r="AE115" s="1281"/>
      <c r="AF115" s="1281"/>
      <c r="AG115" s="1281"/>
      <c r="AH115" s="1281"/>
      <c r="AI115" s="1281"/>
      <c r="AJ115" s="1281"/>
      <c r="AK115" s="1281"/>
      <c r="AL115" s="1281"/>
      <c r="AM115" s="1281"/>
      <c r="AN115" s="1281"/>
      <c r="AO115" s="1281"/>
      <c r="AP115" s="1281"/>
      <c r="AQ115" s="1281"/>
    </row>
    <row s="1888" customFormat="1" customHeight="1" ht="17.25" hidden="1">
      <c r="A116" s="306"/>
      <c r="C116" s="188"/>
      <c r="D116" s="1962">
        <v>3</v>
      </c>
      <c r="E116" s="1964" t="s">
        <v>264</v>
      </c>
      <c r="F116" s="1966" t="s">
        <v>56</v>
      </c>
      <c r="G116" s="1964"/>
      <c r="H116" s="1969"/>
      <c r="I116" s="1971"/>
      <c r="J116" s="1973"/>
      <c r="K116" s="1956"/>
      <c r="L116" s="1956"/>
      <c r="M116" s="1956"/>
      <c r="N116" s="1958"/>
      <c r="O116" s="1956"/>
      <c r="P116" s="1956"/>
      <c r="Q116" s="1956"/>
      <c r="R116" s="1961"/>
      <c r="S116" s="1956"/>
      <c r="T116" s="1493"/>
      <c r="U116" s="1493"/>
      <c r="V116" s="1495"/>
      <c r="W116" s="1319"/>
      <c r="X116" s="1289"/>
      <c r="Y116" s="1289"/>
      <c r="Z116" s="1289"/>
      <c r="AA116" s="1289"/>
      <c r="AB116" s="1289"/>
      <c r="AC116" s="1289" t="s">
        <v>265</v>
      </c>
      <c r="AD116" s="1289" t="s">
        <v>266</v>
      </c>
      <c r="AE116" s="1289" t="s">
        <v>267</v>
      </c>
      <c r="AF116" s="1289" t="s">
        <v>268</v>
      </c>
      <c r="AG116" s="1289"/>
      <c r="AH116" s="1289" t="str">
        <f>IF($E$116=0,"",$E$116)</f>
        <v>Тариф на подключение (технологическое присоединение) к централизованной системе водоотведения</v>
      </c>
      <c r="AI116" s="1289" t="str">
        <f>IF($G$116=0,"",$G$116)</f>
        <v/>
      </c>
      <c r="AJ116" s="1289" t="str">
        <f>IF($J$116=0,"",$J$116)</f>
        <v/>
      </c>
      <c r="AK116" s="1289" t="str">
        <f>IF($K$116="нет","без дифференциации",IF($N$116=0,"",$N$116))</f>
        <v/>
      </c>
      <c r="AL116" s="1289" t="str">
        <f>IF($O$116="нет","без дифференциации",IF($R$116=0,"",$R$116))</f>
        <v/>
      </c>
      <c r="AM116" s="1289" t="str">
        <f>IF($S$116="нет","без дифференциации",IF($V$116=0,"",$V$116))</f>
        <v/>
      </c>
      <c r="AN116" s="1805">
        <f>$I$116</f>
        <v>0</v>
      </c>
      <c r="AO116" s="1289" t="str">
        <f>$I$116&amp;"."&amp;$M$116</f>
        <v>.</v>
      </c>
      <c r="AP116" s="1281" t="str">
        <f>$I$116&amp;"."&amp;$M$116&amp;"."&amp;$Q$116</f>
        <v>..</v>
      </c>
      <c r="AQ116" s="1281" t="str">
        <f>$I$116&amp;"."&amp;$M$116&amp;"."&amp;$Q$116&amp;"."&amp;$U$116</f>
        <v>...</v>
      </c>
    </row>
    <row s="1888" customFormat="1" customHeight="1" ht="17.25" hidden="1">
      <c r="A117" s="306"/>
      <c r="C117" s="305"/>
      <c r="D117" s="1962"/>
      <c r="E117" s="1964"/>
      <c r="F117" s="1967"/>
      <c r="G117" s="1964"/>
      <c r="H117" s="1970"/>
      <c r="I117" s="1972"/>
      <c r="J117" s="1974"/>
      <c r="K117" s="1957"/>
      <c r="L117" s="1957"/>
      <c r="M117" s="1957"/>
      <c r="N117" s="1959"/>
      <c r="O117" s="1957"/>
      <c r="P117" s="1957"/>
      <c r="Q117" s="1957"/>
      <c r="R117" s="1960"/>
      <c r="S117" s="1957"/>
      <c r="T117" s="1320"/>
      <c r="U117" s="1320"/>
      <c r="V117" s="1320"/>
      <c r="W117" s="1321"/>
      <c r="X117" s="1281"/>
      <c r="Y117" s="1281"/>
      <c r="Z117" s="1281"/>
      <c r="AA117" s="1281"/>
      <c r="AB117" s="1281"/>
      <c r="AC117" s="1281"/>
      <c r="AD117" s="1281"/>
      <c r="AE117" s="1281"/>
      <c r="AF117" s="1281"/>
      <c r="AG117" s="1281"/>
      <c r="AH117" s="1281"/>
      <c r="AI117" s="1281"/>
      <c r="AJ117" s="1281"/>
      <c r="AK117" s="1281"/>
      <c r="AL117" s="1281"/>
      <c r="AM117" s="1281"/>
      <c r="AN117" s="1281"/>
      <c r="AO117" s="1281"/>
      <c r="AP117" s="1281"/>
      <c r="AQ117" s="1281"/>
    </row>
    <row s="1888" customFormat="1" customHeight="1" ht="17.25" hidden="1">
      <c r="A118" s="306"/>
      <c r="C118" s="305"/>
      <c r="D118" s="1963"/>
      <c r="E118" s="1965"/>
      <c r="F118" s="1967"/>
      <c r="G118" s="1965"/>
      <c r="H118" s="1970"/>
      <c r="I118" s="1972"/>
      <c r="J118" s="1975"/>
      <c r="K118" s="1957"/>
      <c r="L118" s="1957"/>
      <c r="M118" s="1957"/>
      <c r="N118" s="1960"/>
      <c r="O118" s="1957"/>
      <c r="P118" s="1494"/>
      <c r="Q118" s="1320"/>
      <c r="R118" s="1320"/>
      <c r="S118" s="317"/>
      <c r="T118" s="317"/>
      <c r="U118" s="317"/>
      <c r="V118" s="317"/>
      <c r="W118" s="1321"/>
      <c r="X118" s="1281"/>
      <c r="Y118" s="1281"/>
      <c r="Z118" s="1281"/>
      <c r="AA118" s="1281"/>
      <c r="AB118" s="1281"/>
      <c r="AC118" s="1281"/>
      <c r="AD118" s="1281"/>
      <c r="AE118" s="1281"/>
      <c r="AF118" s="1281"/>
      <c r="AG118" s="1281"/>
      <c r="AH118" s="1281"/>
      <c r="AI118" s="1281"/>
      <c r="AJ118" s="1281"/>
      <c r="AK118" s="1281"/>
      <c r="AL118" s="1281"/>
      <c r="AM118" s="1281"/>
      <c r="AN118" s="1281"/>
      <c r="AO118" s="1281"/>
      <c r="AP118" s="1281"/>
      <c r="AQ118" s="1281"/>
    </row>
    <row s="1888" customFormat="1" customHeight="1" ht="17.25" hidden="1">
      <c r="A119" s="306"/>
      <c r="C119" s="305"/>
      <c r="D119" s="1963"/>
      <c r="E119" s="1965"/>
      <c r="F119" s="1967"/>
      <c r="G119" s="1965"/>
      <c r="H119" s="1970"/>
      <c r="I119" s="1972"/>
      <c r="J119" s="1975"/>
      <c r="K119" s="1957"/>
      <c r="L119" s="1320"/>
      <c r="M119" s="1320"/>
      <c r="N119" s="1320"/>
      <c r="O119" s="1320"/>
      <c r="P119" s="1320"/>
      <c r="Q119" s="1320"/>
      <c r="R119" s="1320"/>
      <c r="S119" s="317"/>
      <c r="T119" s="317"/>
      <c r="U119" s="317"/>
      <c r="V119" s="317"/>
      <c r="W119" s="1321"/>
      <c r="X119" s="1281"/>
      <c r="Y119" s="1281"/>
      <c r="Z119" s="1281"/>
      <c r="AA119" s="1281"/>
      <c r="AB119" s="1281"/>
      <c r="AC119" s="1281"/>
      <c r="AD119" s="1281"/>
      <c r="AE119" s="1281"/>
      <c r="AF119" s="1281"/>
      <c r="AG119" s="1281"/>
      <c r="AH119" s="1281"/>
      <c r="AI119" s="1281"/>
      <c r="AJ119" s="1281"/>
      <c r="AK119" s="1281"/>
      <c r="AL119" s="1281"/>
      <c r="AM119" s="1281"/>
      <c r="AN119" s="1281"/>
      <c r="AO119" s="1281"/>
      <c r="AP119" s="1281"/>
      <c r="AQ119" s="1281"/>
    </row>
    <row s="1888" customFormat="1" customHeight="1" ht="17.25" hidden="1">
      <c r="A120" s="306"/>
      <c r="C120" s="305"/>
      <c r="D120" s="1963"/>
      <c r="E120" s="1965"/>
      <c r="F120" s="1968"/>
      <c r="G120" s="1965"/>
      <c r="H120" s="1322"/>
      <c r="I120" s="1323"/>
      <c r="J120" s="1323"/>
      <c r="K120" s="1323"/>
      <c r="L120" s="1323"/>
      <c r="M120" s="1323"/>
      <c r="N120" s="1323"/>
      <c r="O120" s="1323"/>
      <c r="P120" s="1323"/>
      <c r="Q120" s="1323"/>
      <c r="R120" s="1323"/>
      <c r="S120" s="1324"/>
      <c r="T120" s="1324"/>
      <c r="U120" s="1324"/>
      <c r="V120" s="1324"/>
      <c r="W120" s="1325"/>
      <c r="X120" s="1281"/>
      <c r="Y120" s="1281"/>
      <c r="Z120" s="1281"/>
      <c r="AA120" s="1281"/>
      <c r="AB120" s="1281"/>
      <c r="AC120" s="1281"/>
      <c r="AD120" s="1281"/>
      <c r="AE120" s="1281"/>
      <c r="AF120" s="1281"/>
      <c r="AG120" s="1281"/>
      <c r="AH120" s="1281"/>
      <c r="AI120" s="1281"/>
      <c r="AJ120" s="1281"/>
      <c r="AK120" s="1281"/>
      <c r="AL120" s="1281"/>
      <c r="AM120" s="1281"/>
      <c r="AN120" s="1281"/>
      <c r="AO120" s="1281"/>
      <c r="AP120" s="1281"/>
      <c r="AQ120" s="1281"/>
    </row>
    <row r="124" customHeight="1" ht="11.25">
      <c r="E124" s="1373"/>
    </row>
    <row customHeight="1" ht="11.25">
      <c r="E125" s="1373"/>
    </row>
    <row customHeight="1" ht="11.25">
      <c r="E126" s="1373"/>
    </row>
    <row customHeight="1" ht="11.25">
      <c r="E127" s="1373"/>
    </row>
    <row customHeight="1" ht="11.25">
      <c r="E128" s="1373"/>
    </row>
    <row customHeight="1" ht="11.25">
      <c r="E129" s="1373"/>
    </row>
    <row customHeight="1" ht="11.25">
      <c r="E130" s="1373"/>
    </row>
  </sheetData>
  <sheetProtection formatColumns="0" formatRows="0" autoFilter="0" sort="0" insertRows="0" insertColumns="1" deleteRows="0" deleteColumns="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CE06A-5DF4-F4D5-9D3F-3D53C56B8CB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2056</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2057</v>
      </c>
      <c r="AM4" s="498"/>
      <c r="AN4" s="498" t="str">
        <f>IF(T4="","",T4)</f>
        <v>Наименование централизованной системы горячего водоснабжения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516">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506" t="s">
        <v>2058</v>
      </c>
      <c r="W38" s="2177" t="s">
        <v>2059</v>
      </c>
      <c r="X38" s="2178"/>
      <c r="Y38" s="2177" t="s">
        <v>495</v>
      </c>
      <c r="Z38" s="2184"/>
      <c r="AA38" s="2178"/>
      <c r="AB38" s="2193"/>
      <c r="AC38" s="1506" t="s">
        <v>2058</v>
      </c>
      <c r="AD38" s="2177" t="s">
        <v>2059</v>
      </c>
      <c r="AE38" s="2178"/>
      <c r="AF38" s="2177" t="s">
        <v>495</v>
      </c>
      <c r="AG38" s="2184"/>
      <c r="AH38" s="2178"/>
      <c r="AI38" s="2193"/>
      <c r="AJ38" s="2196"/>
      <c r="AK38" s="1948"/>
    </row>
    <row customHeight="1" ht="86.2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506" t="s">
        <v>2060</v>
      </c>
      <c r="W39" s="1230" t="s">
        <v>2061</v>
      </c>
      <c r="X39" s="1230" t="s">
        <v>2062</v>
      </c>
      <c r="Y39" s="1512" t="s">
        <v>505</v>
      </c>
      <c r="Z39" s="2185" t="s">
        <v>506</v>
      </c>
      <c r="AA39" s="2186"/>
      <c r="AB39" s="2194"/>
      <c r="AC39" s="1506" t="s">
        <v>2060</v>
      </c>
      <c r="AD39" s="1230" t="s">
        <v>2061</v>
      </c>
      <c r="AE39" s="1230" t="s">
        <v>2062</v>
      </c>
      <c r="AF39" s="1512" t="s">
        <v>505</v>
      </c>
      <c r="AG39" s="2185" t="s">
        <v>506</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241</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241</v>
      </c>
      <c r="B42" s="1386" t="s">
        <v>242</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241</v>
      </c>
      <c r="B43" s="1386" t="s">
        <v>242</v>
      </c>
      <c r="C43" s="1386" t="s">
        <v>243</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2056</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2057</v>
      </c>
      <c r="AM43" s="498"/>
      <c r="AN43" s="498" t="str">
        <f>IF(T43="","",T43)</f>
        <v>Наименование централизованной системы горячего водоснабжения</v>
      </c>
      <c r="AO43" s="498"/>
      <c r="AP43" s="498"/>
    </row>
    <row customHeight="1" ht="23.25">
      <c r="A44" s="1386" t="s">
        <v>241</v>
      </c>
      <c r="B44" s="1386" t="s">
        <v>242</v>
      </c>
      <c r="C44" s="1386" t="s">
        <v>243</v>
      </c>
      <c r="D44" s="1386" t="s">
        <v>2063</v>
      </c>
      <c r="E44" s="2174"/>
      <c r="F44" s="2174"/>
      <c r="G44" s="2174"/>
      <c r="H44" s="2174"/>
      <c r="I44" s="2171" t="str">
        <f>S43&amp;".1"</f>
        <v>...1</v>
      </c>
      <c r="J44" s="1386"/>
      <c r="K44" s="1386"/>
      <c r="L44" s="1387"/>
      <c r="P44" s="2172">
        <v>1</v>
      </c>
      <c r="Q44" s="1504"/>
      <c r="R44" s="344"/>
      <c r="S44" s="1516"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241</v>
      </c>
      <c r="B45" s="1386" t="s">
        <v>242</v>
      </c>
      <c r="C45" s="1386" t="s">
        <v>243</v>
      </c>
      <c r="D45" s="1386" t="s">
        <v>2063</v>
      </c>
      <c r="E45" s="2174"/>
      <c r="F45" s="2174"/>
      <c r="G45" s="2174"/>
      <c r="H45" s="2174"/>
      <c r="I45" s="2201"/>
      <c r="J45" s="2171" t="str">
        <f>I44&amp;".1"</f>
        <v>...1.1</v>
      </c>
      <c r="K45" s="1386"/>
      <c r="L45" s="1387" t="s">
        <v>468</v>
      </c>
      <c r="P45" s="2172"/>
      <c r="Q45" s="2172">
        <v>1</v>
      </c>
      <c r="R45" s="345"/>
      <c r="S45" s="1516"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241</v>
      </c>
      <c r="B46" s="1386" t="s">
        <v>242</v>
      </c>
      <c r="C46" s="1386" t="s">
        <v>243</v>
      </c>
      <c r="D46" s="1386" t="s">
        <v>2063</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58</v>
      </c>
      <c r="AA46" s="2182"/>
      <c r="AB46" s="2183" t="s">
        <v>58</v>
      </c>
      <c r="AC46" s="749"/>
      <c r="AD46" s="749"/>
      <c r="AE46" s="1278"/>
      <c r="AF46" s="2180"/>
      <c r="AG46" s="1928" t="s">
        <v>58</v>
      </c>
      <c r="AH46" s="2202"/>
      <c r="AI46" s="1928" t="s">
        <v>56</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241</v>
      </c>
      <c r="B47" s="1386" t="s">
        <v>242</v>
      </c>
      <c r="C47" s="1386" t="s">
        <v>243</v>
      </c>
      <c r="D47" s="1386" t="s">
        <v>2063</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241</v>
      </c>
      <c r="B48" s="1386" t="s">
        <v>242</v>
      </c>
      <c r="C48" s="1386" t="s">
        <v>243</v>
      </c>
      <c r="D48" s="1386" t="s">
        <v>2063</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241</v>
      </c>
      <c r="B49" s="1386" t="s">
        <v>242</v>
      </c>
      <c r="C49" s="1386" t="s">
        <v>243</v>
      </c>
      <c r="D49" s="1386" t="s">
        <v>2063</v>
      </c>
      <c r="E49" s="2174"/>
      <c r="F49" s="2174"/>
      <c r="G49" s="2174"/>
      <c r="H49" s="2174"/>
      <c r="I49" s="2171"/>
      <c r="J49" s="1386"/>
      <c r="K49" s="1386"/>
      <c r="L49" s="1387"/>
      <c r="P49" s="2172"/>
      <c r="Q49" s="1504"/>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241</v>
      </c>
      <c r="B50" s="1386" t="s">
        <v>242</v>
      </c>
      <c r="C50" s="1386" t="s">
        <v>243</v>
      </c>
      <c r="D50" s="1386" t="s">
        <v>2063</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241</v>
      </c>
      <c r="B51" s="1366" t="s">
        <v>242</v>
      </c>
      <c r="C51" s="1337"/>
      <c r="D51" s="1337"/>
      <c r="E51" s="2174"/>
      <c r="F51" s="2173"/>
      <c r="G51" s="1337"/>
      <c r="H51" s="1337"/>
      <c r="I51" s="1337"/>
      <c r="J51" s="1337"/>
      <c r="K51" s="1337"/>
      <c r="L51" s="1517"/>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241</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2064</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2065</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993888-B004-954C-2052-4EDFA46FB93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9" width="11.57421875" hidden="1" customWidth="1"/>
    <col min="2" max="2" style="1389" width="11.00390625" hidden="1" customWidth="1"/>
    <col min="3" max="3" style="1389" width="10.57421875" hidden="1"/>
    <col min="4" max="4" style="1389" width="12.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5" style="1666" width="21.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2" style="1666" width="3.7109375" customWidth="1"/>
    <col min="33" max="33" style="1666" width="24.7109375" customWidth="1"/>
    <col min="34" max="36" style="1666" width="3.7109375" customWidth="1"/>
    <col min="37" max="37" style="1666" width="24.7109375" customWidth="1"/>
    <col min="38" max="40" style="1666" width="3.7109375" customWidth="1"/>
    <col min="41" max="41" style="1666" width="18.8515625" customWidth="1"/>
    <col min="42" max="44" style="1666" width="3.7109375" customWidth="1"/>
    <col min="45" max="45" style="1666" width="18.8515625" customWidth="1"/>
    <col min="46" max="49" style="1666" width="21.7109375" customWidth="1"/>
    <col min="50" max="50" style="1666" width="11.7109375" customWidth="1"/>
    <col min="51" max="51" style="1666" width="3.7109375" customWidth="1"/>
    <col min="52" max="52" style="1666" width="11.7109375" customWidth="1"/>
    <col min="53" max="53" style="1666" width="8.57421875" hidden="1" customWidth="1"/>
    <col min="54" max="54" style="1666" width="4.7109375" customWidth="1"/>
    <col min="55" max="55" style="1666" width="115.7109375" customWidth="1"/>
    <col min="56" max="57" style="1673" width="10.57421875"/>
    <col min="58" max="58" style="1673" width="11.140625" customWidth="1"/>
    <col min="59" max="60" style="1673" width="10.57421875"/>
  </cols>
  <sheetData>
    <row customHeight="1" ht="14.25" hidden="1">
      <c r="W1" s="315"/>
      <c r="Y1" s="315"/>
      <c r="Z1" s="315"/>
      <c r="AW1" s="315"/>
      <c r="AX1" s="315"/>
    </row>
    <row customHeight="1" ht="21" hidden="1">
      <c r="A2" s="1386"/>
      <c r="B2" s="1386"/>
      <c r="C2" s="1386"/>
      <c r="D2" s="1386"/>
      <c r="E2" s="2173">
        <v>1</v>
      </c>
      <c r="F2" s="1386"/>
      <c r="G2" s="1386"/>
      <c r="H2" s="1386"/>
      <c r="I2" s="1386"/>
      <c r="J2" s="1386"/>
      <c r="K2" s="1386"/>
      <c r="L2" s="1387"/>
      <c r="M2" s="1388"/>
      <c r="N2" s="1388"/>
      <c r="O2" s="1388"/>
      <c r="P2" s="1432"/>
      <c r="Q2" s="871"/>
      <c r="R2" s="343"/>
      <c r="S2" s="1516">
        <f>INDEX(PT_DIFFERENTIATION_NUM_NTAR,MATCH(A2,PT_DIFFERENTIATION_NTAR_ID,0))</f>
      </c>
      <c r="T2" s="278" t="s">
        <v>127</v>
      </c>
      <c r="U2" s="280"/>
      <c r="V2" s="2158"/>
      <c r="W2" s="2158"/>
      <c r="X2" s="2158"/>
      <c r="Y2" s="2158"/>
      <c r="Z2" s="2158"/>
      <c r="AA2" s="2158"/>
      <c r="AB2" s="2158"/>
      <c r="AC2" s="2159"/>
      <c r="AD2" s="2157">
        <f>INDEX(PT_DIFFERENTIATION_NTAR,MATCH(A2,PT_DIFFERENTIATION_NTAR_ID,0))</f>
      </c>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9"/>
      <c r="BC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8"/>
      <c r="BF2" s="498" t="str">
        <f>IF(T2="","",T2)</f>
        <v>Наименование тарифа</v>
      </c>
      <c r="BG2" s="498"/>
      <c r="BH2" s="498"/>
    </row>
    <row customHeight="1" ht="21" hidden="1">
      <c r="A3" s="1386"/>
      <c r="B3" s="1386"/>
      <c r="C3" s="1386"/>
      <c r="D3" s="1386"/>
      <c r="E3" s="2174"/>
      <c r="F3" s="2173">
        <v>1</v>
      </c>
      <c r="G3" s="1386"/>
      <c r="H3" s="1386"/>
      <c r="I3" s="1386"/>
      <c r="J3" s="1386"/>
      <c r="K3" s="1386"/>
      <c r="L3" s="1387"/>
      <c r="M3" s="1388"/>
      <c r="N3" s="1388"/>
      <c r="O3" s="1388"/>
      <c r="P3" s="1433"/>
      <c r="Q3" s="1434"/>
      <c r="R3" s="341"/>
      <c r="S3" s="1516">
        <f>INDEX(PT_DIFFERENTIATION_NUM_TER,MATCH(B3,PT_DIFFERENTIATION_TER_ID,0))</f>
      </c>
      <c r="T3" s="290" t="s">
        <v>459</v>
      </c>
      <c r="U3" s="280"/>
      <c r="V3" s="2158"/>
      <c r="W3" s="2158"/>
      <c r="X3" s="2158"/>
      <c r="Y3" s="2158"/>
      <c r="Z3" s="2158"/>
      <c r="AA3" s="2158"/>
      <c r="AB3" s="2158"/>
      <c r="AC3" s="2159"/>
      <c r="AD3" s="2157">
        <f>INDEX(PT_DIFFERENTIATION_TER,MATCH(B3,PT_DIFFERENTIATION_TER_ID,0))</f>
      </c>
      <c r="AE3" s="2158"/>
      <c r="AF3" s="2158"/>
      <c r="AG3" s="2158"/>
      <c r="AH3" s="2158"/>
      <c r="AI3" s="2158"/>
      <c r="AJ3" s="2158"/>
      <c r="AK3" s="2158"/>
      <c r="AL3" s="2158"/>
      <c r="AM3" s="2158"/>
      <c r="AN3" s="2158"/>
      <c r="AO3" s="2158"/>
      <c r="AP3" s="2158"/>
      <c r="AQ3" s="2158"/>
      <c r="AR3" s="2158"/>
      <c r="AS3" s="2158"/>
      <c r="AT3" s="2158"/>
      <c r="AU3" s="2158"/>
      <c r="AV3" s="2158"/>
      <c r="AW3" s="2158"/>
      <c r="AX3" s="2158"/>
      <c r="AY3" s="2158"/>
      <c r="AZ3" s="2158"/>
      <c r="BA3" s="2158"/>
      <c r="BB3" s="2159"/>
      <c r="BC3" s="1279" t="s">
        <v>460</v>
      </c>
      <c r="BE3" s="498"/>
      <c r="BF3" s="498" t="str">
        <f>IF(T3="","",T3)</f>
        <v>Территория действия тарифа</v>
      </c>
      <c r="BG3" s="498"/>
      <c r="BH3" s="498"/>
    </row>
    <row customHeight="1" ht="33.75" hidden="1">
      <c r="A4" s="1386"/>
      <c r="B4" s="1386"/>
      <c r="C4" s="1386"/>
      <c r="D4" s="1386"/>
      <c r="E4" s="2174"/>
      <c r="F4" s="2174"/>
      <c r="G4" s="2173">
        <v>1</v>
      </c>
      <c r="H4" s="1386"/>
      <c r="I4" s="1386"/>
      <c r="J4" s="1386"/>
      <c r="K4" s="1386"/>
      <c r="L4" s="1387"/>
      <c r="M4" s="1388"/>
      <c r="N4" s="1388"/>
      <c r="O4" s="1388"/>
      <c r="P4" s="1435"/>
      <c r="Q4" s="1434"/>
      <c r="R4" s="341"/>
      <c r="S4" s="1516">
        <f>INDEX(PT_DIFFERENTIATION_NUM_CS,MATCH(C4,PT_DIFFERENTIATION_CS_ID,0))</f>
      </c>
      <c r="T4" s="291" t="s">
        <v>2056</v>
      </c>
      <c r="U4" s="280"/>
      <c r="V4" s="2158"/>
      <c r="W4" s="2158"/>
      <c r="X4" s="2158"/>
      <c r="Y4" s="2158"/>
      <c r="Z4" s="2158"/>
      <c r="AA4" s="2158"/>
      <c r="AB4" s="2158"/>
      <c r="AC4" s="2159"/>
      <c r="AD4" s="2157">
        <f>INDEX(PT_DIFFERENTIATION_CS,MATCH(C4,PT_DIFFERENTIATION_CS_ID,0))</f>
      </c>
      <c r="AE4" s="2158"/>
      <c r="AF4" s="2158"/>
      <c r="AG4" s="2158"/>
      <c r="AH4" s="2158"/>
      <c r="AI4" s="2158"/>
      <c r="AJ4" s="2158"/>
      <c r="AK4" s="2158"/>
      <c r="AL4" s="2158"/>
      <c r="AM4" s="2158"/>
      <c r="AN4" s="2158"/>
      <c r="AO4" s="2158"/>
      <c r="AP4" s="2158"/>
      <c r="AQ4" s="2158"/>
      <c r="AR4" s="2158"/>
      <c r="AS4" s="2158"/>
      <c r="AT4" s="2158"/>
      <c r="AU4" s="2158"/>
      <c r="AV4" s="2158"/>
      <c r="AW4" s="2158"/>
      <c r="AX4" s="2158"/>
      <c r="AY4" s="2158"/>
      <c r="AZ4" s="2158"/>
      <c r="BA4" s="2158"/>
      <c r="BB4" s="2159"/>
      <c r="BC4" s="1279" t="s">
        <v>2057</v>
      </c>
      <c r="BE4" s="498"/>
      <c r="BF4" s="498" t="str">
        <f>IF(T4="","",T4)</f>
        <v>Наименование централизованной системы горячего водоснабжения</v>
      </c>
      <c r="BG4" s="498"/>
      <c r="BH4" s="498"/>
    </row>
    <row s="1673" customFormat="1" customHeight="1" ht="14.25" hidden="1">
      <c r="A5" s="1366"/>
      <c r="B5" s="1366"/>
      <c r="C5" s="1366"/>
      <c r="D5" s="1366"/>
      <c r="E5" s="2174"/>
      <c r="F5" s="2174"/>
      <c r="G5" s="2174"/>
      <c r="H5" s="2173">
        <v>1</v>
      </c>
      <c r="I5" s="1366"/>
      <c r="J5" s="1366"/>
      <c r="K5" s="1366"/>
      <c r="L5" s="1369"/>
      <c r="M5" s="1338"/>
      <c r="N5" s="1338"/>
      <c r="O5" s="1338"/>
      <c r="P5" s="1520"/>
      <c r="Q5" s="1521"/>
      <c r="R5" s="345"/>
      <c r="S5" s="1043"/>
      <c r="T5" s="1522"/>
      <c r="U5" s="1407"/>
      <c r="V5" s="2210"/>
      <c r="W5" s="2210"/>
      <c r="X5" s="2210"/>
      <c r="Y5" s="2210"/>
      <c r="Z5" s="2210"/>
      <c r="AA5" s="2210"/>
      <c r="AB5" s="2210"/>
      <c r="AC5" s="2211"/>
      <c r="AD5" s="2209"/>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1"/>
      <c r="BC5" s="1408" t="s">
        <v>464</v>
      </c>
      <c r="BE5" s="498"/>
      <c r="BF5" s="498" t="str">
        <f>IF(T5="","",T5)</f>
        <v/>
      </c>
      <c r="BG5" s="498"/>
      <c r="BH5" s="498"/>
    </row>
    <row s="1673" customFormat="1" customHeight="1" ht="14.25" hidden="1">
      <c r="A6" s="1366"/>
      <c r="B6" s="1366"/>
      <c r="C6" s="1366"/>
      <c r="D6" s="1366"/>
      <c r="E6" s="2174"/>
      <c r="F6" s="2174"/>
      <c r="G6" s="2174"/>
      <c r="H6" s="2174"/>
      <c r="I6" s="2171" t="str">
        <f>S5&amp;".1"</f>
        <v>.1</v>
      </c>
      <c r="J6" s="1366"/>
      <c r="K6" s="1366"/>
      <c r="L6" s="1369" t="s">
        <v>465</v>
      </c>
      <c r="M6" s="508"/>
      <c r="N6" s="508"/>
      <c r="O6" s="508"/>
      <c r="P6" s="2172">
        <v>1</v>
      </c>
      <c r="Q6" s="1504"/>
      <c r="R6" s="344"/>
      <c r="S6" s="1043"/>
      <c r="T6" s="1406"/>
      <c r="U6" s="1407"/>
      <c r="V6" s="2210"/>
      <c r="W6" s="2210"/>
      <c r="X6" s="2210"/>
      <c r="Y6" s="2210"/>
      <c r="Z6" s="2210"/>
      <c r="AA6" s="2210"/>
      <c r="AB6" s="2210"/>
      <c r="AC6" s="2211"/>
      <c r="AD6" s="2209"/>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1"/>
      <c r="BC6" s="1408"/>
      <c r="BE6" s="498"/>
      <c r="BF6" s="498" t="str">
        <f>IF(T6="","",T6)</f>
        <v/>
      </c>
      <c r="BG6" s="498"/>
      <c r="BH6" s="498"/>
    </row>
    <row s="1673" customFormat="1" customHeight="1" ht="14.25" hidden="1">
      <c r="A7" s="1366"/>
      <c r="B7" s="1366"/>
      <c r="C7" s="1366"/>
      <c r="D7" s="1366"/>
      <c r="E7" s="2174"/>
      <c r="F7" s="2174"/>
      <c r="G7" s="2174"/>
      <c r="H7" s="2174"/>
      <c r="I7" s="2201"/>
      <c r="J7" s="2171" t="str">
        <f>S5&amp;".1"</f>
        <v>.1</v>
      </c>
      <c r="K7" s="1366"/>
      <c r="L7" s="1369"/>
      <c r="M7" s="508"/>
      <c r="N7" s="508"/>
      <c r="O7" s="508"/>
      <c r="P7" s="2172"/>
      <c r="Q7" s="2172">
        <v>1</v>
      </c>
      <c r="R7" s="345"/>
      <c r="S7" s="1043"/>
      <c r="T7" s="1422"/>
      <c r="U7" s="1407"/>
      <c r="V7" s="2210"/>
      <c r="W7" s="2210"/>
      <c r="X7" s="2210"/>
      <c r="Y7" s="2210"/>
      <c r="Z7" s="2210"/>
      <c r="AA7" s="2210"/>
      <c r="AB7" s="2210"/>
      <c r="AC7" s="2211"/>
      <c r="AD7" s="2209"/>
      <c r="AE7" s="2210"/>
      <c r="AF7" s="2210"/>
      <c r="AG7" s="2210"/>
      <c r="AH7" s="2210"/>
      <c r="AI7" s="2210"/>
      <c r="AJ7" s="2210"/>
      <c r="AK7" s="2210"/>
      <c r="AL7" s="2210"/>
      <c r="AM7" s="2210"/>
      <c r="AN7" s="2210"/>
      <c r="AO7" s="2210"/>
      <c r="AP7" s="2210"/>
      <c r="AQ7" s="2210"/>
      <c r="AR7" s="2210"/>
      <c r="AS7" s="2210"/>
      <c r="AT7" s="2210"/>
      <c r="AU7" s="2210"/>
      <c r="AV7" s="2210"/>
      <c r="AW7" s="2210"/>
      <c r="AX7" s="2210"/>
      <c r="AY7" s="2210"/>
      <c r="AZ7" s="2210"/>
      <c r="BA7" s="2210"/>
      <c r="BB7" s="2211"/>
      <c r="BC7" s="1408"/>
      <c r="BE7" s="498"/>
      <c r="BF7" s="498" t="str">
        <f>IF(T7="","",T7)</f>
        <v/>
      </c>
      <c r="BG7" s="498"/>
      <c r="BH7" s="498"/>
    </row>
    <row customHeight="1" ht="11.25" hidden="1">
      <c r="A8" s="1386"/>
      <c r="B8" s="1386"/>
      <c r="C8" s="1386"/>
      <c r="D8" s="1386"/>
      <c r="E8" s="2174"/>
      <c r="F8" s="2174"/>
      <c r="G8" s="2174"/>
      <c r="H8" s="2174"/>
      <c r="I8" s="2201"/>
      <c r="J8" s="2201"/>
      <c r="K8" s="2171">
        <f>S4&amp;".1"</f>
      </c>
      <c r="L8" s="1387"/>
      <c r="P8" s="2172"/>
      <c r="Q8" s="2172"/>
      <c r="R8" s="2253">
        <v>1</v>
      </c>
      <c r="S8" s="2247">
        <f>$K8</f>
      </c>
      <c r="T8" s="2313"/>
      <c r="U8" s="280"/>
      <c r="V8" s="749"/>
      <c r="W8" s="1278"/>
      <c r="X8" s="749"/>
      <c r="Y8" s="1278"/>
      <c r="Z8" s="1764"/>
      <c r="AA8" s="1492" t="s">
        <v>58</v>
      </c>
      <c r="AB8" s="1764"/>
      <c r="AC8" s="1492" t="s">
        <v>58</v>
      </c>
      <c r="AD8" s="2004" t="s">
        <v>58</v>
      </c>
      <c r="AE8" s="2233"/>
      <c r="AF8" s="2024">
        <v>1</v>
      </c>
      <c r="AG8" s="2317"/>
      <c r="AH8" s="1928" t="s">
        <v>58</v>
      </c>
      <c r="AI8" s="2233"/>
      <c r="AJ8" s="2024">
        <v>1</v>
      </c>
      <c r="AK8" s="2316" t="s">
        <v>18</v>
      </c>
      <c r="AL8" s="1928" t="s">
        <v>58</v>
      </c>
      <c r="AM8" s="2011"/>
      <c r="AN8" s="2024">
        <v>1</v>
      </c>
      <c r="AO8" s="2310"/>
      <c r="AP8" s="2311" t="s">
        <v>58</v>
      </c>
      <c r="AQ8" s="293"/>
      <c r="AR8" s="1509">
        <v>1</v>
      </c>
      <c r="AS8" s="1515" t="s">
        <v>18</v>
      </c>
      <c r="AT8" s="749"/>
      <c r="AU8" s="1278"/>
      <c r="AV8" s="749"/>
      <c r="AW8" s="1278"/>
      <c r="AX8" s="1764"/>
      <c r="AY8" s="1492" t="s">
        <v>58</v>
      </c>
      <c r="AZ8" s="1764"/>
      <c r="BA8" s="1492" t="s">
        <v>58</v>
      </c>
      <c r="BB8" s="1371"/>
      <c r="BC8" s="2168" t="s">
        <v>1695</v>
      </c>
      <c r="BE8" s="498"/>
      <c r="BF8" s="498" t="str">
        <f>IF(T8="","",T8)</f>
        <v/>
      </c>
      <c r="BG8" s="498"/>
      <c r="BH8" s="498"/>
    </row>
    <row customHeight="1" ht="11.25" hidden="1">
      <c r="A9" s="1386"/>
      <c r="B9" s="1386"/>
      <c r="C9" s="1386"/>
      <c r="D9" s="1386"/>
      <c r="E9" s="2174"/>
      <c r="F9" s="2174"/>
      <c r="G9" s="2174"/>
      <c r="H9" s="2174"/>
      <c r="I9" s="2201"/>
      <c r="J9" s="2201"/>
      <c r="K9" s="2171"/>
      <c r="L9" s="1387"/>
      <c r="P9" s="2172"/>
      <c r="Q9" s="2172"/>
      <c r="R9" s="2253"/>
      <c r="S9" s="2248"/>
      <c r="T9" s="2314"/>
      <c r="U9" s="280"/>
      <c r="V9" s="1416"/>
      <c r="W9" s="1519"/>
      <c r="X9" s="1416"/>
      <c r="Y9" s="1519"/>
      <c r="Z9" s="1416"/>
      <c r="AA9" s="1416"/>
      <c r="AB9" s="1416"/>
      <c r="AC9" s="1416"/>
      <c r="AD9" s="2005"/>
      <c r="AE9" s="2233"/>
      <c r="AF9" s="2024"/>
      <c r="AG9" s="2317"/>
      <c r="AH9" s="1928"/>
      <c r="AI9" s="2233"/>
      <c r="AJ9" s="2024"/>
      <c r="AK9" s="2316"/>
      <c r="AL9" s="1928"/>
      <c r="AM9" s="2019"/>
      <c r="AN9" s="2024"/>
      <c r="AO9" s="2310"/>
      <c r="AP9" s="2312"/>
      <c r="AQ9" s="300"/>
      <c r="AR9" s="414"/>
      <c r="AS9" s="414" t="s">
        <v>1696</v>
      </c>
      <c r="AT9" s="1416"/>
      <c r="AU9" s="1519"/>
      <c r="AV9" s="1416"/>
      <c r="AW9" s="1519"/>
      <c r="AX9" s="1416"/>
      <c r="AY9" s="1416"/>
      <c r="AZ9" s="1416"/>
      <c r="BA9" s="1416"/>
      <c r="BB9" s="1420"/>
      <c r="BC9" s="2169"/>
      <c r="BE9" s="498"/>
      <c r="BF9" s="498"/>
      <c r="BG9" s="498"/>
      <c r="BH9" s="498"/>
    </row>
    <row customHeight="1" ht="11.25" hidden="1">
      <c r="A10" s="1386"/>
      <c r="B10" s="1386"/>
      <c r="C10" s="1386"/>
      <c r="D10" s="1386"/>
      <c r="E10" s="2174"/>
      <c r="F10" s="2174"/>
      <c r="G10" s="2174"/>
      <c r="H10" s="2174"/>
      <c r="I10" s="2201"/>
      <c r="J10" s="2201"/>
      <c r="K10" s="2171"/>
      <c r="L10" s="1387"/>
      <c r="P10" s="2172"/>
      <c r="Q10" s="2172"/>
      <c r="R10" s="2253"/>
      <c r="S10" s="2248"/>
      <c r="T10" s="2314"/>
      <c r="U10" s="280"/>
      <c r="V10" s="1416"/>
      <c r="W10" s="1519"/>
      <c r="X10" s="1416"/>
      <c r="Y10" s="1519"/>
      <c r="Z10" s="1416"/>
      <c r="AA10" s="1416"/>
      <c r="AB10" s="1416"/>
      <c r="AC10" s="1416"/>
      <c r="AD10" s="2005"/>
      <c r="AE10" s="2233"/>
      <c r="AF10" s="2024"/>
      <c r="AG10" s="2317"/>
      <c r="AH10" s="1928"/>
      <c r="AI10" s="2233"/>
      <c r="AJ10" s="2024"/>
      <c r="AK10" s="2316"/>
      <c r="AL10" s="1928"/>
      <c r="AM10" s="300"/>
      <c r="AN10" s="1523"/>
      <c r="AO10" s="1523" t="s">
        <v>1697</v>
      </c>
      <c r="AP10" s="414"/>
      <c r="AQ10" s="414"/>
      <c r="AR10" s="414"/>
      <c r="AS10" s="1416"/>
      <c r="AT10" s="1416"/>
      <c r="AU10" s="1519"/>
      <c r="AV10" s="1416"/>
      <c r="AW10" s="1519"/>
      <c r="AX10" s="1416"/>
      <c r="AY10" s="1416"/>
      <c r="AZ10" s="1416"/>
      <c r="BA10" s="1416"/>
      <c r="BB10" s="1420"/>
      <c r="BC10" s="2169"/>
      <c r="BE10" s="498"/>
      <c r="BF10" s="498"/>
      <c r="BG10" s="498"/>
      <c r="BH10" s="498"/>
    </row>
    <row customHeight="1" ht="11.25" hidden="1">
      <c r="A11" s="1386"/>
      <c r="B11" s="1386"/>
      <c r="C11" s="1386"/>
      <c r="D11" s="1386"/>
      <c r="E11" s="2174"/>
      <c r="F11" s="2174"/>
      <c r="G11" s="2174"/>
      <c r="H11" s="2174"/>
      <c r="I11" s="2201"/>
      <c r="J11" s="2201"/>
      <c r="K11" s="2171"/>
      <c r="L11" s="1387"/>
      <c r="P11" s="2172"/>
      <c r="Q11" s="2172"/>
      <c r="R11" s="2253"/>
      <c r="S11" s="2248"/>
      <c r="T11" s="2314"/>
      <c r="U11" s="280"/>
      <c r="V11" s="1416"/>
      <c r="W11" s="1519"/>
      <c r="X11" s="1416"/>
      <c r="Y11" s="1519"/>
      <c r="Z11" s="1416"/>
      <c r="AA11" s="1416"/>
      <c r="AB11" s="1416"/>
      <c r="AC11" s="1416"/>
      <c r="AD11" s="2005"/>
      <c r="AE11" s="2233"/>
      <c r="AF11" s="2024"/>
      <c r="AG11" s="2317"/>
      <c r="AH11" s="1928"/>
      <c r="AI11" s="274"/>
      <c r="AJ11" s="413"/>
      <c r="AK11" s="295" t="s">
        <v>1698</v>
      </c>
      <c r="AL11" s="1416"/>
      <c r="AM11" s="1416"/>
      <c r="AN11" s="1416"/>
      <c r="AO11" s="1416"/>
      <c r="AP11" s="1416"/>
      <c r="AQ11" s="1416"/>
      <c r="AR11" s="1416"/>
      <c r="AS11" s="1416"/>
      <c r="AT11" s="1416"/>
      <c r="AU11" s="1519"/>
      <c r="AV11" s="1416"/>
      <c r="AW11" s="1519"/>
      <c r="AX11" s="1416"/>
      <c r="AY11" s="1416"/>
      <c r="AZ11" s="1416"/>
      <c r="BA11" s="1416"/>
      <c r="BB11" s="1420"/>
      <c r="BC11" s="2169"/>
      <c r="BE11" s="498"/>
      <c r="BF11" s="498"/>
      <c r="BG11" s="498"/>
      <c r="BH11" s="498"/>
    </row>
    <row customHeight="1" ht="11.25" hidden="1">
      <c r="A12" s="1386"/>
      <c r="B12" s="1386"/>
      <c r="C12" s="1386"/>
      <c r="D12" s="1386"/>
      <c r="E12" s="2174"/>
      <c r="F12" s="2174"/>
      <c r="G12" s="2174"/>
      <c r="H12" s="2174"/>
      <c r="I12" s="2201"/>
      <c r="J12" s="2201"/>
      <c r="K12" s="2171"/>
      <c r="L12" s="1387"/>
      <c r="P12" s="2172"/>
      <c r="Q12" s="2172"/>
      <c r="R12" s="2253"/>
      <c r="S12" s="2249"/>
      <c r="T12" s="2315"/>
      <c r="U12" s="280"/>
      <c r="V12" s="1416"/>
      <c r="W12" s="1417" t="str">
        <f>Z8&amp;"-"&amp;AB8</f>
        <v>-</v>
      </c>
      <c r="X12" s="1416"/>
      <c r="Y12" s="1417" t="str">
        <f>AB8&amp;"-"&amp;AD8</f>
        <v>-да</v>
      </c>
      <c r="Z12" s="1416"/>
      <c r="AA12" s="1416"/>
      <c r="AB12" s="1416"/>
      <c r="AC12" s="1416"/>
      <c r="AD12" s="1933"/>
      <c r="AE12" s="294"/>
      <c r="AF12" s="296"/>
      <c r="AG12" s="414" t="s">
        <v>1699</v>
      </c>
      <c r="AH12" s="1416"/>
      <c r="AI12" s="1416"/>
      <c r="AJ12" s="1416"/>
      <c r="AK12" s="1416"/>
      <c r="AL12" s="1416"/>
      <c r="AM12" s="1416"/>
      <c r="AN12" s="1416"/>
      <c r="AO12" s="1416"/>
      <c r="AP12" s="1416"/>
      <c r="AQ12" s="1416"/>
      <c r="AR12" s="1416"/>
      <c r="AS12" s="1416"/>
      <c r="AT12" s="1416"/>
      <c r="AU12" s="1417" t="str">
        <f>AX8&amp;"-"&amp;AZ8</f>
        <v>-</v>
      </c>
      <c r="AV12" s="1416"/>
      <c r="AW12" s="1417" t="str">
        <f>AZ8&amp;"-"&amp;BB8</f>
        <v>-</v>
      </c>
      <c r="AX12" s="1416"/>
      <c r="AY12" s="1416"/>
      <c r="AZ12" s="1416"/>
      <c r="BA12" s="1416"/>
      <c r="BB12" s="1419" t="str">
        <f>BE8&amp;"-"&amp;BG8</f>
        <v>-</v>
      </c>
      <c r="BC12" s="2169"/>
      <c r="BE12" s="498"/>
      <c r="BF12" s="498" t="str">
        <f>IF(T12="","",T12)</f>
        <v/>
      </c>
      <c r="BG12" s="498"/>
      <c r="BH12" s="498"/>
    </row>
    <row customHeight="1" ht="11.25" hidden="1">
      <c r="A13" s="1386"/>
      <c r="B13" s="1386"/>
      <c r="C13" s="1386"/>
      <c r="D13" s="1386"/>
      <c r="E13" s="2174"/>
      <c r="F13" s="2174"/>
      <c r="G13" s="2174"/>
      <c r="H13" s="2174"/>
      <c r="I13" s="2201"/>
      <c r="J13" s="2171"/>
      <c r="K13" s="1386"/>
      <c r="L13" s="1387"/>
      <c r="P13" s="2172"/>
      <c r="Q13" s="2172"/>
      <c r="R13" s="344"/>
      <c r="S13" s="1301"/>
      <c r="T13" s="268" t="s">
        <v>539</v>
      </c>
      <c r="U13" s="359"/>
      <c r="V13" s="359"/>
      <c r="W13" s="359"/>
      <c r="X13" s="359"/>
      <c r="Y13" s="359"/>
      <c r="Z13" s="359"/>
      <c r="AA13" s="359"/>
      <c r="AB13" s="359"/>
      <c r="AC13" s="359"/>
      <c r="AD13" s="1528"/>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70"/>
      <c r="BE13" s="498"/>
      <c r="BF13" s="498" t="str">
        <f>IF(T13="","",T13)</f>
        <v>Добавить строку</v>
      </c>
      <c r="BG13" s="498"/>
      <c r="BH13" s="498"/>
    </row>
    <row s="1673" customFormat="1" customHeight="1" ht="14.25" hidden="1">
      <c r="A14" s="1366"/>
      <c r="B14" s="1366"/>
      <c r="C14" s="1366"/>
      <c r="D14" s="1366"/>
      <c r="E14" s="2174"/>
      <c r="F14" s="2174"/>
      <c r="G14" s="2174"/>
      <c r="H14" s="2174"/>
      <c r="I14" s="2171"/>
      <c r="J14" s="1366"/>
      <c r="K14" s="1366"/>
      <c r="L14" s="1369"/>
      <c r="M14" s="508"/>
      <c r="N14" s="508"/>
      <c r="O14" s="508"/>
      <c r="P14" s="2172"/>
      <c r="Q14" s="1504"/>
      <c r="R14" s="34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1"/>
      <c r="AV14" s="1411"/>
      <c r="AW14" s="1411"/>
      <c r="AX14" s="1411"/>
      <c r="AY14" s="1411"/>
      <c r="AZ14" s="1411"/>
      <c r="BA14" s="1411"/>
      <c r="BB14" s="1411"/>
      <c r="BC14" s="1412"/>
      <c r="BE14" s="498"/>
      <c r="BF14" s="498" t="str">
        <f>IF(T14="","",T14)</f>
        <v/>
      </c>
      <c r="BG14" s="498"/>
      <c r="BH14" s="498"/>
    </row>
    <row s="1673" customFormat="1" customHeight="1" ht="14.25" hidden="1">
      <c r="A15" s="1366"/>
      <c r="B15" s="1366"/>
      <c r="C15" s="1366"/>
      <c r="D15" s="1366"/>
      <c r="E15" s="2174"/>
      <c r="F15" s="2174"/>
      <c r="G15" s="2174"/>
      <c r="H15" s="2173"/>
      <c r="I15" s="1366"/>
      <c r="J15" s="1366"/>
      <c r="K15" s="1366"/>
      <c r="L15" s="1369"/>
      <c r="M15" s="1338"/>
      <c r="N15" s="1338"/>
      <c r="O15" s="516"/>
      <c r="P15" s="376"/>
      <c r="Q15" s="1367"/>
      <c r="R15" s="1424"/>
      <c r="S15" s="1409"/>
      <c r="T15" s="1410"/>
      <c r="U15" s="1411"/>
      <c r="V15" s="1411"/>
      <c r="W15" s="1411"/>
      <c r="X15" s="1411"/>
      <c r="Y15" s="1411"/>
      <c r="Z15" s="1411"/>
      <c r="AA15" s="1411"/>
      <c r="AB15" s="1411"/>
      <c r="AC15" s="1411"/>
      <c r="AD15" s="1411"/>
      <c r="AE15" s="1411"/>
      <c r="AF15" s="1411"/>
      <c r="AG15" s="1411"/>
      <c r="AH15" s="1411"/>
      <c r="AI15" s="1411"/>
      <c r="AJ15" s="1411"/>
      <c r="AK15" s="1411"/>
      <c r="AL15" s="1411"/>
      <c r="AM15" s="1411"/>
      <c r="AN15" s="1411"/>
      <c r="AO15" s="1411"/>
      <c r="AP15" s="1411"/>
      <c r="AQ15" s="1411"/>
      <c r="AR15" s="1411"/>
      <c r="AS15" s="1411"/>
      <c r="AT15" s="1411"/>
      <c r="AU15" s="1411"/>
      <c r="AV15" s="1411"/>
      <c r="AW15" s="1411"/>
      <c r="AX15" s="1411"/>
      <c r="AY15" s="1411"/>
      <c r="AZ15" s="1411"/>
      <c r="BA15" s="1411"/>
      <c r="BB15" s="1411"/>
      <c r="BC15" s="1412"/>
      <c r="BE15" s="498"/>
      <c r="BF15" s="498" t="str">
        <f>IF(T15="","",T15)</f>
        <v/>
      </c>
      <c r="BG15" s="498"/>
      <c r="BH15" s="498"/>
    </row>
    <row s="1673" customFormat="1" customHeight="1" ht="14.25" hidden="1">
      <c r="A16" s="1366"/>
      <c r="B16" s="1366"/>
      <c r="C16" s="1366"/>
      <c r="D16" s="1337"/>
      <c r="E16" s="2174"/>
      <c r="F16" s="2174"/>
      <c r="G16" s="2173"/>
      <c r="H16" s="1337"/>
      <c r="I16" s="1337"/>
      <c r="J16" s="1337"/>
      <c r="K16" s="1337"/>
      <c r="L16" s="1517"/>
      <c r="M16" s="1338"/>
      <c r="N16" s="1338"/>
      <c r="P16" s="1339"/>
      <c r="Q16" s="1340"/>
      <c r="R16" s="1339"/>
      <c r="S16" s="1345"/>
      <c r="T16" s="1348"/>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E16" s="787"/>
      <c r="BF16" s="787" t="str">
        <f>IF(T16="","",T16)</f>
        <v/>
      </c>
      <c r="BG16" s="787"/>
      <c r="BH16" s="787"/>
    </row>
    <row s="1673" customFormat="1" customHeight="1" ht="14.25" hidden="1">
      <c r="A17" s="1366"/>
      <c r="B17" s="1366"/>
      <c r="C17" s="1337"/>
      <c r="D17" s="1337"/>
      <c r="E17" s="2174"/>
      <c r="F17" s="2173"/>
      <c r="G17" s="1337"/>
      <c r="H17" s="1337"/>
      <c r="I17" s="1337"/>
      <c r="J17" s="1337"/>
      <c r="K17" s="1337"/>
      <c r="L17" s="1517"/>
      <c r="M17" s="1344"/>
      <c r="N17" s="1344"/>
      <c r="P17" s="1339"/>
      <c r="Q17" s="1340"/>
      <c r="R17" s="1339"/>
      <c r="S17" s="1345"/>
      <c r="T17" s="1348" t="s">
        <v>433</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E17" s="787"/>
      <c r="BF17" s="787" t="str">
        <f>IF(T17="","",T17)</f>
        <v>Добавить централизованную систему для дифференциации</v>
      </c>
      <c r="BG17" s="787"/>
      <c r="BH17" s="787"/>
    </row>
    <row s="1673" customFormat="1" customHeight="1" ht="14.25" hidden="1">
      <c r="A18" s="1366"/>
      <c r="B18" s="1366"/>
      <c r="C18" s="1366"/>
      <c r="D18" s="1366"/>
      <c r="E18" s="2173"/>
      <c r="F18" s="1366"/>
      <c r="G18" s="1366"/>
      <c r="H18" s="1366"/>
      <c r="I18" s="1366"/>
      <c r="J18" s="1366"/>
      <c r="K18" s="1366"/>
      <c r="L18" s="1369"/>
      <c r="M18" s="1344"/>
      <c r="N18" s="1344"/>
      <c r="O18" s="516"/>
      <c r="P18" s="376"/>
      <c r="Q18" s="1367"/>
      <c r="R18" s="376"/>
      <c r="S18" s="1345"/>
      <c r="T18" s="1348" t="s">
        <v>434</v>
      </c>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E18" s="498"/>
      <c r="BF18" s="498" t="str">
        <f>IF(T18="","",T18)</f>
        <v>Добавить территорию для дифференциации</v>
      </c>
      <c r="BG18" s="498"/>
      <c r="BH18" s="498"/>
    </row>
    <row customHeight="1" ht="14.25" hidden="1">
      <c r="AC19" s="315"/>
      <c r="BA19" s="315"/>
    </row>
    <row customHeight="1" ht="14.25" hidden="1">
      <c r="AD20" s="1347" t="s">
        <v>56</v>
      </c>
      <c r="AE20" s="1524"/>
      <c r="AF20" s="546">
        <v>1</v>
      </c>
      <c r="AG20" s="1525"/>
      <c r="AH20" s="1347" t="s">
        <v>56</v>
      </c>
      <c r="AI20" s="1524"/>
      <c r="AJ20" s="546">
        <v>1</v>
      </c>
      <c r="AK20" s="1525"/>
      <c r="AL20" s="1347" t="s">
        <v>56</v>
      </c>
      <c r="AM20" s="1526"/>
      <c r="AN20" s="546">
        <v>1</v>
      </c>
      <c r="AO20" s="1527"/>
      <c r="AP20" s="1347" t="s">
        <v>56</v>
      </c>
      <c r="AQ20" s="1526"/>
      <c r="AR20" s="546">
        <v>1</v>
      </c>
      <c r="AS20" s="1527"/>
      <c r="AT20" s="312"/>
      <c r="AU20" s="381"/>
      <c r="AV20" s="312"/>
      <c r="AW20" s="381"/>
      <c r="AX20" s="1766"/>
      <c r="AY20" s="1508" t="s">
        <v>58</v>
      </c>
      <c r="AZ20" s="1766"/>
      <c r="BA20" s="1508" t="s">
        <v>58</v>
      </c>
    </row>
    <row customHeight="1" ht="14.25" hidden="1">
      <c r="BD21" s="494"/>
      <c r="BE21" s="494"/>
      <c r="BF21" s="494"/>
      <c r="BG21" s="494"/>
      <c r="BH21" s="494"/>
    </row>
    <row customHeight="1" ht="14.25" hidden="1">
      <c r="O22" s="1390" t="s">
        <v>476</v>
      </c>
      <c r="Z22" s="1368"/>
      <c r="AB22" s="1368"/>
      <c r="AC22" s="315"/>
      <c r="AX22" s="1368"/>
      <c r="AZ22" s="1368"/>
      <c r="BA22" s="315"/>
      <c r="BD22" s="494"/>
      <c r="BE22" s="494"/>
      <c r="BF22" s="494"/>
      <c r="BG22" s="494"/>
      <c r="BH22" s="494"/>
    </row>
    <row customHeight="1" ht="14.25" hidden="1">
      <c r="AC23" s="315"/>
      <c r="BA23" s="315"/>
      <c r="BD23" s="494"/>
      <c r="BE23" s="494"/>
      <c r="BF23" s="494"/>
      <c r="BG23" s="494"/>
      <c r="BH23" s="494"/>
    </row>
    <row s="1532" customFormat="1" customHeight="1" ht="14.25" hidden="1">
      <c r="M24" s="1531"/>
      <c r="N24" s="1531"/>
      <c r="O24" s="1532" t="s">
        <v>477</v>
      </c>
      <c r="P24" s="1531"/>
      <c r="Q24" s="1533"/>
      <c r="R24" s="1533"/>
      <c r="AA24" s="1530" t="s">
        <v>479</v>
      </c>
      <c r="AC24" s="1530" t="s">
        <v>480</v>
      </c>
      <c r="AD24" s="1530" t="s">
        <v>540</v>
      </c>
      <c r="AH24" s="1530" t="s">
        <v>540</v>
      </c>
      <c r="AK24" s="1530" t="s">
        <v>1700</v>
      </c>
      <c r="AL24" s="1530" t="s">
        <v>540</v>
      </c>
      <c r="AP24" s="1530" t="s">
        <v>540</v>
      </c>
      <c r="AY24" s="1530" t="s">
        <v>479</v>
      </c>
      <c r="BA24" s="1530" t="s">
        <v>480</v>
      </c>
      <c r="BD24" s="1534"/>
      <c r="BE24" s="1534"/>
      <c r="BF24" s="1534"/>
      <c r="BG24" s="1534"/>
      <c r="BH24" s="1534"/>
    </row>
    <row customHeight="1" ht="14.25" hidden="1">
      <c r="O25" s="1387"/>
      <c r="BD25" s="494"/>
      <c r="BE25" s="494"/>
      <c r="BF25" s="494"/>
      <c r="BG25" s="494"/>
      <c r="BH25" s="494"/>
    </row>
    <row customHeight="1" ht="14.25" hidden="1">
      <c r="O26" s="1387"/>
      <c r="BD26" s="494"/>
      <c r="BE26" s="494"/>
      <c r="BF26" s="494"/>
      <c r="BG26" s="494"/>
      <c r="BH26" s="494"/>
    </row>
    <row customHeight="1" ht="14.25">
      <c r="Q27" s="272"/>
      <c r="R27" s="368"/>
      <c r="S27" s="1298"/>
      <c r="T27" s="353"/>
      <c r="U27" s="353"/>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row>
    <row customHeight="1" ht="33.75">
      <c r="Q28" s="272"/>
      <c r="R28" s="368"/>
      <c r="S28" s="2163" t="str">
        <f>IF(TEMPLATE_GROUP="P",PT_P_FORM_HOTVSNA_5_NAME_FORM,PT_R_FORM_HOTVSNA_17_NAME_FORM)</f>
        <v>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254"/>
    </row>
    <row customHeight="1" ht="14.25">
      <c r="Q29" s="272"/>
      <c r="R29" s="368"/>
      <c r="S29" s="2164" t="str">
        <f>IF(org=0,"Не определено",org)</f>
        <v>ПАО "ТГК-2"</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254"/>
    </row>
    <row customHeight="1" ht="14.25" hidden="1">
      <c r="Q30" s="272"/>
      <c r="R30" s="368"/>
      <c r="S30" s="1298"/>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7"/>
    </row>
    <row s="1888" customFormat="1" customHeight="1" ht="25.5" hidden="1">
      <c r="A31" s="1391"/>
      <c r="B31" s="1391"/>
      <c r="C31" s="1391"/>
      <c r="D31" s="1391"/>
      <c r="E31" s="1391"/>
      <c r="F31" s="1391"/>
      <c r="G31" s="1391"/>
      <c r="H31" s="1391"/>
      <c r="I31" s="1391"/>
      <c r="J31" s="1391"/>
      <c r="K31" s="1391"/>
      <c r="L31" s="1392"/>
      <c r="M31" s="1391"/>
      <c r="N31" s="1391"/>
      <c r="O31" s="1391"/>
      <c r="P31" s="1391"/>
      <c r="Q31" s="1391"/>
      <c r="S31" s="2165" t="s">
        <v>39</v>
      </c>
      <c r="T31" s="2165"/>
      <c r="U31" s="1395"/>
      <c r="V31" s="2166"/>
      <c r="W31" s="2166"/>
      <c r="X31" s="2166"/>
      <c r="Y31" s="2166"/>
      <c r="Z31" s="2166"/>
      <c r="AA31" s="2166"/>
      <c r="AB31" s="2166"/>
      <c r="AC31" s="314"/>
      <c r="AD31" s="2166" t="str">
        <f>IF(TITLE_NAME_OR_PR_CHANGE="",IF(TITLE_NAME_OR_PR="","",TITLE_NAME_OR_PR),TITLE_NAME_OR_PR_CHANGE)</f>
        <v/>
      </c>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314"/>
      <c r="BB31" s="314"/>
      <c r="BC31" s="261"/>
      <c r="BD31" s="360"/>
      <c r="BE31" s="360"/>
      <c r="BF31" s="360"/>
      <c r="BG31" s="360"/>
      <c r="BH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482</v>
      </c>
      <c r="T32" s="2165"/>
      <c r="U32" s="1395"/>
      <c r="V32" s="2179"/>
      <c r="W32" s="2179"/>
      <c r="X32" s="2179"/>
      <c r="Y32" s="2179"/>
      <c r="Z32" s="2179"/>
      <c r="AA32" s="2179"/>
      <c r="AB32" s="2179"/>
      <c r="AC32" s="314"/>
      <c r="AD32" s="2179" t="str">
        <f>IF(TITLE_DATE_CHANGE_PERIOD="",IF(TITLE_DATE_PR="","",TITLE_DATE_PR),TITLE_DATE_CHANGE_PERIOD)</f>
        <v/>
      </c>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314"/>
      <c r="BB32" s="314"/>
      <c r="BC32" s="261"/>
      <c r="BD32" s="360"/>
      <c r="BE32" s="360"/>
      <c r="BF32" s="360"/>
      <c r="BG32" s="360"/>
      <c r="BH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483</v>
      </c>
      <c r="T33" s="2165"/>
      <c r="U33" s="1395"/>
      <c r="V33" s="2166"/>
      <c r="W33" s="2166"/>
      <c r="X33" s="2166"/>
      <c r="Y33" s="2166"/>
      <c r="Z33" s="2166"/>
      <c r="AA33" s="2166"/>
      <c r="AB33" s="2166"/>
      <c r="AC33" s="314"/>
      <c r="AD33" s="2166" t="str">
        <f>IF(TITLE_NUMBER_PR_CHANGE="",IF(TITLE_NUMBER_PR="","",TITLE_NUMBER_PR),TITLE_NUMBER_PR_CHANGE)</f>
        <v/>
      </c>
      <c r="AE33" s="2166"/>
      <c r="AF33" s="2166"/>
      <c r="AG33" s="2166"/>
      <c r="AH33" s="2166"/>
      <c r="AI33" s="2166"/>
      <c r="AJ33" s="2166"/>
      <c r="AK33" s="2166"/>
      <c r="AL33" s="2166"/>
      <c r="AM33" s="2166"/>
      <c r="AN33" s="2166"/>
      <c r="AO33" s="2166"/>
      <c r="AP33" s="2166"/>
      <c r="AQ33" s="2166"/>
      <c r="AR33" s="2166"/>
      <c r="AS33" s="2166"/>
      <c r="AT33" s="2166"/>
      <c r="AU33" s="2166"/>
      <c r="AV33" s="2166"/>
      <c r="AW33" s="2166"/>
      <c r="AX33" s="2166"/>
      <c r="AY33" s="2166"/>
      <c r="AZ33" s="2166"/>
      <c r="BA33" s="314"/>
      <c r="BB33" s="314"/>
      <c r="BC33" s="261"/>
      <c r="BD33" s="360"/>
      <c r="BE33" s="360"/>
      <c r="BF33" s="360"/>
      <c r="BG33" s="360"/>
      <c r="BH33" s="360"/>
    </row>
    <row s="1888" customFormat="1" customHeight="1" ht="18.75" hidden="1">
      <c r="A34" s="1391"/>
      <c r="B34" s="1391"/>
      <c r="C34" s="1391"/>
      <c r="D34" s="1391"/>
      <c r="E34" s="1391"/>
      <c r="F34" s="1391"/>
      <c r="G34" s="1391"/>
      <c r="H34" s="1391"/>
      <c r="I34" s="1391"/>
      <c r="J34" s="1391"/>
      <c r="K34" s="1391"/>
      <c r="L34" s="1392"/>
      <c r="M34" s="1391"/>
      <c r="N34" s="1391"/>
      <c r="O34" s="1391"/>
      <c r="P34" s="1391"/>
      <c r="Q34" s="1391"/>
      <c r="S34" s="2165" t="s">
        <v>40</v>
      </c>
      <c r="T34" s="2165"/>
      <c r="U34" s="1395"/>
      <c r="V34" s="2166"/>
      <c r="W34" s="2166"/>
      <c r="X34" s="2166"/>
      <c r="Y34" s="2166"/>
      <c r="Z34" s="2166"/>
      <c r="AA34" s="2166"/>
      <c r="AB34" s="2166"/>
      <c r="AC34" s="314"/>
      <c r="AD34" s="2166" t="str">
        <f>IF(TITLE_IST_PUB_CHANGE="",IF(TITLE_IST_PUB="","",TITLE_IST_PUB),TITLE_IST_PUB_CHANGE)</f>
        <v/>
      </c>
      <c r="AE34" s="2166"/>
      <c r="AF34" s="2166"/>
      <c r="AG34" s="2166"/>
      <c r="AH34" s="2166"/>
      <c r="AI34" s="2166"/>
      <c r="AJ34" s="2166"/>
      <c r="AK34" s="2166"/>
      <c r="AL34" s="2166"/>
      <c r="AM34" s="2166"/>
      <c r="AN34" s="2166"/>
      <c r="AO34" s="2166"/>
      <c r="AP34" s="2166"/>
      <c r="AQ34" s="2166"/>
      <c r="AR34" s="2166"/>
      <c r="AS34" s="2166"/>
      <c r="AT34" s="2166"/>
      <c r="AU34" s="2166"/>
      <c r="AV34" s="2166"/>
      <c r="AW34" s="2166"/>
      <c r="AX34" s="2166"/>
      <c r="AY34" s="2166"/>
      <c r="AZ34" s="2166"/>
      <c r="BA34" s="314"/>
      <c r="BB34" s="314"/>
      <c r="BC34" s="261"/>
      <c r="BD34" s="360"/>
      <c r="BE34" s="360"/>
      <c r="BF34" s="360"/>
      <c r="BG34" s="360"/>
      <c r="BH34" s="360"/>
    </row>
    <row customHeight="1" ht="14.25" hidden="1">
      <c r="Q35" s="272"/>
      <c r="R35" s="368"/>
      <c r="S35" s="1298"/>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7"/>
    </row>
    <row s="1888" customFormat="1" customHeight="1" ht="18.75" hidden="1">
      <c r="A36" s="1391"/>
      <c r="B36" s="1391"/>
      <c r="C36" s="1391"/>
      <c r="D36" s="1391"/>
      <c r="E36" s="1391"/>
      <c r="F36" s="1391"/>
      <c r="G36" s="1391"/>
      <c r="H36" s="1391"/>
      <c r="I36" s="1391"/>
      <c r="J36" s="1391"/>
      <c r="K36" s="1391"/>
      <c r="L36" s="1392"/>
      <c r="M36" s="1391"/>
      <c r="N36" s="1391"/>
      <c r="O36" s="1391"/>
      <c r="P36" s="1391"/>
      <c r="Q36" s="1391"/>
      <c r="S36" s="2165" t="s">
        <v>482</v>
      </c>
      <c r="T36" s="2165"/>
      <c r="U36" s="1395"/>
      <c r="V36" s="2179"/>
      <c r="W36" s="2179"/>
      <c r="X36" s="2179"/>
      <c r="Y36" s="2179"/>
      <c r="Z36" s="2179"/>
      <c r="AA36" s="2179"/>
      <c r="AB36" s="2179"/>
      <c r="AC36" s="314"/>
      <c r="AD36" s="2179" t="str">
        <f>IF(TITLE_DATE_CHANGE_PERIOD="",IF(TITLE_DATE_PR="","",TITLE_DATE_PR),TITLE_DATE_CHANGE_PERIOD)</f>
        <v/>
      </c>
      <c r="AE36" s="2179"/>
      <c r="AF36" s="2179"/>
      <c r="AG36" s="2179"/>
      <c r="AH36" s="2179"/>
      <c r="AI36" s="2179"/>
      <c r="AJ36" s="2179"/>
      <c r="AK36" s="2179"/>
      <c r="AL36" s="2179"/>
      <c r="AM36" s="2179"/>
      <c r="AN36" s="2179"/>
      <c r="AO36" s="2179"/>
      <c r="AP36" s="2179"/>
      <c r="AQ36" s="2179"/>
      <c r="AR36" s="2179"/>
      <c r="AS36" s="2179"/>
      <c r="AT36" s="2179"/>
      <c r="AU36" s="2179"/>
      <c r="AV36" s="2179"/>
      <c r="AW36" s="2179"/>
      <c r="AX36" s="2179"/>
      <c r="AY36" s="2179"/>
      <c r="AZ36" s="2179"/>
      <c r="BA36" s="314"/>
      <c r="BB36" s="314"/>
      <c r="BC36" s="261"/>
      <c r="BD36" s="360"/>
      <c r="BE36" s="360"/>
      <c r="BF36" s="360"/>
      <c r="BG36" s="360"/>
      <c r="BH36" s="360"/>
    </row>
    <row s="1888" customFormat="1" customHeight="1" ht="18.75" hidden="1">
      <c r="A37" s="1391"/>
      <c r="B37" s="1391"/>
      <c r="C37" s="1391"/>
      <c r="D37" s="1391"/>
      <c r="E37" s="1391"/>
      <c r="F37" s="1391"/>
      <c r="G37" s="1391"/>
      <c r="H37" s="1391"/>
      <c r="I37" s="1391"/>
      <c r="J37" s="1391"/>
      <c r="K37" s="1391"/>
      <c r="L37" s="1392"/>
      <c r="M37" s="1391"/>
      <c r="N37" s="1391"/>
      <c r="O37" s="1391"/>
      <c r="P37" s="1391"/>
      <c r="Q37" s="1391"/>
      <c r="S37" s="2165" t="s">
        <v>483</v>
      </c>
      <c r="T37" s="2165"/>
      <c r="U37" s="1395"/>
      <c r="V37" s="2166"/>
      <c r="W37" s="2166"/>
      <c r="X37" s="2166"/>
      <c r="Y37" s="2166"/>
      <c r="Z37" s="2166"/>
      <c r="AA37" s="2166"/>
      <c r="AB37" s="2166"/>
      <c r="AC37" s="314"/>
      <c r="AD37" s="2166" t="str">
        <f>IF(TITLE_NUMBER_PR_CHANGE="",IF(TITLE_NUMBER_PR="","",TITLE_NUMBER_PR),TITLE_NUMBER_PR_CHANGE)</f>
        <v/>
      </c>
      <c r="AE37" s="2166"/>
      <c r="AF37" s="2166"/>
      <c r="AG37" s="2166"/>
      <c r="AH37" s="2166"/>
      <c r="AI37" s="2166"/>
      <c r="AJ37" s="2166"/>
      <c r="AK37" s="2166"/>
      <c r="AL37" s="2166"/>
      <c r="AM37" s="2166"/>
      <c r="AN37" s="2166"/>
      <c r="AO37" s="2166"/>
      <c r="AP37" s="2166"/>
      <c r="AQ37" s="2166"/>
      <c r="AR37" s="2166"/>
      <c r="AS37" s="2166"/>
      <c r="AT37" s="2166"/>
      <c r="AU37" s="2166"/>
      <c r="AV37" s="2166"/>
      <c r="AW37" s="2166"/>
      <c r="AX37" s="2166"/>
      <c r="AY37" s="2166"/>
      <c r="AZ37" s="2166"/>
      <c r="BA37" s="314"/>
      <c r="BB37" s="314"/>
      <c r="BC37" s="261"/>
      <c r="BD37" s="360"/>
      <c r="BE37" s="360"/>
      <c r="BF37" s="360"/>
      <c r="BG37" s="360"/>
      <c r="BH37" s="360"/>
    </row>
    <row s="1888" customFormat="1" customHeight="1" ht="0">
      <c r="A38" s="1391"/>
      <c r="B38" s="1391"/>
      <c r="C38" s="1391"/>
      <c r="D38" s="1391"/>
      <c r="E38" s="1391"/>
      <c r="F38" s="1391"/>
      <c r="G38" s="1391"/>
      <c r="H38" s="1391"/>
      <c r="I38" s="1391"/>
      <c r="J38" s="1391"/>
      <c r="K38" s="1391"/>
      <c r="L38" s="1392"/>
      <c r="M38" s="1391"/>
      <c r="N38" s="1391"/>
      <c r="O38" s="1391"/>
      <c r="P38" s="1391"/>
      <c r="Q38" s="1391"/>
      <c r="S38" s="310"/>
      <c r="T38" s="310"/>
      <c r="U38" s="1511"/>
      <c r="V38" s="314"/>
      <c r="W38" s="314"/>
      <c r="X38" s="314"/>
      <c r="Y38" s="314"/>
      <c r="Z38" s="314"/>
      <c r="AA38" s="314"/>
      <c r="AB38" s="314"/>
      <c r="AC38" s="259" t="s">
        <v>486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486</v>
      </c>
      <c r="BD38" s="360"/>
      <c r="BE38" s="360"/>
      <c r="BF38" s="360"/>
      <c r="BG38" s="360"/>
      <c r="BH38" s="360"/>
    </row>
    <row customHeight="1" ht="14.25">
      <c r="Q39" s="272"/>
      <c r="R39" s="368"/>
      <c r="S39" s="1298"/>
      <c r="T39" s="353"/>
      <c r="U39" s="1255"/>
      <c r="V39" s="2167"/>
      <c r="W39" s="2167"/>
      <c r="X39" s="2167"/>
      <c r="Y39" s="2167"/>
      <c r="Z39" s="2167"/>
      <c r="AA39" s="2167"/>
      <c r="AB39" s="2167"/>
      <c r="AC39" s="2167"/>
      <c r="AD39" s="2167"/>
      <c r="AE39" s="2167"/>
      <c r="AF39" s="2167"/>
      <c r="AG39" s="2167"/>
      <c r="AH39" s="2167"/>
      <c r="AI39" s="2167"/>
      <c r="AJ39" s="2167"/>
      <c r="AK39" s="2167"/>
      <c r="AL39" s="2167"/>
      <c r="AM39" s="2167"/>
      <c r="AN39" s="2167"/>
      <c r="AO39" s="2167"/>
      <c r="AP39" s="2167"/>
      <c r="AQ39" s="2167"/>
      <c r="AR39" s="2167"/>
      <c r="AS39" s="2167"/>
      <c r="AT39" s="2167"/>
      <c r="AU39" s="2167"/>
      <c r="AV39" s="2167"/>
      <c r="AW39" s="2167"/>
      <c r="AX39" s="2167"/>
      <c r="AY39" s="2167"/>
      <c r="AZ39" s="2167"/>
      <c r="BA39" s="2167"/>
    </row>
    <row customHeight="1" ht="14.25">
      <c r="Q40" s="272"/>
      <c r="R40" s="368"/>
      <c r="S40" s="1948" t="s">
        <v>290</v>
      </c>
      <c r="T40" s="1948"/>
      <c r="U40" s="1948"/>
      <c r="V40" s="1948"/>
      <c r="W40" s="1948"/>
      <c r="X40" s="1948"/>
      <c r="Y40" s="1948"/>
      <c r="Z40" s="1948"/>
      <c r="AA40" s="1948"/>
      <c r="AB40" s="1948"/>
      <c r="AC40" s="1948"/>
      <c r="AD40" s="1948"/>
      <c r="AE40" s="1948"/>
      <c r="AF40" s="1948"/>
      <c r="AG40" s="1948"/>
      <c r="AH40" s="1948"/>
      <c r="AI40" s="1948"/>
      <c r="AJ40" s="1948"/>
      <c r="AK40" s="1948"/>
      <c r="AL40" s="1948"/>
      <c r="AM40" s="1948"/>
      <c r="AN40" s="1948"/>
      <c r="AO40" s="1948"/>
      <c r="AP40" s="1948"/>
      <c r="AQ40" s="1948"/>
      <c r="AR40" s="1948"/>
      <c r="AS40" s="1948"/>
      <c r="AT40" s="1948"/>
      <c r="AU40" s="1948"/>
      <c r="AV40" s="1948"/>
      <c r="AW40" s="1948"/>
      <c r="AX40" s="1948"/>
      <c r="AY40" s="1948"/>
      <c r="AZ40" s="1948"/>
      <c r="BA40" s="1948"/>
      <c r="BB40" s="1948"/>
      <c r="BC40" s="1948" t="s">
        <v>291</v>
      </c>
    </row>
    <row customHeight="1" ht="14.25">
      <c r="Q41" s="272"/>
      <c r="R41" s="368"/>
      <c r="S41" s="2188" t="s">
        <v>87</v>
      </c>
      <c r="T41" s="2029" t="s">
        <v>1701</v>
      </c>
      <c r="U41" s="281"/>
      <c r="V41" s="2189" t="s">
        <v>488</v>
      </c>
      <c r="W41" s="2190"/>
      <c r="X41" s="2190"/>
      <c r="Y41" s="2190"/>
      <c r="Z41" s="2190"/>
      <c r="AA41" s="2190"/>
      <c r="AB41" s="2191"/>
      <c r="AC41" s="2192" t="s">
        <v>489</v>
      </c>
      <c r="AD41" s="2235" t="s">
        <v>1702</v>
      </c>
      <c r="AE41" s="2204"/>
      <c r="AF41" s="2204"/>
      <c r="AG41" s="2236"/>
      <c r="AH41" s="2235" t="s">
        <v>1703</v>
      </c>
      <c r="AI41" s="2204"/>
      <c r="AJ41" s="2204"/>
      <c r="AK41" s="2236"/>
      <c r="AL41" s="2235" t="s">
        <v>1704</v>
      </c>
      <c r="AM41" s="2204"/>
      <c r="AN41" s="2204"/>
      <c r="AO41" s="2236"/>
      <c r="AP41" s="2235" t="s">
        <v>1705</v>
      </c>
      <c r="AQ41" s="2204"/>
      <c r="AR41" s="2204"/>
      <c r="AS41" s="2236"/>
      <c r="AT41" s="2189" t="s">
        <v>488</v>
      </c>
      <c r="AU41" s="2190"/>
      <c r="AV41" s="2190"/>
      <c r="AW41" s="2190"/>
      <c r="AX41" s="2190"/>
      <c r="AY41" s="2190"/>
      <c r="AZ41" s="2191"/>
      <c r="BA41" s="2192" t="s">
        <v>489</v>
      </c>
      <c r="BB41" s="2195" t="s">
        <v>491</v>
      </c>
      <c r="BC41" s="1948"/>
    </row>
    <row customHeight="1" ht="33.75">
      <c r="Q42" s="272"/>
      <c r="R42" s="368"/>
      <c r="S42" s="2188"/>
      <c r="T42" s="2029"/>
      <c r="U42" s="1032"/>
      <c r="V42" s="2011" t="s">
        <v>1706</v>
      </c>
      <c r="W42" s="2012"/>
      <c r="X42" s="2011" t="s">
        <v>1707</v>
      </c>
      <c r="Y42" s="2012"/>
      <c r="Z42" s="2207" t="s">
        <v>1708</v>
      </c>
      <c r="AA42" s="2220"/>
      <c r="AB42" s="2221"/>
      <c r="AC42" s="2193"/>
      <c r="AD42" s="2237"/>
      <c r="AE42" s="2238"/>
      <c r="AF42" s="2238"/>
      <c r="AG42" s="2239"/>
      <c r="AH42" s="2237"/>
      <c r="AI42" s="2238"/>
      <c r="AJ42" s="2238"/>
      <c r="AK42" s="2239"/>
      <c r="AL42" s="2237"/>
      <c r="AM42" s="2238"/>
      <c r="AN42" s="2238"/>
      <c r="AO42" s="2239"/>
      <c r="AP42" s="2237"/>
      <c r="AQ42" s="2238"/>
      <c r="AR42" s="2238"/>
      <c r="AS42" s="2239"/>
      <c r="AT42" s="2011" t="s">
        <v>1706</v>
      </c>
      <c r="AU42" s="2012"/>
      <c r="AV42" s="2011" t="s">
        <v>1707</v>
      </c>
      <c r="AW42" s="2012"/>
      <c r="AX42" s="2207" t="s">
        <v>1708</v>
      </c>
      <c r="AY42" s="2220"/>
      <c r="AZ42" s="2221"/>
      <c r="BA42" s="2193"/>
      <c r="BB42" s="2196"/>
      <c r="BC42" s="1948"/>
    </row>
    <row customHeight="1" ht="14.25">
      <c r="Q43" s="272"/>
      <c r="R43" s="368"/>
      <c r="S43" s="2188"/>
      <c r="T43" s="2029"/>
      <c r="U43" s="1032"/>
      <c r="V43" s="2019"/>
      <c r="W43" s="2020"/>
      <c r="X43" s="2019"/>
      <c r="Y43" s="2020"/>
      <c r="Z43" s="2208"/>
      <c r="AA43" s="2222"/>
      <c r="AB43" s="2223"/>
      <c r="AC43" s="2193"/>
      <c r="AD43" s="2237"/>
      <c r="AE43" s="2238"/>
      <c r="AF43" s="2238"/>
      <c r="AG43" s="2239"/>
      <c r="AH43" s="2237"/>
      <c r="AI43" s="2238"/>
      <c r="AJ43" s="2238"/>
      <c r="AK43" s="2239"/>
      <c r="AL43" s="2237"/>
      <c r="AM43" s="2238"/>
      <c r="AN43" s="2238"/>
      <c r="AO43" s="2239"/>
      <c r="AP43" s="2237"/>
      <c r="AQ43" s="2238"/>
      <c r="AR43" s="2238"/>
      <c r="AS43" s="2239"/>
      <c r="AT43" s="2019"/>
      <c r="AU43" s="2020"/>
      <c r="AV43" s="2019"/>
      <c r="AW43" s="2020"/>
      <c r="AX43" s="2208"/>
      <c r="AY43" s="2222"/>
      <c r="AZ43" s="2223"/>
      <c r="BA43" s="2193"/>
      <c r="BB43" s="2196"/>
      <c r="BC43" s="1948"/>
    </row>
    <row customHeight="1" ht="14.25">
      <c r="A44" s="1393"/>
      <c r="B44" s="1393" t="s">
        <v>139</v>
      </c>
      <c r="C44" s="1393" t="s">
        <v>140</v>
      </c>
      <c r="D44" s="1393" t="s">
        <v>141</v>
      </c>
      <c r="E44" s="1387" t="s">
        <v>496</v>
      </c>
      <c r="F44" s="1387" t="s">
        <v>497</v>
      </c>
      <c r="G44" s="1387" t="s">
        <v>498</v>
      </c>
      <c r="H44" s="1387" t="s">
        <v>499</v>
      </c>
      <c r="I44" s="1387" t="s">
        <v>500</v>
      </c>
      <c r="J44" s="1387" t="s">
        <v>501</v>
      </c>
      <c r="K44" s="1387" t="s">
        <v>502</v>
      </c>
      <c r="L44" s="1387" t="s">
        <v>477</v>
      </c>
      <c r="Q44" s="272"/>
      <c r="R44" s="368"/>
      <c r="S44" s="2188"/>
      <c r="T44" s="2029"/>
      <c r="U44" s="282"/>
      <c r="V44" s="1502" t="s">
        <v>550</v>
      </c>
      <c r="W44" s="1502" t="s">
        <v>551</v>
      </c>
      <c r="X44" s="1502" t="s">
        <v>550</v>
      </c>
      <c r="Y44" s="1502" t="s">
        <v>551</v>
      </c>
      <c r="Z44" s="1512" t="s">
        <v>505</v>
      </c>
      <c r="AA44" s="2185" t="s">
        <v>506</v>
      </c>
      <c r="AB44" s="2186"/>
      <c r="AC44" s="2194"/>
      <c r="AD44" s="2240"/>
      <c r="AE44" s="2241"/>
      <c r="AF44" s="2241"/>
      <c r="AG44" s="2242"/>
      <c r="AH44" s="2240"/>
      <c r="AI44" s="2241"/>
      <c r="AJ44" s="2241"/>
      <c r="AK44" s="2242"/>
      <c r="AL44" s="2240"/>
      <c r="AM44" s="2241"/>
      <c r="AN44" s="2241"/>
      <c r="AO44" s="2242"/>
      <c r="AP44" s="2240"/>
      <c r="AQ44" s="2241"/>
      <c r="AR44" s="2241"/>
      <c r="AS44" s="2242"/>
      <c r="AT44" s="1502" t="s">
        <v>550</v>
      </c>
      <c r="AU44" s="1502" t="s">
        <v>551</v>
      </c>
      <c r="AV44" s="1502" t="s">
        <v>550</v>
      </c>
      <c r="AW44" s="1502" t="s">
        <v>551</v>
      </c>
      <c r="AX44" s="1512" t="s">
        <v>505</v>
      </c>
      <c r="AY44" s="2185" t="s">
        <v>506</v>
      </c>
      <c r="AZ44" s="2186"/>
      <c r="BA44" s="2194"/>
      <c r="BB44" s="2197"/>
      <c r="BC44" s="1948"/>
    </row>
    <row s="1672" customFormat="1" customHeight="1" ht="0">
      <c r="A45" s="1393"/>
      <c r="B45" s="1393"/>
      <c r="C45" s="1393"/>
      <c r="D45" s="1393"/>
      <c r="E45" s="1393"/>
      <c r="F45" s="1393"/>
      <c r="G45" s="1393"/>
      <c r="H45" s="1393"/>
      <c r="I45" s="1393"/>
      <c r="J45" s="1393"/>
      <c r="K45" s="1393"/>
      <c r="L45" s="1387"/>
      <c r="M45" s="1385"/>
      <c r="N45" s="1385"/>
      <c r="O45" s="1385"/>
      <c r="P45" s="508"/>
      <c r="Q45" s="1273"/>
      <c r="R45" s="1273">
        <v>1</v>
      </c>
      <c r="S45" s="1300" t="s">
        <v>108</v>
      </c>
      <c r="T45" s="1274" t="s">
        <v>109</v>
      </c>
      <c r="U45" s="1256" t="str">
        <f>OFFSET(U45,0,-1)</f>
        <v>2</v>
      </c>
      <c r="V45" s="1505">
        <f>OFFSET(V45,0,-1)+1</f>
        <v>3</v>
      </c>
      <c r="W45" s="1505">
        <f>OFFSET(W45,0,-1)+1</f>
        <v>4</v>
      </c>
      <c r="X45" s="1505">
        <f>OFFSET(X45,0,-1)+1</f>
        <v>5</v>
      </c>
      <c r="Y45" s="1505">
        <f>OFFSET(Y45,0,-1)+1</f>
        <v>6</v>
      </c>
      <c r="Z45" s="1505">
        <f>OFFSET(Z45,0,-1)+1</f>
        <v>7</v>
      </c>
      <c r="AA45" s="2187">
        <f>OFFSET(AA45,0,-1)+1</f>
        <v>8</v>
      </c>
      <c r="AB45" s="2187"/>
      <c r="AC45" s="1505">
        <f>OFFSET(AC45,0,-2)+1</f>
        <v>9</v>
      </c>
      <c r="AD45" s="1505">
        <f>OFFSET(AD45,0,-1)+1</f>
        <v>10</v>
      </c>
      <c r="AE45" s="1505"/>
      <c r="AF45" s="1505"/>
      <c r="AG45" s="1505"/>
      <c r="AH45" s="1505"/>
      <c r="AI45" s="1505"/>
      <c r="AJ45" s="1505"/>
      <c r="AK45" s="1505"/>
      <c r="AL45" s="1505"/>
      <c r="AM45" s="1505"/>
      <c r="AN45" s="1505"/>
      <c r="AO45" s="1505"/>
      <c r="AP45" s="1505"/>
      <c r="AQ45" s="1505"/>
      <c r="AR45" s="1505"/>
      <c r="AS45" s="1505"/>
      <c r="AT45" s="1505"/>
      <c r="AU45" s="1505"/>
      <c r="AV45" s="1505"/>
      <c r="AW45" s="1505">
        <f>OFFSET(AW45,0,-1)+1</f>
        <v>1</v>
      </c>
      <c r="AX45" s="1505">
        <f>OFFSET(AX45,0,-1)+1</f>
        <v>2</v>
      </c>
      <c r="AY45" s="2187">
        <f>OFFSET(AY45,0,-1)+1</f>
        <v>3</v>
      </c>
      <c r="AZ45" s="2187"/>
      <c r="BA45" s="1505">
        <f>OFFSET(BA45,0,-2)+1</f>
        <v>4</v>
      </c>
      <c r="BB45" s="1256">
        <f>OFFSET(BB45,0,-1)</f>
        <v>4</v>
      </c>
      <c r="BC45" s="1505">
        <f>OFFSET(BC45,0,-1)+1</f>
        <v>5</v>
      </c>
      <c r="BD45" s="509"/>
      <c r="BE45" s="509"/>
      <c r="BF45" s="509"/>
      <c r="BG45" s="509"/>
      <c r="BH45" s="509"/>
    </row>
    <row customHeight="1" ht="21">
      <c r="A46" s="1386" t="s">
        <v>251</v>
      </c>
      <c r="B46" s="1386"/>
      <c r="C46" s="1386"/>
      <c r="D46" s="1386"/>
      <c r="E46" s="2173">
        <v>1</v>
      </c>
      <c r="F46" s="1386"/>
      <c r="G46" s="1386"/>
      <c r="H46" s="1386"/>
      <c r="I46" s="1386"/>
      <c r="J46" s="1386"/>
      <c r="K46" s="1386"/>
      <c r="L46" s="1387"/>
      <c r="M46" s="1388"/>
      <c r="N46" s="1388"/>
      <c r="O46" s="1388"/>
      <c r="P46" s="1432"/>
      <c r="Q46" s="871"/>
      <c r="R46" s="343"/>
      <c r="S46" s="1516">
        <f>INDEX(PT_DIFFERENTIATION_NUM_NTAR,MATCH(A46,PT_DIFFERENTIATION_NTAR_ID,0))</f>
        <v>0</v>
      </c>
      <c r="T46" s="278" t="s">
        <v>127</v>
      </c>
      <c r="U46" s="280"/>
      <c r="V46" s="2158"/>
      <c r="W46" s="2158"/>
      <c r="X46" s="2158"/>
      <c r="Y46" s="2158"/>
      <c r="Z46" s="2158"/>
      <c r="AA46" s="2158"/>
      <c r="AB46" s="2158"/>
      <c r="AC46" s="2159"/>
      <c r="AD46" s="2157" t="str">
        <f>INDEX(PT_DIFFERENTIATION_NTAR,MATCH(A46,PT_DIFFERENTIATION_NTAR_ID,0))</f>
        <v/>
      </c>
      <c r="AE46" s="2158"/>
      <c r="AF46" s="2158"/>
      <c r="AG46" s="2158"/>
      <c r="AH46" s="2158"/>
      <c r="AI46" s="2158"/>
      <c r="AJ46" s="2158"/>
      <c r="AK46" s="2158"/>
      <c r="AL46" s="2158"/>
      <c r="AM46" s="2158"/>
      <c r="AN46" s="2158"/>
      <c r="AO46" s="2158"/>
      <c r="AP46" s="2158"/>
      <c r="AQ46" s="2158"/>
      <c r="AR46" s="2158"/>
      <c r="AS46" s="2158"/>
      <c r="AT46" s="2158"/>
      <c r="AU46" s="2158"/>
      <c r="AV46" s="2158"/>
      <c r="AW46" s="2158"/>
      <c r="AX46" s="2158"/>
      <c r="AY46" s="2158"/>
      <c r="AZ46" s="2158"/>
      <c r="BA46" s="2158"/>
      <c r="BB46" s="2159"/>
      <c r="BC46"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8"/>
      <c r="BF46" s="498" t="str">
        <f>IF(T46="","",T46)</f>
        <v>Наименование тарифа</v>
      </c>
      <c r="BG46" s="498"/>
      <c r="BH46" s="498"/>
    </row>
    <row customHeight="1" ht="21">
      <c r="A47" s="1386" t="s">
        <v>251</v>
      </c>
      <c r="B47" s="1386" t="s">
        <v>252</v>
      </c>
      <c r="C47" s="1386"/>
      <c r="D47" s="1386"/>
      <c r="E47" s="2174"/>
      <c r="F47" s="2173">
        <v>1</v>
      </c>
      <c r="G47" s="1386"/>
      <c r="H47" s="1386"/>
      <c r="I47" s="1386"/>
      <c r="J47" s="1386"/>
      <c r="K47" s="1386"/>
      <c r="L47" s="1387"/>
      <c r="M47" s="1388"/>
      <c r="N47" s="1388"/>
      <c r="O47" s="1388"/>
      <c r="P47" s="1433"/>
      <c r="Q47" s="1434"/>
      <c r="R47" s="341"/>
      <c r="S47" s="1516" t="str">
        <f>INDEX(PT_DIFFERENTIATION_NUM_TER,MATCH(B47,PT_DIFFERENTIATION_TER_ID,0))</f>
        <v>.</v>
      </c>
      <c r="T47" s="290" t="s">
        <v>459</v>
      </c>
      <c r="U47" s="280"/>
      <c r="V47" s="2158"/>
      <c r="W47" s="2158"/>
      <c r="X47" s="2158"/>
      <c r="Y47" s="2158"/>
      <c r="Z47" s="2158"/>
      <c r="AA47" s="2158"/>
      <c r="AB47" s="2158"/>
      <c r="AC47" s="2159"/>
      <c r="AD47" s="2157" t="str">
        <f>INDEX(PT_DIFFERENTIATION_TER,MATCH(B47,PT_DIFFERENTIATION_TER_ID,0))</f>
        <v/>
      </c>
      <c r="AE47" s="2158"/>
      <c r="AF47" s="2158"/>
      <c r="AG47" s="2158"/>
      <c r="AH47" s="2158"/>
      <c r="AI47" s="2158"/>
      <c r="AJ47" s="2158"/>
      <c r="AK47" s="2158"/>
      <c r="AL47" s="2158"/>
      <c r="AM47" s="2158"/>
      <c r="AN47" s="2158"/>
      <c r="AO47" s="2158"/>
      <c r="AP47" s="2158"/>
      <c r="AQ47" s="2158"/>
      <c r="AR47" s="2158"/>
      <c r="AS47" s="2158"/>
      <c r="AT47" s="2158"/>
      <c r="AU47" s="2158"/>
      <c r="AV47" s="2158"/>
      <c r="AW47" s="2158"/>
      <c r="AX47" s="2158"/>
      <c r="AY47" s="2158"/>
      <c r="AZ47" s="2158"/>
      <c r="BA47" s="2158"/>
      <c r="BB47" s="2159"/>
      <c r="BC47" s="1279" t="s">
        <v>460</v>
      </c>
      <c r="BE47" s="498"/>
      <c r="BF47" s="498" t="str">
        <f>IF(T47="","",T47)</f>
        <v>Территория действия тарифа</v>
      </c>
      <c r="BG47" s="498"/>
      <c r="BH47" s="498"/>
    </row>
    <row customHeight="1" ht="33.75">
      <c r="A48" s="1386" t="s">
        <v>251</v>
      </c>
      <c r="B48" s="1386" t="s">
        <v>252</v>
      </c>
      <c r="C48" s="1386" t="s">
        <v>253</v>
      </c>
      <c r="D48" s="1386"/>
      <c r="E48" s="2174"/>
      <c r="F48" s="2174"/>
      <c r="G48" s="2173">
        <v>1</v>
      </c>
      <c r="H48" s="1386"/>
      <c r="I48" s="1386"/>
      <c r="J48" s="1386"/>
      <c r="K48" s="1386"/>
      <c r="L48" s="1387"/>
      <c r="M48" s="1388"/>
      <c r="N48" s="1388"/>
      <c r="O48" s="1388"/>
      <c r="P48" s="1435"/>
      <c r="Q48" s="1434"/>
      <c r="R48" s="341"/>
      <c r="S48" s="1516" t="str">
        <f>INDEX(PT_DIFFERENTIATION_NUM_CS,MATCH(C48,PT_DIFFERENTIATION_CS_ID,0))</f>
        <v>..</v>
      </c>
      <c r="T48" s="291" t="s">
        <v>2056</v>
      </c>
      <c r="U48" s="280"/>
      <c r="V48" s="2158"/>
      <c r="W48" s="2158"/>
      <c r="X48" s="2158"/>
      <c r="Y48" s="2158"/>
      <c r="Z48" s="2158"/>
      <c r="AA48" s="2158"/>
      <c r="AB48" s="2158"/>
      <c r="AC48" s="2159"/>
      <c r="AD48" s="2157" t="str">
        <f>INDEX(PT_DIFFERENTIATION_CS,MATCH(C48,PT_DIFFERENTIATION_CS_ID,0))</f>
        <v/>
      </c>
      <c r="AE48" s="2158"/>
      <c r="AF48" s="2158"/>
      <c r="AG48" s="2158"/>
      <c r="AH48" s="2158"/>
      <c r="AI48" s="2158"/>
      <c r="AJ48" s="2158"/>
      <c r="AK48" s="2158"/>
      <c r="AL48" s="2158"/>
      <c r="AM48" s="2158"/>
      <c r="AN48" s="2158"/>
      <c r="AO48" s="2158"/>
      <c r="AP48" s="2158"/>
      <c r="AQ48" s="2158"/>
      <c r="AR48" s="2158"/>
      <c r="AS48" s="2158"/>
      <c r="AT48" s="2158"/>
      <c r="AU48" s="2158"/>
      <c r="AV48" s="2158"/>
      <c r="AW48" s="2158"/>
      <c r="AX48" s="2158"/>
      <c r="AY48" s="2158"/>
      <c r="AZ48" s="2158"/>
      <c r="BA48" s="2158"/>
      <c r="BB48" s="2159"/>
      <c r="BC48" s="1279" t="s">
        <v>2057</v>
      </c>
      <c r="BE48" s="498"/>
      <c r="BF48" s="498" t="str">
        <f>IF(T48="","",T48)</f>
        <v>Наименование централизованной системы горячего водоснабжения</v>
      </c>
      <c r="BG48" s="498"/>
      <c r="BH48" s="498"/>
    </row>
    <row s="1673" customFormat="1" customHeight="1" ht="0">
      <c r="A49" s="1366" t="s">
        <v>251</v>
      </c>
      <c r="B49" s="1366" t="s">
        <v>252</v>
      </c>
      <c r="C49" s="1366" t="s">
        <v>253</v>
      </c>
      <c r="D49" s="1366" t="s">
        <v>2066</v>
      </c>
      <c r="E49" s="2174"/>
      <c r="F49" s="2174"/>
      <c r="G49" s="2174"/>
      <c r="H49" s="2173">
        <v>1</v>
      </c>
      <c r="I49" s="1366"/>
      <c r="J49" s="1366"/>
      <c r="K49" s="1366"/>
      <c r="L49" s="1369"/>
      <c r="M49" s="1338"/>
      <c r="N49" s="1338"/>
      <c r="O49" s="1338"/>
      <c r="P49" s="1520"/>
      <c r="Q49" s="1521"/>
      <c r="R49" s="345"/>
      <c r="S49" s="1043"/>
      <c r="T49" s="1522"/>
      <c r="U49" s="1407"/>
      <c r="V49" s="2210"/>
      <c r="W49" s="2210"/>
      <c r="X49" s="2210"/>
      <c r="Y49" s="2210"/>
      <c r="Z49" s="2210"/>
      <c r="AA49" s="2210"/>
      <c r="AB49" s="2210"/>
      <c r="AC49" s="2211"/>
      <c r="AD49" s="2209"/>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1"/>
      <c r="BC49" s="1408" t="s">
        <v>464</v>
      </c>
      <c r="BE49" s="498"/>
      <c r="BF49" s="498" t="str">
        <f>IF(T49="","",T49)</f>
        <v/>
      </c>
      <c r="BG49" s="498"/>
      <c r="BH49" s="498"/>
    </row>
    <row s="1673" customFormat="1" customHeight="1" ht="0">
      <c r="A50" s="1366" t="s">
        <v>251</v>
      </c>
      <c r="B50" s="1366" t="s">
        <v>252</v>
      </c>
      <c r="C50" s="1366" t="s">
        <v>253</v>
      </c>
      <c r="D50" s="1366" t="s">
        <v>2066</v>
      </c>
      <c r="E50" s="2174"/>
      <c r="F50" s="2174"/>
      <c r="G50" s="2174"/>
      <c r="H50" s="2174"/>
      <c r="I50" s="2171" t="str">
        <f>S49&amp;".1"</f>
        <v>.1</v>
      </c>
      <c r="J50" s="1366"/>
      <c r="K50" s="1366"/>
      <c r="L50" s="1369" t="s">
        <v>465</v>
      </c>
      <c r="M50" s="508"/>
      <c r="N50" s="508"/>
      <c r="O50" s="508"/>
      <c r="P50" s="2172">
        <v>1</v>
      </c>
      <c r="Q50" s="1504"/>
      <c r="R50" s="344"/>
      <c r="S50" s="1043"/>
      <c r="T50" s="1406"/>
      <c r="U50" s="1407"/>
      <c r="V50" s="2210"/>
      <c r="W50" s="2210"/>
      <c r="X50" s="2210"/>
      <c r="Y50" s="2210"/>
      <c r="Z50" s="2210"/>
      <c r="AA50" s="2210"/>
      <c r="AB50" s="2210"/>
      <c r="AC50" s="2211"/>
      <c r="AD50" s="2209"/>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1"/>
      <c r="BC50" s="1408"/>
      <c r="BE50" s="498"/>
      <c r="BF50" s="498" t="str">
        <f>IF(T50="","",T50)</f>
        <v/>
      </c>
      <c r="BG50" s="498"/>
      <c r="BH50" s="498"/>
    </row>
    <row s="1673" customFormat="1" customHeight="1" ht="0">
      <c r="A51" s="1366" t="s">
        <v>251</v>
      </c>
      <c r="B51" s="1366" t="s">
        <v>252</v>
      </c>
      <c r="C51" s="1366" t="s">
        <v>253</v>
      </c>
      <c r="D51" s="1366" t="s">
        <v>2066</v>
      </c>
      <c r="E51" s="2174"/>
      <c r="F51" s="2174"/>
      <c r="G51" s="2174"/>
      <c r="H51" s="2174"/>
      <c r="I51" s="2201"/>
      <c r="J51" s="2171" t="str">
        <f>S49&amp;".1"</f>
        <v>.1</v>
      </c>
      <c r="K51" s="1366"/>
      <c r="L51" s="1369"/>
      <c r="M51" s="508"/>
      <c r="N51" s="508"/>
      <c r="O51" s="508"/>
      <c r="P51" s="2172"/>
      <c r="Q51" s="2172">
        <v>1</v>
      </c>
      <c r="R51" s="345"/>
      <c r="S51" s="1043"/>
      <c r="T51" s="1422"/>
      <c r="U51" s="1407"/>
      <c r="V51" s="2210"/>
      <c r="W51" s="2210"/>
      <c r="X51" s="2210"/>
      <c r="Y51" s="2210"/>
      <c r="Z51" s="2210"/>
      <c r="AA51" s="2210"/>
      <c r="AB51" s="2210"/>
      <c r="AC51" s="2211"/>
      <c r="AD51" s="2209"/>
      <c r="AE51" s="2210"/>
      <c r="AF51" s="2210"/>
      <c r="AG51" s="2210"/>
      <c r="AH51" s="2210"/>
      <c r="AI51" s="2210"/>
      <c r="AJ51" s="2210"/>
      <c r="AK51" s="2210"/>
      <c r="AL51" s="2210"/>
      <c r="AM51" s="2210"/>
      <c r="AN51" s="2318"/>
      <c r="AO51" s="2318"/>
      <c r="AP51" s="2210"/>
      <c r="AQ51" s="2210"/>
      <c r="AR51" s="2210"/>
      <c r="AS51" s="2210"/>
      <c r="AT51" s="2210"/>
      <c r="AU51" s="2210"/>
      <c r="AV51" s="2210"/>
      <c r="AW51" s="2210"/>
      <c r="AX51" s="2210"/>
      <c r="AY51" s="2210"/>
      <c r="AZ51" s="2210"/>
      <c r="BA51" s="2210"/>
      <c r="BB51" s="2211"/>
      <c r="BC51" s="1408"/>
      <c r="BE51" s="498"/>
      <c r="BF51" s="498" t="str">
        <f>IF(T51="","",T51)</f>
        <v/>
      </c>
      <c r="BG51" s="498"/>
      <c r="BH51" s="498"/>
    </row>
    <row customHeight="1" ht="11.25">
      <c r="A52" s="1386" t="s">
        <v>251</v>
      </c>
      <c r="B52" s="1386" t="s">
        <v>252</v>
      </c>
      <c r="C52" s="1386" t="s">
        <v>253</v>
      </c>
      <c r="D52" s="1386" t="s">
        <v>2066</v>
      </c>
      <c r="E52" s="2174"/>
      <c r="F52" s="2174"/>
      <c r="G52" s="2174"/>
      <c r="H52" s="2174"/>
      <c r="I52" s="2201"/>
      <c r="J52" s="2201"/>
      <c r="K52" s="2171" t="str">
        <f>S48&amp;".1"</f>
        <v>...1</v>
      </c>
      <c r="L52" s="1387"/>
      <c r="P52" s="2172"/>
      <c r="Q52" s="2172"/>
      <c r="R52" s="345">
        <v>1</v>
      </c>
      <c r="S52" s="2247" t="str">
        <f>$K52</f>
        <v>...1</v>
      </c>
      <c r="T52" s="2313"/>
      <c r="U52" s="280"/>
      <c r="V52" s="749"/>
      <c r="W52" s="1278"/>
      <c r="X52" s="749"/>
      <c r="Y52" s="1278"/>
      <c r="Z52" s="1764"/>
      <c r="AA52" s="1492" t="s">
        <v>58</v>
      </c>
      <c r="AB52" s="1764"/>
      <c r="AC52" s="1492" t="s">
        <v>58</v>
      </c>
      <c r="AD52" s="2004" t="s">
        <v>58</v>
      </c>
      <c r="AE52" s="2233"/>
      <c r="AF52" s="2024">
        <v>1</v>
      </c>
      <c r="AG52" s="2317"/>
      <c r="AH52" s="1928" t="s">
        <v>58</v>
      </c>
      <c r="AI52" s="2233"/>
      <c r="AJ52" s="2024">
        <v>1</v>
      </c>
      <c r="AK52" s="2316" t="s">
        <v>18</v>
      </c>
      <c r="AL52" s="1928" t="s">
        <v>58</v>
      </c>
      <c r="AM52" s="2011"/>
      <c r="AN52" s="2024">
        <v>1</v>
      </c>
      <c r="AO52" s="2310"/>
      <c r="AP52" s="2311" t="s">
        <v>58</v>
      </c>
      <c r="AQ52" s="293"/>
      <c r="AR52" s="1509">
        <v>1</v>
      </c>
      <c r="AS52" s="1515" t="s">
        <v>18</v>
      </c>
      <c r="AT52" s="749"/>
      <c r="AU52" s="1278"/>
      <c r="AV52" s="749"/>
      <c r="AW52" s="1278"/>
      <c r="AX52" s="1764"/>
      <c r="AY52" s="1492" t="s">
        <v>58</v>
      </c>
      <c r="AZ52" s="1764"/>
      <c r="BA52" s="1492" t="s">
        <v>58</v>
      </c>
      <c r="BB52" s="1371"/>
      <c r="BC52" s="2168" t="s">
        <v>1695</v>
      </c>
      <c r="BE52" s="498"/>
      <c r="BF52" s="498" t="str">
        <f>IF(T52="","",T52)</f>
        <v/>
      </c>
      <c r="BG52" s="498"/>
      <c r="BH52" s="498"/>
    </row>
    <row customHeight="1" ht="11.25">
      <c r="A53" s="1386"/>
      <c r="B53" s="1386"/>
      <c r="C53" s="1386"/>
      <c r="D53" s="1386"/>
      <c r="E53" s="2174"/>
      <c r="F53" s="2174"/>
      <c r="G53" s="2174"/>
      <c r="H53" s="2174"/>
      <c r="I53" s="2201"/>
      <c r="J53" s="2201"/>
      <c r="K53" s="2171"/>
      <c r="L53" s="1387"/>
      <c r="P53" s="2172"/>
      <c r="Q53" s="2172"/>
      <c r="R53" s="345"/>
      <c r="S53" s="2248"/>
      <c r="T53" s="2314"/>
      <c r="U53" s="280"/>
      <c r="V53" s="1416"/>
      <c r="W53" s="1519"/>
      <c r="X53" s="1416"/>
      <c r="Y53" s="1519"/>
      <c r="Z53" s="1416"/>
      <c r="AA53" s="1416"/>
      <c r="AB53" s="1416"/>
      <c r="AC53" s="1416"/>
      <c r="AD53" s="2005"/>
      <c r="AE53" s="2233"/>
      <c r="AF53" s="2024"/>
      <c r="AG53" s="2317"/>
      <c r="AH53" s="1928"/>
      <c r="AI53" s="2233"/>
      <c r="AJ53" s="2024"/>
      <c r="AK53" s="2316"/>
      <c r="AL53" s="1928"/>
      <c r="AM53" s="2019"/>
      <c r="AN53" s="2024"/>
      <c r="AO53" s="2310"/>
      <c r="AP53" s="2312"/>
      <c r="AQ53" s="300"/>
      <c r="AR53" s="414"/>
      <c r="AS53" s="414" t="s">
        <v>1696</v>
      </c>
      <c r="AT53" s="1416"/>
      <c r="AU53" s="1519"/>
      <c r="AV53" s="1416"/>
      <c r="AW53" s="1519"/>
      <c r="AX53" s="1416"/>
      <c r="AY53" s="1416"/>
      <c r="AZ53" s="1416"/>
      <c r="BA53" s="1416"/>
      <c r="BB53" s="1420"/>
      <c r="BC53" s="2169"/>
      <c r="BE53" s="498"/>
      <c r="BF53" s="498"/>
      <c r="BG53" s="498"/>
      <c r="BH53" s="498"/>
    </row>
    <row customHeight="1" ht="11.25">
      <c r="A54" s="1386" t="s">
        <v>251</v>
      </c>
      <c r="B54" s="1386"/>
      <c r="C54" s="1386"/>
      <c r="D54" s="1386"/>
      <c r="E54" s="2174"/>
      <c r="F54" s="2174"/>
      <c r="G54" s="2174"/>
      <c r="H54" s="2174"/>
      <c r="I54" s="2201"/>
      <c r="J54" s="2201"/>
      <c r="K54" s="2171"/>
      <c r="L54" s="1387"/>
      <c r="P54" s="2172"/>
      <c r="Q54" s="2172"/>
      <c r="R54" s="345"/>
      <c r="S54" s="2248"/>
      <c r="T54" s="2314"/>
      <c r="U54" s="280"/>
      <c r="V54" s="1416"/>
      <c r="W54" s="1519"/>
      <c r="X54" s="1416"/>
      <c r="Y54" s="1519"/>
      <c r="Z54" s="1416"/>
      <c r="AA54" s="1416"/>
      <c r="AB54" s="1416"/>
      <c r="AC54" s="1416"/>
      <c r="AD54" s="2005"/>
      <c r="AE54" s="2233"/>
      <c r="AF54" s="2024"/>
      <c r="AG54" s="2317"/>
      <c r="AH54" s="1928"/>
      <c r="AI54" s="2233"/>
      <c r="AJ54" s="2024"/>
      <c r="AK54" s="2316"/>
      <c r="AL54" s="1928"/>
      <c r="AM54" s="300"/>
      <c r="AN54" s="1523"/>
      <c r="AO54" s="1523" t="s">
        <v>1697</v>
      </c>
      <c r="AP54" s="414"/>
      <c r="AQ54" s="414"/>
      <c r="AR54" s="414"/>
      <c r="AS54" s="1416"/>
      <c r="AT54" s="1416"/>
      <c r="AU54" s="1519"/>
      <c r="AV54" s="1416"/>
      <c r="AW54" s="1519"/>
      <c r="AX54" s="1416"/>
      <c r="AY54" s="1416"/>
      <c r="AZ54" s="1416"/>
      <c r="BA54" s="1416"/>
      <c r="BB54" s="1420"/>
      <c r="BC54" s="2169"/>
      <c r="BE54" s="498"/>
      <c r="BF54" s="498"/>
      <c r="BG54" s="498"/>
      <c r="BH54" s="498"/>
    </row>
    <row customHeight="1" ht="11.25">
      <c r="A55" s="1386" t="s">
        <v>251</v>
      </c>
      <c r="B55" s="1386"/>
      <c r="C55" s="1386"/>
      <c r="D55" s="1386"/>
      <c r="E55" s="2174"/>
      <c r="F55" s="2174"/>
      <c r="G55" s="2174"/>
      <c r="H55" s="2174"/>
      <c r="I55" s="2201"/>
      <c r="J55" s="2201"/>
      <c r="K55" s="2171"/>
      <c r="L55" s="1387"/>
      <c r="P55" s="2172"/>
      <c r="Q55" s="2172"/>
      <c r="R55" s="345"/>
      <c r="S55" s="2248"/>
      <c r="T55" s="2314"/>
      <c r="U55" s="280"/>
      <c r="V55" s="1416"/>
      <c r="W55" s="1519"/>
      <c r="X55" s="1416"/>
      <c r="Y55" s="1519"/>
      <c r="Z55" s="1416"/>
      <c r="AA55" s="1416"/>
      <c r="AB55" s="1416"/>
      <c r="AC55" s="1416"/>
      <c r="AD55" s="2005"/>
      <c r="AE55" s="2233"/>
      <c r="AF55" s="2024"/>
      <c r="AG55" s="2317"/>
      <c r="AH55" s="1928"/>
      <c r="AI55" s="274"/>
      <c r="AJ55" s="413"/>
      <c r="AK55" s="295" t="s">
        <v>1698</v>
      </c>
      <c r="AL55" s="1416"/>
      <c r="AM55" s="1416"/>
      <c r="AN55" s="1416"/>
      <c r="AO55" s="1416"/>
      <c r="AP55" s="1416"/>
      <c r="AQ55" s="1416"/>
      <c r="AR55" s="1416"/>
      <c r="AS55" s="1416"/>
      <c r="AT55" s="1416"/>
      <c r="AU55" s="1519"/>
      <c r="AV55" s="1416"/>
      <c r="AW55" s="1519"/>
      <c r="AX55" s="1416"/>
      <c r="AY55" s="1416"/>
      <c r="AZ55" s="1416"/>
      <c r="BA55" s="1416"/>
      <c r="BB55" s="1420"/>
      <c r="BC55" s="2169"/>
      <c r="BE55" s="498"/>
      <c r="BF55" s="498"/>
      <c r="BG55" s="498"/>
      <c r="BH55" s="498"/>
    </row>
    <row customHeight="1" ht="11.25">
      <c r="A56" s="1386" t="s">
        <v>251</v>
      </c>
      <c r="B56" s="1386" t="s">
        <v>252</v>
      </c>
      <c r="C56" s="1386" t="s">
        <v>253</v>
      </c>
      <c r="D56" s="1386" t="s">
        <v>2066</v>
      </c>
      <c r="E56" s="2174"/>
      <c r="F56" s="2174"/>
      <c r="G56" s="2174"/>
      <c r="H56" s="2174"/>
      <c r="I56" s="2201"/>
      <c r="J56" s="2201"/>
      <c r="K56" s="2171"/>
      <c r="L56" s="1387"/>
      <c r="P56" s="2172"/>
      <c r="Q56" s="2172"/>
      <c r="R56" s="345"/>
      <c r="S56" s="2249"/>
      <c r="T56" s="2315"/>
      <c r="U56" s="280"/>
      <c r="V56" s="1416"/>
      <c r="W56" s="1417" t="str">
        <f>Z52&amp;"-"&amp;AB52</f>
        <v>-</v>
      </c>
      <c r="X56" s="1416"/>
      <c r="Y56" s="1417" t="str">
        <f>AB52&amp;"-"&amp;AD52</f>
        <v>-да</v>
      </c>
      <c r="Z56" s="1416"/>
      <c r="AA56" s="1416"/>
      <c r="AB56" s="1416"/>
      <c r="AC56" s="1416"/>
      <c r="AD56" s="1933"/>
      <c r="AE56" s="294"/>
      <c r="AF56" s="296"/>
      <c r="AG56" s="414" t="s">
        <v>1699</v>
      </c>
      <c r="AH56" s="1416"/>
      <c r="AI56" s="1416"/>
      <c r="AJ56" s="1416"/>
      <c r="AK56" s="1416"/>
      <c r="AL56" s="1416"/>
      <c r="AM56" s="1416"/>
      <c r="AN56" s="1416"/>
      <c r="AO56" s="1416"/>
      <c r="AP56" s="1416"/>
      <c r="AQ56" s="1416"/>
      <c r="AR56" s="1416"/>
      <c r="AS56" s="1416"/>
      <c r="AT56" s="1416"/>
      <c r="AU56" s="1417" t="str">
        <f>AX52&amp;"-"&amp;AZ52</f>
        <v>-</v>
      </c>
      <c r="AV56" s="1416"/>
      <c r="AW56" s="1417" t="str">
        <f>AZ52&amp;"-"&amp;BB52</f>
        <v>-</v>
      </c>
      <c r="AX56" s="1416"/>
      <c r="AY56" s="1416"/>
      <c r="AZ56" s="1416"/>
      <c r="BA56" s="1416"/>
      <c r="BB56" s="1419" t="str">
        <f>BE52&amp;"-"&amp;BG52</f>
        <v>-</v>
      </c>
      <c r="BC56" s="2169"/>
      <c r="BE56" s="498"/>
      <c r="BF56" s="498" t="str">
        <f>IF(T56="","",T56)</f>
        <v/>
      </c>
      <c r="BG56" s="498"/>
      <c r="BH56" s="498"/>
    </row>
    <row customHeight="1" ht="11.25">
      <c r="A57" s="1386" t="s">
        <v>251</v>
      </c>
      <c r="B57" s="1386" t="s">
        <v>252</v>
      </c>
      <c r="C57" s="1386" t="s">
        <v>253</v>
      </c>
      <c r="D57" s="1386" t="s">
        <v>2066</v>
      </c>
      <c r="E57" s="2174"/>
      <c r="F57" s="2174"/>
      <c r="G57" s="2174"/>
      <c r="H57" s="2174"/>
      <c r="I57" s="2201"/>
      <c r="J57" s="2171"/>
      <c r="K57" s="1386"/>
      <c r="L57" s="1387"/>
      <c r="P57" s="2172"/>
      <c r="Q57" s="2172"/>
      <c r="R57" s="344"/>
      <c r="S57" s="1301"/>
      <c r="T57" s="268" t="s">
        <v>539</v>
      </c>
      <c r="U57" s="359"/>
      <c r="V57" s="359"/>
      <c r="W57" s="359"/>
      <c r="X57" s="359"/>
      <c r="Y57" s="359"/>
      <c r="Z57" s="359"/>
      <c r="AA57" s="359"/>
      <c r="AB57" s="359"/>
      <c r="AC57" s="311"/>
      <c r="AD57" s="1528"/>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70"/>
      <c r="BE57" s="498"/>
      <c r="BF57" s="498" t="str">
        <f>IF(T57="","",T57)</f>
        <v>Добавить строку</v>
      </c>
      <c r="BG57" s="498"/>
      <c r="BH57" s="498"/>
    </row>
    <row s="1673" customFormat="1" customHeight="1" ht="0">
      <c r="A58" s="1366" t="s">
        <v>251</v>
      </c>
      <c r="B58" s="1366" t="s">
        <v>252</v>
      </c>
      <c r="C58" s="1366" t="s">
        <v>253</v>
      </c>
      <c r="D58" s="1366" t="s">
        <v>2066</v>
      </c>
      <c r="E58" s="2174"/>
      <c r="F58" s="2174"/>
      <c r="G58" s="2174"/>
      <c r="H58" s="2174"/>
      <c r="I58" s="2171"/>
      <c r="J58" s="1366"/>
      <c r="K58" s="1366"/>
      <c r="L58" s="1369"/>
      <c r="M58" s="508"/>
      <c r="N58" s="508"/>
      <c r="O58" s="508"/>
      <c r="P58" s="2172"/>
      <c r="Q58" s="1504"/>
      <c r="R58" s="344"/>
      <c r="S58" s="1409"/>
      <c r="T58" s="1410"/>
      <c r="U58" s="1411"/>
      <c r="V58" s="1411"/>
      <c r="W58" s="1411"/>
      <c r="X58" s="1411"/>
      <c r="Y58" s="1411"/>
      <c r="Z58" s="1411"/>
      <c r="AA58" s="1411"/>
      <c r="AB58" s="1411"/>
      <c r="AC58" s="1411"/>
      <c r="AD58" s="1411"/>
      <c r="AE58" s="1411"/>
      <c r="AF58" s="1411"/>
      <c r="AG58" s="1411"/>
      <c r="AH58" s="1411"/>
      <c r="AI58" s="1411"/>
      <c r="AJ58" s="1411"/>
      <c r="AK58" s="1411"/>
      <c r="AL58" s="1411"/>
      <c r="AM58" s="1411"/>
      <c r="AN58" s="1411"/>
      <c r="AO58" s="1411"/>
      <c r="AP58" s="1411"/>
      <c r="AQ58" s="1411"/>
      <c r="AR58" s="1411"/>
      <c r="AS58" s="1411"/>
      <c r="AT58" s="1411"/>
      <c r="AU58" s="1411"/>
      <c r="AV58" s="1411"/>
      <c r="AW58" s="1411"/>
      <c r="AX58" s="1411"/>
      <c r="AY58" s="1411"/>
      <c r="AZ58" s="1411"/>
      <c r="BA58" s="1411"/>
      <c r="BB58" s="1411"/>
      <c r="BC58" s="1412"/>
      <c r="BE58" s="498"/>
      <c r="BF58" s="498" t="str">
        <f>IF(T58="","",T58)</f>
        <v/>
      </c>
      <c r="BG58" s="498"/>
      <c r="BH58" s="498"/>
    </row>
    <row s="1673" customFormat="1" customHeight="1" ht="0">
      <c r="A59" s="1366" t="s">
        <v>251</v>
      </c>
      <c r="B59" s="1366" t="s">
        <v>252</v>
      </c>
      <c r="C59" s="1366" t="s">
        <v>253</v>
      </c>
      <c r="D59" s="1366" t="s">
        <v>2066</v>
      </c>
      <c r="E59" s="2174"/>
      <c r="F59" s="2174"/>
      <c r="G59" s="2174"/>
      <c r="H59" s="2173"/>
      <c r="I59" s="1366"/>
      <c r="J59" s="1366"/>
      <c r="K59" s="1366"/>
      <c r="L59" s="1369"/>
      <c r="M59" s="1338"/>
      <c r="N59" s="1338"/>
      <c r="O59" s="516"/>
      <c r="P59" s="376"/>
      <c r="Q59" s="1367"/>
      <c r="R59" s="1424"/>
      <c r="S59" s="1409"/>
      <c r="T59" s="1410"/>
      <c r="U59" s="1411"/>
      <c r="V59" s="1411"/>
      <c r="W59" s="1411"/>
      <c r="X59" s="1411"/>
      <c r="Y59" s="1411"/>
      <c r="Z59" s="1411"/>
      <c r="AA59" s="1411"/>
      <c r="AB59" s="1411"/>
      <c r="AC59" s="1411"/>
      <c r="AD59" s="1411"/>
      <c r="AE59" s="1411"/>
      <c r="AF59" s="1411"/>
      <c r="AG59" s="1411"/>
      <c r="AH59" s="1411"/>
      <c r="AI59" s="1411"/>
      <c r="AJ59" s="1411"/>
      <c r="AK59" s="1411"/>
      <c r="AL59" s="1411"/>
      <c r="AM59" s="1411"/>
      <c r="AN59" s="1411"/>
      <c r="AO59" s="1411"/>
      <c r="AP59" s="1411"/>
      <c r="AQ59" s="1411"/>
      <c r="AR59" s="1411"/>
      <c r="AS59" s="1411"/>
      <c r="AT59" s="1411"/>
      <c r="AU59" s="1411"/>
      <c r="AV59" s="1411"/>
      <c r="AW59" s="1411"/>
      <c r="AX59" s="1411"/>
      <c r="AY59" s="1411"/>
      <c r="AZ59" s="1411"/>
      <c r="BA59" s="1411"/>
      <c r="BB59" s="1411"/>
      <c r="BC59" s="1412"/>
      <c r="BE59" s="498"/>
      <c r="BF59" s="498" t="str">
        <f>IF(T59="","",T59)</f>
        <v/>
      </c>
      <c r="BG59" s="498"/>
      <c r="BH59" s="498"/>
    </row>
    <row s="1673" customFormat="1" customHeight="1" ht="0">
      <c r="A60" s="1366" t="s">
        <v>251</v>
      </c>
      <c r="B60" s="1366" t="s">
        <v>252</v>
      </c>
      <c r="C60" s="1366" t="s">
        <v>253</v>
      </c>
      <c r="D60" s="1337"/>
      <c r="E60" s="2174"/>
      <c r="F60" s="2174"/>
      <c r="G60" s="2173"/>
      <c r="H60" s="1337"/>
      <c r="I60" s="1337"/>
      <c r="J60" s="1337"/>
      <c r="K60" s="1337"/>
      <c r="L60" s="1517"/>
      <c r="M60" s="1338"/>
      <c r="N60" s="1338"/>
      <c r="P60" s="1339"/>
      <c r="Q60" s="1340"/>
      <c r="R60" s="1339"/>
      <c r="S60" s="1345"/>
      <c r="T60" s="1348"/>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1347"/>
      <c r="BC60" s="1347"/>
      <c r="BE60" s="787"/>
      <c r="BF60" s="787" t="str">
        <f>IF(T60="","",T60)</f>
        <v/>
      </c>
      <c r="BG60" s="787"/>
      <c r="BH60" s="787"/>
    </row>
    <row s="1673" customFormat="1" customHeight="1" ht="0">
      <c r="A61" s="1366" t="s">
        <v>251</v>
      </c>
      <c r="B61" s="1366" t="s">
        <v>252</v>
      </c>
      <c r="C61" s="1337"/>
      <c r="D61" s="1337"/>
      <c r="E61" s="2174"/>
      <c r="F61" s="2173"/>
      <c r="G61" s="1337"/>
      <c r="H61" s="1337"/>
      <c r="I61" s="1337"/>
      <c r="J61" s="1337"/>
      <c r="K61" s="1337"/>
      <c r="L61" s="1517"/>
      <c r="M61" s="1344"/>
      <c r="N61" s="1344"/>
      <c r="P61" s="1339"/>
      <c r="Q61" s="1340"/>
      <c r="R61" s="1339"/>
      <c r="S61" s="1345"/>
      <c r="T61" s="1348" t="s">
        <v>433</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1347"/>
      <c r="BC61" s="1347"/>
      <c r="BE61" s="787"/>
      <c r="BF61" s="787" t="str">
        <f>IF(T61="","",T61)</f>
        <v>Добавить централизованную систему для дифференциации</v>
      </c>
      <c r="BG61" s="787"/>
      <c r="BH61" s="787"/>
    </row>
    <row s="1673" customFormat="1" customHeight="1" ht="0">
      <c r="A62" s="1366" t="s">
        <v>251</v>
      </c>
      <c r="B62" s="1366"/>
      <c r="C62" s="1366"/>
      <c r="D62" s="1366"/>
      <c r="E62" s="2173"/>
      <c r="F62" s="1366"/>
      <c r="G62" s="1366"/>
      <c r="H62" s="1366"/>
      <c r="I62" s="1366"/>
      <c r="J62" s="1366"/>
      <c r="K62" s="1366"/>
      <c r="L62" s="1369"/>
      <c r="M62" s="1344"/>
      <c r="N62" s="1344"/>
      <c r="O62" s="516"/>
      <c r="P62" s="376"/>
      <c r="Q62" s="1367"/>
      <c r="R62" s="376"/>
      <c r="S62" s="1345"/>
      <c r="T62" s="1348" t="s">
        <v>434</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1347"/>
      <c r="BC62" s="1347"/>
      <c r="BE62" s="498"/>
      <c r="BF62" s="498" t="str">
        <f>IF(T62="","",T62)</f>
        <v>Добавить территорию для дифференциации</v>
      </c>
      <c r="BG62" s="498"/>
      <c r="BH62" s="498"/>
    </row>
    <row s="1673" customFormat="1" customHeight="1" ht="0">
      <c r="A63" s="1337"/>
      <c r="B63" s="1337"/>
      <c r="C63" s="1337"/>
      <c r="D63" s="1337"/>
      <c r="E63" s="1366"/>
      <c r="F63" s="1337"/>
      <c r="G63" s="1337"/>
      <c r="H63" s="1337"/>
      <c r="I63" s="1337"/>
      <c r="J63" s="1337"/>
      <c r="K63" s="1337"/>
      <c r="L63" s="1517"/>
      <c r="M63" s="1344"/>
      <c r="N63" s="1344"/>
      <c r="P63" s="1339"/>
      <c r="Q63" s="1340"/>
      <c r="R63" s="1339"/>
      <c r="S63" s="1345"/>
      <c r="T63" s="1348" t="s">
        <v>435</v>
      </c>
      <c r="U63" s="1347"/>
      <c r="V63" s="1347"/>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1347"/>
      <c r="BC63" s="1347"/>
      <c r="BE63" s="787"/>
      <c r="BF63" s="787" t="str">
        <f>IF(T63="","",T63)</f>
        <v>Добавить наименование тарифа</v>
      </c>
      <c r="BG63" s="787"/>
      <c r="BH63" s="787"/>
    </row>
    <row customHeight="1" ht="11.25" hidden="1">
      <c r="M64" s="1161"/>
      <c r="N64" s="1161"/>
      <c r="O64" s="535"/>
      <c r="P64" s="1161"/>
      <c r="Q64" s="1161"/>
      <c r="R64" s="1156"/>
      <c r="S64" s="1156"/>
      <c r="BD64" s="1156"/>
      <c r="BE64" s="1156"/>
      <c r="BF64" s="1156"/>
      <c r="BG64" s="1156"/>
      <c r="BH64" s="1156"/>
    </row>
    <row customHeight="1" ht="18.75" hidden="1">
      <c r="O65" s="535"/>
      <c r="S65" s="1266" t="s">
        <v>507</v>
      </c>
      <c r="T65" s="2200" t="s">
        <v>1710</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customHeight="1" ht="14.25" hidden="1">
      <c r="O66" s="535"/>
      <c r="T66" s="1503"/>
      <c r="U66" s="1503"/>
      <c r="V66" s="1503"/>
      <c r="W66" s="1503"/>
      <c r="X66" s="1503"/>
      <c r="Y66" s="1503"/>
      <c r="Z66" s="1503"/>
      <c r="AA66" s="1503"/>
      <c r="AB66" s="1503"/>
      <c r="AC66" s="1503"/>
      <c r="AD66" s="1503"/>
      <c r="AE66" s="1503"/>
      <c r="AF66" s="1503"/>
      <c r="AG66" s="1503"/>
      <c r="AH66" s="1503"/>
      <c r="AI66" s="1503"/>
      <c r="AJ66" s="1503"/>
      <c r="AK66" s="1503"/>
      <c r="AL66" s="1503"/>
      <c r="AM66" s="1503"/>
      <c r="AN66" s="1503"/>
      <c r="AO66" s="1503"/>
      <c r="AP66" s="1503"/>
      <c r="AQ66" s="1503"/>
      <c r="AR66" s="1503"/>
      <c r="AS66" s="1503"/>
      <c r="AT66" s="1503"/>
      <c r="AU66" s="1503"/>
      <c r="AV66" s="1503"/>
      <c r="AW66" s="1503"/>
      <c r="AX66" s="1503"/>
      <c r="AY66" s="1503"/>
      <c r="AZ66" s="1503"/>
      <c r="BA66" s="1503"/>
      <c r="BB66" s="1503"/>
      <c r="BC66" s="1503"/>
    </row>
    <row customHeight="1" ht="18.75" hidden="1">
      <c r="O67" s="535"/>
      <c r="S67" s="1266" t="s">
        <v>507</v>
      </c>
      <c r="T67" s="2200" t="s">
        <v>1711</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customHeight="1" ht="14.25">
      <c r="O68" s="53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C68D4-1A7D-26AF-03EF-07D855859F3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2067</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2068</v>
      </c>
      <c r="AM4" s="498"/>
      <c r="AN4" s="498" t="str">
        <f>IF(T4="","",T4)</f>
        <v>Наименование централизованной системы водоотведения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516">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506" t="s">
        <v>1683</v>
      </c>
      <c r="W38" s="2177" t="s">
        <v>494</v>
      </c>
      <c r="X38" s="2178"/>
      <c r="Y38" s="2177" t="s">
        <v>495</v>
      </c>
      <c r="Z38" s="2184"/>
      <c r="AA38" s="2178"/>
      <c r="AB38" s="2193"/>
      <c r="AC38" s="1506" t="s">
        <v>1683</v>
      </c>
      <c r="AD38" s="2177" t="s">
        <v>494</v>
      </c>
      <c r="AE38" s="2178"/>
      <c r="AF38" s="2177" t="s">
        <v>495</v>
      </c>
      <c r="AG38" s="2184"/>
      <c r="AH38" s="2178"/>
      <c r="AI38" s="2193"/>
      <c r="AJ38" s="2196"/>
      <c r="AK38" s="1948"/>
    </row>
    <row customHeight="1" ht="86.2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506" t="s">
        <v>2069</v>
      </c>
      <c r="W39" s="1230" t="s">
        <v>2070</v>
      </c>
      <c r="X39" s="1230" t="s">
        <v>1688</v>
      </c>
      <c r="Y39" s="1512" t="s">
        <v>505</v>
      </c>
      <c r="Z39" s="2185" t="s">
        <v>506</v>
      </c>
      <c r="AA39" s="2186"/>
      <c r="AB39" s="2194"/>
      <c r="AC39" s="1506" t="s">
        <v>2069</v>
      </c>
      <c r="AD39" s="1230" t="s">
        <v>2070</v>
      </c>
      <c r="AE39" s="1230" t="s">
        <v>1688</v>
      </c>
      <c r="AF39" s="1512" t="s">
        <v>505</v>
      </c>
      <c r="AG39" s="2185" t="s">
        <v>506</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256</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256</v>
      </c>
      <c r="B42" s="1386" t="s">
        <v>257</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256</v>
      </c>
      <c r="B43" s="1386" t="s">
        <v>257</v>
      </c>
      <c r="C43" s="1386" t="s">
        <v>258</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2067</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2068</v>
      </c>
      <c r="AM43" s="498"/>
      <c r="AN43" s="498" t="str">
        <f>IF(T43="","",T43)</f>
        <v>Наименование централизованной системы водоотведения</v>
      </c>
      <c r="AO43" s="498"/>
      <c r="AP43" s="498"/>
    </row>
    <row customHeight="1" ht="23.25">
      <c r="A44" s="1386" t="s">
        <v>256</v>
      </c>
      <c r="B44" s="1386" t="s">
        <v>257</v>
      </c>
      <c r="C44" s="1386" t="s">
        <v>258</v>
      </c>
      <c r="D44" s="1386" t="s">
        <v>2071</v>
      </c>
      <c r="E44" s="2174"/>
      <c r="F44" s="2174"/>
      <c r="G44" s="2174"/>
      <c r="H44" s="2174"/>
      <c r="I44" s="2171" t="str">
        <f>S43&amp;".1"</f>
        <v>...1</v>
      </c>
      <c r="J44" s="1386"/>
      <c r="K44" s="1386"/>
      <c r="L44" s="1387"/>
      <c r="P44" s="2172">
        <v>1</v>
      </c>
      <c r="Q44" s="1504"/>
      <c r="R44" s="344"/>
      <c r="S44" s="1516"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256</v>
      </c>
      <c r="B45" s="1386" t="s">
        <v>257</v>
      </c>
      <c r="C45" s="1386" t="s">
        <v>258</v>
      </c>
      <c r="D45" s="1386" t="s">
        <v>2071</v>
      </c>
      <c r="E45" s="2174"/>
      <c r="F45" s="2174"/>
      <c r="G45" s="2174"/>
      <c r="H45" s="2174"/>
      <c r="I45" s="2201"/>
      <c r="J45" s="2171" t="str">
        <f>I44&amp;".1"</f>
        <v>...1.1</v>
      </c>
      <c r="K45" s="1386"/>
      <c r="L45" s="1387" t="s">
        <v>468</v>
      </c>
      <c r="P45" s="2172"/>
      <c r="Q45" s="2172">
        <v>1</v>
      </c>
      <c r="R45" s="345"/>
      <c r="S45" s="1516"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256</v>
      </c>
      <c r="B46" s="1386" t="s">
        <v>257</v>
      </c>
      <c r="C46" s="1386" t="s">
        <v>258</v>
      </c>
      <c r="D46" s="1386" t="s">
        <v>2071</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58</v>
      </c>
      <c r="AA46" s="2182"/>
      <c r="AB46" s="2183" t="s">
        <v>58</v>
      </c>
      <c r="AC46" s="749"/>
      <c r="AD46" s="749"/>
      <c r="AE46" s="1278"/>
      <c r="AF46" s="2180"/>
      <c r="AG46" s="1928" t="s">
        <v>58</v>
      </c>
      <c r="AH46" s="2202"/>
      <c r="AI46" s="1928" t="s">
        <v>56</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256</v>
      </c>
      <c r="B47" s="1386" t="s">
        <v>257</v>
      </c>
      <c r="C47" s="1386" t="s">
        <v>258</v>
      </c>
      <c r="D47" s="1386" t="s">
        <v>2071</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256</v>
      </c>
      <c r="B48" s="1386" t="s">
        <v>257</v>
      </c>
      <c r="C48" s="1386" t="s">
        <v>258</v>
      </c>
      <c r="D48" s="1386" t="s">
        <v>2071</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256</v>
      </c>
      <c r="B49" s="1386" t="s">
        <v>257</v>
      </c>
      <c r="C49" s="1386" t="s">
        <v>258</v>
      </c>
      <c r="D49" s="1386" t="s">
        <v>2071</v>
      </c>
      <c r="E49" s="2174"/>
      <c r="F49" s="2174"/>
      <c r="G49" s="2174"/>
      <c r="H49" s="2174"/>
      <c r="I49" s="2171"/>
      <c r="J49" s="1386"/>
      <c r="K49" s="1386"/>
      <c r="L49" s="1387"/>
      <c r="P49" s="2172"/>
      <c r="Q49" s="1504"/>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256</v>
      </c>
      <c r="B50" s="1386" t="s">
        <v>257</v>
      </c>
      <c r="C50" s="1386" t="s">
        <v>258</v>
      </c>
      <c r="D50" s="1386" t="s">
        <v>2071</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256</v>
      </c>
      <c r="B51" s="1366" t="s">
        <v>257</v>
      </c>
      <c r="C51" s="1337"/>
      <c r="D51" s="1337"/>
      <c r="E51" s="2174"/>
      <c r="F51" s="2173"/>
      <c r="G51" s="1337"/>
      <c r="H51" s="1337"/>
      <c r="I51" s="1337"/>
      <c r="J51" s="1337"/>
      <c r="K51" s="1337"/>
      <c r="L51" s="1517"/>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256</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2072</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2073</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0EC64-691C-A208-6F37-C6BF9318C5FC}"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127</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459</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460</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2067</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2068</v>
      </c>
      <c r="AM4" s="498"/>
      <c r="AN4" s="498" t="str">
        <f>IF(T4="","",T4)</f>
        <v>Наименование централизованной системы водоотведения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1677</v>
      </c>
      <c r="U5" s="280"/>
      <c r="V5" s="2304"/>
      <c r="W5" s="2305"/>
      <c r="X5" s="2305"/>
      <c r="Y5" s="2305"/>
      <c r="Z5" s="2305"/>
      <c r="AA5" s="2305"/>
      <c r="AB5" s="2306"/>
      <c r="AC5" s="2307"/>
      <c r="AD5" s="2308"/>
      <c r="AE5" s="2308"/>
      <c r="AF5" s="2308"/>
      <c r="AG5" s="2308"/>
      <c r="AH5" s="2308"/>
      <c r="AI5" s="2308"/>
      <c r="AJ5" s="2309"/>
      <c r="AK5" s="1279" t="s">
        <v>1678</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468</v>
      </c>
      <c r="P6" s="2172"/>
      <c r="Q6" s="2172">
        <v>1</v>
      </c>
      <c r="R6" s="345"/>
      <c r="S6" s="1516">
        <f>$J6</f>
      </c>
      <c r="T6" s="267" t="s">
        <v>469</v>
      </c>
      <c r="U6" s="280"/>
      <c r="V6" s="2160"/>
      <c r="W6" s="2161"/>
      <c r="X6" s="2161"/>
      <c r="Y6" s="2161"/>
      <c r="Z6" s="2161"/>
      <c r="AA6" s="2161"/>
      <c r="AB6" s="2162"/>
      <c r="AC6" s="2160"/>
      <c r="AD6" s="2161"/>
      <c r="AE6" s="2161"/>
      <c r="AF6" s="2161"/>
      <c r="AG6" s="2161"/>
      <c r="AH6" s="2161"/>
      <c r="AI6" s="2161"/>
      <c r="AJ6" s="2162"/>
      <c r="AK6" s="1330" t="s">
        <v>1679</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58</v>
      </c>
      <c r="AA7" s="2180"/>
      <c r="AB7" s="1928" t="s">
        <v>58</v>
      </c>
      <c r="AC7" s="749"/>
      <c r="AD7" s="749"/>
      <c r="AE7" s="1278"/>
      <c r="AF7" s="2180"/>
      <c r="AG7" s="1928" t="s">
        <v>58</v>
      </c>
      <c r="AH7" s="2202"/>
      <c r="AI7" s="1928" t="s">
        <v>58</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1680</v>
      </c>
      <c r="U9" s="359"/>
      <c r="V9" s="359"/>
      <c r="W9" s="359"/>
      <c r="X9" s="359"/>
      <c r="Y9" s="359"/>
      <c r="Z9" s="359"/>
      <c r="AA9" s="359"/>
      <c r="AB9" s="359"/>
      <c r="AC9" s="359"/>
      <c r="AD9" s="359"/>
      <c r="AE9" s="359"/>
      <c r="AF9" s="359"/>
      <c r="AG9" s="359"/>
      <c r="AH9" s="359"/>
      <c r="AI9" s="359"/>
      <c r="AJ9" s="359"/>
      <c r="AK9" s="1279" t="s">
        <v>1681</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474</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1682</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433</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434</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58</v>
      </c>
      <c r="AH15" s="2182"/>
      <c r="AI15" s="2183" t="s">
        <v>58</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476</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477</v>
      </c>
      <c r="P20" s="1385"/>
      <c r="Q20" s="1465"/>
      <c r="R20" s="1465"/>
      <c r="S20" s="727"/>
      <c r="T20" s="1161" t="s">
        <v>478</v>
      </c>
      <c r="Z20" s="166" t="s">
        <v>479</v>
      </c>
      <c r="AB20" s="166" t="s">
        <v>480</v>
      </c>
      <c r="AC20" s="1161" t="s">
        <v>478</v>
      </c>
      <c r="AG20" s="166" t="s">
        <v>481</v>
      </c>
      <c r="AI20" s="166" t="s">
        <v>480</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ПАО "ТГК-2"</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39</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482</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483</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40</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484</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485</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486</v>
      </c>
      <c r="AC34" s="314"/>
      <c r="AD34" s="314"/>
      <c r="AE34" s="314"/>
      <c r="AF34" s="314"/>
      <c r="AG34" s="314"/>
      <c r="AH34" s="314"/>
      <c r="AI34" s="259" t="s">
        <v>486</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290</v>
      </c>
      <c r="T36" s="1948"/>
      <c r="U36" s="1948"/>
      <c r="V36" s="1948"/>
      <c r="W36" s="1948"/>
      <c r="X36" s="1948"/>
      <c r="Y36" s="1948"/>
      <c r="Z36" s="1948"/>
      <c r="AA36" s="1948"/>
      <c r="AB36" s="1948"/>
      <c r="AC36" s="1948"/>
      <c r="AD36" s="1948"/>
      <c r="AE36" s="1948"/>
      <c r="AF36" s="1948"/>
      <c r="AG36" s="1948"/>
      <c r="AH36" s="1948"/>
      <c r="AI36" s="1948"/>
      <c r="AJ36" s="1948"/>
      <c r="AK36" s="1948" t="s">
        <v>291</v>
      </c>
    </row>
    <row customHeight="1" ht="14.25">
      <c r="Q37" s="368"/>
      <c r="R37" s="368"/>
      <c r="S37" s="2188" t="s">
        <v>87</v>
      </c>
      <c r="T37" s="2029" t="s">
        <v>487</v>
      </c>
      <c r="U37" s="281"/>
      <c r="V37" s="2189" t="s">
        <v>488</v>
      </c>
      <c r="W37" s="2190"/>
      <c r="X37" s="2190"/>
      <c r="Y37" s="2190"/>
      <c r="Z37" s="2190"/>
      <c r="AA37" s="2191"/>
      <c r="AB37" s="2192" t="s">
        <v>489</v>
      </c>
      <c r="AC37" s="2189" t="s">
        <v>488</v>
      </c>
      <c r="AD37" s="2190"/>
      <c r="AE37" s="2190"/>
      <c r="AF37" s="2190"/>
      <c r="AG37" s="2190"/>
      <c r="AH37" s="2191"/>
      <c r="AI37" s="2192" t="s">
        <v>490</v>
      </c>
      <c r="AJ37" s="2195" t="s">
        <v>491</v>
      </c>
      <c r="AK37" s="1948"/>
    </row>
    <row customHeight="1" ht="33.75">
      <c r="Q38" s="368"/>
      <c r="R38" s="368"/>
      <c r="S38" s="2188"/>
      <c r="T38" s="2029"/>
      <c r="U38" s="1032"/>
      <c r="V38" s="1506" t="s">
        <v>1683</v>
      </c>
      <c r="W38" s="2177" t="s">
        <v>494</v>
      </c>
      <c r="X38" s="2178"/>
      <c r="Y38" s="2177" t="s">
        <v>495</v>
      </c>
      <c r="Z38" s="2184"/>
      <c r="AA38" s="2178"/>
      <c r="AB38" s="2193"/>
      <c r="AC38" s="1506" t="s">
        <v>1683</v>
      </c>
      <c r="AD38" s="2177" t="s">
        <v>494</v>
      </c>
      <c r="AE38" s="2178"/>
      <c r="AF38" s="2177" t="s">
        <v>495</v>
      </c>
      <c r="AG38" s="2184"/>
      <c r="AH38" s="2178"/>
      <c r="AI38" s="2193"/>
      <c r="AJ38" s="2196"/>
      <c r="AK38" s="1948"/>
    </row>
    <row customHeight="1" ht="86.25">
      <c r="A39" s="1393"/>
      <c r="B39" s="1393" t="s">
        <v>139</v>
      </c>
      <c r="C39" s="1393" t="s">
        <v>140</v>
      </c>
      <c r="D39" s="1393" t="s">
        <v>141</v>
      </c>
      <c r="E39" s="1387" t="s">
        <v>496</v>
      </c>
      <c r="F39" s="1387" t="s">
        <v>497</v>
      </c>
      <c r="G39" s="1387" t="s">
        <v>498</v>
      </c>
      <c r="H39" s="1387"/>
      <c r="I39" s="1387" t="s">
        <v>1684</v>
      </c>
      <c r="J39" s="1387" t="s">
        <v>501</v>
      </c>
      <c r="K39" s="1387" t="s">
        <v>1685</v>
      </c>
      <c r="L39" s="1387" t="s">
        <v>477</v>
      </c>
      <c r="Q39" s="368"/>
      <c r="R39" s="368"/>
      <c r="S39" s="2188"/>
      <c r="T39" s="2029"/>
      <c r="U39" s="282"/>
      <c r="V39" s="1506" t="s">
        <v>2069</v>
      </c>
      <c r="W39" s="1230" t="s">
        <v>2070</v>
      </c>
      <c r="X39" s="1230" t="s">
        <v>1688</v>
      </c>
      <c r="Y39" s="1512" t="s">
        <v>505</v>
      </c>
      <c r="Z39" s="2185" t="s">
        <v>506</v>
      </c>
      <c r="AA39" s="2186"/>
      <c r="AB39" s="2194"/>
      <c r="AC39" s="1506" t="s">
        <v>2069</v>
      </c>
      <c r="AD39" s="1230" t="s">
        <v>2070</v>
      </c>
      <c r="AE39" s="1230" t="s">
        <v>1688</v>
      </c>
      <c r="AF39" s="1512" t="s">
        <v>505</v>
      </c>
      <c r="AG39" s="2185" t="s">
        <v>506</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108</v>
      </c>
      <c r="T40" s="1274" t="s">
        <v>109</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261</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127</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261</v>
      </c>
      <c r="B42" s="1386" t="s">
        <v>262</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459</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460</v>
      </c>
      <c r="AM42" s="498"/>
      <c r="AN42" s="498" t="str">
        <f>IF(T42="","",T42)</f>
        <v>Территория действия тарифа</v>
      </c>
      <c r="AO42" s="498"/>
      <c r="AP42" s="498"/>
    </row>
    <row customHeight="1" ht="23.25">
      <c r="A43" s="1386" t="s">
        <v>261</v>
      </c>
      <c r="B43" s="1386" t="s">
        <v>262</v>
      </c>
      <c r="C43" s="1386" t="s">
        <v>263</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2067</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2068</v>
      </c>
      <c r="AM43" s="498"/>
      <c r="AN43" s="498" t="str">
        <f>IF(T43="","",T43)</f>
        <v>Наименование централизованной системы водоотведения</v>
      </c>
      <c r="AO43" s="498"/>
      <c r="AP43" s="498"/>
    </row>
    <row customHeight="1" ht="23.25">
      <c r="A44" s="1386" t="s">
        <v>261</v>
      </c>
      <c r="B44" s="1386" t="s">
        <v>262</v>
      </c>
      <c r="C44" s="1386" t="s">
        <v>263</v>
      </c>
      <c r="D44" s="1386" t="s">
        <v>2074</v>
      </c>
      <c r="E44" s="2174"/>
      <c r="F44" s="2174"/>
      <c r="G44" s="2174"/>
      <c r="H44" s="2174"/>
      <c r="I44" s="2171" t="str">
        <f>S43&amp;".1"</f>
        <v>...1</v>
      </c>
      <c r="J44" s="1386"/>
      <c r="K44" s="1386"/>
      <c r="L44" s="1387"/>
      <c r="P44" s="2172">
        <v>1</v>
      </c>
      <c r="Q44" s="1504"/>
      <c r="R44" s="344"/>
      <c r="S44" s="1516" t="str">
        <f>$I44</f>
        <v>...1</v>
      </c>
      <c r="T44" s="266" t="s">
        <v>1677</v>
      </c>
      <c r="U44" s="280"/>
      <c r="V44" s="2304"/>
      <c r="W44" s="2305"/>
      <c r="X44" s="2305"/>
      <c r="Y44" s="2305"/>
      <c r="Z44" s="2305"/>
      <c r="AA44" s="2305"/>
      <c r="AB44" s="2306"/>
      <c r="AC44" s="2307"/>
      <c r="AD44" s="2308"/>
      <c r="AE44" s="2308"/>
      <c r="AF44" s="2308"/>
      <c r="AG44" s="2308"/>
      <c r="AH44" s="2308"/>
      <c r="AI44" s="2308"/>
      <c r="AJ44" s="2309"/>
      <c r="AK44" s="1279" t="s">
        <v>1678</v>
      </c>
      <c r="AM44" s="498"/>
      <c r="AN44" s="498" t="str">
        <f>IF(T44="","",T44)</f>
        <v>Наименование признака дифференциации</v>
      </c>
      <c r="AO44" s="498"/>
      <c r="AP44" s="498"/>
    </row>
    <row customHeight="1" ht="23.25">
      <c r="A45" s="1386" t="s">
        <v>261</v>
      </c>
      <c r="B45" s="1386" t="s">
        <v>262</v>
      </c>
      <c r="C45" s="1386" t="s">
        <v>263</v>
      </c>
      <c r="D45" s="1386" t="s">
        <v>2074</v>
      </c>
      <c r="E45" s="2174"/>
      <c r="F45" s="2174"/>
      <c r="G45" s="2174"/>
      <c r="H45" s="2174"/>
      <c r="I45" s="2201"/>
      <c r="J45" s="2171" t="str">
        <f>I44&amp;".1"</f>
        <v>...1.1</v>
      </c>
      <c r="K45" s="1386"/>
      <c r="L45" s="1387" t="s">
        <v>468</v>
      </c>
      <c r="P45" s="2172"/>
      <c r="Q45" s="2172">
        <v>1</v>
      </c>
      <c r="R45" s="345"/>
      <c r="S45" s="1516" t="str">
        <f>$J45</f>
        <v>...1.1</v>
      </c>
      <c r="T45" s="267" t="s">
        <v>469</v>
      </c>
      <c r="U45" s="280"/>
      <c r="V45" s="2160"/>
      <c r="W45" s="2161"/>
      <c r="X45" s="2161"/>
      <c r="Y45" s="2161"/>
      <c r="Z45" s="2161"/>
      <c r="AA45" s="2161"/>
      <c r="AB45" s="2162"/>
      <c r="AC45" s="2160"/>
      <c r="AD45" s="2161"/>
      <c r="AE45" s="2161"/>
      <c r="AF45" s="2161"/>
      <c r="AG45" s="2161"/>
      <c r="AH45" s="2161"/>
      <c r="AI45" s="2161"/>
      <c r="AJ45" s="2162"/>
      <c r="AK45" s="1330" t="s">
        <v>1679</v>
      </c>
      <c r="AM45" s="498"/>
      <c r="AN45" s="498" t="str">
        <f>IF(T45="","",T45)</f>
        <v>Группа потребителей</v>
      </c>
      <c r="AO45" s="498"/>
      <c r="AP45" s="498"/>
    </row>
    <row customHeight="1" ht="23.25">
      <c r="A46" s="1386" t="s">
        <v>261</v>
      </c>
      <c r="B46" s="1386" t="s">
        <v>262</v>
      </c>
      <c r="C46" s="1386" t="s">
        <v>263</v>
      </c>
      <c r="D46" s="1386" t="s">
        <v>2074</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58</v>
      </c>
      <c r="AA46" s="2182"/>
      <c r="AB46" s="2183" t="s">
        <v>58</v>
      </c>
      <c r="AC46" s="749"/>
      <c r="AD46" s="749"/>
      <c r="AE46" s="1278"/>
      <c r="AF46" s="2180"/>
      <c r="AG46" s="1928" t="s">
        <v>58</v>
      </c>
      <c r="AH46" s="2202"/>
      <c r="AI46" s="1928" t="s">
        <v>56</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261</v>
      </c>
      <c r="B47" s="1386" t="s">
        <v>262</v>
      </c>
      <c r="C47" s="1386" t="s">
        <v>263</v>
      </c>
      <c r="D47" s="1386" t="s">
        <v>2074</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261</v>
      </c>
      <c r="B48" s="1386" t="s">
        <v>262</v>
      </c>
      <c r="C48" s="1386" t="s">
        <v>263</v>
      </c>
      <c r="D48" s="1386" t="s">
        <v>2074</v>
      </c>
      <c r="E48" s="2174"/>
      <c r="F48" s="2174"/>
      <c r="G48" s="2174"/>
      <c r="H48" s="2174"/>
      <c r="I48" s="2201"/>
      <c r="J48" s="2171"/>
      <c r="K48" s="1386"/>
      <c r="L48" s="1387"/>
      <c r="P48" s="2172"/>
      <c r="Q48" s="2172"/>
      <c r="R48" s="344"/>
      <c r="S48" s="1301"/>
      <c r="T48" s="268" t="s">
        <v>1680</v>
      </c>
      <c r="U48" s="359"/>
      <c r="V48" s="359"/>
      <c r="W48" s="359"/>
      <c r="X48" s="359"/>
      <c r="Y48" s="359"/>
      <c r="Z48" s="359"/>
      <c r="AA48" s="359"/>
      <c r="AB48" s="359"/>
      <c r="AC48" s="359"/>
      <c r="AD48" s="359"/>
      <c r="AE48" s="359"/>
      <c r="AF48" s="359"/>
      <c r="AG48" s="359"/>
      <c r="AH48" s="359"/>
      <c r="AI48" s="359"/>
      <c r="AJ48" s="359"/>
      <c r="AK48" s="1279" t="s">
        <v>1681</v>
      </c>
      <c r="AM48" s="498"/>
      <c r="AN48" s="498" t="str">
        <f>IF(T48="","",T48)</f>
        <v>Добавить значение признака дифференциации</v>
      </c>
      <c r="AO48" s="498"/>
      <c r="AP48" s="498"/>
    </row>
    <row customHeight="1" ht="21">
      <c r="A49" s="1386" t="s">
        <v>261</v>
      </c>
      <c r="B49" s="1386" t="s">
        <v>262</v>
      </c>
      <c r="C49" s="1386" t="s">
        <v>263</v>
      </c>
      <c r="D49" s="1386" t="s">
        <v>2074</v>
      </c>
      <c r="E49" s="2174"/>
      <c r="F49" s="2174"/>
      <c r="G49" s="2174"/>
      <c r="H49" s="2174"/>
      <c r="I49" s="2171"/>
      <c r="J49" s="1386"/>
      <c r="K49" s="1386"/>
      <c r="L49" s="1387"/>
      <c r="P49" s="2172"/>
      <c r="Q49" s="1504"/>
      <c r="R49" s="344"/>
      <c r="S49" s="1301"/>
      <c r="T49" s="356" t="s">
        <v>474</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261</v>
      </c>
      <c r="B50" s="1386" t="s">
        <v>262</v>
      </c>
      <c r="C50" s="1386" t="s">
        <v>263</v>
      </c>
      <c r="D50" s="1386" t="s">
        <v>2074</v>
      </c>
      <c r="E50" s="2174"/>
      <c r="F50" s="2174"/>
      <c r="G50" s="2174"/>
      <c r="H50" s="2173"/>
      <c r="I50" s="1386"/>
      <c r="J50" s="1386"/>
      <c r="K50" s="1386"/>
      <c r="L50" s="1387"/>
      <c r="M50" s="1388"/>
      <c r="N50" s="1388"/>
      <c r="O50" s="535"/>
      <c r="P50" s="348"/>
      <c r="Q50" s="367"/>
      <c r="R50" s="343"/>
      <c r="S50" s="1301"/>
      <c r="T50" s="364" t="s">
        <v>1682</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261</v>
      </c>
      <c r="B51" s="1366" t="s">
        <v>262</v>
      </c>
      <c r="C51" s="1337"/>
      <c r="D51" s="1337"/>
      <c r="E51" s="2174"/>
      <c r="F51" s="2173"/>
      <c r="G51" s="1337"/>
      <c r="H51" s="1337"/>
      <c r="I51" s="1337"/>
      <c r="J51" s="1337"/>
      <c r="K51" s="1337"/>
      <c r="L51" s="1517"/>
      <c r="M51" s="1344"/>
      <c r="N51" s="1344"/>
      <c r="P51" s="1339"/>
      <c r="Q51" s="1340"/>
      <c r="R51" s="1339"/>
      <c r="S51" s="1345"/>
      <c r="T51" s="1348" t="s">
        <v>433</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261</v>
      </c>
      <c r="B52" s="1366"/>
      <c r="C52" s="1366"/>
      <c r="D52" s="1366"/>
      <c r="E52" s="2173"/>
      <c r="F52" s="1366"/>
      <c r="G52" s="1366"/>
      <c r="H52" s="1366"/>
      <c r="I52" s="1366"/>
      <c r="J52" s="1366"/>
      <c r="K52" s="1366"/>
      <c r="L52" s="1369"/>
      <c r="M52" s="1344"/>
      <c r="N52" s="1344"/>
      <c r="O52" s="516"/>
      <c r="P52" s="376"/>
      <c r="Q52" s="1367"/>
      <c r="R52" s="376"/>
      <c r="S52" s="1345"/>
      <c r="T52" s="1348" t="s">
        <v>434</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435</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507</v>
      </c>
      <c r="T55" s="2200" t="s">
        <v>2072</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507</v>
      </c>
      <c r="T57" s="2200" t="s">
        <v>2073</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4805C-25B9-2AD6-F498-DEC540BDA7ED}"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1389" width="11.57421875" hidden="1" customWidth="1"/>
    <col min="2" max="2" style="1389" width="11.00390625" hidden="1" customWidth="1"/>
    <col min="3" max="3" style="1389" width="10.57421875" hidden="1"/>
    <col min="4" max="4" style="1389" width="12.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5" style="1666" width="21.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2" style="1666" width="3.7109375" customWidth="1"/>
    <col min="33" max="33" style="1666" width="24.7109375" customWidth="1"/>
    <col min="34" max="36" style="1666" width="3.7109375" customWidth="1"/>
    <col min="37" max="37" style="1666" width="24.7109375" customWidth="1"/>
    <col min="38" max="40" style="1666" width="3.7109375" customWidth="1"/>
    <col min="41" max="41" style="1666" width="18.8515625" customWidth="1"/>
    <col min="42" max="44" style="1666" width="3.7109375" customWidth="1"/>
    <col min="45" max="45" style="1666" width="18.8515625" customWidth="1"/>
    <col min="46" max="49" style="1666" width="21.7109375" customWidth="1"/>
    <col min="50" max="50" style="1666" width="11.7109375" customWidth="1"/>
    <col min="51" max="51" style="1666" width="3.7109375" customWidth="1"/>
    <col min="52" max="52" style="1666" width="11.7109375" customWidth="1"/>
    <col min="53" max="53" style="1666" width="8.57421875" hidden="1" customWidth="1"/>
    <col min="54" max="54" style="1666" width="4.7109375" customWidth="1"/>
    <col min="55" max="55" style="1666" width="115.7109375" customWidth="1"/>
    <col min="56" max="57" style="1673" width="10.57421875"/>
    <col min="58" max="58" style="1673" width="11.140625" customWidth="1"/>
    <col min="59" max="60" style="1673" width="10.57421875"/>
  </cols>
  <sheetData>
    <row customHeight="1" ht="14.25" hidden="1">
      <c r="W1" s="315"/>
      <c r="Y1" s="315"/>
      <c r="Z1" s="315"/>
      <c r="AW1" s="315"/>
      <c r="AX1" s="315"/>
    </row>
    <row customHeight="1" ht="21" hidden="1">
      <c r="A2" s="1386"/>
      <c r="B2" s="1386"/>
      <c r="C2" s="1386"/>
      <c r="D2" s="1386"/>
      <c r="E2" s="2173">
        <v>1</v>
      </c>
      <c r="F2" s="1386"/>
      <c r="G2" s="1386"/>
      <c r="H2" s="1386"/>
      <c r="I2" s="1386"/>
      <c r="J2" s="1386"/>
      <c r="K2" s="1386"/>
      <c r="L2" s="1387"/>
      <c r="M2" s="1388"/>
      <c r="N2" s="1388"/>
      <c r="O2" s="1388"/>
      <c r="P2" s="1432"/>
      <c r="Q2" s="871"/>
      <c r="R2" s="343"/>
      <c r="S2" s="1516">
        <f>INDEX(PT_DIFFERENTIATION_NUM_NTAR,MATCH(A2,PT_DIFFERENTIATION_NTAR_ID,0))</f>
      </c>
      <c r="T2" s="278" t="s">
        <v>127</v>
      </c>
      <c r="U2" s="280"/>
      <c r="V2" s="2158"/>
      <c r="W2" s="2158"/>
      <c r="X2" s="2158"/>
      <c r="Y2" s="2158"/>
      <c r="Z2" s="2158"/>
      <c r="AA2" s="2158"/>
      <c r="AB2" s="2158"/>
      <c r="AC2" s="2159"/>
      <c r="AD2" s="2157">
        <f>INDEX(PT_DIFFERENTIATION_NTAR,MATCH(A2,PT_DIFFERENTIATION_NTAR_ID,0))</f>
      </c>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9"/>
      <c r="BC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8"/>
      <c r="BF2" s="498" t="str">
        <f>IF(T2="","",T2)</f>
        <v>Наименование тарифа</v>
      </c>
      <c r="BG2" s="498"/>
      <c r="BH2" s="498"/>
    </row>
    <row customHeight="1" ht="21" hidden="1">
      <c r="A3" s="1386"/>
      <c r="B3" s="1386"/>
      <c r="C3" s="1386"/>
      <c r="D3" s="1386"/>
      <c r="E3" s="2174"/>
      <c r="F3" s="2173">
        <v>1</v>
      </c>
      <c r="G3" s="1386"/>
      <c r="H3" s="1386"/>
      <c r="I3" s="1386"/>
      <c r="J3" s="1386"/>
      <c r="K3" s="1386"/>
      <c r="L3" s="1387"/>
      <c r="M3" s="1388"/>
      <c r="N3" s="1388"/>
      <c r="O3" s="1388"/>
      <c r="P3" s="1433"/>
      <c r="Q3" s="1434"/>
      <c r="R3" s="341"/>
      <c r="S3" s="1516">
        <f>INDEX(PT_DIFFERENTIATION_NUM_TER,MATCH(B3,PT_DIFFERENTIATION_TER_ID,0))</f>
      </c>
      <c r="T3" s="290" t="s">
        <v>459</v>
      </c>
      <c r="U3" s="280"/>
      <c r="V3" s="2158"/>
      <c r="W3" s="2158"/>
      <c r="X3" s="2158"/>
      <c r="Y3" s="2158"/>
      <c r="Z3" s="2158"/>
      <c r="AA3" s="2158"/>
      <c r="AB3" s="2158"/>
      <c r="AC3" s="2159"/>
      <c r="AD3" s="2157">
        <f>INDEX(PT_DIFFERENTIATION_TER,MATCH(B3,PT_DIFFERENTIATION_TER_ID,0))</f>
      </c>
      <c r="AE3" s="2158"/>
      <c r="AF3" s="2158"/>
      <c r="AG3" s="2158"/>
      <c r="AH3" s="2158"/>
      <c r="AI3" s="2158"/>
      <c r="AJ3" s="2158"/>
      <c r="AK3" s="2158"/>
      <c r="AL3" s="2158"/>
      <c r="AM3" s="2158"/>
      <c r="AN3" s="2158"/>
      <c r="AO3" s="2158"/>
      <c r="AP3" s="2158"/>
      <c r="AQ3" s="2158"/>
      <c r="AR3" s="2158"/>
      <c r="AS3" s="2158"/>
      <c r="AT3" s="2158"/>
      <c r="AU3" s="2158"/>
      <c r="AV3" s="2158"/>
      <c r="AW3" s="2158"/>
      <c r="AX3" s="2158"/>
      <c r="AY3" s="2158"/>
      <c r="AZ3" s="2158"/>
      <c r="BA3" s="2158"/>
      <c r="BB3" s="2159"/>
      <c r="BC3" s="1279" t="s">
        <v>460</v>
      </c>
      <c r="BE3" s="498"/>
      <c r="BF3" s="498" t="str">
        <f>IF(T3="","",T3)</f>
        <v>Территория действия тарифа</v>
      </c>
      <c r="BG3" s="498"/>
      <c r="BH3" s="498"/>
    </row>
    <row customHeight="1" ht="33.75" hidden="1">
      <c r="A4" s="1386"/>
      <c r="B4" s="1386"/>
      <c r="C4" s="1386"/>
      <c r="D4" s="1386"/>
      <c r="E4" s="2174"/>
      <c r="F4" s="2174"/>
      <c r="G4" s="2173">
        <v>1</v>
      </c>
      <c r="H4" s="1386"/>
      <c r="I4" s="1386"/>
      <c r="J4" s="1386"/>
      <c r="K4" s="1386"/>
      <c r="L4" s="1387"/>
      <c r="M4" s="1388"/>
      <c r="N4" s="1388"/>
      <c r="O4" s="1388"/>
      <c r="P4" s="1435"/>
      <c r="Q4" s="1434"/>
      <c r="R4" s="341"/>
      <c r="S4" s="1516">
        <f>INDEX(PT_DIFFERENTIATION_NUM_CS,MATCH(C4,PT_DIFFERENTIATION_CS_ID,0))</f>
      </c>
      <c r="T4" s="291" t="s">
        <v>2067</v>
      </c>
      <c r="U4" s="280"/>
      <c r="V4" s="2158"/>
      <c r="W4" s="2158"/>
      <c r="X4" s="2158"/>
      <c r="Y4" s="2158"/>
      <c r="Z4" s="2158"/>
      <c r="AA4" s="2158"/>
      <c r="AB4" s="2158"/>
      <c r="AC4" s="2159"/>
      <c r="AD4" s="2157">
        <f>INDEX(PT_DIFFERENTIATION_CS,MATCH(C4,PT_DIFFERENTIATION_CS_ID,0))</f>
      </c>
      <c r="AE4" s="2158"/>
      <c r="AF4" s="2158"/>
      <c r="AG4" s="2158"/>
      <c r="AH4" s="2158"/>
      <c r="AI4" s="2158"/>
      <c r="AJ4" s="2158"/>
      <c r="AK4" s="2158"/>
      <c r="AL4" s="2158"/>
      <c r="AM4" s="2158"/>
      <c r="AN4" s="2158"/>
      <c r="AO4" s="2158"/>
      <c r="AP4" s="2158"/>
      <c r="AQ4" s="2158"/>
      <c r="AR4" s="2158"/>
      <c r="AS4" s="2158"/>
      <c r="AT4" s="2158"/>
      <c r="AU4" s="2158"/>
      <c r="AV4" s="2158"/>
      <c r="AW4" s="2158"/>
      <c r="AX4" s="2158"/>
      <c r="AY4" s="2158"/>
      <c r="AZ4" s="2158"/>
      <c r="BA4" s="2158"/>
      <c r="BB4" s="2159"/>
      <c r="BC4" s="1279" t="s">
        <v>2068</v>
      </c>
      <c r="BE4" s="498"/>
      <c r="BF4" s="498" t="str">
        <f>IF(T4="","",T4)</f>
        <v>Наименование централизованной системы водоотведения</v>
      </c>
      <c r="BG4" s="498"/>
      <c r="BH4" s="498"/>
    </row>
    <row s="1673" customFormat="1" customHeight="1" ht="14.25" hidden="1">
      <c r="A5" s="1366"/>
      <c r="B5" s="1366"/>
      <c r="C5" s="1366"/>
      <c r="D5" s="1366"/>
      <c r="E5" s="2174"/>
      <c r="F5" s="2174"/>
      <c r="G5" s="2174"/>
      <c r="H5" s="2173">
        <v>1</v>
      </c>
      <c r="I5" s="1366"/>
      <c r="J5" s="1366"/>
      <c r="K5" s="1366"/>
      <c r="L5" s="1369"/>
      <c r="M5" s="1338"/>
      <c r="N5" s="1338"/>
      <c r="O5" s="1338"/>
      <c r="P5" s="1520"/>
      <c r="Q5" s="1521"/>
      <c r="R5" s="345"/>
      <c r="S5" s="1043"/>
      <c r="T5" s="1522"/>
      <c r="U5" s="1407"/>
      <c r="V5" s="2210"/>
      <c r="W5" s="2210"/>
      <c r="X5" s="2210"/>
      <c r="Y5" s="2210"/>
      <c r="Z5" s="2210"/>
      <c r="AA5" s="2210"/>
      <c r="AB5" s="2210"/>
      <c r="AC5" s="2211"/>
      <c r="AD5" s="2209"/>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1"/>
      <c r="BC5" s="1408" t="s">
        <v>464</v>
      </c>
      <c r="BE5" s="498"/>
      <c r="BF5" s="498" t="str">
        <f>IF(T5="","",T5)</f>
        <v/>
      </c>
      <c r="BG5" s="498"/>
      <c r="BH5" s="498"/>
    </row>
    <row s="1673" customFormat="1" customHeight="1" ht="14.25" hidden="1">
      <c r="A6" s="1366"/>
      <c r="B6" s="1366"/>
      <c r="C6" s="1366"/>
      <c r="D6" s="1366"/>
      <c r="E6" s="2174"/>
      <c r="F6" s="2174"/>
      <c r="G6" s="2174"/>
      <c r="H6" s="2174"/>
      <c r="I6" s="2171" t="str">
        <f>S5&amp;".1"</f>
        <v>.1</v>
      </c>
      <c r="J6" s="1366"/>
      <c r="K6" s="1366"/>
      <c r="L6" s="1369" t="s">
        <v>465</v>
      </c>
      <c r="M6" s="508"/>
      <c r="N6" s="508"/>
      <c r="O6" s="508"/>
      <c r="P6" s="2172">
        <v>1</v>
      </c>
      <c r="Q6" s="1504"/>
      <c r="R6" s="344"/>
      <c r="S6" s="1043"/>
      <c r="T6" s="1406"/>
      <c r="U6" s="1407"/>
      <c r="V6" s="2210"/>
      <c r="W6" s="2210"/>
      <c r="X6" s="2210"/>
      <c r="Y6" s="2210"/>
      <c r="Z6" s="2210"/>
      <c r="AA6" s="2210"/>
      <c r="AB6" s="2210"/>
      <c r="AC6" s="2211"/>
      <c r="AD6" s="2209"/>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1"/>
      <c r="BC6" s="1408"/>
      <c r="BE6" s="498"/>
      <c r="BF6" s="498" t="str">
        <f>IF(T6="","",T6)</f>
        <v/>
      </c>
      <c r="BG6" s="498"/>
      <c r="BH6" s="498"/>
    </row>
    <row s="1673" customFormat="1" customHeight="1" ht="14.25" hidden="1">
      <c r="A7" s="1366"/>
      <c r="B7" s="1366"/>
      <c r="C7" s="1366"/>
      <c r="D7" s="1366"/>
      <c r="E7" s="2174"/>
      <c r="F7" s="2174"/>
      <c r="G7" s="2174"/>
      <c r="H7" s="2174"/>
      <c r="I7" s="2201"/>
      <c r="J7" s="2171" t="str">
        <f>S5&amp;".1"</f>
        <v>.1</v>
      </c>
      <c r="K7" s="1366"/>
      <c r="L7" s="1369"/>
      <c r="M7" s="508"/>
      <c r="N7" s="508"/>
      <c r="O7" s="508"/>
      <c r="P7" s="2172"/>
      <c r="Q7" s="2172">
        <v>1</v>
      </c>
      <c r="R7" s="345"/>
      <c r="S7" s="1043"/>
      <c r="T7" s="1422"/>
      <c r="U7" s="1407"/>
      <c r="V7" s="2210"/>
      <c r="W7" s="2210"/>
      <c r="X7" s="2210"/>
      <c r="Y7" s="2210"/>
      <c r="Z7" s="2210"/>
      <c r="AA7" s="2210"/>
      <c r="AB7" s="2210"/>
      <c r="AC7" s="2211"/>
      <c r="AD7" s="2209"/>
      <c r="AE7" s="2210"/>
      <c r="AF7" s="2210"/>
      <c r="AG7" s="2210"/>
      <c r="AH7" s="2210"/>
      <c r="AI7" s="2210"/>
      <c r="AJ7" s="2210"/>
      <c r="AK7" s="2210"/>
      <c r="AL7" s="2210"/>
      <c r="AM7" s="2210"/>
      <c r="AN7" s="2210"/>
      <c r="AO7" s="2210"/>
      <c r="AP7" s="2210"/>
      <c r="AQ7" s="2210"/>
      <c r="AR7" s="2210"/>
      <c r="AS7" s="2210"/>
      <c r="AT7" s="2210"/>
      <c r="AU7" s="2210"/>
      <c r="AV7" s="2210"/>
      <c r="AW7" s="2210"/>
      <c r="AX7" s="2210"/>
      <c r="AY7" s="2210"/>
      <c r="AZ7" s="2210"/>
      <c r="BA7" s="2210"/>
      <c r="BB7" s="2211"/>
      <c r="BC7" s="1408"/>
      <c r="BE7" s="498"/>
      <c r="BF7" s="498" t="str">
        <f>IF(T7="","",T7)</f>
        <v/>
      </c>
      <c r="BG7" s="498"/>
      <c r="BH7" s="498"/>
    </row>
    <row customHeight="1" ht="11.25" hidden="1">
      <c r="A8" s="1386"/>
      <c r="B8" s="1386"/>
      <c r="C8" s="1386"/>
      <c r="D8" s="1386"/>
      <c r="E8" s="2174"/>
      <c r="F8" s="2174"/>
      <c r="G8" s="2174"/>
      <c r="H8" s="2174"/>
      <c r="I8" s="2201"/>
      <c r="J8" s="2201"/>
      <c r="K8" s="2171">
        <f>S4&amp;".1"</f>
      </c>
      <c r="L8" s="1387"/>
      <c r="P8" s="2172"/>
      <c r="Q8" s="2172"/>
      <c r="R8" s="2253">
        <v>1</v>
      </c>
      <c r="S8" s="2247">
        <f>$K8</f>
      </c>
      <c r="T8" s="2313"/>
      <c r="U8" s="280"/>
      <c r="V8" s="749"/>
      <c r="W8" s="1278"/>
      <c r="X8" s="749"/>
      <c r="Y8" s="1278"/>
      <c r="Z8" s="1764"/>
      <c r="AA8" s="1492" t="s">
        <v>58</v>
      </c>
      <c r="AB8" s="1764"/>
      <c r="AC8" s="1492" t="s">
        <v>58</v>
      </c>
      <c r="AD8" s="2004" t="s">
        <v>58</v>
      </c>
      <c r="AE8" s="2233"/>
      <c r="AF8" s="2024">
        <v>1</v>
      </c>
      <c r="AG8" s="2317"/>
      <c r="AH8" s="1928" t="s">
        <v>58</v>
      </c>
      <c r="AI8" s="2233"/>
      <c r="AJ8" s="2024">
        <v>1</v>
      </c>
      <c r="AK8" s="2316" t="s">
        <v>18</v>
      </c>
      <c r="AL8" s="1928" t="s">
        <v>58</v>
      </c>
      <c r="AM8" s="2011"/>
      <c r="AN8" s="2024">
        <v>1</v>
      </c>
      <c r="AO8" s="2310"/>
      <c r="AP8" s="2311" t="s">
        <v>58</v>
      </c>
      <c r="AQ8" s="293"/>
      <c r="AR8" s="1509">
        <v>1</v>
      </c>
      <c r="AS8" s="1515" t="s">
        <v>18</v>
      </c>
      <c r="AT8" s="749"/>
      <c r="AU8" s="1278"/>
      <c r="AV8" s="749"/>
      <c r="AW8" s="1278"/>
      <c r="AX8" s="1764"/>
      <c r="AY8" s="1492" t="s">
        <v>58</v>
      </c>
      <c r="AZ8" s="1764"/>
      <c r="BA8" s="1492" t="s">
        <v>58</v>
      </c>
      <c r="BB8" s="1371"/>
      <c r="BC8" s="2168" t="s">
        <v>1695</v>
      </c>
      <c r="BE8" s="498"/>
      <c r="BF8" s="498" t="str">
        <f>IF(T8="","",T8)</f>
        <v/>
      </c>
      <c r="BG8" s="498"/>
      <c r="BH8" s="498"/>
    </row>
    <row customHeight="1" ht="11.25" hidden="1">
      <c r="A9" s="1386"/>
      <c r="B9" s="1386"/>
      <c r="C9" s="1386"/>
      <c r="D9" s="1386"/>
      <c r="E9" s="2174"/>
      <c r="F9" s="2174"/>
      <c r="G9" s="2174"/>
      <c r="H9" s="2174"/>
      <c r="I9" s="2201"/>
      <c r="J9" s="2201"/>
      <c r="K9" s="2171"/>
      <c r="L9" s="1387"/>
      <c r="P9" s="2172"/>
      <c r="Q9" s="2172"/>
      <c r="R9" s="2253"/>
      <c r="S9" s="2248"/>
      <c r="T9" s="2314"/>
      <c r="U9" s="280"/>
      <c r="V9" s="1416"/>
      <c r="W9" s="1519"/>
      <c r="X9" s="1416"/>
      <c r="Y9" s="1519"/>
      <c r="Z9" s="1416"/>
      <c r="AA9" s="1416"/>
      <c r="AB9" s="1416"/>
      <c r="AC9" s="1416"/>
      <c r="AD9" s="2005"/>
      <c r="AE9" s="2233"/>
      <c r="AF9" s="2024"/>
      <c r="AG9" s="2317"/>
      <c r="AH9" s="1928"/>
      <c r="AI9" s="2233"/>
      <c r="AJ9" s="2024"/>
      <c r="AK9" s="2316"/>
      <c r="AL9" s="1928"/>
      <c r="AM9" s="2019"/>
      <c r="AN9" s="2024"/>
      <c r="AO9" s="2310"/>
      <c r="AP9" s="2312"/>
      <c r="AQ9" s="300"/>
      <c r="AR9" s="414"/>
      <c r="AS9" s="414" t="s">
        <v>1696</v>
      </c>
      <c r="AT9" s="1416"/>
      <c r="AU9" s="1519"/>
      <c r="AV9" s="1416"/>
      <c r="AW9" s="1519"/>
      <c r="AX9" s="1416"/>
      <c r="AY9" s="1416"/>
      <c r="AZ9" s="1416"/>
      <c r="BA9" s="1416"/>
      <c r="BB9" s="1420"/>
      <c r="BC9" s="2169"/>
      <c r="BE9" s="498"/>
      <c r="BF9" s="498"/>
      <c r="BG9" s="498"/>
      <c r="BH9" s="498"/>
    </row>
    <row customHeight="1" ht="11.25" hidden="1">
      <c r="A10" s="1386"/>
      <c r="B10" s="1386"/>
      <c r="C10" s="1386"/>
      <c r="D10" s="1386"/>
      <c r="E10" s="2174"/>
      <c r="F10" s="2174"/>
      <c r="G10" s="2174"/>
      <c r="H10" s="2174"/>
      <c r="I10" s="2201"/>
      <c r="J10" s="2201"/>
      <c r="K10" s="2171"/>
      <c r="L10" s="1387"/>
      <c r="P10" s="2172"/>
      <c r="Q10" s="2172"/>
      <c r="R10" s="2253"/>
      <c r="S10" s="2248"/>
      <c r="T10" s="2314"/>
      <c r="U10" s="280"/>
      <c r="V10" s="1416"/>
      <c r="W10" s="1519"/>
      <c r="X10" s="1416"/>
      <c r="Y10" s="1519"/>
      <c r="Z10" s="1416"/>
      <c r="AA10" s="1416"/>
      <c r="AB10" s="1416"/>
      <c r="AC10" s="1416"/>
      <c r="AD10" s="2005"/>
      <c r="AE10" s="2233"/>
      <c r="AF10" s="2024"/>
      <c r="AG10" s="2317"/>
      <c r="AH10" s="1928"/>
      <c r="AI10" s="2233"/>
      <c r="AJ10" s="2024"/>
      <c r="AK10" s="2316"/>
      <c r="AL10" s="1928"/>
      <c r="AM10" s="300"/>
      <c r="AN10" s="1523"/>
      <c r="AO10" s="1523" t="s">
        <v>2075</v>
      </c>
      <c r="AP10" s="414"/>
      <c r="AQ10" s="414"/>
      <c r="AR10" s="414"/>
      <c r="AS10" s="1416"/>
      <c r="AT10" s="1416"/>
      <c r="AU10" s="1519"/>
      <c r="AV10" s="1416"/>
      <c r="AW10" s="1519"/>
      <c r="AX10" s="1416"/>
      <c r="AY10" s="1416"/>
      <c r="AZ10" s="1416"/>
      <c r="BA10" s="1416"/>
      <c r="BB10" s="1420"/>
      <c r="BC10" s="2169"/>
      <c r="BE10" s="498"/>
      <c r="BF10" s="498"/>
      <c r="BG10" s="498"/>
      <c r="BH10" s="498"/>
    </row>
    <row customHeight="1" ht="11.25" hidden="1">
      <c r="A11" s="1386"/>
      <c r="B11" s="1386"/>
      <c r="C11" s="1386"/>
      <c r="D11" s="1386"/>
      <c r="E11" s="2174"/>
      <c r="F11" s="2174"/>
      <c r="G11" s="2174"/>
      <c r="H11" s="2174"/>
      <c r="I11" s="2201"/>
      <c r="J11" s="2201"/>
      <c r="K11" s="2171"/>
      <c r="L11" s="1387"/>
      <c r="P11" s="2172"/>
      <c r="Q11" s="2172"/>
      <c r="R11" s="2253"/>
      <c r="S11" s="2248"/>
      <c r="T11" s="2314"/>
      <c r="U11" s="280"/>
      <c r="V11" s="1416"/>
      <c r="W11" s="1519"/>
      <c r="X11" s="1416"/>
      <c r="Y11" s="1519"/>
      <c r="Z11" s="1416"/>
      <c r="AA11" s="1416"/>
      <c r="AB11" s="1416"/>
      <c r="AC11" s="1416"/>
      <c r="AD11" s="2005"/>
      <c r="AE11" s="2233"/>
      <c r="AF11" s="2024"/>
      <c r="AG11" s="2317"/>
      <c r="AH11" s="1928"/>
      <c r="AI11" s="274"/>
      <c r="AJ11" s="413"/>
      <c r="AK11" s="295" t="s">
        <v>2076</v>
      </c>
      <c r="AL11" s="1416"/>
      <c r="AM11" s="1416"/>
      <c r="AN11" s="1416"/>
      <c r="AO11" s="1416"/>
      <c r="AP11" s="1416"/>
      <c r="AQ11" s="1416"/>
      <c r="AR11" s="1416"/>
      <c r="AS11" s="1416"/>
      <c r="AT11" s="1416"/>
      <c r="AU11" s="1519"/>
      <c r="AV11" s="1416"/>
      <c r="AW11" s="1519"/>
      <c r="AX11" s="1416"/>
      <c r="AY11" s="1416"/>
      <c r="AZ11" s="1416"/>
      <c r="BA11" s="1416"/>
      <c r="BB11" s="1420"/>
      <c r="BC11" s="2169"/>
      <c r="BE11" s="498"/>
      <c r="BF11" s="498"/>
      <c r="BG11" s="498"/>
      <c r="BH11" s="498"/>
    </row>
    <row customHeight="1" ht="11.25" hidden="1">
      <c r="A12" s="1386"/>
      <c r="B12" s="1386"/>
      <c r="C12" s="1386"/>
      <c r="D12" s="1386"/>
      <c r="E12" s="2174"/>
      <c r="F12" s="2174"/>
      <c r="G12" s="2174"/>
      <c r="H12" s="2174"/>
      <c r="I12" s="2201"/>
      <c r="J12" s="2201"/>
      <c r="K12" s="2171"/>
      <c r="L12" s="1387"/>
      <c r="P12" s="2172"/>
      <c r="Q12" s="2172"/>
      <c r="R12" s="2253"/>
      <c r="S12" s="2249"/>
      <c r="T12" s="2315"/>
      <c r="U12" s="280"/>
      <c r="V12" s="1416"/>
      <c r="W12" s="1417" t="str">
        <f>Z8&amp;"-"&amp;AB8</f>
        <v>-</v>
      </c>
      <c r="X12" s="1416"/>
      <c r="Y12" s="1417" t="str">
        <f>AB8&amp;"-"&amp;AD8</f>
        <v>-да</v>
      </c>
      <c r="Z12" s="1416"/>
      <c r="AA12" s="1416"/>
      <c r="AB12" s="1416"/>
      <c r="AC12" s="1416"/>
      <c r="AD12" s="1933"/>
      <c r="AE12" s="294"/>
      <c r="AF12" s="296"/>
      <c r="AG12" s="414" t="s">
        <v>1699</v>
      </c>
      <c r="AH12" s="1416"/>
      <c r="AI12" s="1416"/>
      <c r="AJ12" s="1416"/>
      <c r="AK12" s="1416"/>
      <c r="AL12" s="1416"/>
      <c r="AM12" s="1416"/>
      <c r="AN12" s="1416"/>
      <c r="AO12" s="1416"/>
      <c r="AP12" s="1416"/>
      <c r="AQ12" s="1416"/>
      <c r="AR12" s="1416"/>
      <c r="AS12" s="1416"/>
      <c r="AT12" s="1416"/>
      <c r="AU12" s="1417" t="str">
        <f>AX8&amp;"-"&amp;AZ8</f>
        <v>-</v>
      </c>
      <c r="AV12" s="1416"/>
      <c r="AW12" s="1417" t="str">
        <f>AZ8&amp;"-"&amp;BB8</f>
        <v>-</v>
      </c>
      <c r="AX12" s="1416"/>
      <c r="AY12" s="1416"/>
      <c r="AZ12" s="1416"/>
      <c r="BA12" s="1416"/>
      <c r="BB12" s="1419" t="str">
        <f>BE8&amp;"-"&amp;BG8</f>
        <v>-</v>
      </c>
      <c r="BC12" s="2169"/>
      <c r="BE12" s="498"/>
      <c r="BF12" s="498" t="str">
        <f>IF(T12="","",T12)</f>
        <v/>
      </c>
      <c r="BG12" s="498"/>
      <c r="BH12" s="498"/>
    </row>
    <row customHeight="1" ht="11.25" hidden="1">
      <c r="A13" s="1386"/>
      <c r="B13" s="1386"/>
      <c r="C13" s="1386"/>
      <c r="D13" s="1386"/>
      <c r="E13" s="2174"/>
      <c r="F13" s="2174"/>
      <c r="G13" s="2174"/>
      <c r="H13" s="2174"/>
      <c r="I13" s="2201"/>
      <c r="J13" s="2171"/>
      <c r="K13" s="1386"/>
      <c r="L13" s="1387"/>
      <c r="P13" s="2172"/>
      <c r="Q13" s="2172"/>
      <c r="R13" s="344"/>
      <c r="S13" s="1301"/>
      <c r="T13" s="268" t="s">
        <v>539</v>
      </c>
      <c r="U13" s="359"/>
      <c r="V13" s="359"/>
      <c r="W13" s="359"/>
      <c r="X13" s="359"/>
      <c r="Y13" s="359"/>
      <c r="Z13" s="359"/>
      <c r="AA13" s="359"/>
      <c r="AB13" s="359"/>
      <c r="AC13" s="359"/>
      <c r="AD13" s="1528"/>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70"/>
      <c r="BE13" s="498"/>
      <c r="BF13" s="498" t="str">
        <f>IF(T13="","",T13)</f>
        <v>Добавить строку</v>
      </c>
      <c r="BG13" s="498"/>
      <c r="BH13" s="498"/>
    </row>
    <row s="1673" customFormat="1" customHeight="1" ht="14.25" hidden="1">
      <c r="A14" s="1366"/>
      <c r="B14" s="1366"/>
      <c r="C14" s="1366"/>
      <c r="D14" s="1366"/>
      <c r="E14" s="2174"/>
      <c r="F14" s="2174"/>
      <c r="G14" s="2174"/>
      <c r="H14" s="2174"/>
      <c r="I14" s="2171"/>
      <c r="J14" s="1366"/>
      <c r="K14" s="1366"/>
      <c r="L14" s="1369"/>
      <c r="M14" s="508"/>
      <c r="N14" s="508"/>
      <c r="O14" s="508"/>
      <c r="P14" s="2172"/>
      <c r="Q14" s="1504"/>
      <c r="R14" s="34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1"/>
      <c r="AV14" s="1411"/>
      <c r="AW14" s="1411"/>
      <c r="AX14" s="1411"/>
      <c r="AY14" s="1411"/>
      <c r="AZ14" s="1411"/>
      <c r="BA14" s="1411"/>
      <c r="BB14" s="1411"/>
      <c r="BC14" s="1412"/>
      <c r="BE14" s="498"/>
      <c r="BF14" s="498" t="str">
        <f>IF(T14="","",T14)</f>
        <v/>
      </c>
      <c r="BG14" s="498"/>
      <c r="BH14" s="498"/>
    </row>
    <row s="1673" customFormat="1" customHeight="1" ht="14.25" hidden="1">
      <c r="A15" s="1366"/>
      <c r="B15" s="1366"/>
      <c r="C15" s="1366"/>
      <c r="D15" s="1366"/>
      <c r="E15" s="2174"/>
      <c r="F15" s="2174"/>
      <c r="G15" s="2174"/>
      <c r="H15" s="2173"/>
      <c r="I15" s="1366"/>
      <c r="J15" s="1366"/>
      <c r="K15" s="1366"/>
      <c r="L15" s="1369"/>
      <c r="M15" s="1338"/>
      <c r="N15" s="1338"/>
      <c r="O15" s="516"/>
      <c r="P15" s="376"/>
      <c r="Q15" s="1367"/>
      <c r="R15" s="1424"/>
      <c r="S15" s="1409"/>
      <c r="T15" s="1410"/>
      <c r="U15" s="1411"/>
      <c r="V15" s="1411"/>
      <c r="W15" s="1411"/>
      <c r="X15" s="1411"/>
      <c r="Y15" s="1411"/>
      <c r="Z15" s="1411"/>
      <c r="AA15" s="1411"/>
      <c r="AB15" s="1411"/>
      <c r="AC15" s="1411"/>
      <c r="AD15" s="1411"/>
      <c r="AE15" s="1411"/>
      <c r="AF15" s="1411"/>
      <c r="AG15" s="1411"/>
      <c r="AH15" s="1411"/>
      <c r="AI15" s="1411"/>
      <c r="AJ15" s="1411"/>
      <c r="AK15" s="1411"/>
      <c r="AL15" s="1411"/>
      <c r="AM15" s="1411"/>
      <c r="AN15" s="1411"/>
      <c r="AO15" s="1411"/>
      <c r="AP15" s="1411"/>
      <c r="AQ15" s="1411"/>
      <c r="AR15" s="1411"/>
      <c r="AS15" s="1411"/>
      <c r="AT15" s="1411"/>
      <c r="AU15" s="1411"/>
      <c r="AV15" s="1411"/>
      <c r="AW15" s="1411"/>
      <c r="AX15" s="1411"/>
      <c r="AY15" s="1411"/>
      <c r="AZ15" s="1411"/>
      <c r="BA15" s="1411"/>
      <c r="BB15" s="1411"/>
      <c r="BC15" s="1412"/>
      <c r="BE15" s="498"/>
      <c r="BF15" s="498" t="str">
        <f>IF(T15="","",T15)</f>
        <v/>
      </c>
      <c r="BG15" s="498"/>
      <c r="BH15" s="498"/>
    </row>
    <row s="1673" customFormat="1" customHeight="1" ht="14.25" hidden="1">
      <c r="A16" s="1366"/>
      <c r="B16" s="1366"/>
      <c r="C16" s="1366"/>
      <c r="D16" s="1337"/>
      <c r="E16" s="2174"/>
      <c r="F16" s="2174"/>
      <c r="G16" s="2173"/>
      <c r="H16" s="1337"/>
      <c r="I16" s="1337"/>
      <c r="J16" s="1337"/>
      <c r="K16" s="1337"/>
      <c r="L16" s="1517"/>
      <c r="M16" s="1338"/>
      <c r="N16" s="1338"/>
      <c r="P16" s="1339"/>
      <c r="Q16" s="1340"/>
      <c r="R16" s="1339"/>
      <c r="S16" s="1345"/>
      <c r="T16" s="1348"/>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E16" s="787"/>
      <c r="BF16" s="787" t="str">
        <f>IF(T16="","",T16)</f>
        <v/>
      </c>
      <c r="BG16" s="787"/>
      <c r="BH16" s="787"/>
    </row>
    <row s="1673" customFormat="1" customHeight="1" ht="14.25" hidden="1">
      <c r="A17" s="1366"/>
      <c r="B17" s="1366"/>
      <c r="C17" s="1337"/>
      <c r="D17" s="1337"/>
      <c r="E17" s="2174"/>
      <c r="F17" s="2173"/>
      <c r="G17" s="1337"/>
      <c r="H17" s="1337"/>
      <c r="I17" s="1337"/>
      <c r="J17" s="1337"/>
      <c r="K17" s="1337"/>
      <c r="L17" s="1517"/>
      <c r="M17" s="1344"/>
      <c r="N17" s="1344"/>
      <c r="P17" s="1339"/>
      <c r="Q17" s="1340"/>
      <c r="R17" s="1339"/>
      <c r="S17" s="1345"/>
      <c r="T17" s="1348" t="s">
        <v>433</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E17" s="787"/>
      <c r="BF17" s="787" t="str">
        <f>IF(T17="","",T17)</f>
        <v>Добавить централизованную систему для дифференциации</v>
      </c>
      <c r="BG17" s="787"/>
      <c r="BH17" s="787"/>
    </row>
    <row s="1673" customFormat="1" customHeight="1" ht="14.25" hidden="1">
      <c r="A18" s="1366"/>
      <c r="B18" s="1366"/>
      <c r="C18" s="1366"/>
      <c r="D18" s="1366"/>
      <c r="E18" s="2173"/>
      <c r="F18" s="1366"/>
      <c r="G18" s="1366"/>
      <c r="H18" s="1366"/>
      <c r="I18" s="1366"/>
      <c r="J18" s="1366"/>
      <c r="K18" s="1366"/>
      <c r="L18" s="1369"/>
      <c r="M18" s="1344"/>
      <c r="N18" s="1344"/>
      <c r="O18" s="516"/>
      <c r="P18" s="376"/>
      <c r="Q18" s="1367"/>
      <c r="R18" s="376"/>
      <c r="S18" s="1345"/>
      <c r="T18" s="1348" t="s">
        <v>434</v>
      </c>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E18" s="498"/>
      <c r="BF18" s="498" t="str">
        <f>IF(T18="","",T18)</f>
        <v>Добавить территорию для дифференциации</v>
      </c>
      <c r="BG18" s="498"/>
      <c r="BH18" s="498"/>
    </row>
    <row customHeight="1" ht="14.25" hidden="1">
      <c r="AC19" s="315"/>
      <c r="BA19" s="315"/>
    </row>
    <row customHeight="1" ht="14.25" hidden="1">
      <c r="AD20" s="1347" t="s">
        <v>56</v>
      </c>
      <c r="AE20" s="1524"/>
      <c r="AF20" s="546">
        <v>1</v>
      </c>
      <c r="AG20" s="1525"/>
      <c r="AH20" s="1347" t="s">
        <v>56</v>
      </c>
      <c r="AI20" s="1524"/>
      <c r="AJ20" s="546">
        <v>1</v>
      </c>
      <c r="AK20" s="1525"/>
      <c r="AL20" s="1347" t="s">
        <v>56</v>
      </c>
      <c r="AM20" s="1526"/>
      <c r="AN20" s="546">
        <v>1</v>
      </c>
      <c r="AO20" s="1527"/>
      <c r="AP20" s="1347" t="s">
        <v>56</v>
      </c>
      <c r="AQ20" s="1526"/>
      <c r="AR20" s="546">
        <v>1</v>
      </c>
      <c r="AS20" s="1527"/>
      <c r="AT20" s="312"/>
      <c r="AU20" s="381"/>
      <c r="AV20" s="312"/>
      <c r="AW20" s="381"/>
      <c r="AX20" s="1766"/>
      <c r="AY20" s="1508" t="s">
        <v>58</v>
      </c>
      <c r="AZ20" s="1766"/>
      <c r="BA20" s="1508" t="s">
        <v>58</v>
      </c>
    </row>
    <row customHeight="1" ht="14.25" hidden="1">
      <c r="BD21" s="494"/>
      <c r="BE21" s="494"/>
      <c r="BF21" s="494"/>
      <c r="BG21" s="494"/>
      <c r="BH21" s="494"/>
    </row>
    <row customHeight="1" ht="14.25" hidden="1">
      <c r="O22" s="1390" t="s">
        <v>476</v>
      </c>
      <c r="Z22" s="1368"/>
      <c r="AB22" s="1368"/>
      <c r="AC22" s="315"/>
      <c r="AX22" s="1368"/>
      <c r="AZ22" s="1368"/>
      <c r="BA22" s="315"/>
      <c r="BD22" s="494"/>
      <c r="BE22" s="494"/>
      <c r="BF22" s="494"/>
      <c r="BG22" s="494"/>
      <c r="BH22" s="494"/>
    </row>
    <row customHeight="1" ht="14.25" hidden="1">
      <c r="AC23" s="315"/>
      <c r="BA23" s="315"/>
      <c r="BD23" s="494"/>
      <c r="BE23" s="494"/>
      <c r="BF23" s="494"/>
      <c r="BG23" s="494"/>
      <c r="BH23" s="494"/>
    </row>
    <row s="1532" customFormat="1" customHeight="1" ht="14.25" hidden="1">
      <c r="M24" s="1531"/>
      <c r="N24" s="1531"/>
      <c r="O24" s="1532" t="s">
        <v>477</v>
      </c>
      <c r="P24" s="1531"/>
      <c r="Q24" s="1533"/>
      <c r="R24" s="1533"/>
      <c r="AA24" s="1530" t="s">
        <v>479</v>
      </c>
      <c r="AC24" s="1530" t="s">
        <v>480</v>
      </c>
      <c r="AD24" s="1530" t="s">
        <v>540</v>
      </c>
      <c r="AH24" s="1530" t="s">
        <v>540</v>
      </c>
      <c r="AK24" s="1530" t="s">
        <v>1700</v>
      </c>
      <c r="AL24" s="1530" t="s">
        <v>540</v>
      </c>
      <c r="AP24" s="1530" t="s">
        <v>540</v>
      </c>
      <c r="AY24" s="1530" t="s">
        <v>479</v>
      </c>
      <c r="BA24" s="1530" t="s">
        <v>480</v>
      </c>
      <c r="BD24" s="1534"/>
      <c r="BE24" s="1534"/>
      <c r="BF24" s="1534"/>
      <c r="BG24" s="1534"/>
      <c r="BH24" s="1534"/>
    </row>
    <row customHeight="1" ht="14.25" hidden="1">
      <c r="O25" s="1387"/>
      <c r="BD25" s="494"/>
      <c r="BE25" s="494"/>
      <c r="BF25" s="494"/>
      <c r="BG25" s="494"/>
      <c r="BH25" s="494"/>
    </row>
    <row customHeight="1" ht="14.25" hidden="1">
      <c r="O26" s="1387"/>
      <c r="BD26" s="494"/>
      <c r="BE26" s="494"/>
      <c r="BF26" s="494"/>
      <c r="BG26" s="494"/>
      <c r="BH26" s="494"/>
    </row>
    <row customHeight="1" ht="14.25">
      <c r="Q27" s="272"/>
      <c r="R27" s="368"/>
      <c r="S27" s="1298"/>
      <c r="T27" s="353"/>
      <c r="U27" s="353"/>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row>
    <row customHeight="1" ht="33.75">
      <c r="Q28" s="272"/>
      <c r="R28" s="368"/>
      <c r="S28" s="2163" t="str">
        <f>IF(TEMPLATE_GROUP="P",PT_P_FORM_VOTV_5_NAME_FORM,PT_R_FORM_VOTV_17_NAME_FORM)</f>
        <v>Форма 17. Информация о предложении расчетной величины тарифов на подключение к централизованной системе водоотведения &lt;1&gt;</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254"/>
    </row>
    <row customHeight="1" ht="14.25">
      <c r="Q29" s="272"/>
      <c r="R29" s="368"/>
      <c r="S29" s="2164" t="str">
        <f>IF(org=0,"Не определено",org)</f>
        <v>ПАО "ТГК-2"</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254"/>
    </row>
    <row customHeight="1" ht="14.25" hidden="1">
      <c r="Q30" s="272"/>
      <c r="R30" s="368"/>
      <c r="S30" s="1298"/>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7"/>
    </row>
    <row s="1888" customFormat="1" customHeight="1" ht="25.5" hidden="1">
      <c r="A31" s="1391"/>
      <c r="B31" s="1391"/>
      <c r="C31" s="1391"/>
      <c r="D31" s="1391"/>
      <c r="E31" s="1391"/>
      <c r="F31" s="1391"/>
      <c r="G31" s="1391"/>
      <c r="H31" s="1391"/>
      <c r="I31" s="1391"/>
      <c r="J31" s="1391"/>
      <c r="K31" s="1391"/>
      <c r="L31" s="1392"/>
      <c r="M31" s="1391"/>
      <c r="N31" s="1391"/>
      <c r="O31" s="1391"/>
      <c r="P31" s="1391"/>
      <c r="Q31" s="1391"/>
      <c r="S31" s="2165" t="s">
        <v>39</v>
      </c>
      <c r="T31" s="2165"/>
      <c r="U31" s="1395"/>
      <c r="V31" s="2166"/>
      <c r="W31" s="2166"/>
      <c r="X31" s="2166"/>
      <c r="Y31" s="2166"/>
      <c r="Z31" s="2166"/>
      <c r="AA31" s="2166"/>
      <c r="AB31" s="2166"/>
      <c r="AC31" s="314"/>
      <c r="AD31" s="2166" t="str">
        <f>IF(TITLE_NAME_OR_PR_CHANGE="",IF(TITLE_NAME_OR_PR="","",TITLE_NAME_OR_PR),TITLE_NAME_OR_PR_CHANGE)</f>
        <v/>
      </c>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314"/>
      <c r="BB31" s="314"/>
      <c r="BC31" s="261"/>
      <c r="BD31" s="360"/>
      <c r="BE31" s="360"/>
      <c r="BF31" s="360"/>
      <c r="BG31" s="360"/>
      <c r="BH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482</v>
      </c>
      <c r="T32" s="2165"/>
      <c r="U32" s="1395"/>
      <c r="V32" s="2179"/>
      <c r="W32" s="2179"/>
      <c r="X32" s="2179"/>
      <c r="Y32" s="2179"/>
      <c r="Z32" s="2179"/>
      <c r="AA32" s="2179"/>
      <c r="AB32" s="2179"/>
      <c r="AC32" s="314"/>
      <c r="AD32" s="2179" t="str">
        <f>IF(TITLE_DATE_CHANGE_PERIOD="",IF(TITLE_DATE_PR="","",TITLE_DATE_PR),TITLE_DATE_CHANGE_PERIOD)</f>
        <v/>
      </c>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314"/>
      <c r="BB32" s="314"/>
      <c r="BC32" s="261"/>
      <c r="BD32" s="360"/>
      <c r="BE32" s="360"/>
      <c r="BF32" s="360"/>
      <c r="BG32" s="360"/>
      <c r="BH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483</v>
      </c>
      <c r="T33" s="2165"/>
      <c r="U33" s="1395"/>
      <c r="V33" s="2166"/>
      <c r="W33" s="2166"/>
      <c r="X33" s="2166"/>
      <c r="Y33" s="2166"/>
      <c r="Z33" s="2166"/>
      <c r="AA33" s="2166"/>
      <c r="AB33" s="2166"/>
      <c r="AC33" s="314"/>
      <c r="AD33" s="2166" t="str">
        <f>IF(TITLE_NUMBER_PR_CHANGE="",IF(TITLE_NUMBER_PR="","",TITLE_NUMBER_PR),TITLE_NUMBER_PR_CHANGE)</f>
        <v/>
      </c>
      <c r="AE33" s="2166"/>
      <c r="AF33" s="2166"/>
      <c r="AG33" s="2166"/>
      <c r="AH33" s="2166"/>
      <c r="AI33" s="2166"/>
      <c r="AJ33" s="2166"/>
      <c r="AK33" s="2166"/>
      <c r="AL33" s="2166"/>
      <c r="AM33" s="2166"/>
      <c r="AN33" s="2166"/>
      <c r="AO33" s="2166"/>
      <c r="AP33" s="2166"/>
      <c r="AQ33" s="2166"/>
      <c r="AR33" s="2166"/>
      <c r="AS33" s="2166"/>
      <c r="AT33" s="2166"/>
      <c r="AU33" s="2166"/>
      <c r="AV33" s="2166"/>
      <c r="AW33" s="2166"/>
      <c r="AX33" s="2166"/>
      <c r="AY33" s="2166"/>
      <c r="AZ33" s="2166"/>
      <c r="BA33" s="314"/>
      <c r="BB33" s="314"/>
      <c r="BC33" s="261"/>
      <c r="BD33" s="360"/>
      <c r="BE33" s="360"/>
      <c r="BF33" s="360"/>
      <c r="BG33" s="360"/>
      <c r="BH33" s="360"/>
    </row>
    <row s="1888" customFormat="1" customHeight="1" ht="18.75" hidden="1">
      <c r="A34" s="1391"/>
      <c r="B34" s="1391"/>
      <c r="C34" s="1391"/>
      <c r="D34" s="1391"/>
      <c r="E34" s="1391"/>
      <c r="F34" s="1391"/>
      <c r="G34" s="1391"/>
      <c r="H34" s="1391"/>
      <c r="I34" s="1391"/>
      <c r="J34" s="1391"/>
      <c r="K34" s="1391"/>
      <c r="L34" s="1392"/>
      <c r="M34" s="1391"/>
      <c r="N34" s="1391"/>
      <c r="O34" s="1391"/>
      <c r="P34" s="1391"/>
      <c r="Q34" s="1391"/>
      <c r="S34" s="2165" t="s">
        <v>40</v>
      </c>
      <c r="T34" s="2165"/>
      <c r="U34" s="1395"/>
      <c r="V34" s="2166"/>
      <c r="W34" s="2166"/>
      <c r="X34" s="2166"/>
      <c r="Y34" s="2166"/>
      <c r="Z34" s="2166"/>
      <c r="AA34" s="2166"/>
      <c r="AB34" s="2166"/>
      <c r="AC34" s="314"/>
      <c r="AD34" s="2166" t="str">
        <f>IF(TITLE_IST_PUB_CHANGE="",IF(TITLE_IST_PUB="","",TITLE_IST_PUB),TITLE_IST_PUB_CHANGE)</f>
        <v/>
      </c>
      <c r="AE34" s="2166"/>
      <c r="AF34" s="2166"/>
      <c r="AG34" s="2166"/>
      <c r="AH34" s="2166"/>
      <c r="AI34" s="2166"/>
      <c r="AJ34" s="2166"/>
      <c r="AK34" s="2166"/>
      <c r="AL34" s="2166"/>
      <c r="AM34" s="2166"/>
      <c r="AN34" s="2166"/>
      <c r="AO34" s="2166"/>
      <c r="AP34" s="2166"/>
      <c r="AQ34" s="2166"/>
      <c r="AR34" s="2166"/>
      <c r="AS34" s="2166"/>
      <c r="AT34" s="2166"/>
      <c r="AU34" s="2166"/>
      <c r="AV34" s="2166"/>
      <c r="AW34" s="2166"/>
      <c r="AX34" s="2166"/>
      <c r="AY34" s="2166"/>
      <c r="AZ34" s="2166"/>
      <c r="BA34" s="314"/>
      <c r="BB34" s="314"/>
      <c r="BC34" s="261"/>
      <c r="BD34" s="360"/>
      <c r="BE34" s="360"/>
      <c r="BF34" s="360"/>
      <c r="BG34" s="360"/>
      <c r="BH34" s="360"/>
    </row>
    <row customHeight="1" ht="14.25" hidden="1">
      <c r="Q35" s="272"/>
      <c r="R35" s="368"/>
      <c r="S35" s="1298"/>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7"/>
    </row>
    <row s="1888" customFormat="1" customHeight="1" ht="18.75" hidden="1">
      <c r="A36" s="1391"/>
      <c r="B36" s="1391"/>
      <c r="C36" s="1391"/>
      <c r="D36" s="1391"/>
      <c r="E36" s="1391"/>
      <c r="F36" s="1391"/>
      <c r="G36" s="1391"/>
      <c r="H36" s="1391"/>
      <c r="I36" s="1391"/>
      <c r="J36" s="1391"/>
      <c r="K36" s="1391"/>
      <c r="L36" s="1392"/>
      <c r="M36" s="1391"/>
      <c r="N36" s="1391"/>
      <c r="O36" s="1391"/>
      <c r="P36" s="1391"/>
      <c r="Q36" s="1391"/>
      <c r="S36" s="2165" t="s">
        <v>482</v>
      </c>
      <c r="T36" s="2165"/>
      <c r="U36" s="1395"/>
      <c r="V36" s="2179"/>
      <c r="W36" s="2179"/>
      <c r="X36" s="2179"/>
      <c r="Y36" s="2179"/>
      <c r="Z36" s="2179"/>
      <c r="AA36" s="2179"/>
      <c r="AB36" s="2179"/>
      <c r="AC36" s="314"/>
      <c r="AD36" s="2179" t="str">
        <f>IF(TITLE_DATE_CHANGE_PERIOD="",IF(TITLE_DATE_PR="","",TITLE_DATE_PR),TITLE_DATE_CHANGE_PERIOD)</f>
        <v/>
      </c>
      <c r="AE36" s="2179"/>
      <c r="AF36" s="2179"/>
      <c r="AG36" s="2179"/>
      <c r="AH36" s="2179"/>
      <c r="AI36" s="2179"/>
      <c r="AJ36" s="2179"/>
      <c r="AK36" s="2179"/>
      <c r="AL36" s="2179"/>
      <c r="AM36" s="2179"/>
      <c r="AN36" s="2179"/>
      <c r="AO36" s="2179"/>
      <c r="AP36" s="2179"/>
      <c r="AQ36" s="2179"/>
      <c r="AR36" s="2179"/>
      <c r="AS36" s="2179"/>
      <c r="AT36" s="2179"/>
      <c r="AU36" s="2179"/>
      <c r="AV36" s="2179"/>
      <c r="AW36" s="2179"/>
      <c r="AX36" s="2179"/>
      <c r="AY36" s="2179"/>
      <c r="AZ36" s="2179"/>
      <c r="BA36" s="314"/>
      <c r="BB36" s="314"/>
      <c r="BC36" s="261"/>
      <c r="BD36" s="360"/>
      <c r="BE36" s="360"/>
      <c r="BF36" s="360"/>
      <c r="BG36" s="360"/>
      <c r="BH36" s="360"/>
    </row>
    <row s="1888" customFormat="1" customHeight="1" ht="18.75" hidden="1">
      <c r="A37" s="1391"/>
      <c r="B37" s="1391"/>
      <c r="C37" s="1391"/>
      <c r="D37" s="1391"/>
      <c r="E37" s="1391"/>
      <c r="F37" s="1391"/>
      <c r="G37" s="1391"/>
      <c r="H37" s="1391"/>
      <c r="I37" s="1391"/>
      <c r="J37" s="1391"/>
      <c r="K37" s="1391"/>
      <c r="L37" s="1392"/>
      <c r="M37" s="1391"/>
      <c r="N37" s="1391"/>
      <c r="O37" s="1391"/>
      <c r="P37" s="1391"/>
      <c r="Q37" s="1391"/>
      <c r="S37" s="2165" t="s">
        <v>483</v>
      </c>
      <c r="T37" s="2165"/>
      <c r="U37" s="1395"/>
      <c r="V37" s="2166"/>
      <c r="W37" s="2166"/>
      <c r="X37" s="2166"/>
      <c r="Y37" s="2166"/>
      <c r="Z37" s="2166"/>
      <c r="AA37" s="2166"/>
      <c r="AB37" s="2166"/>
      <c r="AC37" s="314"/>
      <c r="AD37" s="2166" t="str">
        <f>IF(TITLE_NUMBER_PR_CHANGE="",IF(TITLE_NUMBER_PR="","",TITLE_NUMBER_PR),TITLE_NUMBER_PR_CHANGE)</f>
        <v/>
      </c>
      <c r="AE37" s="2166"/>
      <c r="AF37" s="2166"/>
      <c r="AG37" s="2166"/>
      <c r="AH37" s="2166"/>
      <c r="AI37" s="2166"/>
      <c r="AJ37" s="2166"/>
      <c r="AK37" s="2166"/>
      <c r="AL37" s="2166"/>
      <c r="AM37" s="2166"/>
      <c r="AN37" s="2166"/>
      <c r="AO37" s="2166"/>
      <c r="AP37" s="2166"/>
      <c r="AQ37" s="2166"/>
      <c r="AR37" s="2166"/>
      <c r="AS37" s="2166"/>
      <c r="AT37" s="2166"/>
      <c r="AU37" s="2166"/>
      <c r="AV37" s="2166"/>
      <c r="AW37" s="2166"/>
      <c r="AX37" s="2166"/>
      <c r="AY37" s="2166"/>
      <c r="AZ37" s="2166"/>
      <c r="BA37" s="314"/>
      <c r="BB37" s="314"/>
      <c r="BC37" s="261"/>
      <c r="BD37" s="360"/>
      <c r="BE37" s="360"/>
      <c r="BF37" s="360"/>
      <c r="BG37" s="360"/>
      <c r="BH37" s="360"/>
    </row>
    <row s="1888" customFormat="1" customHeight="1" ht="0">
      <c r="A38" s="1391"/>
      <c r="B38" s="1391"/>
      <c r="C38" s="1391"/>
      <c r="D38" s="1391"/>
      <c r="E38" s="1391"/>
      <c r="F38" s="1391"/>
      <c r="G38" s="1391"/>
      <c r="H38" s="1391"/>
      <c r="I38" s="1391"/>
      <c r="J38" s="1391"/>
      <c r="K38" s="1391"/>
      <c r="L38" s="1392"/>
      <c r="M38" s="1391"/>
      <c r="N38" s="1391"/>
      <c r="O38" s="1391"/>
      <c r="P38" s="1391"/>
      <c r="Q38" s="1391"/>
      <c r="S38" s="310"/>
      <c r="T38" s="310"/>
      <c r="U38" s="1511"/>
      <c r="V38" s="314"/>
      <c r="W38" s="314"/>
      <c r="X38" s="314"/>
      <c r="Y38" s="314"/>
      <c r="Z38" s="314"/>
      <c r="AA38" s="314"/>
      <c r="AB38" s="314"/>
      <c r="AC38" s="259" t="s">
        <v>486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486</v>
      </c>
      <c r="BD38" s="360"/>
      <c r="BE38" s="360"/>
      <c r="BF38" s="360"/>
      <c r="BG38" s="360"/>
      <c r="BH38" s="360"/>
    </row>
    <row customHeight="1" ht="14.25">
      <c r="Q39" s="272"/>
      <c r="R39" s="368"/>
      <c r="S39" s="1298"/>
      <c r="T39" s="353"/>
      <c r="U39" s="1255"/>
      <c r="V39" s="2167"/>
      <c r="W39" s="2167"/>
      <c r="X39" s="2167"/>
      <c r="Y39" s="2167"/>
      <c r="Z39" s="2167"/>
      <c r="AA39" s="2167"/>
      <c r="AB39" s="2167"/>
      <c r="AC39" s="2167"/>
      <c r="AD39" s="2167"/>
      <c r="AE39" s="2167"/>
      <c r="AF39" s="2167"/>
      <c r="AG39" s="2167"/>
      <c r="AH39" s="2167"/>
      <c r="AI39" s="2167"/>
      <c r="AJ39" s="2167"/>
      <c r="AK39" s="2167"/>
      <c r="AL39" s="2167"/>
      <c r="AM39" s="2167"/>
      <c r="AN39" s="2167"/>
      <c r="AO39" s="2167"/>
      <c r="AP39" s="2167"/>
      <c r="AQ39" s="2167"/>
      <c r="AR39" s="2167"/>
      <c r="AS39" s="2167"/>
      <c r="AT39" s="2167"/>
      <c r="AU39" s="2167"/>
      <c r="AV39" s="2167"/>
      <c r="AW39" s="2167"/>
      <c r="AX39" s="2167"/>
      <c r="AY39" s="2167"/>
      <c r="AZ39" s="2167"/>
      <c r="BA39" s="2167"/>
    </row>
    <row customHeight="1" ht="14.25">
      <c r="Q40" s="272"/>
      <c r="R40" s="368"/>
      <c r="S40" s="1948" t="s">
        <v>290</v>
      </c>
      <c r="T40" s="1948"/>
      <c r="U40" s="1948"/>
      <c r="V40" s="1948"/>
      <c r="W40" s="1948"/>
      <c r="X40" s="1948"/>
      <c r="Y40" s="1948"/>
      <c r="Z40" s="1948"/>
      <c r="AA40" s="1948"/>
      <c r="AB40" s="1948"/>
      <c r="AC40" s="1948"/>
      <c r="AD40" s="1948"/>
      <c r="AE40" s="1948"/>
      <c r="AF40" s="1948"/>
      <c r="AG40" s="1948"/>
      <c r="AH40" s="1948"/>
      <c r="AI40" s="1948"/>
      <c r="AJ40" s="1948"/>
      <c r="AK40" s="1948"/>
      <c r="AL40" s="1948"/>
      <c r="AM40" s="1948"/>
      <c r="AN40" s="1948"/>
      <c r="AO40" s="1948"/>
      <c r="AP40" s="1948"/>
      <c r="AQ40" s="1948"/>
      <c r="AR40" s="1948"/>
      <c r="AS40" s="1948"/>
      <c r="AT40" s="1948"/>
      <c r="AU40" s="1948"/>
      <c r="AV40" s="1948"/>
      <c r="AW40" s="1948"/>
      <c r="AX40" s="1948"/>
      <c r="AY40" s="1948"/>
      <c r="AZ40" s="1948"/>
      <c r="BA40" s="1948"/>
      <c r="BB40" s="1948"/>
      <c r="BC40" s="1948" t="s">
        <v>291</v>
      </c>
    </row>
    <row customHeight="1" ht="14.25">
      <c r="Q41" s="272"/>
      <c r="R41" s="368"/>
      <c r="S41" s="2188" t="s">
        <v>87</v>
      </c>
      <c r="T41" s="2029" t="s">
        <v>1701</v>
      </c>
      <c r="U41" s="281"/>
      <c r="V41" s="2189" t="s">
        <v>488</v>
      </c>
      <c r="W41" s="2190"/>
      <c r="X41" s="2190"/>
      <c r="Y41" s="2190"/>
      <c r="Z41" s="2190"/>
      <c r="AA41" s="2190"/>
      <c r="AB41" s="2191"/>
      <c r="AC41" s="2192" t="s">
        <v>489</v>
      </c>
      <c r="AD41" s="2235" t="s">
        <v>2077</v>
      </c>
      <c r="AE41" s="2204"/>
      <c r="AF41" s="2204"/>
      <c r="AG41" s="2236"/>
      <c r="AH41" s="2235" t="s">
        <v>2078</v>
      </c>
      <c r="AI41" s="2204"/>
      <c r="AJ41" s="2204"/>
      <c r="AK41" s="2236"/>
      <c r="AL41" s="2235" t="s">
        <v>2079</v>
      </c>
      <c r="AM41" s="2204"/>
      <c r="AN41" s="2204"/>
      <c r="AO41" s="2236"/>
      <c r="AP41" s="2235" t="s">
        <v>1705</v>
      </c>
      <c r="AQ41" s="2204"/>
      <c r="AR41" s="2204"/>
      <c r="AS41" s="2236"/>
      <c r="AT41" s="2189" t="s">
        <v>488</v>
      </c>
      <c r="AU41" s="2190"/>
      <c r="AV41" s="2190"/>
      <c r="AW41" s="2190"/>
      <c r="AX41" s="2190"/>
      <c r="AY41" s="2190"/>
      <c r="AZ41" s="2191"/>
      <c r="BA41" s="2192" t="s">
        <v>489</v>
      </c>
      <c r="BB41" s="2195" t="s">
        <v>491</v>
      </c>
      <c r="BC41" s="1948"/>
    </row>
    <row customHeight="1" ht="33.75">
      <c r="Q42" s="272"/>
      <c r="R42" s="368"/>
      <c r="S42" s="2188"/>
      <c r="T42" s="2029"/>
      <c r="U42" s="1032"/>
      <c r="V42" s="2011" t="s">
        <v>1706</v>
      </c>
      <c r="W42" s="2012"/>
      <c r="X42" s="2011" t="s">
        <v>1707</v>
      </c>
      <c r="Y42" s="2012"/>
      <c r="Z42" s="2207" t="s">
        <v>1708</v>
      </c>
      <c r="AA42" s="2220"/>
      <c r="AB42" s="2221"/>
      <c r="AC42" s="2193"/>
      <c r="AD42" s="2237"/>
      <c r="AE42" s="2238"/>
      <c r="AF42" s="2238"/>
      <c r="AG42" s="2239"/>
      <c r="AH42" s="2237"/>
      <c r="AI42" s="2238"/>
      <c r="AJ42" s="2238"/>
      <c r="AK42" s="2239"/>
      <c r="AL42" s="2237"/>
      <c r="AM42" s="2238"/>
      <c r="AN42" s="2238"/>
      <c r="AO42" s="2239"/>
      <c r="AP42" s="2237"/>
      <c r="AQ42" s="2238"/>
      <c r="AR42" s="2238"/>
      <c r="AS42" s="2239"/>
      <c r="AT42" s="2011" t="s">
        <v>2080</v>
      </c>
      <c r="AU42" s="2012"/>
      <c r="AV42" s="2011" t="s">
        <v>2081</v>
      </c>
      <c r="AW42" s="2012"/>
      <c r="AX42" s="2207" t="s">
        <v>1708</v>
      </c>
      <c r="AY42" s="2220"/>
      <c r="AZ42" s="2221"/>
      <c r="BA42" s="2193"/>
      <c r="BB42" s="2196"/>
      <c r="BC42" s="1948"/>
    </row>
    <row customHeight="1" ht="14.25">
      <c r="Q43" s="272"/>
      <c r="R43" s="368"/>
      <c r="S43" s="2188"/>
      <c r="T43" s="2029"/>
      <c r="U43" s="1032"/>
      <c r="V43" s="2019"/>
      <c r="W43" s="2020"/>
      <c r="X43" s="2019"/>
      <c r="Y43" s="2020"/>
      <c r="Z43" s="2208"/>
      <c r="AA43" s="2222"/>
      <c r="AB43" s="2223"/>
      <c r="AC43" s="2193"/>
      <c r="AD43" s="2237"/>
      <c r="AE43" s="2238"/>
      <c r="AF43" s="2238"/>
      <c r="AG43" s="2239"/>
      <c r="AH43" s="2237"/>
      <c r="AI43" s="2238"/>
      <c r="AJ43" s="2238"/>
      <c r="AK43" s="2239"/>
      <c r="AL43" s="2237"/>
      <c r="AM43" s="2238"/>
      <c r="AN43" s="2238"/>
      <c r="AO43" s="2239"/>
      <c r="AP43" s="2237"/>
      <c r="AQ43" s="2238"/>
      <c r="AR43" s="2238"/>
      <c r="AS43" s="2239"/>
      <c r="AT43" s="2019"/>
      <c r="AU43" s="2020"/>
      <c r="AV43" s="2019"/>
      <c r="AW43" s="2020"/>
      <c r="AX43" s="2208"/>
      <c r="AY43" s="2222"/>
      <c r="AZ43" s="2223"/>
      <c r="BA43" s="2193"/>
      <c r="BB43" s="2196"/>
      <c r="BC43" s="1948"/>
    </row>
    <row customHeight="1" ht="14.25">
      <c r="A44" s="1393"/>
      <c r="B44" s="1393" t="s">
        <v>139</v>
      </c>
      <c r="C44" s="1393" t="s">
        <v>140</v>
      </c>
      <c r="D44" s="1393" t="s">
        <v>141</v>
      </c>
      <c r="E44" s="1387" t="s">
        <v>496</v>
      </c>
      <c r="F44" s="1387" t="s">
        <v>497</v>
      </c>
      <c r="G44" s="1387" t="s">
        <v>498</v>
      </c>
      <c r="H44" s="1387" t="s">
        <v>499</v>
      </c>
      <c r="I44" s="1387" t="s">
        <v>500</v>
      </c>
      <c r="J44" s="1387" t="s">
        <v>501</v>
      </c>
      <c r="K44" s="1387" t="s">
        <v>502</v>
      </c>
      <c r="L44" s="1387" t="s">
        <v>477</v>
      </c>
      <c r="Q44" s="272"/>
      <c r="R44" s="368"/>
      <c r="S44" s="2188"/>
      <c r="T44" s="2029"/>
      <c r="U44" s="282"/>
      <c r="V44" s="1502" t="s">
        <v>550</v>
      </c>
      <c r="W44" s="1502" t="s">
        <v>551</v>
      </c>
      <c r="X44" s="1502" t="s">
        <v>550</v>
      </c>
      <c r="Y44" s="1502" t="s">
        <v>551</v>
      </c>
      <c r="Z44" s="1512" t="s">
        <v>505</v>
      </c>
      <c r="AA44" s="2185" t="s">
        <v>506</v>
      </c>
      <c r="AB44" s="2186"/>
      <c r="AC44" s="2194"/>
      <c r="AD44" s="2240"/>
      <c r="AE44" s="2241"/>
      <c r="AF44" s="2241"/>
      <c r="AG44" s="2242"/>
      <c r="AH44" s="2240"/>
      <c r="AI44" s="2241"/>
      <c r="AJ44" s="2241"/>
      <c r="AK44" s="2242"/>
      <c r="AL44" s="2240"/>
      <c r="AM44" s="2241"/>
      <c r="AN44" s="2241"/>
      <c r="AO44" s="2242"/>
      <c r="AP44" s="2240"/>
      <c r="AQ44" s="2241"/>
      <c r="AR44" s="2241"/>
      <c r="AS44" s="2242"/>
      <c r="AT44" s="1502" t="s">
        <v>550</v>
      </c>
      <c r="AU44" s="1502" t="s">
        <v>551</v>
      </c>
      <c r="AV44" s="1502" t="s">
        <v>550</v>
      </c>
      <c r="AW44" s="1502" t="s">
        <v>551</v>
      </c>
      <c r="AX44" s="1512" t="s">
        <v>505</v>
      </c>
      <c r="AY44" s="2185" t="s">
        <v>506</v>
      </c>
      <c r="AZ44" s="2186"/>
      <c r="BA44" s="2194"/>
      <c r="BB44" s="2197"/>
      <c r="BC44" s="1948"/>
    </row>
    <row s="1672" customFormat="1" customHeight="1" ht="11.25" hidden="1">
      <c r="A45" s="1393"/>
      <c r="B45" s="1393"/>
      <c r="C45" s="1393"/>
      <c r="D45" s="1393"/>
      <c r="E45" s="1393"/>
      <c r="F45" s="1393"/>
      <c r="G45" s="1393"/>
      <c r="H45" s="1393"/>
      <c r="I45" s="1393"/>
      <c r="J45" s="1393"/>
      <c r="K45" s="1393"/>
      <c r="L45" s="1387"/>
      <c r="M45" s="1385"/>
      <c r="N45" s="1385"/>
      <c r="O45" s="1385"/>
      <c r="P45" s="508"/>
      <c r="Q45" s="1273"/>
      <c r="R45" s="1273">
        <v>1</v>
      </c>
      <c r="S45" s="1300" t="s">
        <v>108</v>
      </c>
      <c r="T45" s="1274" t="s">
        <v>109</v>
      </c>
      <c r="U45" s="1256" t="str">
        <f>OFFSET(U45,0,-1)</f>
        <v>2</v>
      </c>
      <c r="V45" s="1505">
        <f>OFFSET(V45,0,-1)+1</f>
        <v>3</v>
      </c>
      <c r="W45" s="1505">
        <f>OFFSET(W45,0,-1)+1</f>
        <v>4</v>
      </c>
      <c r="X45" s="1505">
        <f>OFFSET(X45,0,-1)+1</f>
        <v>5</v>
      </c>
      <c r="Y45" s="1505">
        <f>OFFSET(Y45,0,-1)+1</f>
        <v>6</v>
      </c>
      <c r="Z45" s="1505">
        <f>OFFSET(Z45,0,-1)+1</f>
        <v>7</v>
      </c>
      <c r="AA45" s="2187">
        <f>OFFSET(AA45,0,-1)+1</f>
        <v>8</v>
      </c>
      <c r="AB45" s="2187"/>
      <c r="AC45" s="1505">
        <f>OFFSET(AC45,0,-2)+1</f>
        <v>9</v>
      </c>
      <c r="AD45" s="1505">
        <f>OFFSET(AD45,0,-1)+1</f>
        <v>10</v>
      </c>
      <c r="AE45" s="1505"/>
      <c r="AF45" s="1505"/>
      <c r="AG45" s="1505"/>
      <c r="AH45" s="1505"/>
      <c r="AI45" s="1505"/>
      <c r="AJ45" s="1505"/>
      <c r="AK45" s="1505"/>
      <c r="AL45" s="1505"/>
      <c r="AM45" s="1505"/>
      <c r="AN45" s="1505"/>
      <c r="AO45" s="1505"/>
      <c r="AP45" s="1505"/>
      <c r="AQ45" s="1505"/>
      <c r="AR45" s="1505"/>
      <c r="AS45" s="1505"/>
      <c r="AT45" s="1505"/>
      <c r="AU45" s="1505"/>
      <c r="AV45" s="1505"/>
      <c r="AW45" s="1505">
        <f>OFFSET(AW45,0,-1)+1</f>
        <v>1</v>
      </c>
      <c r="AX45" s="1505">
        <f>OFFSET(AX45,0,-1)+1</f>
        <v>2</v>
      </c>
      <c r="AY45" s="2187">
        <f>OFFSET(AY45,0,-1)+1</f>
        <v>3</v>
      </c>
      <c r="AZ45" s="2187"/>
      <c r="BA45" s="1505">
        <f>OFFSET(BA45,0,-2)+1</f>
        <v>4</v>
      </c>
      <c r="BB45" s="1256">
        <f>OFFSET(BB45,0,-1)</f>
        <v>4</v>
      </c>
      <c r="BC45" s="1505">
        <f>OFFSET(BC45,0,-1)+1</f>
        <v>5</v>
      </c>
      <c r="BD45" s="509"/>
      <c r="BE45" s="509"/>
      <c r="BF45" s="509"/>
      <c r="BG45" s="509"/>
      <c r="BH45" s="509"/>
    </row>
    <row customHeight="1" ht="21">
      <c r="A46" s="1386" t="s">
        <v>266</v>
      </c>
      <c r="B46" s="1386"/>
      <c r="C46" s="1386"/>
      <c r="D46" s="1386"/>
      <c r="E46" s="2173">
        <v>1</v>
      </c>
      <c r="F46" s="1386"/>
      <c r="G46" s="1386"/>
      <c r="H46" s="1386"/>
      <c r="I46" s="1386"/>
      <c r="J46" s="1386"/>
      <c r="K46" s="1386"/>
      <c r="L46" s="1387"/>
      <c r="M46" s="1388"/>
      <c r="N46" s="1388"/>
      <c r="O46" s="1388"/>
      <c r="P46" s="1432"/>
      <c r="Q46" s="871"/>
      <c r="R46" s="343"/>
      <c r="S46" s="1516">
        <f>INDEX(PT_DIFFERENTIATION_NUM_NTAR,MATCH(A46,PT_DIFFERENTIATION_NTAR_ID,0))</f>
        <v>0</v>
      </c>
      <c r="T46" s="278" t="s">
        <v>127</v>
      </c>
      <c r="U46" s="280"/>
      <c r="V46" s="2158"/>
      <c r="W46" s="2158"/>
      <c r="X46" s="2158"/>
      <c r="Y46" s="2158"/>
      <c r="Z46" s="2158"/>
      <c r="AA46" s="2158"/>
      <c r="AB46" s="2158"/>
      <c r="AC46" s="2159"/>
      <c r="AD46" s="2157" t="str">
        <f>INDEX(PT_DIFFERENTIATION_NTAR,MATCH(A46,PT_DIFFERENTIATION_NTAR_ID,0))</f>
        <v/>
      </c>
      <c r="AE46" s="2158"/>
      <c r="AF46" s="2158"/>
      <c r="AG46" s="2158"/>
      <c r="AH46" s="2158"/>
      <c r="AI46" s="2158"/>
      <c r="AJ46" s="2158"/>
      <c r="AK46" s="2158"/>
      <c r="AL46" s="2158"/>
      <c r="AM46" s="2158"/>
      <c r="AN46" s="2158"/>
      <c r="AO46" s="2158"/>
      <c r="AP46" s="2158"/>
      <c r="AQ46" s="2158"/>
      <c r="AR46" s="2158"/>
      <c r="AS46" s="2158"/>
      <c r="AT46" s="2158"/>
      <c r="AU46" s="2158"/>
      <c r="AV46" s="2158"/>
      <c r="AW46" s="2158"/>
      <c r="AX46" s="2158"/>
      <c r="AY46" s="2158"/>
      <c r="AZ46" s="2158"/>
      <c r="BA46" s="2158"/>
      <c r="BB46" s="2159"/>
      <c r="BC46"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8"/>
      <c r="BF46" s="498" t="str">
        <f>IF(T46="","",T46)</f>
        <v>Наименование тарифа</v>
      </c>
      <c r="BG46" s="498"/>
      <c r="BH46" s="498"/>
    </row>
    <row customHeight="1" ht="21">
      <c r="A47" s="1386" t="s">
        <v>266</v>
      </c>
      <c r="B47" s="1386" t="s">
        <v>267</v>
      </c>
      <c r="C47" s="1386"/>
      <c r="D47" s="1386"/>
      <c r="E47" s="2174"/>
      <c r="F47" s="2173">
        <v>1</v>
      </c>
      <c r="G47" s="1386"/>
      <c r="H47" s="1386"/>
      <c r="I47" s="1386"/>
      <c r="J47" s="1386"/>
      <c r="K47" s="1386"/>
      <c r="L47" s="1387"/>
      <c r="M47" s="1388"/>
      <c r="N47" s="1388"/>
      <c r="O47" s="1388"/>
      <c r="P47" s="1433"/>
      <c r="Q47" s="1434"/>
      <c r="R47" s="341"/>
      <c r="S47" s="1516" t="str">
        <f>INDEX(PT_DIFFERENTIATION_NUM_TER,MATCH(B47,PT_DIFFERENTIATION_TER_ID,0))</f>
        <v>.</v>
      </c>
      <c r="T47" s="290" t="s">
        <v>459</v>
      </c>
      <c r="U47" s="280"/>
      <c r="V47" s="2158"/>
      <c r="W47" s="2158"/>
      <c r="X47" s="2158"/>
      <c r="Y47" s="2158"/>
      <c r="Z47" s="2158"/>
      <c r="AA47" s="2158"/>
      <c r="AB47" s="2158"/>
      <c r="AC47" s="2159"/>
      <c r="AD47" s="2157" t="str">
        <f>INDEX(PT_DIFFERENTIATION_TER,MATCH(B47,PT_DIFFERENTIATION_TER_ID,0))</f>
        <v/>
      </c>
      <c r="AE47" s="2158"/>
      <c r="AF47" s="2158"/>
      <c r="AG47" s="2158"/>
      <c r="AH47" s="2158"/>
      <c r="AI47" s="2158"/>
      <c r="AJ47" s="2158"/>
      <c r="AK47" s="2158"/>
      <c r="AL47" s="2158"/>
      <c r="AM47" s="2158"/>
      <c r="AN47" s="2158"/>
      <c r="AO47" s="2158"/>
      <c r="AP47" s="2158"/>
      <c r="AQ47" s="2158"/>
      <c r="AR47" s="2158"/>
      <c r="AS47" s="2158"/>
      <c r="AT47" s="2158"/>
      <c r="AU47" s="2158"/>
      <c r="AV47" s="2158"/>
      <c r="AW47" s="2158"/>
      <c r="AX47" s="2158"/>
      <c r="AY47" s="2158"/>
      <c r="AZ47" s="2158"/>
      <c r="BA47" s="2158"/>
      <c r="BB47" s="2159"/>
      <c r="BC47" s="1279" t="s">
        <v>460</v>
      </c>
      <c r="BE47" s="498"/>
      <c r="BF47" s="498" t="str">
        <f>IF(T47="","",T47)</f>
        <v>Территория действия тарифа</v>
      </c>
      <c r="BG47" s="498"/>
      <c r="BH47" s="498"/>
    </row>
    <row customHeight="1" ht="33.75">
      <c r="A48" s="1386" t="s">
        <v>266</v>
      </c>
      <c r="B48" s="1386" t="s">
        <v>267</v>
      </c>
      <c r="C48" s="1386" t="s">
        <v>268</v>
      </c>
      <c r="D48" s="1386"/>
      <c r="E48" s="2174"/>
      <c r="F48" s="2174"/>
      <c r="G48" s="2173">
        <v>1</v>
      </c>
      <c r="H48" s="1386"/>
      <c r="I48" s="1386"/>
      <c r="J48" s="1386"/>
      <c r="K48" s="1386"/>
      <c r="L48" s="1387"/>
      <c r="M48" s="1388"/>
      <c r="N48" s="1388"/>
      <c r="O48" s="1388"/>
      <c r="P48" s="1435"/>
      <c r="Q48" s="1434"/>
      <c r="R48" s="341"/>
      <c r="S48" s="1516" t="str">
        <f>INDEX(PT_DIFFERENTIATION_NUM_CS,MATCH(C48,PT_DIFFERENTIATION_CS_ID,0))</f>
        <v>..</v>
      </c>
      <c r="T48" s="291" t="s">
        <v>2067</v>
      </c>
      <c r="U48" s="280"/>
      <c r="V48" s="2158"/>
      <c r="W48" s="2158"/>
      <c r="X48" s="2158"/>
      <c r="Y48" s="2158"/>
      <c r="Z48" s="2158"/>
      <c r="AA48" s="2158"/>
      <c r="AB48" s="2158"/>
      <c r="AC48" s="2159"/>
      <c r="AD48" s="2157" t="str">
        <f>INDEX(PT_DIFFERENTIATION_CS,MATCH(C48,PT_DIFFERENTIATION_CS_ID,0))</f>
        <v/>
      </c>
      <c r="AE48" s="2158"/>
      <c r="AF48" s="2158"/>
      <c r="AG48" s="2158"/>
      <c r="AH48" s="2158"/>
      <c r="AI48" s="2158"/>
      <c r="AJ48" s="2158"/>
      <c r="AK48" s="2158"/>
      <c r="AL48" s="2158"/>
      <c r="AM48" s="2158"/>
      <c r="AN48" s="2158"/>
      <c r="AO48" s="2158"/>
      <c r="AP48" s="2158"/>
      <c r="AQ48" s="2158"/>
      <c r="AR48" s="2158"/>
      <c r="AS48" s="2158"/>
      <c r="AT48" s="2158"/>
      <c r="AU48" s="2158"/>
      <c r="AV48" s="2158"/>
      <c r="AW48" s="2158"/>
      <c r="AX48" s="2158"/>
      <c r="AY48" s="2158"/>
      <c r="AZ48" s="2158"/>
      <c r="BA48" s="2158"/>
      <c r="BB48" s="2159"/>
      <c r="BC48" s="1279" t="s">
        <v>2068</v>
      </c>
      <c r="BE48" s="498"/>
      <c r="BF48" s="498" t="str">
        <f>IF(T48="","",T48)</f>
        <v>Наименование централизованной системы водоотведения</v>
      </c>
      <c r="BG48" s="498"/>
      <c r="BH48" s="498"/>
    </row>
    <row s="1673" customFormat="1" customHeight="1" ht="0">
      <c r="A49" s="1366" t="s">
        <v>266</v>
      </c>
      <c r="B49" s="1366" t="s">
        <v>267</v>
      </c>
      <c r="C49" s="1366" t="s">
        <v>268</v>
      </c>
      <c r="D49" s="1366" t="s">
        <v>2082</v>
      </c>
      <c r="E49" s="2174"/>
      <c r="F49" s="2174"/>
      <c r="G49" s="2174"/>
      <c r="H49" s="2173">
        <v>1</v>
      </c>
      <c r="I49" s="1366"/>
      <c r="J49" s="1366"/>
      <c r="K49" s="1366"/>
      <c r="L49" s="1369"/>
      <c r="M49" s="1338"/>
      <c r="N49" s="1338"/>
      <c r="O49" s="1338"/>
      <c r="P49" s="1520"/>
      <c r="Q49" s="1521"/>
      <c r="R49" s="345"/>
      <c r="S49" s="1043"/>
      <c r="T49" s="1522"/>
      <c r="U49" s="1407"/>
      <c r="V49" s="2210"/>
      <c r="W49" s="2210"/>
      <c r="X49" s="2210"/>
      <c r="Y49" s="2210"/>
      <c r="Z49" s="2210"/>
      <c r="AA49" s="2210"/>
      <c r="AB49" s="2210"/>
      <c r="AC49" s="2211"/>
      <c r="AD49" s="2209"/>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1"/>
      <c r="BC49" s="1408" t="s">
        <v>464</v>
      </c>
      <c r="BE49" s="498"/>
      <c r="BF49" s="498" t="str">
        <f>IF(T49="","",T49)</f>
        <v/>
      </c>
      <c r="BG49" s="498"/>
      <c r="BH49" s="498"/>
    </row>
    <row s="1673" customFormat="1" customHeight="1" ht="0">
      <c r="A50" s="1366" t="s">
        <v>266</v>
      </c>
      <c r="B50" s="1366" t="s">
        <v>267</v>
      </c>
      <c r="C50" s="1366" t="s">
        <v>268</v>
      </c>
      <c r="D50" s="1366" t="s">
        <v>2082</v>
      </c>
      <c r="E50" s="2174"/>
      <c r="F50" s="2174"/>
      <c r="G50" s="2174"/>
      <c r="H50" s="2174"/>
      <c r="I50" s="2171" t="str">
        <f>S49&amp;".1"</f>
        <v>.1</v>
      </c>
      <c r="J50" s="1366"/>
      <c r="K50" s="1366"/>
      <c r="L50" s="1369" t="s">
        <v>465</v>
      </c>
      <c r="M50" s="508"/>
      <c r="N50" s="508"/>
      <c r="O50" s="508"/>
      <c r="P50" s="2172">
        <v>1</v>
      </c>
      <c r="Q50" s="1504"/>
      <c r="R50" s="344"/>
      <c r="S50" s="1043"/>
      <c r="T50" s="1406"/>
      <c r="U50" s="1407"/>
      <c r="V50" s="2210"/>
      <c r="W50" s="2210"/>
      <c r="X50" s="2210"/>
      <c r="Y50" s="2210"/>
      <c r="Z50" s="2210"/>
      <c r="AA50" s="2210"/>
      <c r="AB50" s="2210"/>
      <c r="AC50" s="2211"/>
      <c r="AD50" s="2209"/>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1"/>
      <c r="BC50" s="1408"/>
      <c r="BE50" s="498"/>
      <c r="BF50" s="498" t="str">
        <f>IF(T50="","",T50)</f>
        <v/>
      </c>
      <c r="BG50" s="498"/>
      <c r="BH50" s="498"/>
    </row>
    <row s="1673" customFormat="1" customHeight="1" ht="0">
      <c r="A51" s="1366" t="s">
        <v>266</v>
      </c>
      <c r="B51" s="1366" t="s">
        <v>267</v>
      </c>
      <c r="C51" s="1366" t="s">
        <v>268</v>
      </c>
      <c r="D51" s="1366" t="s">
        <v>2082</v>
      </c>
      <c r="E51" s="2174"/>
      <c r="F51" s="2174"/>
      <c r="G51" s="2174"/>
      <c r="H51" s="2174"/>
      <c r="I51" s="2201"/>
      <c r="J51" s="2171" t="str">
        <f>S49&amp;".1"</f>
        <v>.1</v>
      </c>
      <c r="K51" s="1366"/>
      <c r="L51" s="1369"/>
      <c r="M51" s="508"/>
      <c r="N51" s="508"/>
      <c r="O51" s="508"/>
      <c r="P51" s="2172"/>
      <c r="Q51" s="2172">
        <v>1</v>
      </c>
      <c r="R51" s="345"/>
      <c r="S51" s="1043"/>
      <c r="T51" s="1422"/>
      <c r="U51" s="1407"/>
      <c r="V51" s="2210"/>
      <c r="W51" s="2210"/>
      <c r="X51" s="2210"/>
      <c r="Y51" s="2210"/>
      <c r="Z51" s="2210"/>
      <c r="AA51" s="2210"/>
      <c r="AB51" s="2210"/>
      <c r="AC51" s="2211"/>
      <c r="AD51" s="2209"/>
      <c r="AE51" s="2210"/>
      <c r="AF51" s="2210"/>
      <c r="AG51" s="2210"/>
      <c r="AH51" s="2210"/>
      <c r="AI51" s="2210"/>
      <c r="AJ51" s="2210"/>
      <c r="AK51" s="2210"/>
      <c r="AL51" s="2210"/>
      <c r="AM51" s="2210"/>
      <c r="AN51" s="2318"/>
      <c r="AO51" s="2318"/>
      <c r="AP51" s="2210"/>
      <c r="AQ51" s="2210"/>
      <c r="AR51" s="2210"/>
      <c r="AS51" s="2210"/>
      <c r="AT51" s="2210"/>
      <c r="AU51" s="2210"/>
      <c r="AV51" s="2210"/>
      <c r="AW51" s="2210"/>
      <c r="AX51" s="2210"/>
      <c r="AY51" s="2210"/>
      <c r="AZ51" s="2210"/>
      <c r="BA51" s="2210"/>
      <c r="BB51" s="2211"/>
      <c r="BC51" s="1408"/>
      <c r="BE51" s="498"/>
      <c r="BF51" s="498" t="str">
        <f>IF(T51="","",T51)</f>
        <v/>
      </c>
      <c r="BG51" s="498"/>
      <c r="BH51" s="498"/>
    </row>
    <row customHeight="1" ht="11.25">
      <c r="A52" s="1386" t="s">
        <v>266</v>
      </c>
      <c r="B52" s="1386" t="s">
        <v>267</v>
      </c>
      <c r="C52" s="1386" t="s">
        <v>268</v>
      </c>
      <c r="D52" s="1386" t="s">
        <v>2082</v>
      </c>
      <c r="E52" s="2174"/>
      <c r="F52" s="2174"/>
      <c r="G52" s="2174"/>
      <c r="H52" s="2174"/>
      <c r="I52" s="2201"/>
      <c r="J52" s="2201"/>
      <c r="K52" s="2171" t="str">
        <f>S48&amp;".1"</f>
        <v>...1</v>
      </c>
      <c r="L52" s="1387"/>
      <c r="P52" s="2172"/>
      <c r="Q52" s="2172"/>
      <c r="R52" s="345">
        <v>1</v>
      </c>
      <c r="S52" s="2247" t="str">
        <f>$K52</f>
        <v>...1</v>
      </c>
      <c r="T52" s="2313"/>
      <c r="U52" s="280"/>
      <c r="V52" s="749"/>
      <c r="W52" s="1278"/>
      <c r="X52" s="749"/>
      <c r="Y52" s="1278"/>
      <c r="Z52" s="1764"/>
      <c r="AA52" s="1492" t="s">
        <v>58</v>
      </c>
      <c r="AB52" s="1764"/>
      <c r="AC52" s="1492" t="s">
        <v>58</v>
      </c>
      <c r="AD52" s="2004" t="s">
        <v>58</v>
      </c>
      <c r="AE52" s="2233"/>
      <c r="AF52" s="2024">
        <v>1</v>
      </c>
      <c r="AG52" s="2317"/>
      <c r="AH52" s="1928" t="s">
        <v>58</v>
      </c>
      <c r="AI52" s="2233"/>
      <c r="AJ52" s="2024">
        <v>1</v>
      </c>
      <c r="AK52" s="2316" t="s">
        <v>18</v>
      </c>
      <c r="AL52" s="1928" t="s">
        <v>58</v>
      </c>
      <c r="AM52" s="2011"/>
      <c r="AN52" s="2024">
        <v>1</v>
      </c>
      <c r="AO52" s="2310"/>
      <c r="AP52" s="2311" t="s">
        <v>58</v>
      </c>
      <c r="AQ52" s="293"/>
      <c r="AR52" s="1509">
        <v>1</v>
      </c>
      <c r="AS52" s="1515" t="s">
        <v>18</v>
      </c>
      <c r="AT52" s="749"/>
      <c r="AU52" s="1278"/>
      <c r="AV52" s="749"/>
      <c r="AW52" s="1278"/>
      <c r="AX52" s="1764"/>
      <c r="AY52" s="1492" t="s">
        <v>58</v>
      </c>
      <c r="AZ52" s="1764"/>
      <c r="BA52" s="1492" t="s">
        <v>58</v>
      </c>
      <c r="BB52" s="1371"/>
      <c r="BC52" s="2168" t="s">
        <v>1695</v>
      </c>
      <c r="BE52" s="498"/>
      <c r="BF52" s="498" t="str">
        <f>IF(T52="","",T52)</f>
        <v/>
      </c>
      <c r="BG52" s="498"/>
      <c r="BH52" s="498"/>
    </row>
    <row customHeight="1" ht="11.25">
      <c r="A53" s="1386"/>
      <c r="B53" s="1386"/>
      <c r="C53" s="1386"/>
      <c r="D53" s="1386"/>
      <c r="E53" s="2174"/>
      <c r="F53" s="2174"/>
      <c r="G53" s="2174"/>
      <c r="H53" s="2174"/>
      <c r="I53" s="2201"/>
      <c r="J53" s="2201"/>
      <c r="K53" s="2171"/>
      <c r="L53" s="1387"/>
      <c r="P53" s="2172"/>
      <c r="Q53" s="2172"/>
      <c r="R53" s="345"/>
      <c r="S53" s="2248"/>
      <c r="T53" s="2314"/>
      <c r="U53" s="280"/>
      <c r="V53" s="1416"/>
      <c r="W53" s="1519"/>
      <c r="X53" s="1416"/>
      <c r="Y53" s="1519"/>
      <c r="Z53" s="1416"/>
      <c r="AA53" s="1416"/>
      <c r="AB53" s="1416"/>
      <c r="AC53" s="1416"/>
      <c r="AD53" s="2005"/>
      <c r="AE53" s="2233"/>
      <c r="AF53" s="2024"/>
      <c r="AG53" s="2317"/>
      <c r="AH53" s="1928"/>
      <c r="AI53" s="2233"/>
      <c r="AJ53" s="2024"/>
      <c r="AK53" s="2316"/>
      <c r="AL53" s="1928"/>
      <c r="AM53" s="2019"/>
      <c r="AN53" s="2024"/>
      <c r="AO53" s="2310"/>
      <c r="AP53" s="2312"/>
      <c r="AQ53" s="300"/>
      <c r="AR53" s="414"/>
      <c r="AS53" s="414" t="s">
        <v>1696</v>
      </c>
      <c r="AT53" s="1416"/>
      <c r="AU53" s="1519"/>
      <c r="AV53" s="1416"/>
      <c r="AW53" s="1519"/>
      <c r="AX53" s="1416"/>
      <c r="AY53" s="1416"/>
      <c r="AZ53" s="1416"/>
      <c r="BA53" s="1416"/>
      <c r="BB53" s="1420"/>
      <c r="BC53" s="2169"/>
      <c r="BE53" s="498"/>
      <c r="BF53" s="498"/>
      <c r="BG53" s="498"/>
      <c r="BH53" s="498"/>
    </row>
    <row customHeight="1" ht="11.25">
      <c r="A54" s="1386" t="s">
        <v>266</v>
      </c>
      <c r="B54" s="1386"/>
      <c r="C54" s="1386"/>
      <c r="D54" s="1386"/>
      <c r="E54" s="2174"/>
      <c r="F54" s="2174"/>
      <c r="G54" s="2174"/>
      <c r="H54" s="2174"/>
      <c r="I54" s="2201"/>
      <c r="J54" s="2201"/>
      <c r="K54" s="2171"/>
      <c r="L54" s="1387"/>
      <c r="P54" s="2172"/>
      <c r="Q54" s="2172"/>
      <c r="R54" s="345"/>
      <c r="S54" s="2248"/>
      <c r="T54" s="2314"/>
      <c r="U54" s="280"/>
      <c r="V54" s="1416"/>
      <c r="W54" s="1519"/>
      <c r="X54" s="1416"/>
      <c r="Y54" s="1519"/>
      <c r="Z54" s="1416"/>
      <c r="AA54" s="1416"/>
      <c r="AB54" s="1416"/>
      <c r="AC54" s="1416"/>
      <c r="AD54" s="2005"/>
      <c r="AE54" s="2233"/>
      <c r="AF54" s="2024"/>
      <c r="AG54" s="2317"/>
      <c r="AH54" s="1928"/>
      <c r="AI54" s="2233"/>
      <c r="AJ54" s="2024"/>
      <c r="AK54" s="2316"/>
      <c r="AL54" s="1928"/>
      <c r="AM54" s="300"/>
      <c r="AN54" s="1523"/>
      <c r="AO54" s="1523" t="s">
        <v>2075</v>
      </c>
      <c r="AP54" s="414"/>
      <c r="AQ54" s="414"/>
      <c r="AR54" s="414"/>
      <c r="AS54" s="1416"/>
      <c r="AT54" s="1416"/>
      <c r="AU54" s="1519"/>
      <c r="AV54" s="1416"/>
      <c r="AW54" s="1519"/>
      <c r="AX54" s="1416"/>
      <c r="AY54" s="1416"/>
      <c r="AZ54" s="1416"/>
      <c r="BA54" s="1416"/>
      <c r="BB54" s="1420"/>
      <c r="BC54" s="2169"/>
      <c r="BE54" s="498"/>
      <c r="BF54" s="498"/>
      <c r="BG54" s="498"/>
      <c r="BH54" s="498"/>
    </row>
    <row customHeight="1" ht="11.25">
      <c r="A55" s="1386" t="s">
        <v>266</v>
      </c>
      <c r="B55" s="1386"/>
      <c r="C55" s="1386"/>
      <c r="D55" s="1386"/>
      <c r="E55" s="2174"/>
      <c r="F55" s="2174"/>
      <c r="G55" s="2174"/>
      <c r="H55" s="2174"/>
      <c r="I55" s="2201"/>
      <c r="J55" s="2201"/>
      <c r="K55" s="2171"/>
      <c r="L55" s="1387"/>
      <c r="P55" s="2172"/>
      <c r="Q55" s="2172"/>
      <c r="R55" s="345"/>
      <c r="S55" s="2248"/>
      <c r="T55" s="2314"/>
      <c r="U55" s="280"/>
      <c r="V55" s="1416"/>
      <c r="W55" s="1519"/>
      <c r="X55" s="1416"/>
      <c r="Y55" s="1519"/>
      <c r="Z55" s="1416"/>
      <c r="AA55" s="1416"/>
      <c r="AB55" s="1416"/>
      <c r="AC55" s="1416"/>
      <c r="AD55" s="2005"/>
      <c r="AE55" s="2233"/>
      <c r="AF55" s="2024"/>
      <c r="AG55" s="2317"/>
      <c r="AH55" s="1928"/>
      <c r="AI55" s="274"/>
      <c r="AJ55" s="413"/>
      <c r="AK55" s="295" t="s">
        <v>2076</v>
      </c>
      <c r="AL55" s="1416"/>
      <c r="AM55" s="1416"/>
      <c r="AN55" s="1416"/>
      <c r="AO55" s="1416"/>
      <c r="AP55" s="1416"/>
      <c r="AQ55" s="1416"/>
      <c r="AR55" s="1416"/>
      <c r="AS55" s="1416"/>
      <c r="AT55" s="1416"/>
      <c r="AU55" s="1519"/>
      <c r="AV55" s="1416"/>
      <c r="AW55" s="1519"/>
      <c r="AX55" s="1416"/>
      <c r="AY55" s="1416"/>
      <c r="AZ55" s="1416"/>
      <c r="BA55" s="1416"/>
      <c r="BB55" s="1420"/>
      <c r="BC55" s="2169"/>
      <c r="BE55" s="498"/>
      <c r="BF55" s="498"/>
      <c r="BG55" s="498"/>
      <c r="BH55" s="498"/>
    </row>
    <row customHeight="1" ht="11.25">
      <c r="A56" s="1386" t="s">
        <v>266</v>
      </c>
      <c r="B56" s="1386" t="s">
        <v>267</v>
      </c>
      <c r="C56" s="1386" t="s">
        <v>268</v>
      </c>
      <c r="D56" s="1386" t="s">
        <v>2082</v>
      </c>
      <c r="E56" s="2174"/>
      <c r="F56" s="2174"/>
      <c r="G56" s="2174"/>
      <c r="H56" s="2174"/>
      <c r="I56" s="2201"/>
      <c r="J56" s="2201"/>
      <c r="K56" s="2171"/>
      <c r="L56" s="1387"/>
      <c r="P56" s="2172"/>
      <c r="Q56" s="2172"/>
      <c r="R56" s="345"/>
      <c r="S56" s="2249"/>
      <c r="T56" s="2315"/>
      <c r="U56" s="280"/>
      <c r="V56" s="1416"/>
      <c r="W56" s="1417" t="str">
        <f>Z52&amp;"-"&amp;AB52</f>
        <v>-</v>
      </c>
      <c r="X56" s="1416"/>
      <c r="Y56" s="1417" t="str">
        <f>AB52&amp;"-"&amp;AD52</f>
        <v>-да</v>
      </c>
      <c r="Z56" s="1416"/>
      <c r="AA56" s="1416"/>
      <c r="AB56" s="1416"/>
      <c r="AC56" s="1416"/>
      <c r="AD56" s="1933"/>
      <c r="AE56" s="294"/>
      <c r="AF56" s="296"/>
      <c r="AG56" s="414" t="s">
        <v>1699</v>
      </c>
      <c r="AH56" s="1416"/>
      <c r="AI56" s="1416"/>
      <c r="AJ56" s="1416"/>
      <c r="AK56" s="1416"/>
      <c r="AL56" s="1416"/>
      <c r="AM56" s="1416"/>
      <c r="AN56" s="1416"/>
      <c r="AO56" s="1416"/>
      <c r="AP56" s="1416"/>
      <c r="AQ56" s="1416"/>
      <c r="AR56" s="1416"/>
      <c r="AS56" s="1416"/>
      <c r="AT56" s="1416"/>
      <c r="AU56" s="1417" t="str">
        <f>AX52&amp;"-"&amp;AZ52</f>
        <v>-</v>
      </c>
      <c r="AV56" s="1416"/>
      <c r="AW56" s="1417" t="str">
        <f>AZ52&amp;"-"&amp;BB52</f>
        <v>-</v>
      </c>
      <c r="AX56" s="1416"/>
      <c r="AY56" s="1416"/>
      <c r="AZ56" s="1416"/>
      <c r="BA56" s="1416"/>
      <c r="BB56" s="1419" t="str">
        <f>BE52&amp;"-"&amp;BG52</f>
        <v>-</v>
      </c>
      <c r="BC56" s="2169"/>
      <c r="BE56" s="498"/>
      <c r="BF56" s="498" t="str">
        <f>IF(T56="","",T56)</f>
        <v/>
      </c>
      <c r="BG56" s="498"/>
      <c r="BH56" s="498"/>
    </row>
    <row customHeight="1" ht="11.25">
      <c r="A57" s="1386" t="s">
        <v>266</v>
      </c>
      <c r="B57" s="1386" t="s">
        <v>267</v>
      </c>
      <c r="C57" s="1386" t="s">
        <v>268</v>
      </c>
      <c r="D57" s="1386" t="s">
        <v>2082</v>
      </c>
      <c r="E57" s="2174"/>
      <c r="F57" s="2174"/>
      <c r="G57" s="2174"/>
      <c r="H57" s="2174"/>
      <c r="I57" s="2201"/>
      <c r="J57" s="2171"/>
      <c r="K57" s="1386"/>
      <c r="L57" s="1387"/>
      <c r="P57" s="2172"/>
      <c r="Q57" s="2172"/>
      <c r="R57" s="344"/>
      <c r="S57" s="1301"/>
      <c r="T57" s="268" t="s">
        <v>539</v>
      </c>
      <c r="U57" s="359"/>
      <c r="V57" s="359"/>
      <c r="W57" s="359"/>
      <c r="X57" s="359"/>
      <c r="Y57" s="359"/>
      <c r="Z57" s="359"/>
      <c r="AA57" s="359"/>
      <c r="AB57" s="359"/>
      <c r="AC57" s="311"/>
      <c r="AD57" s="1528"/>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70"/>
      <c r="BE57" s="498"/>
      <c r="BF57" s="498" t="str">
        <f>IF(T57="","",T57)</f>
        <v>Добавить строку</v>
      </c>
      <c r="BG57" s="498"/>
      <c r="BH57" s="498"/>
    </row>
    <row s="1673" customFormat="1" customHeight="1" ht="0">
      <c r="A58" s="1366" t="s">
        <v>266</v>
      </c>
      <c r="B58" s="1366" t="s">
        <v>267</v>
      </c>
      <c r="C58" s="1366" t="s">
        <v>268</v>
      </c>
      <c r="D58" s="1366" t="s">
        <v>2082</v>
      </c>
      <c r="E58" s="2174"/>
      <c r="F58" s="2174"/>
      <c r="G58" s="2174"/>
      <c r="H58" s="2174"/>
      <c r="I58" s="2171"/>
      <c r="J58" s="1366"/>
      <c r="K58" s="1366"/>
      <c r="L58" s="1369"/>
      <c r="M58" s="508"/>
      <c r="N58" s="508"/>
      <c r="O58" s="508"/>
      <c r="P58" s="2172"/>
      <c r="Q58" s="1504"/>
      <c r="R58" s="344"/>
      <c r="S58" s="1409"/>
      <c r="T58" s="1410"/>
      <c r="U58" s="1411"/>
      <c r="V58" s="1411"/>
      <c r="W58" s="1411"/>
      <c r="X58" s="1411"/>
      <c r="Y58" s="1411"/>
      <c r="Z58" s="1411"/>
      <c r="AA58" s="1411"/>
      <c r="AB58" s="1411"/>
      <c r="AC58" s="1411"/>
      <c r="AD58" s="1411"/>
      <c r="AE58" s="1411"/>
      <c r="AF58" s="1411"/>
      <c r="AG58" s="1411"/>
      <c r="AH58" s="1411"/>
      <c r="AI58" s="1411"/>
      <c r="AJ58" s="1411"/>
      <c r="AK58" s="1411"/>
      <c r="AL58" s="1411"/>
      <c r="AM58" s="1411"/>
      <c r="AN58" s="1411"/>
      <c r="AO58" s="1411"/>
      <c r="AP58" s="1411"/>
      <c r="AQ58" s="1411"/>
      <c r="AR58" s="1411"/>
      <c r="AS58" s="1411"/>
      <c r="AT58" s="1411"/>
      <c r="AU58" s="1411"/>
      <c r="AV58" s="1411"/>
      <c r="AW58" s="1411"/>
      <c r="AX58" s="1411"/>
      <c r="AY58" s="1411"/>
      <c r="AZ58" s="1411"/>
      <c r="BA58" s="1411"/>
      <c r="BB58" s="1411"/>
      <c r="BC58" s="1412"/>
      <c r="BE58" s="498"/>
      <c r="BF58" s="498" t="str">
        <f>IF(T58="","",T58)</f>
        <v/>
      </c>
      <c r="BG58" s="498"/>
      <c r="BH58" s="498"/>
    </row>
    <row s="1673" customFormat="1" customHeight="1" ht="0">
      <c r="A59" s="1366" t="s">
        <v>266</v>
      </c>
      <c r="B59" s="1366" t="s">
        <v>267</v>
      </c>
      <c r="C59" s="1366" t="s">
        <v>268</v>
      </c>
      <c r="D59" s="1366" t="s">
        <v>2082</v>
      </c>
      <c r="E59" s="2174"/>
      <c r="F59" s="2174"/>
      <c r="G59" s="2174"/>
      <c r="H59" s="2173"/>
      <c r="I59" s="1366"/>
      <c r="J59" s="1366"/>
      <c r="K59" s="1366"/>
      <c r="L59" s="1369"/>
      <c r="M59" s="1338"/>
      <c r="N59" s="1338"/>
      <c r="O59" s="516"/>
      <c r="P59" s="376"/>
      <c r="Q59" s="1367"/>
      <c r="R59" s="1424"/>
      <c r="S59" s="1409"/>
      <c r="T59" s="1410"/>
      <c r="U59" s="1411"/>
      <c r="V59" s="1411"/>
      <c r="W59" s="1411"/>
      <c r="X59" s="1411"/>
      <c r="Y59" s="1411"/>
      <c r="Z59" s="1411"/>
      <c r="AA59" s="1411"/>
      <c r="AB59" s="1411"/>
      <c r="AC59" s="1411"/>
      <c r="AD59" s="1411"/>
      <c r="AE59" s="1411"/>
      <c r="AF59" s="1411"/>
      <c r="AG59" s="1411"/>
      <c r="AH59" s="1411"/>
      <c r="AI59" s="1411"/>
      <c r="AJ59" s="1411"/>
      <c r="AK59" s="1411"/>
      <c r="AL59" s="1411"/>
      <c r="AM59" s="1411"/>
      <c r="AN59" s="1411"/>
      <c r="AO59" s="1411"/>
      <c r="AP59" s="1411"/>
      <c r="AQ59" s="1411"/>
      <c r="AR59" s="1411"/>
      <c r="AS59" s="1411"/>
      <c r="AT59" s="1411"/>
      <c r="AU59" s="1411"/>
      <c r="AV59" s="1411"/>
      <c r="AW59" s="1411"/>
      <c r="AX59" s="1411"/>
      <c r="AY59" s="1411"/>
      <c r="AZ59" s="1411"/>
      <c r="BA59" s="1411"/>
      <c r="BB59" s="1411"/>
      <c r="BC59" s="1412"/>
      <c r="BE59" s="498"/>
      <c r="BF59" s="498" t="str">
        <f>IF(T59="","",T59)</f>
        <v/>
      </c>
      <c r="BG59" s="498"/>
      <c r="BH59" s="498"/>
    </row>
    <row s="1673" customFormat="1" customHeight="1" ht="0">
      <c r="A60" s="1366" t="s">
        <v>266</v>
      </c>
      <c r="B60" s="1366" t="s">
        <v>267</v>
      </c>
      <c r="C60" s="1366" t="s">
        <v>268</v>
      </c>
      <c r="D60" s="1337"/>
      <c r="E60" s="2174"/>
      <c r="F60" s="2174"/>
      <c r="G60" s="2173"/>
      <c r="H60" s="1337"/>
      <c r="I60" s="1337"/>
      <c r="J60" s="1337"/>
      <c r="K60" s="1337"/>
      <c r="L60" s="1517"/>
      <c r="M60" s="1338"/>
      <c r="N60" s="1338"/>
      <c r="P60" s="1339"/>
      <c r="Q60" s="1340"/>
      <c r="R60" s="1339"/>
      <c r="S60" s="1345"/>
      <c r="T60" s="1348"/>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1347"/>
      <c r="BC60" s="1347"/>
      <c r="BE60" s="787"/>
      <c r="BF60" s="787" t="str">
        <f>IF(T60="","",T60)</f>
        <v/>
      </c>
      <c r="BG60" s="787"/>
      <c r="BH60" s="787"/>
    </row>
    <row s="1673" customFormat="1" customHeight="1" ht="0">
      <c r="A61" s="1366" t="s">
        <v>266</v>
      </c>
      <c r="B61" s="1366" t="s">
        <v>267</v>
      </c>
      <c r="C61" s="1337"/>
      <c r="D61" s="1337"/>
      <c r="E61" s="2174"/>
      <c r="F61" s="2173"/>
      <c r="G61" s="1337"/>
      <c r="H61" s="1337"/>
      <c r="I61" s="1337"/>
      <c r="J61" s="1337"/>
      <c r="K61" s="1337"/>
      <c r="L61" s="1517"/>
      <c r="M61" s="1344"/>
      <c r="N61" s="1344"/>
      <c r="P61" s="1339"/>
      <c r="Q61" s="1340"/>
      <c r="R61" s="1339"/>
      <c r="S61" s="1345"/>
      <c r="T61" s="1348" t="s">
        <v>433</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1347"/>
      <c r="BC61" s="1347"/>
      <c r="BE61" s="787"/>
      <c r="BF61" s="787" t="str">
        <f>IF(T61="","",T61)</f>
        <v>Добавить централизованную систему для дифференциации</v>
      </c>
      <c r="BG61" s="787"/>
      <c r="BH61" s="787"/>
    </row>
    <row s="1673" customFormat="1" customHeight="1" ht="0">
      <c r="A62" s="1366" t="s">
        <v>266</v>
      </c>
      <c r="B62" s="1366"/>
      <c r="C62" s="1366"/>
      <c r="D62" s="1366"/>
      <c r="E62" s="2173"/>
      <c r="F62" s="1366"/>
      <c r="G62" s="1366"/>
      <c r="H62" s="1366"/>
      <c r="I62" s="1366"/>
      <c r="J62" s="1366"/>
      <c r="K62" s="1366"/>
      <c r="L62" s="1369"/>
      <c r="M62" s="1344"/>
      <c r="N62" s="1344"/>
      <c r="O62" s="516"/>
      <c r="P62" s="376"/>
      <c r="Q62" s="1367"/>
      <c r="R62" s="376"/>
      <c r="S62" s="1345"/>
      <c r="T62" s="1348" t="s">
        <v>434</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1347"/>
      <c r="BC62" s="1347"/>
      <c r="BE62" s="498"/>
      <c r="BF62" s="498" t="str">
        <f>IF(T62="","",T62)</f>
        <v>Добавить территорию для дифференциации</v>
      </c>
      <c r="BG62" s="498"/>
      <c r="BH62" s="498"/>
    </row>
    <row s="1673" customFormat="1" customHeight="1" ht="0">
      <c r="A63" s="1337"/>
      <c r="B63" s="1337"/>
      <c r="C63" s="1337"/>
      <c r="D63" s="1337"/>
      <c r="E63" s="1366"/>
      <c r="F63" s="1337"/>
      <c r="G63" s="1337"/>
      <c r="H63" s="1337"/>
      <c r="I63" s="1337"/>
      <c r="J63" s="1337"/>
      <c r="K63" s="1337"/>
      <c r="L63" s="1517"/>
      <c r="M63" s="1344"/>
      <c r="N63" s="1344"/>
      <c r="P63" s="1339"/>
      <c r="Q63" s="1340"/>
      <c r="R63" s="1339"/>
      <c r="S63" s="1345"/>
      <c r="T63" s="1348" t="s">
        <v>435</v>
      </c>
      <c r="U63" s="1347"/>
      <c r="V63" s="1347"/>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1347"/>
      <c r="BC63" s="1347"/>
      <c r="BE63" s="787"/>
      <c r="BF63" s="787" t="str">
        <f>IF(T63="","",T63)</f>
        <v>Добавить наименование тарифа</v>
      </c>
      <c r="BG63" s="787"/>
      <c r="BH63" s="787"/>
    </row>
    <row customHeight="1" ht="11.25" hidden="1">
      <c r="M64" s="1161"/>
      <c r="N64" s="1161"/>
      <c r="O64" s="535"/>
      <c r="P64" s="1161"/>
      <c r="Q64" s="1161"/>
      <c r="R64" s="1156"/>
      <c r="S64" s="1156"/>
      <c r="BD64" s="1156"/>
      <c r="BE64" s="1156"/>
      <c r="BF64" s="1156"/>
      <c r="BG64" s="1156"/>
      <c r="BH64" s="1156"/>
    </row>
    <row customHeight="1" ht="14.25" hidden="1">
      <c r="O65" s="535"/>
      <c r="S65" s="1266" t="s">
        <v>507</v>
      </c>
      <c r="T65" s="2200" t="s">
        <v>1710</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customHeight="1" ht="14.25" hidden="1">
      <c r="O66" s="535"/>
      <c r="T66" s="1503"/>
      <c r="U66" s="1503"/>
      <c r="V66" s="1503"/>
      <c r="W66" s="1503"/>
      <c r="X66" s="1503"/>
      <c r="Y66" s="1503"/>
      <c r="Z66" s="1503"/>
      <c r="AA66" s="1503"/>
      <c r="AB66" s="1503"/>
      <c r="AC66" s="1503"/>
      <c r="AD66" s="1503"/>
      <c r="AE66" s="1503"/>
      <c r="AF66" s="1503"/>
      <c r="AG66" s="1503"/>
      <c r="AH66" s="1503"/>
      <c r="AI66" s="1503"/>
      <c r="AJ66" s="1503"/>
      <c r="AK66" s="1503"/>
      <c r="AL66" s="1503"/>
      <c r="AM66" s="1503"/>
      <c r="AN66" s="1503"/>
      <c r="AO66" s="1503"/>
      <c r="AP66" s="1503"/>
      <c r="AQ66" s="1503"/>
      <c r="AR66" s="1503"/>
      <c r="AS66" s="1503"/>
      <c r="AT66" s="1503"/>
      <c r="AU66" s="1503"/>
      <c r="AV66" s="1503"/>
      <c r="AW66" s="1503"/>
      <c r="AX66" s="1503"/>
      <c r="AY66" s="1503"/>
      <c r="AZ66" s="1503"/>
      <c r="BA66" s="1503"/>
      <c r="BB66" s="1503"/>
      <c r="BC66" s="1503"/>
    </row>
    <row customHeight="1" ht="14.25" hidden="1">
      <c r="O67" s="535"/>
      <c r="S67" s="1266" t="s">
        <v>507</v>
      </c>
      <c r="T67" s="2200" t="s">
        <v>1711</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customHeight="1" ht="14.25">
      <c r="O68" s="53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C9777-5388-FBDF-6DCC-C0403CC27DF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6B769-2D8B-34B8-DA5C-C5D0726579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10B8E-ABB5-6254-888B-7423165E61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9B6CC-9CD4-26DC-A8B8-38CC6B31F5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E5B34-705D-651F-0F0D-E2300AAED7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5D43A-F8CF-59ED-C935-9CA8638A8D8C}"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412" width="9.140625" hidden="1"/>
    <col min="3" max="4" style="2412" width="3.7109375" customWidth="1"/>
    <col min="5" max="6" style="2412" width="16.00390625" customWidth="1"/>
    <col min="7" max="7" style="2412" width="11.57421875" customWidth="1"/>
    <col min="8" max="9" style="2412" width="3.7109375" customWidth="1"/>
    <col min="10" max="10" style="2412" width="13.140625" customWidth="1"/>
    <col min="11" max="11" style="2412" width="0.28125" customWidth="1"/>
    <col min="12" max="13" style="2412" width="10.7109375" customWidth="1"/>
    <col min="14" max="15" style="2412" width="3.7109375" customWidth="1"/>
    <col min="16" max="16" style="2412" width="19.7109375" customWidth="1"/>
    <col min="17" max="17" style="2412" width="0.28125" customWidth="1"/>
    <col min="18" max="19" style="2412" width="10.7109375" customWidth="1"/>
    <col min="20" max="21" style="2412" width="3.7109375" customWidth="1"/>
    <col min="22" max="22" style="2412" width="25.7109375" customWidth="1"/>
    <col min="23" max="23" style="2412" width="0.28125" customWidth="1"/>
    <col min="24" max="25" style="2412" width="10.7109375" customWidth="1"/>
    <col min="26" max="27" style="2412" width="3.7109375" customWidth="1"/>
    <col min="28" max="28" style="2412" width="16.421875" customWidth="1"/>
    <col min="29" max="29" style="2412" width="0.28125" customWidth="1"/>
    <col min="30" max="31" style="2412" width="10.7109375" customWidth="1"/>
    <col min="32" max="33" style="2412" width="3.7109375" customWidth="1"/>
    <col min="34" max="34" style="2412" width="8.7109375" customWidth="1"/>
    <col min="35" max="35" style="2412" width="21.7109375" customWidth="1"/>
    <col min="36" max="36" style="2412" width="9.140625"/>
    <col min="37" max="37" style="366" width="9.140625"/>
    <col min="38" max="64" style="2412" width="9.140625"/>
  </cols>
  <sheetData>
    <row s="1339" customFormat="1" customHeight="1" ht="11.25" hidden="1">
      <c r="AJ1" s="420"/>
      <c r="AK1" s="420"/>
      <c r="AL1" s="420"/>
      <c r="AM1" s="420"/>
      <c r="AN1" s="420"/>
      <c r="AO1" s="420"/>
      <c r="AP1" s="420"/>
      <c r="AQ1" s="420"/>
      <c r="AR1" s="420"/>
      <c r="AS1" s="420"/>
      <c r="AT1" s="420"/>
      <c r="AU1" s="420"/>
      <c r="AV1" s="420"/>
      <c r="AW1" s="420"/>
      <c r="AX1" s="420"/>
      <c r="AY1" s="420"/>
      <c r="AZ1" s="420"/>
      <c r="BA1" s="420"/>
      <c r="BB1" s="420"/>
      <c r="BC1" s="420"/>
      <c r="BD1" s="420"/>
      <c r="BE1" s="420"/>
      <c r="BF1" s="420"/>
      <c r="BG1" s="420"/>
      <c r="BH1" s="420"/>
      <c r="BI1" s="420"/>
      <c r="BJ1" s="420"/>
      <c r="BK1" s="420"/>
      <c r="BL1" s="420"/>
    </row>
    <row s="1586" customFormat="1" customHeight="1" ht="11.25" hidden="1">
      <c r="L2" s="1586" t="s">
        <v>269</v>
      </c>
      <c r="M2" s="1586" t="s">
        <v>270</v>
      </c>
      <c r="R2" s="1586" t="s">
        <v>271</v>
      </c>
      <c r="S2" s="1586" t="s">
        <v>270</v>
      </c>
      <c r="X2" s="1586" t="s">
        <v>269</v>
      </c>
      <c r="Y2" s="1586" t="s">
        <v>270</v>
      </c>
      <c r="AD2" s="1586" t="s">
        <v>269</v>
      </c>
      <c r="AE2" s="1586" t="s">
        <v>270</v>
      </c>
      <c r="AJ2" s="1607"/>
      <c r="AK2" s="1607"/>
      <c r="AL2" s="1607"/>
      <c r="AM2" s="1607"/>
      <c r="AN2" s="1607"/>
      <c r="AO2" s="1607"/>
      <c r="AP2" s="1607"/>
      <c r="AQ2" s="1607"/>
      <c r="AR2" s="1607"/>
      <c r="AS2" s="1607"/>
      <c r="AT2" s="1607"/>
      <c r="AU2" s="1607"/>
      <c r="AV2" s="1607"/>
      <c r="AW2" s="1607"/>
      <c r="AX2" s="1607"/>
      <c r="AY2" s="1607"/>
      <c r="AZ2" s="1607"/>
      <c r="BA2" s="1607"/>
      <c r="BB2" s="1607"/>
      <c r="BC2" s="1607"/>
      <c r="BD2" s="1607"/>
      <c r="BE2" s="1607"/>
      <c r="BF2" s="1607"/>
      <c r="BG2" s="1607"/>
      <c r="BH2" s="1607"/>
      <c r="BI2" s="1607"/>
      <c r="BJ2" s="1607"/>
      <c r="BK2" s="1607"/>
      <c r="BL2" s="1607"/>
    </row>
    <row s="1587" customFormat="1" customHeight="1" ht="11.25">
      <c r="AJ3" s="0"/>
      <c r="AK3" s="287"/>
      <c r="AL3" s="0"/>
      <c r="AM3" s="0"/>
      <c r="AN3" s="0"/>
      <c r="AO3" s="0"/>
      <c r="AP3" s="0"/>
      <c r="AQ3" s="0"/>
      <c r="AR3" s="0"/>
      <c r="AS3" s="0"/>
      <c r="AT3" s="0"/>
      <c r="AU3" s="0"/>
      <c r="AV3" s="0"/>
      <c r="AW3" s="0"/>
      <c r="AX3" s="0"/>
      <c r="AY3" s="0"/>
      <c r="AZ3" s="0"/>
      <c r="BA3" s="0"/>
      <c r="BB3" s="0"/>
      <c r="BC3" s="0"/>
      <c r="BD3" s="0"/>
      <c r="BE3" s="0"/>
      <c r="BF3" s="0"/>
      <c r="BG3" s="0"/>
      <c r="BH3" s="0"/>
      <c r="BI3" s="0"/>
      <c r="BJ3" s="0"/>
      <c r="BK3" s="0"/>
      <c r="BL3" s="0"/>
    </row>
    <row s="1854" customFormat="1" customHeight="1" ht="33">
      <c r="A4" s="1157"/>
      <c r="B4" s="1156"/>
      <c r="C4" s="1538"/>
      <c r="D4" s="2010" t="s">
        <v>272</v>
      </c>
      <c r="E4" s="2010"/>
      <c r="F4" s="2010"/>
      <c r="G4" s="2010"/>
      <c r="H4" s="2010"/>
      <c r="I4" s="2010"/>
      <c r="J4" s="2010"/>
      <c r="K4" s="696"/>
      <c r="T4" s="1588"/>
      <c r="AJ4" s="1608"/>
      <c r="AK4" s="1609"/>
      <c r="AL4" s="1608"/>
      <c r="AM4" s="1608"/>
      <c r="AN4" s="1608"/>
      <c r="AO4" s="1608"/>
      <c r="AP4" s="1608"/>
      <c r="AQ4" s="1608"/>
      <c r="AR4" s="1608"/>
      <c r="AS4" s="1608"/>
      <c r="AT4" s="1608"/>
      <c r="AU4" s="1608"/>
      <c r="AV4" s="1608"/>
      <c r="AW4" s="1608"/>
      <c r="AX4" s="1608"/>
      <c r="AY4" s="1608"/>
      <c r="AZ4" s="1608"/>
      <c r="BA4" s="1608"/>
      <c r="BB4" s="1608"/>
      <c r="BC4" s="1608"/>
      <c r="BD4" s="1608"/>
      <c r="BE4" s="1608"/>
      <c r="BF4" s="1608"/>
      <c r="BG4" s="1608"/>
      <c r="BH4" s="1608"/>
      <c r="BI4" s="1608"/>
      <c r="BJ4" s="1608"/>
      <c r="BK4" s="1608"/>
      <c r="BL4" s="1608"/>
    </row>
    <row s="1854" customFormat="1" customHeight="1" ht="14.25">
      <c r="A5" s="1663"/>
      <c r="B5" s="1662"/>
      <c r="C5" s="1538"/>
      <c r="D5" s="1995" t="str">
        <f>IF(org=0,"Не определено",org)</f>
        <v>ПАО "ТГК-2"</v>
      </c>
      <c r="E5" s="1995"/>
      <c r="F5" s="1995"/>
      <c r="G5" s="1995"/>
      <c r="H5" s="1995"/>
      <c r="I5" s="1995"/>
      <c r="J5" s="1995"/>
      <c r="K5" s="696"/>
      <c r="T5" s="1588"/>
      <c r="AJ5" s="1608"/>
      <c r="AK5" s="1609"/>
      <c r="AL5" s="1608"/>
      <c r="AM5" s="1608"/>
      <c r="AN5" s="1608"/>
      <c r="AO5" s="1608"/>
      <c r="AP5" s="1608"/>
      <c r="AQ5" s="1608"/>
      <c r="AR5" s="1608"/>
      <c r="AS5" s="1608"/>
      <c r="AT5" s="1608"/>
      <c r="AU5" s="1608"/>
      <c r="AV5" s="1608"/>
      <c r="AW5" s="1608"/>
      <c r="AX5" s="1608"/>
      <c r="AY5" s="1608"/>
      <c r="AZ5" s="1608"/>
      <c r="BA5" s="1608"/>
      <c r="BB5" s="1608"/>
      <c r="BC5" s="1608"/>
      <c r="BD5" s="1608"/>
      <c r="BE5" s="1608"/>
      <c r="BF5" s="1608"/>
      <c r="BG5" s="1608"/>
      <c r="BH5" s="1608"/>
      <c r="BI5" s="1608"/>
      <c r="BJ5" s="1608"/>
      <c r="BK5" s="1608"/>
      <c r="BL5" s="1608"/>
    </row>
    <row s="1854" customFormat="1" customHeight="1" ht="14.25">
      <c r="A6" s="1157"/>
      <c r="B6" s="1156"/>
      <c r="C6" s="1538"/>
      <c r="D6" s="696"/>
      <c r="E6" s="696"/>
      <c r="F6" s="696"/>
      <c r="G6" s="696"/>
      <c r="H6" s="696"/>
      <c r="I6" s="696"/>
      <c r="J6" s="696"/>
      <c r="K6" s="696"/>
      <c r="T6" s="1588"/>
      <c r="AJ6" s="1608"/>
      <c r="AK6" s="1609"/>
      <c r="AL6" s="1608"/>
      <c r="AM6" s="1608"/>
      <c r="AN6" s="1608"/>
      <c r="AO6" s="1608"/>
      <c r="AP6" s="1608"/>
      <c r="AQ6" s="1608"/>
      <c r="AR6" s="1608"/>
      <c r="AS6" s="1608"/>
      <c r="AT6" s="1608"/>
      <c r="AU6" s="1608"/>
      <c r="AV6" s="1608"/>
      <c r="AW6" s="1608"/>
      <c r="AX6" s="1608"/>
      <c r="AY6" s="1608"/>
      <c r="AZ6" s="1608"/>
      <c r="BA6" s="1608"/>
      <c r="BB6" s="1608"/>
      <c r="BC6" s="1608"/>
      <c r="BD6" s="1608"/>
      <c r="BE6" s="1608"/>
      <c r="BF6" s="1608"/>
      <c r="BG6" s="1608"/>
      <c r="BH6" s="1608"/>
      <c r="BI6" s="1608"/>
      <c r="BJ6" s="1608"/>
      <c r="BK6" s="1608"/>
      <c r="BL6" s="1608"/>
    </row>
    <row s="1339" customFormat="1" customHeight="1" ht="0.75">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row>
    <row customHeight="1" ht="31.5">
      <c r="D8" s="1948" t="s">
        <v>87</v>
      </c>
      <c r="E8" s="1948" t="s">
        <v>104</v>
      </c>
      <c r="F8" s="2011" t="s">
        <v>126</v>
      </c>
      <c r="G8" s="2012"/>
      <c r="H8" s="2011" t="s">
        <v>87</v>
      </c>
      <c r="I8" s="2012"/>
      <c r="J8" s="1948" t="s">
        <v>127</v>
      </c>
      <c r="K8" s="1589"/>
      <c r="L8" s="2015" t="s">
        <v>273</v>
      </c>
      <c r="M8" s="2015"/>
      <c r="N8" s="2015"/>
      <c r="O8" s="2015"/>
      <c r="P8" s="2015"/>
      <c r="Q8" s="1590"/>
      <c r="R8" s="1917" t="s">
        <v>274</v>
      </c>
      <c r="S8" s="2016"/>
      <c r="T8" s="2016"/>
      <c r="U8" s="2016"/>
      <c r="V8" s="2016"/>
      <c r="W8" s="1590"/>
      <c r="X8" s="2017" t="s">
        <v>275</v>
      </c>
      <c r="Y8" s="2017"/>
      <c r="Z8" s="2017"/>
      <c r="AA8" s="2017"/>
      <c r="AB8" s="2017"/>
      <c r="AC8" s="1591"/>
      <c r="AD8" s="1948" t="s">
        <v>276</v>
      </c>
      <c r="AE8" s="1948"/>
      <c r="AF8" s="1948"/>
      <c r="AG8" s="1948"/>
      <c r="AH8" s="1922"/>
      <c r="AI8" s="1948" t="s">
        <v>277</v>
      </c>
      <c r="AJ8" s="0"/>
    </row>
    <row customHeight="1" ht="22.5">
      <c r="D9" s="1948"/>
      <c r="E9" s="1948"/>
      <c r="F9" s="1994" t="s">
        <v>88</v>
      </c>
      <c r="G9" s="1994" t="s">
        <v>132</v>
      </c>
      <c r="H9" s="2013"/>
      <c r="I9" s="2014"/>
      <c r="J9" s="1922"/>
      <c r="K9" s="1592"/>
      <c r="L9" s="1948" t="s">
        <v>278</v>
      </c>
      <c r="M9" s="1922"/>
      <c r="N9" s="2011" t="s">
        <v>87</v>
      </c>
      <c r="O9" s="2012"/>
      <c r="P9" s="1948" t="s">
        <v>133</v>
      </c>
      <c r="Q9" s="1589"/>
      <c r="R9" s="1948" t="s">
        <v>278</v>
      </c>
      <c r="S9" s="1922"/>
      <c r="T9" s="2011" t="s">
        <v>87</v>
      </c>
      <c r="U9" s="2012"/>
      <c r="V9" s="1948" t="s">
        <v>133</v>
      </c>
      <c r="W9" s="1589"/>
      <c r="X9" s="1948" t="s">
        <v>278</v>
      </c>
      <c r="Y9" s="1922"/>
      <c r="Z9" s="2011" t="s">
        <v>87</v>
      </c>
      <c r="AA9" s="2012"/>
      <c r="AB9" s="1948" t="s">
        <v>279</v>
      </c>
      <c r="AC9" s="1589"/>
      <c r="AD9" s="1948" t="s">
        <v>278</v>
      </c>
      <c r="AE9" s="1922"/>
      <c r="AF9" s="2011" t="s">
        <v>87</v>
      </c>
      <c r="AG9" s="2012"/>
      <c r="AH9" s="1922" t="s">
        <v>279</v>
      </c>
      <c r="AI9" s="1948"/>
      <c r="AJ9" s="0"/>
    </row>
    <row customHeight="1" ht="22.5">
      <c r="D10" s="1994"/>
      <c r="E10" s="1994"/>
      <c r="F10" s="2018"/>
      <c r="G10" s="2018"/>
      <c r="H10" s="2019"/>
      <c r="I10" s="2020"/>
      <c r="J10" s="2011"/>
      <c r="K10" s="1592"/>
      <c r="L10" s="1610" t="s">
        <v>280</v>
      </c>
      <c r="M10" s="1606" t="s">
        <v>281</v>
      </c>
      <c r="N10" s="2013"/>
      <c r="O10" s="2014"/>
      <c r="P10" s="1994"/>
      <c r="Q10" s="1589"/>
      <c r="R10" s="1610" t="s">
        <v>280</v>
      </c>
      <c r="S10" s="1606" t="s">
        <v>281</v>
      </c>
      <c r="T10" s="2013"/>
      <c r="U10" s="2014"/>
      <c r="V10" s="1994"/>
      <c r="W10" s="1589"/>
      <c r="X10" s="1610" t="s">
        <v>280</v>
      </c>
      <c r="Y10" s="1606" t="s">
        <v>281</v>
      </c>
      <c r="Z10" s="2013"/>
      <c r="AA10" s="2014"/>
      <c r="AB10" s="1994"/>
      <c r="AC10" s="1589"/>
      <c r="AD10" s="1610" t="s">
        <v>280</v>
      </c>
      <c r="AE10" s="1606" t="s">
        <v>281</v>
      </c>
      <c r="AF10" s="2013"/>
      <c r="AG10" s="2014"/>
      <c r="AH10" s="2011"/>
      <c r="AI10" s="1994"/>
      <c r="AJ10" s="0"/>
      <c r="AK10" s="233" t="s">
        <v>282</v>
      </c>
      <c r="AL10" s="233" t="s">
        <v>134</v>
      </c>
    </row>
    <row customHeight="1" ht="14.25">
      <c r="D11" s="2002" t="s">
        <v>108</v>
      </c>
      <c r="E11" s="1998" t="s">
        <v>283</v>
      </c>
      <c r="F11" s="1998" t="s">
        <v>284</v>
      </c>
      <c r="G11" s="2004" t="s">
        <v>56</v>
      </c>
      <c r="H11" s="1631"/>
      <c r="I11" s="2000"/>
      <c r="J11" s="1973"/>
      <c r="K11" s="1537"/>
      <c r="L11" s="1956"/>
      <c r="M11" s="1956"/>
      <c r="N11" s="1616"/>
      <c r="O11" s="1956"/>
      <c r="P11" s="1973"/>
      <c r="Q11" s="1617"/>
      <c r="R11" s="1956"/>
      <c r="S11" s="1956"/>
      <c r="T11" s="1618"/>
      <c r="U11" s="1956"/>
      <c r="V11" s="1973"/>
      <c r="W11" s="1619"/>
      <c r="X11" s="1956"/>
      <c r="Y11" s="1956"/>
      <c r="Z11" s="1616"/>
      <c r="AA11" s="1956"/>
      <c r="AB11" s="1973"/>
      <c r="AC11" s="1620"/>
      <c r="AD11" s="1956"/>
      <c r="AE11" s="1956"/>
      <c r="AF11" s="1536"/>
      <c r="AG11" s="1536"/>
      <c r="AH11" s="1621"/>
      <c r="AI11" s="1319"/>
      <c r="AJ11" s="0"/>
    </row>
    <row customHeight="1" ht="14.25">
      <c r="D12" s="2002"/>
      <c r="E12" s="1998"/>
      <c r="F12" s="1998"/>
      <c r="G12" s="2005"/>
      <c r="H12" s="1632"/>
      <c r="I12" s="2001"/>
      <c r="J12" s="1974"/>
      <c r="K12" s="1641"/>
      <c r="L12" s="1957"/>
      <c r="M12" s="1957"/>
      <c r="N12" s="1622"/>
      <c r="O12" s="1957"/>
      <c r="P12" s="1974"/>
      <c r="Q12" s="1623"/>
      <c r="R12" s="1957"/>
      <c r="S12" s="1957"/>
      <c r="T12" s="1624"/>
      <c r="U12" s="1957"/>
      <c r="V12" s="1974"/>
      <c r="W12" s="1625"/>
      <c r="X12" s="1957"/>
      <c r="Y12" s="1957"/>
      <c r="Z12" s="1622"/>
      <c r="AA12" s="1957"/>
      <c r="AB12" s="1974"/>
      <c r="AC12" s="1626"/>
      <c r="AD12" s="1957"/>
      <c r="AE12" s="1957"/>
      <c r="AF12" s="1627"/>
      <c r="AG12" s="1627"/>
      <c r="AH12" s="1996"/>
      <c r="AI12" s="1997"/>
      <c r="AJ12" s="0"/>
    </row>
    <row customHeight="1" ht="14.25">
      <c r="D13" s="2002"/>
      <c r="E13" s="1998"/>
      <c r="F13" s="1998"/>
      <c r="G13" s="2005"/>
      <c r="H13" s="1632"/>
      <c r="I13" s="2001"/>
      <c r="J13" s="1974"/>
      <c r="K13" s="1641"/>
      <c r="L13" s="1957"/>
      <c r="M13" s="1957"/>
      <c r="N13" s="1622"/>
      <c r="O13" s="1957"/>
      <c r="P13" s="1974"/>
      <c r="Q13" s="1623"/>
      <c r="R13" s="1957"/>
      <c r="S13" s="1957"/>
      <c r="T13" s="1624"/>
      <c r="U13" s="1957"/>
      <c r="V13" s="1974"/>
      <c r="W13" s="1625"/>
      <c r="X13" s="1957"/>
      <c r="Y13" s="1957"/>
      <c r="Z13" s="1535"/>
      <c r="AA13" s="1627"/>
      <c r="AB13" s="1996"/>
      <c r="AC13" s="1996"/>
      <c r="AD13" s="1996"/>
      <c r="AE13" s="1996"/>
      <c r="AF13" s="1996"/>
      <c r="AG13" s="1996"/>
      <c r="AH13" s="1996"/>
      <c r="AI13" s="1997"/>
      <c r="AJ13" s="0"/>
    </row>
    <row customHeight="1" ht="14.25">
      <c r="D14" s="2002"/>
      <c r="E14" s="1998"/>
      <c r="F14" s="1998"/>
      <c r="G14" s="2005"/>
      <c r="H14" s="1632"/>
      <c r="I14" s="2001"/>
      <c r="J14" s="1974"/>
      <c r="K14" s="1641"/>
      <c r="L14" s="1957"/>
      <c r="M14" s="1957"/>
      <c r="N14" s="1622"/>
      <c r="O14" s="1957"/>
      <c r="P14" s="1974"/>
      <c r="Q14" s="1623"/>
      <c r="R14" s="1957"/>
      <c r="S14" s="1957"/>
      <c r="T14" s="1628"/>
      <c r="U14" s="1629"/>
      <c r="V14" s="1996"/>
      <c r="W14" s="1996"/>
      <c r="X14" s="1996"/>
      <c r="Y14" s="1996"/>
      <c r="Z14" s="1996"/>
      <c r="AA14" s="1996"/>
      <c r="AB14" s="1996"/>
      <c r="AC14" s="1996"/>
      <c r="AD14" s="1996"/>
      <c r="AE14" s="1996"/>
      <c r="AF14" s="1996"/>
      <c r="AG14" s="1996"/>
      <c r="AH14" s="1996"/>
      <c r="AI14" s="1997"/>
      <c r="AJ14" s="0"/>
    </row>
    <row customHeight="1" ht="11.25">
      <c r="D15" s="2002"/>
      <c r="E15" s="1998"/>
      <c r="F15" s="1998"/>
      <c r="G15" s="2005"/>
      <c r="H15" s="1633"/>
      <c r="I15" s="2001"/>
      <c r="J15" s="1974"/>
      <c r="K15" s="1641"/>
      <c r="L15" s="1957"/>
      <c r="M15" s="1957"/>
      <c r="N15" s="1627"/>
      <c r="O15" s="1627"/>
      <c r="P15" s="1996"/>
      <c r="Q15" s="1996"/>
      <c r="R15" s="1996"/>
      <c r="S15" s="1996"/>
      <c r="T15" s="1996"/>
      <c r="U15" s="1996"/>
      <c r="V15" s="1996"/>
      <c r="W15" s="1996"/>
      <c r="X15" s="1996"/>
      <c r="Y15" s="1996"/>
      <c r="Z15" s="1996"/>
      <c r="AA15" s="1996"/>
      <c r="AB15" s="1996"/>
      <c r="AC15" s="1996"/>
      <c r="AD15" s="1996"/>
      <c r="AE15" s="1996"/>
      <c r="AF15" s="1996"/>
      <c r="AG15" s="1996"/>
      <c r="AH15" s="1996"/>
      <c r="AI15" s="1997"/>
      <c r="AJ15" s="0"/>
    </row>
    <row s="1587" customFormat="1" customHeight="1" ht="11.25">
      <c r="D16" s="2008"/>
      <c r="E16" s="2009"/>
      <c r="F16" s="1999"/>
      <c r="G16" s="1933"/>
      <c r="H16" s="1630"/>
      <c r="I16" s="1634"/>
      <c r="J16" s="2006"/>
      <c r="K16" s="2006"/>
      <c r="L16" s="2006"/>
      <c r="M16" s="2006"/>
      <c r="N16" s="2006"/>
      <c r="O16" s="2006"/>
      <c r="P16" s="2006"/>
      <c r="Q16" s="2006"/>
      <c r="R16" s="2006"/>
      <c r="S16" s="2006"/>
      <c r="T16" s="2006"/>
      <c r="U16" s="2006"/>
      <c r="V16" s="2006"/>
      <c r="W16" s="2006"/>
      <c r="X16" s="2006"/>
      <c r="Y16" s="2006"/>
      <c r="Z16" s="2006"/>
      <c r="AA16" s="2006"/>
      <c r="AB16" s="2006"/>
      <c r="AC16" s="2006"/>
      <c r="AD16" s="2006"/>
      <c r="AE16" s="2006"/>
      <c r="AF16" s="2006"/>
      <c r="AG16" s="2006"/>
      <c r="AH16" s="2006"/>
      <c r="AI16" s="2007"/>
      <c r="AJ16" s="0"/>
      <c r="AK16" s="287"/>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row>
    <row customHeight="1" ht="14.25">
      <c r="D17" s="2002" t="s">
        <v>109</v>
      </c>
      <c r="E17" s="1998" t="s">
        <v>283</v>
      </c>
      <c r="F17" s="1998" t="s">
        <v>285</v>
      </c>
      <c r="G17" s="2004" t="s">
        <v>56</v>
      </c>
      <c r="H17" s="1631"/>
      <c r="I17" s="2000"/>
      <c r="J17" s="1973"/>
      <c r="K17" s="1537"/>
      <c r="L17" s="1956"/>
      <c r="M17" s="1956"/>
      <c r="N17" s="1616"/>
      <c r="O17" s="1956"/>
      <c r="P17" s="1973"/>
      <c r="Q17" s="1617"/>
      <c r="R17" s="1956"/>
      <c r="S17" s="1956"/>
      <c r="T17" s="1618"/>
      <c r="U17" s="1956"/>
      <c r="V17" s="1973"/>
      <c r="W17" s="1619"/>
      <c r="X17" s="1956"/>
      <c r="Y17" s="1956"/>
      <c r="Z17" s="1616"/>
      <c r="AA17" s="1956"/>
      <c r="AB17" s="1973"/>
      <c r="AC17" s="1620"/>
      <c r="AD17" s="1956"/>
      <c r="AE17" s="1956"/>
      <c r="AF17" s="1536"/>
      <c r="AG17" s="1536"/>
      <c r="AH17" s="1621"/>
      <c r="AI17" s="1319"/>
      <c r="AJ17" s="0"/>
    </row>
    <row customHeight="1" ht="14.25">
      <c r="D18" s="2002"/>
      <c r="E18" s="1998"/>
      <c r="F18" s="1998"/>
      <c r="G18" s="2005"/>
      <c r="H18" s="1632"/>
      <c r="I18" s="2001"/>
      <c r="J18" s="1974"/>
      <c r="K18" s="1615"/>
      <c r="L18" s="1957"/>
      <c r="M18" s="1957"/>
      <c r="N18" s="1622"/>
      <c r="O18" s="1957"/>
      <c r="P18" s="1974"/>
      <c r="Q18" s="1623"/>
      <c r="R18" s="1957"/>
      <c r="S18" s="1957"/>
      <c r="T18" s="1624"/>
      <c r="U18" s="1957"/>
      <c r="V18" s="1974"/>
      <c r="W18" s="1625"/>
      <c r="X18" s="1957"/>
      <c r="Y18" s="1957"/>
      <c r="Z18" s="1622"/>
      <c r="AA18" s="1957"/>
      <c r="AB18" s="1974"/>
      <c r="AC18" s="1626"/>
      <c r="AD18" s="1957"/>
      <c r="AE18" s="1957"/>
      <c r="AF18" s="1627"/>
      <c r="AG18" s="1627"/>
      <c r="AH18" s="1996"/>
      <c r="AI18" s="1997"/>
      <c r="AJ18" s="0"/>
    </row>
    <row customHeight="1" ht="14.25">
      <c r="D19" s="2002"/>
      <c r="E19" s="1998"/>
      <c r="F19" s="1998"/>
      <c r="G19" s="2005"/>
      <c r="H19" s="1632"/>
      <c r="I19" s="2001"/>
      <c r="J19" s="1974"/>
      <c r="K19" s="1615"/>
      <c r="L19" s="1957"/>
      <c r="M19" s="1957"/>
      <c r="N19" s="1622"/>
      <c r="O19" s="1957"/>
      <c r="P19" s="1974"/>
      <c r="Q19" s="1623"/>
      <c r="R19" s="1957"/>
      <c r="S19" s="1957"/>
      <c r="T19" s="1624"/>
      <c r="U19" s="1957"/>
      <c r="V19" s="1974"/>
      <c r="W19" s="1625"/>
      <c r="X19" s="1957"/>
      <c r="Y19" s="1957"/>
      <c r="Z19" s="1535"/>
      <c r="AA19" s="1627"/>
      <c r="AB19" s="1996"/>
      <c r="AC19" s="1996"/>
      <c r="AD19" s="1996"/>
      <c r="AE19" s="1996"/>
      <c r="AF19" s="1996"/>
      <c r="AG19" s="1996"/>
      <c r="AH19" s="1996"/>
      <c r="AI19" s="1997"/>
      <c r="AJ19" s="0"/>
    </row>
    <row customHeight="1" ht="14.25">
      <c r="D20" s="2002"/>
      <c r="E20" s="1998"/>
      <c r="F20" s="1998"/>
      <c r="G20" s="2005"/>
      <c r="H20" s="1632"/>
      <c r="I20" s="2001"/>
      <c r="J20" s="1974"/>
      <c r="K20" s="1615"/>
      <c r="L20" s="1957"/>
      <c r="M20" s="1957"/>
      <c r="N20" s="1622"/>
      <c r="O20" s="1957"/>
      <c r="P20" s="1974"/>
      <c r="Q20" s="1623"/>
      <c r="R20" s="1957"/>
      <c r="S20" s="1957"/>
      <c r="T20" s="1628"/>
      <c r="U20" s="1629"/>
      <c r="V20" s="1996"/>
      <c r="W20" s="1996"/>
      <c r="X20" s="1996"/>
      <c r="Y20" s="1996"/>
      <c r="Z20" s="1996"/>
      <c r="AA20" s="1996"/>
      <c r="AB20" s="1996"/>
      <c r="AC20" s="1996"/>
      <c r="AD20" s="1996"/>
      <c r="AE20" s="1996"/>
      <c r="AF20" s="1996"/>
      <c r="AG20" s="1996"/>
      <c r="AH20" s="1996"/>
      <c r="AI20" s="1997"/>
      <c r="AJ20" s="0"/>
    </row>
    <row customHeight="1" ht="11.25">
      <c r="D21" s="2002"/>
      <c r="E21" s="1998"/>
      <c r="F21" s="1998"/>
      <c r="G21" s="2005"/>
      <c r="H21" s="1633"/>
      <c r="I21" s="2001"/>
      <c r="J21" s="1974"/>
      <c r="K21" s="1615"/>
      <c r="L21" s="1957"/>
      <c r="M21" s="1957"/>
      <c r="N21" s="1627"/>
      <c r="O21" s="1627"/>
      <c r="P21" s="1996"/>
      <c r="Q21" s="1996"/>
      <c r="R21" s="1996"/>
      <c r="S21" s="1996"/>
      <c r="T21" s="1996"/>
      <c r="U21" s="1996"/>
      <c r="V21" s="1996"/>
      <c r="W21" s="1996"/>
      <c r="X21" s="1996"/>
      <c r="Y21" s="1996"/>
      <c r="Z21" s="1996"/>
      <c r="AA21" s="1996"/>
      <c r="AB21" s="1996"/>
      <c r="AC21" s="1996"/>
      <c r="AD21" s="1996"/>
      <c r="AE21" s="1996"/>
      <c r="AF21" s="1996"/>
      <c r="AG21" s="1996"/>
      <c r="AH21" s="1996"/>
      <c r="AI21" s="1997"/>
      <c r="AJ21" s="0"/>
    </row>
    <row s="1587" customFormat="1" customHeight="1" ht="11.25">
      <c r="D22" s="2008"/>
      <c r="E22" s="2009"/>
      <c r="F22" s="1999"/>
      <c r="G22" s="1933"/>
      <c r="H22" s="1630"/>
      <c r="I22" s="1634"/>
      <c r="J22" s="2006"/>
      <c r="K22" s="2006"/>
      <c r="L22" s="2006"/>
      <c r="M22" s="2006"/>
      <c r="N22" s="2006"/>
      <c r="O22" s="2006"/>
      <c r="P22" s="2006"/>
      <c r="Q22" s="2006"/>
      <c r="R22" s="2006"/>
      <c r="S22" s="2006"/>
      <c r="T22" s="2006"/>
      <c r="U22" s="2006"/>
      <c r="V22" s="2006"/>
      <c r="W22" s="2006"/>
      <c r="X22" s="2006"/>
      <c r="Y22" s="2006"/>
      <c r="Z22" s="2006"/>
      <c r="AA22" s="2006"/>
      <c r="AB22" s="2006"/>
      <c r="AC22" s="2006"/>
      <c r="AD22" s="2006"/>
      <c r="AE22" s="2006"/>
      <c r="AF22" s="2006"/>
      <c r="AG22" s="2006"/>
      <c r="AH22" s="2006"/>
      <c r="AI22" s="2007"/>
      <c r="AJ22" s="0"/>
      <c r="AK22" s="287"/>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row>
    <row customHeight="1" ht="14.25">
      <c r="D23" s="2002" t="s">
        <v>89</v>
      </c>
      <c r="E23" s="1998" t="s">
        <v>283</v>
      </c>
      <c r="F23" s="1998" t="s">
        <v>286</v>
      </c>
      <c r="G23" s="2004" t="s">
        <v>56</v>
      </c>
      <c r="H23" s="1631"/>
      <c r="I23" s="2000"/>
      <c r="J23" s="1973"/>
      <c r="K23" s="1537"/>
      <c r="L23" s="1956"/>
      <c r="M23" s="1956"/>
      <c r="N23" s="1616"/>
      <c r="O23" s="1956"/>
      <c r="P23" s="1973"/>
      <c r="Q23" s="1617"/>
      <c r="R23" s="1956"/>
      <c r="S23" s="1956"/>
      <c r="T23" s="1618"/>
      <c r="U23" s="1956"/>
      <c r="V23" s="1973"/>
      <c r="W23" s="1619"/>
      <c r="X23" s="1956"/>
      <c r="Y23" s="1956"/>
      <c r="Z23" s="1616"/>
      <c r="AA23" s="1956"/>
      <c r="AB23" s="1973"/>
      <c r="AC23" s="1620"/>
      <c r="AD23" s="1956"/>
      <c r="AE23" s="1956"/>
      <c r="AF23" s="1536"/>
      <c r="AG23" s="1536"/>
      <c r="AH23" s="1621"/>
      <c r="AI23" s="1319"/>
      <c r="AJ23" s="0"/>
      <c r="AK23" s="287" t="s">
        <v>97</v>
      </c>
    </row>
    <row customHeight="1" ht="14.25">
      <c r="D24" s="2002"/>
      <c r="E24" s="1998"/>
      <c r="F24" s="1998"/>
      <c r="G24" s="2005"/>
      <c r="H24" s="1632"/>
      <c r="I24" s="2001"/>
      <c r="J24" s="1974"/>
      <c r="K24" s="1641"/>
      <c r="L24" s="1957"/>
      <c r="M24" s="1957"/>
      <c r="N24" s="1622"/>
      <c r="O24" s="1957"/>
      <c r="P24" s="1974"/>
      <c r="Q24" s="1623"/>
      <c r="R24" s="1957"/>
      <c r="S24" s="1957"/>
      <c r="T24" s="1624"/>
      <c r="U24" s="1957"/>
      <c r="V24" s="1974"/>
      <c r="W24" s="1625"/>
      <c r="X24" s="1957"/>
      <c r="Y24" s="1957"/>
      <c r="Z24" s="1622"/>
      <c r="AA24" s="1957"/>
      <c r="AB24" s="1974"/>
      <c r="AC24" s="1626"/>
      <c r="AD24" s="1957"/>
      <c r="AE24" s="1957"/>
      <c r="AF24" s="1627"/>
      <c r="AG24" s="1627"/>
      <c r="AH24" s="1996"/>
      <c r="AI24" s="1997"/>
      <c r="AJ24" s="0"/>
    </row>
    <row customHeight="1" ht="14.25">
      <c r="D25" s="2002"/>
      <c r="E25" s="1998"/>
      <c r="F25" s="1998"/>
      <c r="G25" s="2005"/>
      <c r="H25" s="1632"/>
      <c r="I25" s="2001"/>
      <c r="J25" s="1974"/>
      <c r="K25" s="1641"/>
      <c r="L25" s="1957"/>
      <c r="M25" s="1957"/>
      <c r="N25" s="1622"/>
      <c r="O25" s="1957"/>
      <c r="P25" s="1974"/>
      <c r="Q25" s="1623"/>
      <c r="R25" s="1957"/>
      <c r="S25" s="1957"/>
      <c r="T25" s="1624"/>
      <c r="U25" s="1957"/>
      <c r="V25" s="1974"/>
      <c r="W25" s="1625"/>
      <c r="X25" s="1957"/>
      <c r="Y25" s="1957"/>
      <c r="Z25" s="1535"/>
      <c r="AA25" s="1627"/>
      <c r="AB25" s="1996"/>
      <c r="AC25" s="1996"/>
      <c r="AD25" s="1996"/>
      <c r="AE25" s="1996"/>
      <c r="AF25" s="1996"/>
      <c r="AG25" s="1996"/>
      <c r="AH25" s="1996"/>
      <c r="AI25" s="1997"/>
      <c r="AJ25" s="0"/>
    </row>
    <row customHeight="1" ht="14.25">
      <c r="D26" s="2002"/>
      <c r="E26" s="1998"/>
      <c r="F26" s="1998"/>
      <c r="G26" s="2005"/>
      <c r="H26" s="1632"/>
      <c r="I26" s="2001"/>
      <c r="J26" s="1974"/>
      <c r="K26" s="1641"/>
      <c r="L26" s="1957"/>
      <c r="M26" s="1957"/>
      <c r="N26" s="1622"/>
      <c r="O26" s="1957"/>
      <c r="P26" s="1974"/>
      <c r="Q26" s="1623"/>
      <c r="R26" s="1957"/>
      <c r="S26" s="1957"/>
      <c r="T26" s="1628"/>
      <c r="U26" s="1629"/>
      <c r="V26" s="1996"/>
      <c r="W26" s="1996"/>
      <c r="X26" s="1996"/>
      <c r="Y26" s="1996"/>
      <c r="Z26" s="1996"/>
      <c r="AA26" s="1996"/>
      <c r="AB26" s="1996"/>
      <c r="AC26" s="1996"/>
      <c r="AD26" s="1996"/>
      <c r="AE26" s="1996"/>
      <c r="AF26" s="1996"/>
      <c r="AG26" s="1996"/>
      <c r="AH26" s="1996"/>
      <c r="AI26" s="1997"/>
      <c r="AJ26" s="0"/>
    </row>
    <row customHeight="1" ht="11.25">
      <c r="D27" s="2002"/>
      <c r="E27" s="1998"/>
      <c r="F27" s="1998"/>
      <c r="G27" s="2005"/>
      <c r="H27" s="1633"/>
      <c r="I27" s="2001"/>
      <c r="J27" s="1974"/>
      <c r="K27" s="1641"/>
      <c r="L27" s="1957"/>
      <c r="M27" s="1957"/>
      <c r="N27" s="1627"/>
      <c r="O27" s="1627"/>
      <c r="P27" s="1996"/>
      <c r="Q27" s="1996"/>
      <c r="R27" s="1996"/>
      <c r="S27" s="1996"/>
      <c r="T27" s="1996"/>
      <c r="U27" s="1996"/>
      <c r="V27" s="1996"/>
      <c r="W27" s="1996"/>
      <c r="X27" s="1996"/>
      <c r="Y27" s="1996"/>
      <c r="Z27" s="1996"/>
      <c r="AA27" s="1996"/>
      <c r="AB27" s="1996"/>
      <c r="AC27" s="1996"/>
      <c r="AD27" s="1996"/>
      <c r="AE27" s="1996"/>
      <c r="AF27" s="1996"/>
      <c r="AG27" s="1996"/>
      <c r="AH27" s="1996"/>
      <c r="AI27" s="1997"/>
      <c r="AJ27" s="0"/>
    </row>
    <row s="1587" customFormat="1" customHeight="1" ht="11.25">
      <c r="D28" s="2008"/>
      <c r="E28" s="2009"/>
      <c r="F28" s="1999"/>
      <c r="G28" s="1933"/>
      <c r="H28" s="1630"/>
      <c r="I28" s="1634"/>
      <c r="J28" s="2006"/>
      <c r="K28" s="2006"/>
      <c r="L28" s="2006"/>
      <c r="M28" s="2006"/>
      <c r="N28" s="2006"/>
      <c r="O28" s="2006"/>
      <c r="P28" s="2006"/>
      <c r="Q28" s="2006"/>
      <c r="R28" s="2006"/>
      <c r="S28" s="2006"/>
      <c r="T28" s="2006"/>
      <c r="U28" s="2006"/>
      <c r="V28" s="2006"/>
      <c r="W28" s="2006"/>
      <c r="X28" s="2006"/>
      <c r="Y28" s="2006"/>
      <c r="Z28" s="2006"/>
      <c r="AA28" s="2006"/>
      <c r="AB28" s="2006"/>
      <c r="AC28" s="2006"/>
      <c r="AD28" s="2006"/>
      <c r="AE28" s="2006"/>
      <c r="AF28" s="2006"/>
      <c r="AG28" s="2006"/>
      <c r="AH28" s="2006"/>
      <c r="AI28" s="2007"/>
      <c r="AJ28" s="0"/>
      <c r="AK28" s="287"/>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row>
    <row customHeight="1" ht="14.25">
      <c r="D29" s="2002" t="s">
        <v>90</v>
      </c>
      <c r="E29" s="1998" t="s">
        <v>283</v>
      </c>
      <c r="F29" s="1998" t="s">
        <v>287</v>
      </c>
      <c r="G29" s="2004" t="s">
        <v>56</v>
      </c>
      <c r="H29" s="1631"/>
      <c r="I29" s="2000"/>
      <c r="J29" s="1973"/>
      <c r="K29" s="1537"/>
      <c r="L29" s="1956"/>
      <c r="M29" s="1956"/>
      <c r="N29" s="1616"/>
      <c r="O29" s="1956"/>
      <c r="P29" s="1973"/>
      <c r="Q29" s="1617"/>
      <c r="R29" s="1956"/>
      <c r="S29" s="1956"/>
      <c r="T29" s="1618"/>
      <c r="U29" s="1956"/>
      <c r="V29" s="1973"/>
      <c r="W29" s="1619"/>
      <c r="X29" s="1956"/>
      <c r="Y29" s="1956"/>
      <c r="Z29" s="1616"/>
      <c r="AA29" s="1956"/>
      <c r="AB29" s="1973"/>
      <c r="AC29" s="1620"/>
      <c r="AD29" s="1956"/>
      <c r="AE29" s="1956"/>
      <c r="AF29" s="1536"/>
      <c r="AG29" s="1536"/>
      <c r="AH29" s="1621"/>
      <c r="AI29" s="1319"/>
      <c r="AJ29" s="0"/>
    </row>
    <row customHeight="1" ht="14.25">
      <c r="D30" s="2002"/>
      <c r="E30" s="1998"/>
      <c r="F30" s="1998"/>
      <c r="G30" s="2005"/>
      <c r="H30" s="1632"/>
      <c r="I30" s="2001"/>
      <c r="J30" s="1974"/>
      <c r="K30" s="1615"/>
      <c r="L30" s="1957"/>
      <c r="M30" s="1957"/>
      <c r="N30" s="1622"/>
      <c r="O30" s="1957"/>
      <c r="P30" s="1974"/>
      <c r="Q30" s="1623"/>
      <c r="R30" s="1957"/>
      <c r="S30" s="1957"/>
      <c r="T30" s="1624"/>
      <c r="U30" s="1957"/>
      <c r="V30" s="1974"/>
      <c r="W30" s="1625"/>
      <c r="X30" s="1957"/>
      <c r="Y30" s="1957"/>
      <c r="Z30" s="1622"/>
      <c r="AA30" s="1957"/>
      <c r="AB30" s="1974"/>
      <c r="AC30" s="1626"/>
      <c r="AD30" s="1957"/>
      <c r="AE30" s="1957"/>
      <c r="AF30" s="1627"/>
      <c r="AG30" s="1627"/>
      <c r="AH30" s="1996"/>
      <c r="AI30" s="1997"/>
      <c r="AJ30" s="0"/>
    </row>
    <row customHeight="1" ht="14.25">
      <c r="D31" s="2002"/>
      <c r="E31" s="1998"/>
      <c r="F31" s="1998"/>
      <c r="G31" s="2005"/>
      <c r="H31" s="1632"/>
      <c r="I31" s="2001"/>
      <c r="J31" s="1974"/>
      <c r="K31" s="1615"/>
      <c r="L31" s="1957"/>
      <c r="M31" s="1957"/>
      <c r="N31" s="1622"/>
      <c r="O31" s="1957"/>
      <c r="P31" s="1974"/>
      <c r="Q31" s="1623"/>
      <c r="R31" s="1957"/>
      <c r="S31" s="1957"/>
      <c r="T31" s="1624"/>
      <c r="U31" s="1957"/>
      <c r="V31" s="1974"/>
      <c r="W31" s="1625"/>
      <c r="X31" s="1957"/>
      <c r="Y31" s="1957"/>
      <c r="Z31" s="1535"/>
      <c r="AA31" s="1627"/>
      <c r="AB31" s="1996"/>
      <c r="AC31" s="1996"/>
      <c r="AD31" s="1996"/>
      <c r="AE31" s="1996"/>
      <c r="AF31" s="1996"/>
      <c r="AG31" s="1996"/>
      <c r="AH31" s="1996"/>
      <c r="AI31" s="1997"/>
      <c r="AJ31" s="0"/>
    </row>
    <row customHeight="1" ht="14.25">
      <c r="D32" s="2002"/>
      <c r="E32" s="1998"/>
      <c r="F32" s="1998"/>
      <c r="G32" s="2005"/>
      <c r="H32" s="1632"/>
      <c r="I32" s="2001"/>
      <c r="J32" s="1974"/>
      <c r="K32" s="1615"/>
      <c r="L32" s="1957"/>
      <c r="M32" s="1957"/>
      <c r="N32" s="1622"/>
      <c r="O32" s="1957"/>
      <c r="P32" s="1974"/>
      <c r="Q32" s="1623"/>
      <c r="R32" s="1957"/>
      <c r="S32" s="1957"/>
      <c r="T32" s="1628"/>
      <c r="U32" s="1629"/>
      <c r="V32" s="1996"/>
      <c r="W32" s="1996"/>
      <c r="X32" s="1996"/>
      <c r="Y32" s="1996"/>
      <c r="Z32" s="1996"/>
      <c r="AA32" s="1996"/>
      <c r="AB32" s="1996"/>
      <c r="AC32" s="1996"/>
      <c r="AD32" s="1996"/>
      <c r="AE32" s="1996"/>
      <c r="AF32" s="1996"/>
      <c r="AG32" s="1996"/>
      <c r="AH32" s="1996"/>
      <c r="AI32" s="1997"/>
      <c r="AJ32" s="0"/>
    </row>
    <row customHeight="1" ht="11.25">
      <c r="D33" s="2002"/>
      <c r="E33" s="1998"/>
      <c r="F33" s="1998"/>
      <c r="G33" s="2005"/>
      <c r="H33" s="1633"/>
      <c r="I33" s="2001"/>
      <c r="J33" s="1974"/>
      <c r="K33" s="1615"/>
      <c r="L33" s="1957"/>
      <c r="M33" s="1957"/>
      <c r="N33" s="1627"/>
      <c r="O33" s="1627"/>
      <c r="P33" s="1996"/>
      <c r="Q33" s="1996"/>
      <c r="R33" s="1996"/>
      <c r="S33" s="1996"/>
      <c r="T33" s="1996"/>
      <c r="U33" s="1996"/>
      <c r="V33" s="1996"/>
      <c r="W33" s="1996"/>
      <c r="X33" s="1996"/>
      <c r="Y33" s="1996"/>
      <c r="Z33" s="1996"/>
      <c r="AA33" s="1996"/>
      <c r="AB33" s="1996"/>
      <c r="AC33" s="1996"/>
      <c r="AD33" s="1996"/>
      <c r="AE33" s="1996"/>
      <c r="AF33" s="1996"/>
      <c r="AG33" s="1996"/>
      <c r="AH33" s="1996"/>
      <c r="AI33" s="1997"/>
      <c r="AJ33" s="0"/>
    </row>
    <row s="1587" customFormat="1" customHeight="1" ht="11.25">
      <c r="D34" s="2008"/>
      <c r="E34" s="2009"/>
      <c r="F34" s="1999"/>
      <c r="G34" s="1933"/>
      <c r="H34" s="1630"/>
      <c r="I34" s="1634"/>
      <c r="J34" s="2006"/>
      <c r="K34" s="2006"/>
      <c r="L34" s="2006"/>
      <c r="M34" s="2006"/>
      <c r="N34" s="2006"/>
      <c r="O34" s="2006"/>
      <c r="P34" s="2006"/>
      <c r="Q34" s="2006"/>
      <c r="R34" s="2006"/>
      <c r="S34" s="2006"/>
      <c r="T34" s="2006"/>
      <c r="U34" s="2006"/>
      <c r="V34" s="2006"/>
      <c r="W34" s="2006"/>
      <c r="X34" s="2006"/>
      <c r="Y34" s="2006"/>
      <c r="Z34" s="2006"/>
      <c r="AA34" s="2006"/>
      <c r="AB34" s="2006"/>
      <c r="AC34" s="2006"/>
      <c r="AD34" s="2006"/>
      <c r="AE34" s="2006"/>
      <c r="AF34" s="2006"/>
      <c r="AG34" s="2006"/>
      <c r="AH34" s="2006"/>
      <c r="AI34" s="2007"/>
      <c r="AJ34" s="0"/>
      <c r="AK34" s="287"/>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row>
    <row customHeight="1" ht="14.25">
      <c r="D35" s="2002" t="s">
        <v>110</v>
      </c>
      <c r="E35" s="1998" t="s">
        <v>283</v>
      </c>
      <c r="F35" s="1998" t="s">
        <v>288</v>
      </c>
      <c r="G35" s="2004" t="s">
        <v>56</v>
      </c>
      <c r="H35" s="1631"/>
      <c r="I35" s="2000"/>
      <c r="J35" s="1973"/>
      <c r="K35" s="1537"/>
      <c r="L35" s="1956"/>
      <c r="M35" s="1956"/>
      <c r="N35" s="1616"/>
      <c r="O35" s="1956"/>
      <c r="P35" s="1973"/>
      <c r="Q35" s="1617"/>
      <c r="R35" s="1956"/>
      <c r="S35" s="1956"/>
      <c r="T35" s="1618"/>
      <c r="U35" s="1956"/>
      <c r="V35" s="1973"/>
      <c r="W35" s="1619"/>
      <c r="X35" s="1956"/>
      <c r="Y35" s="1956"/>
      <c r="Z35" s="1616"/>
      <c r="AA35" s="1956"/>
      <c r="AB35" s="1973"/>
      <c r="AC35" s="1620"/>
      <c r="AD35" s="1956"/>
      <c r="AE35" s="1956"/>
      <c r="AF35" s="1536"/>
      <c r="AG35" s="1536"/>
      <c r="AH35" s="1621"/>
      <c r="AI35" s="1319"/>
      <c r="AJ35" s="0"/>
    </row>
    <row customHeight="1" ht="14.25">
      <c r="D36" s="2002"/>
      <c r="E36" s="1998"/>
      <c r="F36" s="1998"/>
      <c r="G36" s="2005"/>
      <c r="H36" s="1632"/>
      <c r="I36" s="2001"/>
      <c r="J36" s="1974"/>
      <c r="K36" s="1615"/>
      <c r="L36" s="1957"/>
      <c r="M36" s="1957"/>
      <c r="N36" s="1622"/>
      <c r="O36" s="1957"/>
      <c r="P36" s="1974"/>
      <c r="Q36" s="1623"/>
      <c r="R36" s="1957"/>
      <c r="S36" s="1957"/>
      <c r="T36" s="1624"/>
      <c r="U36" s="1957"/>
      <c r="V36" s="1974"/>
      <c r="W36" s="1625"/>
      <c r="X36" s="1957"/>
      <c r="Y36" s="1957"/>
      <c r="Z36" s="1622"/>
      <c r="AA36" s="1957"/>
      <c r="AB36" s="1974"/>
      <c r="AC36" s="1626"/>
      <c r="AD36" s="1957"/>
      <c r="AE36" s="1957"/>
      <c r="AF36" s="1627"/>
      <c r="AG36" s="1627"/>
      <c r="AH36" s="1996"/>
      <c r="AI36" s="1997"/>
      <c r="AJ36" s="0"/>
    </row>
    <row customHeight="1" ht="14.25">
      <c r="D37" s="2002"/>
      <c r="E37" s="1998"/>
      <c r="F37" s="1998"/>
      <c r="G37" s="2005"/>
      <c r="H37" s="1632"/>
      <c r="I37" s="2001"/>
      <c r="J37" s="1974"/>
      <c r="K37" s="1615"/>
      <c r="L37" s="1957"/>
      <c r="M37" s="1957"/>
      <c r="N37" s="1622"/>
      <c r="O37" s="1957"/>
      <c r="P37" s="1974"/>
      <c r="Q37" s="1623"/>
      <c r="R37" s="1957"/>
      <c r="S37" s="1957"/>
      <c r="T37" s="1624"/>
      <c r="U37" s="1957"/>
      <c r="V37" s="1974"/>
      <c r="W37" s="1625"/>
      <c r="X37" s="1957"/>
      <c r="Y37" s="1957"/>
      <c r="Z37" s="1535"/>
      <c r="AA37" s="1627"/>
      <c r="AB37" s="1996"/>
      <c r="AC37" s="1996"/>
      <c r="AD37" s="1996"/>
      <c r="AE37" s="1996"/>
      <c r="AF37" s="1996"/>
      <c r="AG37" s="1996"/>
      <c r="AH37" s="1996"/>
      <c r="AI37" s="1997"/>
      <c r="AJ37" s="0"/>
    </row>
    <row customHeight="1" ht="14.25">
      <c r="D38" s="2002"/>
      <c r="E38" s="1998"/>
      <c r="F38" s="1998"/>
      <c r="G38" s="2005"/>
      <c r="H38" s="1632"/>
      <c r="I38" s="2001"/>
      <c r="J38" s="1974"/>
      <c r="K38" s="1615"/>
      <c r="L38" s="1957"/>
      <c r="M38" s="1957"/>
      <c r="N38" s="1622"/>
      <c r="O38" s="1957"/>
      <c r="P38" s="1974"/>
      <c r="Q38" s="1623"/>
      <c r="R38" s="1957"/>
      <c r="S38" s="1957"/>
      <c r="T38" s="1628"/>
      <c r="U38" s="1629"/>
      <c r="V38" s="1996"/>
      <c r="W38" s="1996"/>
      <c r="X38" s="1996"/>
      <c r="Y38" s="1996"/>
      <c r="Z38" s="1996"/>
      <c r="AA38" s="1996"/>
      <c r="AB38" s="1996"/>
      <c r="AC38" s="1996"/>
      <c r="AD38" s="1996"/>
      <c r="AE38" s="1996"/>
      <c r="AF38" s="1996"/>
      <c r="AG38" s="1996"/>
      <c r="AH38" s="1996"/>
      <c r="AI38" s="1997"/>
      <c r="AJ38" s="0"/>
    </row>
    <row customHeight="1" ht="11.25">
      <c r="D39" s="2002"/>
      <c r="E39" s="1998"/>
      <c r="F39" s="1998"/>
      <c r="G39" s="2005"/>
      <c r="H39" s="1633"/>
      <c r="I39" s="2001"/>
      <c r="J39" s="1974"/>
      <c r="K39" s="1615"/>
      <c r="L39" s="1957"/>
      <c r="M39" s="1957"/>
      <c r="N39" s="1627"/>
      <c r="O39" s="1627"/>
      <c r="P39" s="1996"/>
      <c r="Q39" s="1996"/>
      <c r="R39" s="1996"/>
      <c r="S39" s="1996"/>
      <c r="T39" s="1996"/>
      <c r="U39" s="1996"/>
      <c r="V39" s="1996"/>
      <c r="W39" s="1996"/>
      <c r="X39" s="1996"/>
      <c r="Y39" s="1996"/>
      <c r="Z39" s="1996"/>
      <c r="AA39" s="1996"/>
      <c r="AB39" s="1996"/>
      <c r="AC39" s="1996"/>
      <c r="AD39" s="1996"/>
      <c r="AE39" s="1996"/>
      <c r="AF39" s="1996"/>
      <c r="AG39" s="1996"/>
      <c r="AH39" s="1996"/>
      <c r="AI39" s="1997"/>
      <c r="AJ39" s="0"/>
    </row>
    <row s="1587" customFormat="1" customHeight="1" ht="11.25">
      <c r="D40" s="2002"/>
      <c r="E40" s="1998"/>
      <c r="F40" s="2003"/>
      <c r="G40" s="1933"/>
      <c r="H40" s="1630"/>
      <c r="I40" s="1634"/>
      <c r="J40" s="2006"/>
      <c r="K40" s="2006"/>
      <c r="L40" s="2006"/>
      <c r="M40" s="2006"/>
      <c r="N40" s="2006"/>
      <c r="O40" s="2006"/>
      <c r="P40" s="2006"/>
      <c r="Q40" s="2006"/>
      <c r="R40" s="2006"/>
      <c r="S40" s="2006"/>
      <c r="T40" s="2006"/>
      <c r="U40" s="2006"/>
      <c r="V40" s="2006"/>
      <c r="W40" s="2006"/>
      <c r="X40" s="2006"/>
      <c r="Y40" s="2006"/>
      <c r="Z40" s="2006"/>
      <c r="AA40" s="2006"/>
      <c r="AB40" s="2006"/>
      <c r="AC40" s="2006"/>
      <c r="AD40" s="2006"/>
      <c r="AE40" s="2006"/>
      <c r="AF40" s="2006"/>
      <c r="AG40" s="2006"/>
      <c r="AH40" s="2006"/>
      <c r="AI40" s="2007"/>
      <c r="AJ40" s="0"/>
      <c r="AK40" s="287"/>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row>
    <row customHeight="1" ht="11.25">
      <c r="AK41" s="0"/>
    </row>
    <row customHeight="1" ht="11.25">
      <c r="AK42" s="0"/>
    </row>
    <row customHeight="1" ht="11.25">
      <c r="AK43" s="0"/>
    </row>
    <row customHeight="1" ht="11.25">
      <c r="AK44" s="0"/>
    </row>
    <row customHeight="1" ht="11.25">
      <c r="AK45" s="0"/>
    </row>
    <row customHeight="1" ht="11.25">
      <c r="AK46" s="0"/>
    </row>
    <row customHeight="1" ht="11.25">
      <c r="AK47" s="0"/>
    </row>
    <row customHeight="1" ht="11.25">
      <c r="AK48" s="0"/>
    </row>
    <row customHeight="1" ht="11.25">
      <c r="AK49" s="0"/>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D27F1-86D3-D557-8EF3-6B14C1683C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847B5-5409-0D5A-034B-75526A4A9B02}"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366" width="9.140625" hidden="1"/>
    <col min="2" max="2" style="1858" width="9.140625" hidden="1"/>
    <col min="3" max="3" style="100" width="3.7109375" customWidth="1"/>
    <col min="4" max="4" style="1858" width="7.00390625" customWidth="1"/>
    <col min="5" max="5" style="1858" width="23.140625" customWidth="1"/>
    <col min="6" max="6" style="1858" width="16.00390625" customWidth="1"/>
    <col min="7" max="7" style="1858" width="14.8515625" customWidth="1"/>
    <col min="8" max="8" style="1858" width="47.8515625" customWidth="1"/>
    <col min="9" max="9" style="1858" width="115.7109375" customWidth="1"/>
    <col min="10" max="10" style="1858" width="3.7109375" customWidth="1"/>
    <col min="11" max="12" style="1858" width="9.140625"/>
  </cols>
  <sheetData>
    <row customHeight="1" ht="14.25" hidden="1"/>
    <row customHeight="1" ht="14.25" hidden="1"/>
    <row customHeight="1" ht="14.25" hidden="1"/>
    <row customHeight="1" ht="3"/>
    <row s="1666" customFormat="1" customHeight="1" ht="30">
      <c r="A5" s="95"/>
      <c r="C5" s="69"/>
      <c r="D5" s="1921" t="s">
        <v>2083</v>
      </c>
      <c r="E5" s="1921"/>
      <c r="F5" s="1921"/>
      <c r="G5" s="1921"/>
      <c r="H5" s="1921"/>
      <c r="I5" s="244"/>
    </row>
    <row customHeight="1" ht="3" hidden="1">
      <c r="D6" s="102"/>
      <c r="E6" s="102"/>
      <c r="F6" s="102"/>
      <c r="G6" s="102"/>
      <c r="H6" s="102"/>
      <c r="I6" s="102"/>
    </row>
    <row s="366" customFormat="1" customHeight="1" ht="14.25">
      <c r="B7" s="99"/>
      <c r="C7" s="100"/>
      <c r="D7" s="103"/>
      <c r="E7" s="103"/>
      <c r="F7" s="103"/>
      <c r="G7" s="103"/>
      <c r="H7" s="751"/>
      <c r="I7" s="103"/>
      <c r="J7" s="104"/>
    </row>
    <row customHeight="1" ht="14.25">
      <c r="D8" s="2029" t="s">
        <v>290</v>
      </c>
      <c r="E8" s="2029"/>
      <c r="F8" s="2029"/>
      <c r="G8" s="2029"/>
      <c r="H8" s="2029"/>
      <c r="I8" s="2029" t="s">
        <v>291</v>
      </c>
    </row>
    <row customHeight="1" ht="27.75">
      <c r="D9" s="2029" t="s">
        <v>87</v>
      </c>
      <c r="E9" s="2029" t="s">
        <v>2084</v>
      </c>
      <c r="F9" s="2029"/>
      <c r="G9" s="2029"/>
      <c r="H9" s="2029"/>
      <c r="I9" s="2029"/>
    </row>
    <row customHeight="1" ht="22.5">
      <c r="D10" s="2029"/>
      <c r="E10" s="107" t="s">
        <v>2085</v>
      </c>
      <c r="F10" s="107" t="s">
        <v>2086</v>
      </c>
      <c r="G10" s="107" t="s">
        <v>2087</v>
      </c>
      <c r="H10" s="107" t="s">
        <v>382</v>
      </c>
      <c r="I10" s="2029"/>
    </row>
    <row customHeight="1" ht="12" hidden="1">
      <c r="D11" s="68" t="s">
        <v>108</v>
      </c>
      <c r="E11" s="68" t="s">
        <v>90</v>
      </c>
      <c r="F11" s="68" t="s">
        <v>110</v>
      </c>
      <c r="G11" s="68" t="s">
        <v>91</v>
      </c>
      <c r="H11" s="68" t="s">
        <v>92</v>
      </c>
      <c r="I11" s="68" t="s">
        <v>111</v>
      </c>
    </row>
    <row s="1858" customFormat="1" customHeight="1" ht="24.75">
      <c r="A12" s="125" t="s">
        <v>89</v>
      </c>
      <c r="B12" s="105" t="s">
        <v>18</v>
      </c>
      <c r="C12" s="106"/>
      <c r="D12" s="108" t="s">
        <v>108</v>
      </c>
      <c r="E12" s="378"/>
      <c r="F12" s="378"/>
      <c r="G12" s="1764" t="s">
        <v>18</v>
      </c>
      <c r="H12" s="379"/>
      <c r="I12" s="1988" t="s">
        <v>2088</v>
      </c>
      <c r="K12" s="251"/>
      <c r="L12" s="252"/>
    </row>
    <row customHeight="1" ht="15">
      <c r="A13" s="101"/>
      <c r="B13" s="101"/>
      <c r="C13" s="101"/>
      <c r="D13" s="89"/>
      <c r="E13" s="110" t="s">
        <v>539</v>
      </c>
      <c r="F13" s="109"/>
      <c r="G13" s="109"/>
      <c r="H13" s="193"/>
      <c r="I13" s="1990"/>
    </row>
    <row customHeight="1" ht="3">
      <c r="A14" s="101"/>
      <c r="B14" s="101"/>
      <c r="C14" s="101"/>
    </row>
    <row customHeight="1" ht="27.75">
      <c r="E15" s="2383" t="s">
        <v>2089</v>
      </c>
      <c r="F15" s="2383"/>
      <c r="G15" s="2383"/>
      <c r="H15" s="238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E9971-00BD-CD07-F488-DC500D2A8BB7}"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9" style="243" width="9.140625"/>
  </cols>
  <sheetData>
    <row customHeight="1" ht="14.25" hidden="1"/>
    <row customHeight="1" ht="14.25" hidden="1"/>
    <row customHeight="1" ht="14.25" hidden="1"/>
    <row customHeight="1" ht="14.25" hidden="1"/>
    <row customHeight="1" ht="14.25" hidden="1"/>
    <row customHeight="1" ht="3">
      <c r="C6" s="71"/>
      <c r="D6" s="51"/>
      <c r="E6" s="51"/>
    </row>
    <row customHeight="1" ht="22.5">
      <c r="C7" s="71"/>
      <c r="D7" s="2384" t="s">
        <v>2090</v>
      </c>
      <c r="E7" s="2385"/>
      <c r="F7" s="246"/>
    </row>
    <row customHeight="1" ht="3">
      <c r="C8" s="71"/>
      <c r="D8" s="51"/>
      <c r="E8" s="51"/>
    </row>
    <row customHeight="1" ht="15.75">
      <c r="C9" s="71"/>
      <c r="D9" s="85" t="s">
        <v>87</v>
      </c>
      <c r="E9" s="239" t="s">
        <v>2091</v>
      </c>
    </row>
    <row customHeight="1" ht="12">
      <c r="C10" s="71"/>
      <c r="D10" s="68" t="s">
        <v>108</v>
      </c>
      <c r="E10" s="68" t="s">
        <v>109</v>
      </c>
    </row>
    <row customHeight="1" ht="11.25" hidden="1">
      <c r="C11" s="71"/>
      <c r="D11" s="130">
        <v>0</v>
      </c>
      <c r="E11" s="240"/>
    </row>
    <row customHeight="1" ht="15">
      <c r="C12" s="116"/>
      <c r="D12" s="93">
        <v>1</v>
      </c>
      <c r="E12" s="371"/>
    </row>
    <row customHeight="1" ht="12">
      <c r="C13" s="71"/>
      <c r="D13" s="241"/>
      <c r="E13" s="242" t="s">
        <v>2092</v>
      </c>
    </row>
    <row customHeight="1" ht="3"/>
    <row customHeight="1" ht="22.5">
      <c r="C15" s="117"/>
      <c r="D15" s="2386" t="s">
        <v>2093</v>
      </c>
      <c r="E15" s="2386"/>
      <c r="F15" s="118"/>
      <c r="G15" s="118"/>
      <c r="H15" s="118"/>
      <c r="I15" s="11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2DFE3-B425-B873-0213-9AA073BDFE79}" mc:Ignorable="x14ac xr xr2 xr3">
  <dimension ref="A1:I24"/>
  <sheetViews>
    <sheetView topLeftCell="C4" showGridLines="0" zoomScale="90" workbookViewId="0">
      <selection activeCell="A1" sqref="A1"/>
    </sheetView>
  </sheetViews>
  <sheetFormatPr defaultColWidth="9.140625" customHeight="1" defaultRowHeight="11.25"/>
  <cols>
    <col min="1" max="2" style="499" width="15.00390625" hidden="1" customWidth="1"/>
    <col min="3" max="3" style="453" width="3.7109375" customWidth="1"/>
    <col min="4" max="4" style="454" width="6.8515625" customWidth="1"/>
    <col min="5" max="5" style="453" width="52.28125" customWidth="1"/>
    <col min="6" max="6" style="453" width="48.8515625" customWidth="1"/>
    <col min="7" max="7" style="453" width="93.421875" customWidth="1"/>
    <col min="8" max="8" style="453" width="9.140625"/>
    <col min="9" max="9" style="453" width="65.00390625" customWidth="1"/>
  </cols>
  <sheetData>
    <row customHeight="1" ht="11.25" hidden="1">
      <c r="A1" s="499" t="s">
        <v>289</v>
      </c>
    </row>
    <row customHeight="1" ht="22.5" hidden="1">
      <c r="A2" s="500"/>
      <c r="B2" s="500"/>
      <c r="C2" s="455"/>
      <c r="D2" s="1543"/>
      <c r="E2" s="1549"/>
      <c r="F2" s="1579"/>
      <c r="H2" s="473"/>
    </row>
    <row customHeight="1" ht="11.25" hidden="1"/>
    <row customHeight="1" ht="11.25">
      <c r="A4" s="1580"/>
      <c r="B4" s="1580"/>
    </row>
    <row customHeight="1" ht="36.75">
      <c r="D5" s="1978"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1979"/>
      <c r="F5" s="1980"/>
      <c r="I5" s="712"/>
    </row>
    <row customHeight="1" ht="17.25">
      <c r="D6" s="2031" t="str">
        <f>IF(region_name=0,"Не определено",region_name)</f>
        <v>Костромская область</v>
      </c>
      <c r="E6" s="2031"/>
      <c r="F6" s="2031"/>
      <c r="I6" s="712"/>
    </row>
    <row s="475" customFormat="1" customHeight="1" ht="11.25">
      <c r="A7" s="499"/>
      <c r="B7" s="499"/>
      <c r="D7" s="711"/>
      <c r="E7" s="711"/>
      <c r="F7" s="751"/>
      <c r="G7" s="711"/>
    </row>
    <row customHeight="1" ht="11.25" hidden="1">
      <c r="A8" s="500"/>
      <c r="B8" s="500"/>
      <c r="C8" s="455"/>
      <c r="D8" s="461"/>
      <c r="E8" s="2027"/>
      <c r="F8" s="2027"/>
    </row>
    <row customHeight="1" ht="11.25">
      <c r="A9" s="500"/>
      <c r="B9" s="500"/>
      <c r="C9" s="455"/>
      <c r="D9" s="2023" t="s">
        <v>290</v>
      </c>
      <c r="E9" s="2024"/>
      <c r="F9" s="2024"/>
      <c r="G9" s="2028" t="s">
        <v>291</v>
      </c>
    </row>
    <row customHeight="1" ht="11.25">
      <c r="A10" s="500"/>
      <c r="B10" s="500"/>
      <c r="C10" s="455"/>
      <c r="D10" s="1497" t="s">
        <v>87</v>
      </c>
      <c r="E10" s="1499" t="s">
        <v>292</v>
      </c>
      <c r="F10" s="1499" t="s">
        <v>293</v>
      </c>
      <c r="G10" s="2029"/>
    </row>
    <row customHeight="1" ht="12">
      <c r="A11" s="500"/>
      <c r="B11" s="500"/>
      <c r="C11" s="455"/>
      <c r="D11" s="462"/>
      <c r="E11" s="462"/>
      <c r="F11" s="462"/>
      <c r="G11" s="462"/>
    </row>
    <row customHeight="1" ht="22.5">
      <c r="A12" s="500"/>
      <c r="B12" s="500"/>
      <c r="C12" s="455"/>
      <c r="D12" s="1543">
        <v>1</v>
      </c>
      <c r="E12" s="472" t="s">
        <v>2094</v>
      </c>
      <c r="F12" s="1895" t="str">
        <f>IF(org="","",org)</f>
        <v>ПАО "ТГК-2"</v>
      </c>
      <c r="G12" s="472" t="s">
        <v>2095</v>
      </c>
      <c r="H12" s="1556"/>
    </row>
    <row customHeight="1" ht="18.75">
      <c r="A13" s="500"/>
      <c r="B13" s="500"/>
      <c r="C13" s="455"/>
      <c r="D13" s="1543">
        <v>2</v>
      </c>
      <c r="E13" s="1550" t="s">
        <v>2096</v>
      </c>
      <c r="F13" s="1544" t="s">
        <v>296</v>
      </c>
      <c r="G13" s="472"/>
      <c r="H13" s="1556"/>
    </row>
    <row customHeight="1" ht="18.75">
      <c r="A14" s="500"/>
      <c r="B14" s="500"/>
      <c r="C14" s="455"/>
      <c r="D14" s="1546" t="s">
        <v>453</v>
      </c>
      <c r="E14" s="1547" t="s">
        <v>2097</v>
      </c>
      <c r="F14" s="1549"/>
      <c r="G14" s="1548" t="s">
        <v>2098</v>
      </c>
      <c r="H14" s="1556"/>
    </row>
    <row customHeight="1" ht="18.75">
      <c r="A15" s="500"/>
      <c r="B15" s="500"/>
      <c r="C15" s="455"/>
      <c r="D15" s="1546" t="s">
        <v>297</v>
      </c>
      <c r="E15" s="1547" t="s">
        <v>2099</v>
      </c>
      <c r="F15" s="1549"/>
      <c r="G15" s="1548" t="s">
        <v>2100</v>
      </c>
      <c r="H15" s="1556"/>
    </row>
    <row customHeight="1" ht="36.75">
      <c r="A16" s="500"/>
      <c r="B16" s="500"/>
      <c r="C16" s="455"/>
      <c r="D16" s="1546" t="s">
        <v>300</v>
      </c>
      <c r="E16" s="1545" t="s">
        <v>2101</v>
      </c>
      <c r="F16" s="1554"/>
      <c r="G16" s="472" t="s">
        <v>2102</v>
      </c>
      <c r="H16" s="1556"/>
    </row>
    <row customHeight="1" ht="45">
      <c r="A17" s="500"/>
      <c r="B17" s="500"/>
      <c r="C17" s="455"/>
      <c r="D17" s="1543">
        <v>3</v>
      </c>
      <c r="E17" s="1550" t="s">
        <v>2103</v>
      </c>
      <c r="F17" s="1549"/>
      <c r="G17" s="472" t="s">
        <v>2104</v>
      </c>
      <c r="H17" s="1556"/>
    </row>
    <row customHeight="1" ht="45">
      <c r="A18" s="1498">
        <v>1</v>
      </c>
      <c r="B18" s="500"/>
      <c r="C18" s="1500"/>
      <c r="D18" s="1543" t="s">
        <v>90</v>
      </c>
      <c r="E18" s="1550" t="s">
        <v>2105</v>
      </c>
      <c r="F18" s="1549"/>
      <c r="G18" s="472" t="s">
        <v>2104</v>
      </c>
      <c r="H18" s="1556"/>
      <c r="I18" s="850"/>
    </row>
    <row customHeight="1" ht="22.5">
      <c r="A19" s="500"/>
      <c r="B19" s="500"/>
      <c r="C19" s="455"/>
      <c r="D19" s="1543" t="s">
        <v>110</v>
      </c>
      <c r="E19" s="1550" t="s">
        <v>2106</v>
      </c>
      <c r="F19" s="1544" t="s">
        <v>296</v>
      </c>
      <c r="G19" s="2387" t="s">
        <v>2107</v>
      </c>
      <c r="H19" s="473"/>
    </row>
    <row s="1553" customFormat="1" customHeight="1" ht="5.25" hidden="1">
      <c r="A20" s="500"/>
      <c r="B20" s="500"/>
      <c r="C20" s="1552"/>
      <c r="D20" s="1551" t="s">
        <v>1638</v>
      </c>
      <c r="E20" s="1015"/>
      <c r="F20" s="1014"/>
      <c r="G20" s="2388"/>
    </row>
    <row customHeight="1" ht="15">
      <c r="A21" s="500"/>
      <c r="B21" s="500"/>
      <c r="C21" s="455"/>
      <c r="D21" s="465"/>
      <c r="E21" s="413" t="s">
        <v>331</v>
      </c>
      <c r="F21" s="467"/>
      <c r="G21" s="2389"/>
      <c r="H21" s="1556"/>
    </row>
    <row s="499" customFormat="1" customHeight="1" ht="24.75">
      <c r="A22" s="500"/>
      <c r="B22" s="500"/>
      <c r="C22" s="500"/>
      <c r="D22" s="1543" t="s">
        <v>91</v>
      </c>
      <c r="E22" s="472" t="s">
        <v>2108</v>
      </c>
      <c r="F22" s="1549"/>
      <c r="G22" s="472" t="s">
        <v>2109</v>
      </c>
      <c r="H22" s="1555"/>
    </row>
    <row s="499" customFormat="1" customHeight="1" ht="18.75">
      <c r="A23" s="500"/>
      <c r="B23" s="500"/>
      <c r="C23" s="500"/>
      <c r="D23" s="1543" t="s">
        <v>92</v>
      </c>
      <c r="E23" s="1550" t="s">
        <v>2110</v>
      </c>
      <c r="F23" s="1554"/>
      <c r="G23" s="472" t="s">
        <v>2111</v>
      </c>
      <c r="H23" s="1555"/>
    </row>
    <row customHeight="1" ht="11.25">
      <c r="A24" s="500"/>
      <c r="B24" s="500"/>
      <c r="C24" s="455"/>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5BDC2-10DB-CF9E-6635-DD81BB3AAD9D}" mc:Ignorable="x14ac xr xr2 xr3">
  <dimension ref="A1:IT23"/>
  <sheetViews>
    <sheetView topLeftCell="D4" showGridLines="0" zoomScale="90" workbookViewId="0">
      <selection activeCell="A1" sqref="A1"/>
    </sheetView>
  </sheetViews>
  <sheetFormatPr defaultColWidth="9.140625" customHeight="1" defaultRowHeight="14.25"/>
  <cols>
    <col min="1" max="1" style="1666" width="9.140625" hidden="1"/>
    <col min="2" max="2" style="1389" width="9.140625" hidden="1"/>
    <col min="3" max="3" style="1666" width="3.7109375" hidden="1" customWidth="1"/>
    <col min="4" max="4" style="1877" width="3.8515625" customWidth="1"/>
    <col min="5" max="5" style="1666" width="6.28125" customWidth="1"/>
    <col min="6" max="6" style="1666" width="46.7109375" customWidth="1"/>
    <col min="7" max="8" style="1666" width="16.7109375" customWidth="1"/>
    <col min="9" max="9" style="1666" width="35.28125" customWidth="1"/>
    <col min="10" max="10" style="1666" width="89.57421875" customWidth="1"/>
    <col min="11" max="11" style="1655" width="3.7109375" customWidth="1"/>
    <col min="12" max="14" style="1655" width="9.140625"/>
    <col min="15" max="15" style="1655" width="25.7109375" customWidth="1"/>
    <col min="16" max="16" style="1655" width="14.421875" customWidth="1"/>
    <col min="17" max="20" style="204" width="9.140625"/>
    <col min="21" max="254" style="1666" width="9.140625"/>
  </cols>
  <sheetData>
    <row customHeight="1" ht="14.25" hidden="1"/>
    <row s="2412" customFormat="1" customHeight="1" ht="22.5" hidden="1">
      <c r="A2" s="829"/>
      <c r="B2" s="1161">
        <v>1</v>
      </c>
      <c r="C2" s="1161"/>
      <c r="D2" s="799"/>
      <c r="E2" s="1507"/>
      <c r="F2" s="1514"/>
      <c r="G2" s="1514"/>
      <c r="H2" s="1514"/>
      <c r="I2" s="1561"/>
      <c r="J2" s="207"/>
      <c r="K2" s="1558">
        <f>MERGEVALUE(F2)</f>
      </c>
      <c r="L2" s="509"/>
      <c r="M2" s="509"/>
      <c r="N2" s="498" t="str">
        <f t="array" ref="N2:N2">IF(ISERROR(MATCH(MID(O2,1,250),MID(note_ter,1,250),0)),"n","y")</f>
        <v>n</v>
      </c>
      <c r="O2" s="509"/>
      <c r="P2" s="498" t="str">
        <f>G2&amp;"("&amp;J2&amp;")"</f>
        <v>()</v>
      </c>
      <c r="Q2" s="1161"/>
      <c r="R2" s="1161"/>
      <c r="S2" s="418"/>
      <c r="T2" s="1161"/>
      <c r="U2" s="1161"/>
      <c r="V2" s="1161"/>
      <c r="W2" s="420"/>
      <c r="X2" s="420"/>
      <c r="Y2" s="417"/>
      <c r="Z2" s="417"/>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20"/>
      <c r="BU2" s="420"/>
      <c r="BV2" s="420"/>
      <c r="BW2" s="420"/>
      <c r="BX2" s="420"/>
      <c r="BY2" s="420"/>
      <c r="BZ2" s="420"/>
      <c r="CA2" s="420"/>
      <c r="CB2" s="420"/>
      <c r="CC2" s="420"/>
    </row>
    <row s="1673" customFormat="1" customHeight="1" ht="5.25" hidden="1">
      <c r="A3" s="494"/>
      <c r="D3" s="492"/>
      <c r="F3" s="226" t="s">
        <v>82</v>
      </c>
      <c r="G3" s="492" t="s">
        <v>83</v>
      </c>
      <c r="H3" s="492"/>
      <c r="I3" s="492"/>
      <c r="J3" s="206" t="s">
        <v>84</v>
      </c>
      <c r="K3" s="226" t="s">
        <v>82</v>
      </c>
      <c r="L3" s="226"/>
      <c r="M3" s="226"/>
      <c r="N3" s="226"/>
      <c r="O3" s="227"/>
      <c r="P3" s="226"/>
      <c r="Q3" s="226"/>
      <c r="R3" s="226"/>
      <c r="S3" s="226"/>
      <c r="T3" s="22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row>
    <row s="1854" customFormat="1" customHeight="1" ht="14.25">
      <c r="A4" s="1156"/>
      <c r="B4" s="1161"/>
      <c r="C4" s="1156"/>
      <c r="D4" s="1518"/>
      <c r="E4" s="507"/>
      <c r="F4" s="507"/>
      <c r="G4" s="507"/>
      <c r="H4" s="507"/>
      <c r="I4" s="507"/>
      <c r="J4" s="146"/>
      <c r="K4" s="226"/>
      <c r="L4" s="498"/>
      <c r="M4" s="498"/>
      <c r="N4" s="498"/>
      <c r="O4" s="205"/>
      <c r="P4" s="498"/>
      <c r="Q4" s="204"/>
      <c r="R4" s="204"/>
      <c r="S4" s="204"/>
      <c r="T4" s="204"/>
    </row>
    <row s="1854" customFormat="1" customHeight="1" ht="25.5">
      <c r="A5" s="1156"/>
      <c r="B5" s="1161"/>
      <c r="C5" s="1156"/>
      <c r="D5" s="1518"/>
      <c r="E5" s="1921"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921"/>
      <c r="G5" s="1921"/>
      <c r="H5" s="1921"/>
      <c r="I5" s="1921"/>
      <c r="J5" s="1921"/>
      <c r="K5" s="226"/>
      <c r="L5" s="498"/>
      <c r="M5" s="498"/>
      <c r="N5" s="498"/>
      <c r="O5" s="205"/>
      <c r="P5" s="498"/>
      <c r="Q5" s="204"/>
      <c r="R5" s="204"/>
      <c r="S5" s="204"/>
      <c r="T5" s="204"/>
    </row>
    <row s="1854" customFormat="1" customHeight="1" ht="14.25">
      <c r="A6" s="1156"/>
      <c r="B6" s="1161"/>
      <c r="C6" s="1156"/>
      <c r="D6" s="1518"/>
      <c r="E6" s="507"/>
      <c r="F6" s="147"/>
      <c r="G6" s="147"/>
      <c r="H6" s="147"/>
      <c r="I6" s="147"/>
      <c r="J6" s="148"/>
      <c r="K6" s="498"/>
      <c r="L6" s="498"/>
      <c r="M6" s="498"/>
      <c r="N6" s="498"/>
      <c r="O6" s="205"/>
      <c r="P6" s="498"/>
      <c r="Q6" s="204"/>
      <c r="R6" s="204"/>
      <c r="S6" s="204"/>
      <c r="T6" s="204"/>
    </row>
    <row s="1854" customFormat="1" customHeight="1" ht="14.25">
      <c r="A7" s="1156"/>
      <c r="B7" s="1161"/>
      <c r="C7" s="1156"/>
      <c r="D7" s="1518"/>
      <c r="E7" s="1922" t="s">
        <v>290</v>
      </c>
      <c r="F7" s="1923"/>
      <c r="G7" s="1923"/>
      <c r="H7" s="1923"/>
      <c r="I7" s="1923"/>
      <c r="J7" s="2390" t="s">
        <v>291</v>
      </c>
      <c r="K7" s="498"/>
      <c r="L7" s="498"/>
      <c r="M7" s="498"/>
      <c r="N7" s="498"/>
      <c r="O7" s="205"/>
      <c r="P7" s="498"/>
      <c r="Q7" s="204"/>
      <c r="R7" s="204"/>
      <c r="S7" s="204"/>
      <c r="T7" s="204"/>
    </row>
    <row s="1854" customFormat="1" customHeight="1" ht="20.25">
      <c r="A8" s="1156"/>
      <c r="B8" s="1161"/>
      <c r="C8" s="1156"/>
      <c r="D8" s="1518"/>
      <c r="E8" s="1578" t="s">
        <v>87</v>
      </c>
      <c r="F8" s="1563" t="s">
        <v>2112</v>
      </c>
      <c r="G8" s="1563" t="s">
        <v>48</v>
      </c>
      <c r="H8" s="1563" t="s">
        <v>50</v>
      </c>
      <c r="I8" s="1563" t="s">
        <v>2113</v>
      </c>
      <c r="J8" s="2391"/>
      <c r="K8" s="498"/>
      <c r="L8" s="498"/>
      <c r="M8" s="498"/>
      <c r="N8" s="498"/>
      <c r="O8" s="205"/>
      <c r="P8" s="498"/>
      <c r="Q8" s="204"/>
      <c r="R8" s="204"/>
      <c r="S8" s="204"/>
      <c r="T8" s="204"/>
    </row>
    <row s="2412" customFormat="1" customHeight="1" ht="22.5">
      <c r="A9" s="1920"/>
      <c r="B9" s="1161">
        <v>1</v>
      </c>
      <c r="C9" s="1161"/>
      <c r="D9" s="799"/>
      <c r="E9" s="1507">
        <v>1</v>
      </c>
      <c r="F9" s="1577"/>
      <c r="G9" s="1514"/>
      <c r="H9" s="1514"/>
      <c r="I9" s="1561"/>
      <c r="J9" s="2392" t="s">
        <v>2114</v>
      </c>
      <c r="K9" s="1558">
        <f>MERGEVALUE(F9)</f>
      </c>
      <c r="L9" s="509"/>
      <c r="M9" s="509"/>
      <c r="N9" s="498" t="str">
        <f t="array" ref="N9:N9">IF(ISERROR(MATCH(MID(O9,1,250),MID(note_ter,1,250),0)),"n","y")</f>
        <v>n</v>
      </c>
      <c r="O9" s="509"/>
      <c r="P9" s="498"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18"/>
      <c r="T9" s="1161"/>
      <c r="U9" s="1161"/>
      <c r="V9" s="1161"/>
      <c r="W9" s="420"/>
      <c r="X9" s="420"/>
      <c r="Y9" s="417"/>
      <c r="Z9" s="417"/>
      <c r="AA9" s="417"/>
      <c r="AB9" s="417"/>
      <c r="AC9" s="417"/>
      <c r="AD9" s="417"/>
      <c r="AE9" s="417"/>
      <c r="AF9" s="417"/>
      <c r="AG9" s="417"/>
      <c r="AH9" s="417"/>
      <c r="AI9" s="417"/>
      <c r="AJ9" s="417"/>
      <c r="AK9" s="417"/>
      <c r="AL9" s="417"/>
      <c r="AM9" s="417"/>
      <c r="AN9" s="417"/>
      <c r="AO9" s="417"/>
      <c r="AP9" s="417"/>
      <c r="AQ9" s="417"/>
      <c r="AR9" s="417"/>
      <c r="AS9" s="417"/>
      <c r="AT9" s="417"/>
      <c r="AU9" s="417"/>
      <c r="AV9" s="417"/>
      <c r="AW9" s="417"/>
      <c r="AX9" s="417"/>
      <c r="AY9" s="417"/>
      <c r="AZ9" s="417"/>
      <c r="BA9" s="417"/>
      <c r="BB9" s="417"/>
      <c r="BC9" s="417"/>
      <c r="BD9" s="417"/>
      <c r="BE9" s="417"/>
      <c r="BF9" s="417"/>
      <c r="BG9" s="417"/>
      <c r="BH9" s="417"/>
      <c r="BI9" s="417"/>
      <c r="BJ9" s="417"/>
      <c r="BK9" s="417"/>
      <c r="BL9" s="417"/>
      <c r="BM9" s="417"/>
      <c r="BN9" s="417"/>
      <c r="BO9" s="417"/>
      <c r="BP9" s="417"/>
      <c r="BQ9" s="417"/>
      <c r="BR9" s="417"/>
      <c r="BS9" s="417"/>
      <c r="BT9" s="420"/>
      <c r="BU9" s="420"/>
      <c r="BV9" s="420"/>
      <c r="BW9" s="420"/>
      <c r="BX9" s="420"/>
      <c r="BY9" s="420"/>
      <c r="BZ9" s="420"/>
      <c r="CA9" s="420"/>
      <c r="CB9" s="420"/>
      <c r="CC9" s="420"/>
    </row>
    <row s="2412" customFormat="1" customHeight="1" ht="15">
      <c r="A10" s="1920"/>
      <c r="B10" s="1161"/>
      <c r="C10" s="410"/>
      <c r="D10" s="799"/>
      <c r="E10" s="1564"/>
      <c r="F10" s="1523" t="s">
        <v>2115</v>
      </c>
      <c r="G10" s="1565"/>
      <c r="H10" s="1565"/>
      <c r="I10" s="1565"/>
      <c r="J10" s="2393"/>
      <c r="K10" s="1559"/>
      <c r="L10" s="509"/>
      <c r="M10" s="509"/>
      <c r="N10" s="509"/>
      <c r="O10" s="498"/>
      <c r="P10" s="509"/>
      <c r="Q10" s="1161"/>
      <c r="R10" s="1161"/>
      <c r="S10" s="418"/>
      <c r="T10" s="1161"/>
      <c r="U10" s="1161"/>
      <c r="V10" s="1161"/>
      <c r="W10" s="420"/>
      <c r="X10" s="420"/>
      <c r="Y10" s="417"/>
      <c r="Z10" s="417"/>
      <c r="AA10" s="417"/>
      <c r="AB10" s="417"/>
      <c r="AC10" s="417"/>
      <c r="AD10" s="417"/>
      <c r="AE10" s="417"/>
      <c r="AF10" s="417"/>
      <c r="AG10" s="417"/>
      <c r="AH10" s="417"/>
      <c r="AI10" s="417"/>
      <c r="AJ10" s="417"/>
      <c r="AK10" s="417"/>
      <c r="AL10" s="417"/>
      <c r="AM10" s="417"/>
      <c r="AN10" s="417"/>
      <c r="AO10" s="417"/>
      <c r="AP10" s="417"/>
      <c r="AQ10" s="417"/>
      <c r="AR10" s="417"/>
      <c r="AS10" s="417"/>
      <c r="AT10" s="417"/>
      <c r="AU10" s="417"/>
      <c r="AV10" s="417"/>
      <c r="AW10" s="417"/>
      <c r="AX10" s="417"/>
      <c r="AY10" s="417"/>
      <c r="AZ10" s="417"/>
      <c r="BA10" s="417"/>
      <c r="BB10" s="417"/>
      <c r="BC10" s="417"/>
      <c r="BD10" s="417"/>
      <c r="BE10" s="417"/>
      <c r="BF10" s="417"/>
      <c r="BG10" s="417"/>
      <c r="BH10" s="417"/>
      <c r="BI10" s="417"/>
      <c r="BJ10" s="417"/>
      <c r="BK10" s="417"/>
      <c r="BL10" s="417"/>
      <c r="BM10" s="417"/>
      <c r="BN10" s="417"/>
      <c r="BO10" s="417"/>
      <c r="BP10" s="417"/>
      <c r="BQ10" s="417"/>
      <c r="BR10" s="417"/>
      <c r="BS10" s="417"/>
      <c r="BT10" s="420"/>
      <c r="BU10" s="420"/>
      <c r="BV10" s="420"/>
      <c r="BW10" s="420"/>
      <c r="BX10" s="420"/>
      <c r="BY10" s="420"/>
      <c r="BZ10" s="420"/>
      <c r="CA10" s="420"/>
      <c r="CB10" s="420"/>
      <c r="CC10" s="420"/>
    </row>
    <row s="1854" customFormat="1" customHeight="1" ht="21">
      <c r="A11" s="1156"/>
      <c r="B11" s="1161"/>
      <c r="C11" s="1156"/>
      <c r="D11" s="449"/>
      <c r="E11" s="160"/>
      <c r="F11" s="160"/>
      <c r="G11" s="160"/>
      <c r="H11" s="160"/>
      <c r="I11" s="160"/>
      <c r="J11" s="160"/>
      <c r="K11" s="498"/>
      <c r="L11" s="498"/>
      <c r="M11" s="498"/>
      <c r="N11" s="498"/>
      <c r="O11" s="205"/>
      <c r="P11" s="498"/>
      <c r="Q11" s="204"/>
      <c r="R11" s="204"/>
      <c r="S11" s="204"/>
      <c r="T11" s="204"/>
    </row>
    <row s="1854" customFormat="1" customHeight="1" ht="14.25">
      <c r="A12" s="1156"/>
      <c r="B12" s="1161"/>
      <c r="C12" s="1156"/>
      <c r="D12" s="449"/>
      <c r="E12" s="1156"/>
      <c r="F12" s="1156"/>
      <c r="G12" s="1156"/>
      <c r="H12" s="1156"/>
      <c r="I12" s="1156"/>
      <c r="J12" s="1156"/>
      <c r="K12" s="498"/>
      <c r="L12" s="498"/>
      <c r="M12" s="498"/>
      <c r="N12" s="498"/>
      <c r="O12" s="205"/>
      <c r="P12" s="498"/>
      <c r="Q12" s="204"/>
      <c r="R12" s="204"/>
      <c r="S12" s="204"/>
      <c r="T12" s="204"/>
    </row>
    <row s="1854" customFormat="1" customHeight="1" ht="0.75">
      <c r="A13" s="1156"/>
      <c r="B13" s="1161"/>
      <c r="C13" s="1156"/>
      <c r="D13" s="449"/>
      <c r="E13" s="1156"/>
      <c r="F13" s="1156"/>
      <c r="G13" s="1156"/>
      <c r="H13" s="1156"/>
      <c r="I13" s="1156"/>
      <c r="J13" s="1156"/>
      <c r="K13" s="498"/>
      <c r="L13" s="498"/>
      <c r="M13" s="498"/>
      <c r="N13" s="498"/>
      <c r="O13" s="205"/>
      <c r="P13" s="498"/>
      <c r="Q13" s="204"/>
      <c r="R13" s="204"/>
      <c r="S13" s="204"/>
      <c r="T13" s="204"/>
    </row>
    <row s="1065" customFormat="1" customHeight="1" ht="10.5">
      <c r="B14" s="832"/>
      <c r="D14" s="162"/>
      <c r="K14" s="498"/>
      <c r="L14" s="498"/>
      <c r="M14" s="498"/>
      <c r="N14" s="498"/>
      <c r="O14" s="205"/>
      <c r="P14" s="498"/>
      <c r="Q14" s="204"/>
      <c r="R14" s="204"/>
      <c r="S14" s="204"/>
      <c r="T14" s="204"/>
    </row>
    <row s="1065" customFormat="1" customHeight="1" ht="10.5">
      <c r="B15" s="832"/>
      <c r="D15" s="162"/>
      <c r="K15" s="498"/>
      <c r="L15" s="498"/>
      <c r="M15" s="498"/>
      <c r="N15" s="498"/>
      <c r="O15" s="205"/>
      <c r="P15" s="498"/>
      <c r="Q15" s="204"/>
      <c r="R15" s="204"/>
      <c r="S15" s="204"/>
      <c r="T15" s="204"/>
    </row>
    <row r="19" customHeight="1" ht="14.25">
      <c r="G19" s="0"/>
      <c r="H19" s="0"/>
      <c r="I19" s="0"/>
    </row>
    <row r="23" customHeight="1" ht="14.25">
      <c r="K23" s="1156"/>
      <c r="L23" s="1156"/>
      <c r="M23" s="1156"/>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31C6B-5AB3-0B4C-8FB7-4A9647BF25B9}" mc:Ignorable="x14ac xr xr2 xr3">
  <dimension ref="A1:IV14"/>
  <sheetViews>
    <sheetView topLeftCell="D4" showGridLines="0" zoomScale="90" workbookViewId="0">
      <selection activeCell="A1" sqref="A1"/>
    </sheetView>
  </sheetViews>
  <sheetFormatPr defaultColWidth="9.140625" customHeight="1" defaultRowHeight="14.25"/>
  <cols>
    <col min="1" max="1" style="1666" width="9.140625" hidden="1"/>
    <col min="2" max="2" style="1389" width="9.140625" hidden="1"/>
    <col min="3" max="3" style="1666" width="3.7109375" hidden="1" customWidth="1"/>
    <col min="4" max="4" style="1877" width="3.8515625" customWidth="1"/>
    <col min="5" max="5" style="1666" width="6.28125" customWidth="1"/>
    <col min="6" max="6" style="1666" width="27.28125" customWidth="1"/>
    <col min="7" max="7" style="1666" width="16.7109375" customWidth="1"/>
    <col min="8" max="8" style="1666" width="12.7109375" customWidth="1"/>
    <col min="9" max="9" style="1666" width="32.140625" customWidth="1"/>
    <col min="10" max="11" style="1666" width="41.8515625" customWidth="1"/>
    <col min="12" max="12" style="1666" width="89.57421875" customWidth="1"/>
    <col min="13" max="13" style="1655" width="3.7109375" customWidth="1"/>
    <col min="14" max="16" style="1655" width="9.140625"/>
    <col min="17" max="17" style="1655" width="25.7109375" customWidth="1"/>
    <col min="18" max="18" style="1655" width="14.421875" customWidth="1"/>
    <col min="19" max="22" style="204" width="9.140625"/>
    <col min="23" max="256" style="1666" width="9.140625"/>
  </cols>
  <sheetData>
    <row customHeight="1" ht="14.25" hidden="1"/>
    <row s="2412" customFormat="1" customHeight="1" ht="22.5" hidden="1">
      <c r="A2" s="829"/>
      <c r="B2" s="1161">
        <v>1</v>
      </c>
      <c r="C2" s="1161"/>
      <c r="D2" s="799"/>
      <c r="E2" s="1507"/>
      <c r="F2" s="1562" t="str">
        <f>IF(ROIV_INFO_NAME="","",ROIV_INFO_NAME)</f>
        <v>ПАО "ТГК-2"</v>
      </c>
      <c r="G2" s="1762" t="s">
        <v>18</v>
      </c>
      <c r="H2" s="1561"/>
      <c r="I2" s="1561"/>
      <c r="J2" s="1165"/>
      <c r="K2" s="1165"/>
      <c r="L2" s="207"/>
      <c r="M2" s="1558">
        <f>MERGEVALUE(F2)</f>
      </c>
      <c r="N2" s="509"/>
      <c r="O2" s="509"/>
      <c r="P2" s="498" t="str">
        <f t="array" ref="P2:P2">IF(ISERROR(MATCH(MID(Q2,1,250),MID(note_ter,1,250),0)),"n","y")</f>
        <v>n</v>
      </c>
      <c r="Q2" s="509"/>
      <c r="R2" s="498" t="str">
        <f>G2&amp;"("&amp;L2&amp;")"</f>
        <v>()</v>
      </c>
      <c r="S2" s="1161"/>
      <c r="T2" s="1161"/>
      <c r="U2" s="418"/>
      <c r="V2" s="1161"/>
      <c r="W2" s="1161"/>
      <c r="X2" s="1161"/>
      <c r="Y2" s="420"/>
      <c r="Z2" s="420"/>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17"/>
      <c r="BU2" s="417"/>
      <c r="BV2" s="420"/>
      <c r="BW2" s="420"/>
      <c r="BX2" s="420"/>
      <c r="BY2" s="420"/>
      <c r="BZ2" s="420"/>
      <c r="CA2" s="420"/>
      <c r="CB2" s="420"/>
      <c r="CC2" s="420"/>
      <c r="CD2" s="420"/>
      <c r="CE2" s="420"/>
    </row>
    <row s="1673" customFormat="1" customHeight="1" ht="5.25" hidden="1">
      <c r="A3" s="494"/>
      <c r="D3" s="492"/>
      <c r="F3" s="226" t="s">
        <v>82</v>
      </c>
      <c r="G3" s="1765" t="s">
        <v>83</v>
      </c>
      <c r="H3" s="492"/>
      <c r="I3" s="492"/>
      <c r="J3" s="492"/>
      <c r="K3" s="492"/>
      <c r="L3" s="206" t="s">
        <v>84</v>
      </c>
      <c r="M3" s="226" t="s">
        <v>82</v>
      </c>
      <c r="N3" s="226"/>
      <c r="O3" s="226"/>
      <c r="P3" s="226"/>
      <c r="Q3" s="227"/>
      <c r="R3" s="226"/>
      <c r="S3" s="226"/>
      <c r="T3" s="226"/>
      <c r="U3" s="226"/>
      <c r="V3" s="22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row>
    <row s="1854" customFormat="1" customHeight="1" ht="14.25">
      <c r="A4" s="1156"/>
      <c r="B4" s="1161"/>
      <c r="C4" s="1156"/>
      <c r="D4" s="1518"/>
      <c r="E4" s="507"/>
      <c r="F4" s="507"/>
      <c r="G4" s="507"/>
      <c r="H4" s="507"/>
      <c r="I4" s="507"/>
      <c r="J4" s="507"/>
      <c r="K4" s="507"/>
      <c r="L4" s="146"/>
      <c r="M4" s="226"/>
      <c r="N4" s="498"/>
      <c r="O4" s="498"/>
      <c r="P4" s="498"/>
      <c r="Q4" s="205"/>
      <c r="R4" s="498"/>
      <c r="S4" s="204"/>
      <c r="T4" s="204"/>
      <c r="U4" s="204"/>
      <c r="V4" s="204"/>
    </row>
    <row s="1854" customFormat="1" customHeight="1" ht="25.5">
      <c r="A5" s="1156"/>
      <c r="B5" s="1161"/>
      <c r="C5" s="1156"/>
      <c r="D5" s="1518"/>
      <c r="E5" s="1921"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921"/>
      <c r="G5" s="1921"/>
      <c r="H5" s="1921"/>
      <c r="I5" s="1921"/>
      <c r="J5" s="1921"/>
      <c r="K5" s="1921"/>
      <c r="L5" s="586"/>
      <c r="M5" s="226"/>
      <c r="N5" s="498"/>
      <c r="O5" s="498"/>
      <c r="P5" s="498"/>
      <c r="Q5" s="205"/>
      <c r="R5" s="498"/>
      <c r="S5" s="204"/>
      <c r="T5" s="204"/>
      <c r="U5" s="204"/>
      <c r="V5" s="204"/>
    </row>
    <row s="1854" customFormat="1" customHeight="1" ht="14.25">
      <c r="A6" s="1156"/>
      <c r="B6" s="1161"/>
      <c r="C6" s="1156"/>
      <c r="D6" s="1518"/>
      <c r="E6" s="507"/>
      <c r="F6" s="147"/>
      <c r="G6" s="147"/>
      <c r="H6" s="147"/>
      <c r="I6" s="147"/>
      <c r="J6" s="147"/>
      <c r="K6" s="147"/>
      <c r="L6" s="148"/>
      <c r="M6" s="498"/>
      <c r="N6" s="498"/>
      <c r="O6" s="498"/>
      <c r="P6" s="498"/>
      <c r="Q6" s="205"/>
      <c r="R6" s="498"/>
      <c r="S6" s="204"/>
      <c r="T6" s="204"/>
      <c r="U6" s="204"/>
      <c r="V6" s="204"/>
    </row>
    <row s="1854" customFormat="1" customHeight="1" ht="14.25">
      <c r="A7" s="1156"/>
      <c r="B7" s="1161"/>
      <c r="C7" s="1156"/>
      <c r="D7" s="1518"/>
      <c r="E7" s="1922" t="s">
        <v>290</v>
      </c>
      <c r="F7" s="1923"/>
      <c r="G7" s="1923"/>
      <c r="H7" s="1923"/>
      <c r="I7" s="1923"/>
      <c r="J7" s="1923"/>
      <c r="K7" s="1923"/>
      <c r="L7" s="2390" t="s">
        <v>291</v>
      </c>
      <c r="M7" s="498"/>
      <c r="N7" s="498"/>
      <c r="O7" s="498"/>
      <c r="P7" s="498"/>
      <c r="Q7" s="205"/>
      <c r="R7" s="498"/>
      <c r="S7" s="204"/>
      <c r="T7" s="204"/>
      <c r="U7" s="204"/>
      <c r="V7" s="204"/>
    </row>
    <row s="1854" customFormat="1" customHeight="1" ht="47.25">
      <c r="A8" s="1156"/>
      <c r="B8" s="1161"/>
      <c r="C8" s="1156"/>
      <c r="D8" s="1518"/>
      <c r="E8" s="2395" t="s">
        <v>87</v>
      </c>
      <c r="F8" s="2395" t="s">
        <v>2094</v>
      </c>
      <c r="G8" s="2397"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98"/>
      <c r="I8" s="2399"/>
      <c r="J8" s="2395"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95"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94"/>
      <c r="M8" s="498"/>
      <c r="N8" s="498"/>
      <c r="O8" s="498"/>
      <c r="P8" s="498"/>
      <c r="Q8" s="205"/>
      <c r="R8" s="498"/>
      <c r="S8" s="204"/>
      <c r="T8" s="204"/>
      <c r="U8" s="204"/>
      <c r="V8" s="204"/>
    </row>
    <row s="1854" customFormat="1" customHeight="1" ht="56.25">
      <c r="A9" s="1156"/>
      <c r="B9" s="1161"/>
      <c r="C9" s="1156"/>
      <c r="D9" s="1518"/>
      <c r="E9" s="2396"/>
      <c r="F9" s="2396"/>
      <c r="G9" s="1560" t="s">
        <v>2116</v>
      </c>
      <c r="H9" s="1560" t="s">
        <v>2117</v>
      </c>
      <c r="I9" s="1560" t="s">
        <v>2118</v>
      </c>
      <c r="J9" s="2396"/>
      <c r="K9" s="2396"/>
      <c r="L9" s="2391"/>
      <c r="M9" s="498"/>
      <c r="N9" s="498"/>
      <c r="O9" s="498"/>
      <c r="P9" s="498"/>
      <c r="Q9" s="205"/>
      <c r="R9" s="498"/>
      <c r="S9" s="204"/>
      <c r="T9" s="204"/>
      <c r="U9" s="204"/>
      <c r="V9" s="204"/>
    </row>
    <row s="2412" customFormat="1" customHeight="1" ht="22.5">
      <c r="A10" s="1920"/>
      <c r="B10" s="1161">
        <v>1</v>
      </c>
      <c r="C10" s="1161"/>
      <c r="D10" s="798"/>
      <c r="E10" s="796">
        <v>1</v>
      </c>
      <c r="F10" s="1562" t="str">
        <f>IF(ROIV_INFO_NAME="","",ROIV_INFO_NAME)</f>
        <v>ПАО "ТГК-2"</v>
      </c>
      <c r="G10" s="1762" t="s">
        <v>18</v>
      </c>
      <c r="H10" s="1557"/>
      <c r="I10" s="1557"/>
      <c r="J10" s="1165"/>
      <c r="K10" s="1165"/>
      <c r="L10" s="2392" t="s">
        <v>2119</v>
      </c>
      <c r="M10" s="1558">
        <f>MERGEVALUE(F10)</f>
      </c>
      <c r="N10" s="509"/>
      <c r="O10" s="509"/>
      <c r="P10" s="498" t="str">
        <f t="array" ref="P10:P10">IF(ISERROR(MATCH(MID(Q10,1,250),MID(note_ter,1,250),0)),"n","y")</f>
        <v>n</v>
      </c>
      <c r="Q10" s="509"/>
      <c r="R10" s="49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1"/>
      <c r="T10" s="1161"/>
      <c r="U10" s="418"/>
      <c r="V10" s="1161"/>
      <c r="W10" s="1161"/>
      <c r="X10" s="1161"/>
      <c r="Y10" s="420"/>
      <c r="Z10" s="420"/>
      <c r="AA10" s="417"/>
      <c r="AB10" s="417"/>
      <c r="AC10" s="417"/>
      <c r="AD10" s="417"/>
      <c r="AE10" s="417"/>
      <c r="AF10" s="417"/>
      <c r="AG10" s="417"/>
      <c r="AH10" s="417"/>
      <c r="AI10" s="417"/>
      <c r="AJ10" s="417"/>
      <c r="AK10" s="417"/>
      <c r="AL10" s="417"/>
      <c r="AM10" s="417"/>
      <c r="AN10" s="417"/>
      <c r="AO10" s="417"/>
      <c r="AP10" s="417"/>
      <c r="AQ10" s="417"/>
      <c r="AR10" s="417"/>
      <c r="AS10" s="417"/>
      <c r="AT10" s="417"/>
      <c r="AU10" s="417"/>
      <c r="AV10" s="417"/>
      <c r="AW10" s="417"/>
      <c r="AX10" s="417"/>
      <c r="AY10" s="417"/>
      <c r="AZ10" s="417"/>
      <c r="BA10" s="417"/>
      <c r="BB10" s="417"/>
      <c r="BC10" s="417"/>
      <c r="BD10" s="417"/>
      <c r="BE10" s="417"/>
      <c r="BF10" s="417"/>
      <c r="BG10" s="417"/>
      <c r="BH10" s="417"/>
      <c r="BI10" s="417"/>
      <c r="BJ10" s="417"/>
      <c r="BK10" s="417"/>
      <c r="BL10" s="417"/>
      <c r="BM10" s="417"/>
      <c r="BN10" s="417"/>
      <c r="BO10" s="417"/>
      <c r="BP10" s="417"/>
      <c r="BQ10" s="417"/>
      <c r="BR10" s="417"/>
      <c r="BS10" s="417"/>
      <c r="BT10" s="417"/>
      <c r="BU10" s="417"/>
      <c r="BV10" s="420"/>
      <c r="BW10" s="420"/>
      <c r="BX10" s="420"/>
      <c r="BY10" s="420"/>
      <c r="BZ10" s="420"/>
      <c r="CA10" s="420"/>
      <c r="CB10" s="420"/>
      <c r="CC10" s="420"/>
      <c r="CD10" s="420"/>
      <c r="CE10" s="420"/>
    </row>
    <row s="2412" customFormat="1" customHeight="1" ht="15">
      <c r="A11" s="1920"/>
      <c r="B11" s="1161"/>
      <c r="C11" s="410"/>
      <c r="D11" s="799"/>
      <c r="E11" s="419"/>
      <c r="F11" s="414" t="s">
        <v>2120</v>
      </c>
      <c r="G11" s="167"/>
      <c r="H11" s="167"/>
      <c r="I11" s="167"/>
      <c r="J11" s="167"/>
      <c r="K11" s="167"/>
      <c r="L11" s="2393"/>
      <c r="M11" s="1559"/>
      <c r="N11" s="509"/>
      <c r="O11" s="509"/>
      <c r="P11" s="509"/>
      <c r="Q11" s="498"/>
      <c r="R11" s="509"/>
      <c r="S11" s="1161"/>
      <c r="T11" s="1161"/>
      <c r="U11" s="418"/>
      <c r="V11" s="1161"/>
      <c r="W11" s="1161"/>
      <c r="X11" s="1161"/>
      <c r="Y11" s="420"/>
      <c r="Z11" s="420"/>
      <c r="AA11" s="417"/>
      <c r="AB11" s="417"/>
      <c r="AC11" s="417"/>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20"/>
      <c r="BW11" s="420"/>
      <c r="BX11" s="420"/>
      <c r="BY11" s="420"/>
      <c r="BZ11" s="420"/>
      <c r="CA11" s="420"/>
      <c r="CB11" s="420"/>
      <c r="CC11" s="420"/>
      <c r="CD11" s="420"/>
      <c r="CE11" s="420"/>
    </row>
    <row s="1854" customFormat="1" customHeight="1" ht="21">
      <c r="A12" s="1156"/>
      <c r="B12" s="1161"/>
      <c r="C12" s="1156"/>
      <c r="D12" s="449"/>
      <c r="E12" s="160"/>
      <c r="F12" s="160"/>
      <c r="G12" s="160"/>
      <c r="H12" s="160"/>
      <c r="I12" s="160"/>
      <c r="J12" s="160"/>
      <c r="K12" s="160"/>
      <c r="L12" s="160"/>
      <c r="M12" s="498"/>
      <c r="N12" s="498"/>
      <c r="O12" s="498"/>
      <c r="P12" s="498"/>
      <c r="Q12" s="205"/>
      <c r="R12" s="498"/>
      <c r="S12" s="204"/>
      <c r="T12" s="204"/>
      <c r="U12" s="204"/>
      <c r="V12" s="204"/>
    </row>
    <row s="1854" customFormat="1" customHeight="1" ht="14.25">
      <c r="A13" s="1156"/>
      <c r="B13" s="1161"/>
      <c r="C13" s="1156"/>
      <c r="D13" s="449"/>
      <c r="E13" s="1156"/>
      <c r="F13" s="1156"/>
      <c r="G13" s="1156"/>
      <c r="H13" s="1156"/>
      <c r="I13" s="1156"/>
      <c r="J13" s="1156"/>
      <c r="K13" s="1156"/>
      <c r="L13" s="1156"/>
      <c r="M13" s="498"/>
      <c r="N13" s="498"/>
      <c r="O13" s="498"/>
      <c r="P13" s="498"/>
      <c r="Q13" s="205"/>
      <c r="R13" s="498"/>
      <c r="S13" s="204"/>
      <c r="T13" s="204"/>
      <c r="U13" s="204"/>
      <c r="V13" s="204"/>
    </row>
    <row s="1854" customFormat="1" customHeight="1" ht="0.75">
      <c r="A14" s="1156"/>
      <c r="B14" s="1161"/>
      <c r="C14" s="1156"/>
      <c r="D14" s="449"/>
      <c r="E14" s="1156"/>
      <c r="F14" s="1156"/>
      <c r="G14" s="1156"/>
      <c r="H14" s="1156"/>
      <c r="I14" s="1156"/>
      <c r="J14" s="1156"/>
      <c r="K14" s="1156"/>
      <c r="L14" s="1156"/>
      <c r="M14" s="498"/>
      <c r="N14" s="498"/>
      <c r="O14" s="498"/>
      <c r="P14" s="498"/>
      <c r="Q14" s="205"/>
      <c r="R14" s="498"/>
      <c r="S14" s="204"/>
      <c r="T14" s="204"/>
      <c r="U14" s="204"/>
      <c r="V14" s="20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C01F9A-AE9A-F8A1-4F15-920861CBA87F}" mc:Ignorable="x14ac xr xr2 xr3">
  <dimension ref="A1:IY16"/>
  <sheetViews>
    <sheetView topLeftCell="D5" showGridLines="0" zoomScale="90" workbookViewId="0">
      <selection activeCell="A1" sqref="A1"/>
    </sheetView>
  </sheetViews>
  <sheetFormatPr defaultColWidth="9.140625" customHeight="1" defaultRowHeight="14.25"/>
  <cols>
    <col min="1" max="1" style="1666" width="9.140625" hidden="1"/>
    <col min="2" max="2" style="1389" width="9.140625" hidden="1"/>
    <col min="3" max="3" style="1666" width="3.7109375" hidden="1" customWidth="1"/>
    <col min="4" max="4" style="1877" width="3.8515625" customWidth="1"/>
    <col min="5" max="5" style="1666" width="10.140625" customWidth="1"/>
    <col min="6" max="6" style="1666" width="6.28125" customWidth="1"/>
    <col min="7" max="7" style="1666" width="27.28125" customWidth="1"/>
    <col min="8" max="8" style="1666" width="29.28125" customWidth="1"/>
    <col min="9" max="9" style="1666" width="25.421875" customWidth="1"/>
    <col min="10" max="10" style="1666" width="5.57421875" customWidth="1"/>
    <col min="11" max="11" style="1666" width="6.57421875" customWidth="1"/>
    <col min="12" max="12" style="1666" width="41.8515625" customWidth="1"/>
    <col min="13" max="13" style="1666" width="42.421875" customWidth="1"/>
    <col min="14" max="14" style="1666" width="41.57421875" customWidth="1"/>
    <col min="15" max="15" style="1666" width="64.140625" customWidth="1"/>
    <col min="16" max="16" style="1655" width="3.7109375" customWidth="1"/>
    <col min="17" max="19" style="1655" width="9.140625"/>
    <col min="20" max="20" style="1655" width="25.7109375" customWidth="1"/>
    <col min="21" max="21" style="1655" width="14.421875" customWidth="1"/>
    <col min="22" max="25" style="204" width="9.140625"/>
    <col min="26" max="259" style="1666" width="9.140625"/>
  </cols>
  <sheetData>
    <row customHeight="1" ht="14.25" hidden="1"/>
    <row s="2412" customFormat="1" customHeight="1" ht="22.5" hidden="1">
      <c r="A2" s="494"/>
      <c r="B2" s="1161">
        <v>1</v>
      </c>
      <c r="C2" s="1161"/>
      <c r="D2" s="799"/>
      <c r="E2" s="1948"/>
      <c r="F2" s="1948">
        <v>1</v>
      </c>
      <c r="G2" s="2281" t="str">
        <f>IF(region_name="","",region_name)</f>
        <v>Костромская область</v>
      </c>
      <c r="H2" s="2407"/>
      <c r="I2" s="2408"/>
      <c r="J2" s="472"/>
      <c r="K2" s="1507">
        <v>1</v>
      </c>
      <c r="L2" s="1165"/>
      <c r="M2" s="1165"/>
      <c r="N2" s="1165"/>
      <c r="O2" s="1165"/>
      <c r="P2" s="1558">
        <f>MERGEVALUE(G2)</f>
      </c>
      <c r="Q2" s="509"/>
      <c r="R2" s="509"/>
      <c r="S2" s="498" t="str">
        <f t="array" ref="S2:S2">IF(ISERROR(MATCH(MID(T2,1,250),MID(note_ter,1,250),0)),"n","y")</f>
        <v>n</v>
      </c>
      <c r="T2" s="509"/>
      <c r="U2" s="498"/>
      <c r="V2" s="1161"/>
      <c r="W2" s="1161"/>
      <c r="X2" s="418"/>
      <c r="Y2" s="1161"/>
      <c r="Z2" s="1161"/>
      <c r="AA2" s="1161"/>
      <c r="AB2" s="420"/>
      <c r="AC2" s="420"/>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17"/>
      <c r="BU2" s="417"/>
      <c r="BV2" s="417"/>
      <c r="BW2" s="417"/>
      <c r="BX2" s="417"/>
      <c r="BY2" s="420"/>
      <c r="BZ2" s="420"/>
      <c r="CA2" s="420"/>
      <c r="CB2" s="420"/>
      <c r="CC2" s="420"/>
      <c r="CD2" s="420"/>
      <c r="CE2" s="420"/>
      <c r="CF2" s="420"/>
      <c r="CG2" s="420"/>
      <c r="CH2" s="420"/>
    </row>
    <row s="2412" customFormat="1" customHeight="1" ht="22.5" hidden="1">
      <c r="A3" s="829"/>
      <c r="B3" s="1161"/>
      <c r="C3" s="1161"/>
      <c r="D3" s="799"/>
      <c r="E3" s="1948"/>
      <c r="F3" s="1948"/>
      <c r="G3" s="2281"/>
      <c r="H3" s="2407"/>
      <c r="I3" s="2078"/>
      <c r="J3" s="1567"/>
      <c r="K3" s="1523"/>
      <c r="L3" s="1523" t="s">
        <v>2121</v>
      </c>
      <c r="M3" s="1570"/>
      <c r="N3" s="1570"/>
      <c r="O3" s="1571"/>
      <c r="P3" s="1558"/>
      <c r="Q3" s="509"/>
      <c r="R3" s="509"/>
      <c r="S3" s="498"/>
      <c r="T3" s="509"/>
      <c r="U3" s="498"/>
      <c r="V3" s="1161"/>
      <c r="W3" s="1161"/>
      <c r="X3" s="418"/>
      <c r="Y3" s="1161"/>
      <c r="Z3" s="1161"/>
      <c r="AA3" s="1161"/>
      <c r="AB3" s="420"/>
      <c r="AC3" s="420"/>
      <c r="AD3" s="417"/>
      <c r="AE3" s="417"/>
      <c r="AF3" s="417"/>
      <c r="AG3" s="417"/>
      <c r="AH3" s="417"/>
      <c r="AI3" s="417"/>
      <c r="AJ3" s="417"/>
      <c r="AK3" s="417"/>
      <c r="AL3" s="417"/>
      <c r="AM3" s="417"/>
      <c r="AN3" s="417"/>
      <c r="AO3" s="417"/>
      <c r="AP3" s="417"/>
      <c r="AQ3" s="417"/>
      <c r="AR3" s="417"/>
      <c r="AS3" s="417"/>
      <c r="AT3" s="417"/>
      <c r="AU3" s="417"/>
      <c r="AV3" s="417"/>
      <c r="AW3" s="417"/>
      <c r="AX3" s="417"/>
      <c r="AY3" s="417"/>
      <c r="AZ3" s="417"/>
      <c r="BA3" s="417"/>
      <c r="BB3" s="417"/>
      <c r="BC3" s="417"/>
      <c r="BD3" s="417"/>
      <c r="BE3" s="417"/>
      <c r="BF3" s="417"/>
      <c r="BG3" s="417"/>
      <c r="BH3" s="417"/>
      <c r="BI3" s="417"/>
      <c r="BJ3" s="417"/>
      <c r="BK3" s="417"/>
      <c r="BL3" s="417"/>
      <c r="BM3" s="417"/>
      <c r="BN3" s="417"/>
      <c r="BO3" s="417"/>
      <c r="BP3" s="417"/>
      <c r="BQ3" s="417"/>
      <c r="BR3" s="417"/>
      <c r="BS3" s="417"/>
      <c r="BT3" s="417"/>
      <c r="BU3" s="417"/>
      <c r="BV3" s="417"/>
      <c r="BW3" s="417"/>
      <c r="BX3" s="417"/>
      <c r="BY3" s="420"/>
      <c r="BZ3" s="420"/>
      <c r="CA3" s="420"/>
      <c r="CB3" s="420"/>
      <c r="CC3" s="420"/>
      <c r="CD3" s="420"/>
      <c r="CE3" s="420"/>
      <c r="CF3" s="420"/>
      <c r="CG3" s="420"/>
      <c r="CH3" s="420"/>
    </row>
    <row s="1673" customFormat="1" customHeight="1" ht="5.25" hidden="1">
      <c r="A4" s="494"/>
      <c r="D4" s="492"/>
      <c r="G4" s="226" t="s">
        <v>82</v>
      </c>
      <c r="H4" s="492" t="s">
        <v>83</v>
      </c>
      <c r="I4" s="492"/>
      <c r="J4" s="1572"/>
      <c r="K4" s="1572"/>
      <c r="L4" s="1572"/>
      <c r="M4" s="1572"/>
      <c r="N4" s="1572"/>
      <c r="O4" s="1572"/>
      <c r="P4" s="226" t="s">
        <v>82</v>
      </c>
      <c r="Q4" s="226"/>
      <c r="R4" s="226"/>
      <c r="S4" s="226"/>
      <c r="T4" s="227"/>
      <c r="U4" s="226"/>
      <c r="V4" s="226"/>
      <c r="W4" s="226"/>
      <c r="X4" s="226"/>
      <c r="Y4" s="22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c r="IH4" s="206"/>
      <c r="II4" s="206"/>
      <c r="IJ4" s="206"/>
      <c r="IK4" s="206"/>
      <c r="IL4" s="206"/>
      <c r="IM4" s="206"/>
      <c r="IN4" s="206"/>
      <c r="IO4" s="206"/>
      <c r="IP4" s="206"/>
      <c r="IQ4" s="206"/>
      <c r="IR4" s="206"/>
      <c r="IS4" s="206"/>
      <c r="IT4" s="206"/>
      <c r="IU4" s="206"/>
      <c r="IV4" s="206"/>
      <c r="IW4" s="206"/>
      <c r="IX4" s="206"/>
      <c r="IY4" s="206"/>
    </row>
    <row s="1854" customFormat="1" customHeight="1" ht="14.25">
      <c r="A5" s="1156"/>
      <c r="B5" s="1161"/>
      <c r="C5" s="1156"/>
      <c r="D5" s="1518"/>
      <c r="E5" s="507"/>
      <c r="F5" s="507"/>
      <c r="G5" s="507"/>
      <c r="H5" s="507"/>
      <c r="I5" s="507"/>
      <c r="J5" s="507"/>
      <c r="K5" s="507"/>
      <c r="L5" s="507"/>
      <c r="M5" s="507"/>
      <c r="N5" s="507"/>
      <c r="O5" s="507"/>
      <c r="P5" s="226"/>
      <c r="Q5" s="498"/>
      <c r="R5" s="498"/>
      <c r="S5" s="498"/>
      <c r="T5" s="205"/>
      <c r="U5" s="498"/>
      <c r="V5" s="204"/>
      <c r="W5" s="204"/>
      <c r="X5" s="204"/>
      <c r="Y5" s="204"/>
    </row>
    <row s="1854" customFormat="1" customHeight="1" ht="25.5">
      <c r="A6" s="1156"/>
      <c r="B6" s="1161"/>
      <c r="C6" s="1156"/>
      <c r="D6" s="1518"/>
      <c r="E6" s="1921" t="s">
        <v>2122</v>
      </c>
      <c r="F6" s="1921"/>
      <c r="G6" s="1921"/>
      <c r="H6" s="1921"/>
      <c r="I6" s="1921"/>
      <c r="J6" s="1921"/>
      <c r="K6" s="1921"/>
      <c r="L6" s="1921"/>
      <c r="M6" s="1921"/>
      <c r="N6" s="1921"/>
      <c r="O6" s="1921"/>
      <c r="P6" s="226"/>
      <c r="Q6" s="498"/>
      <c r="R6" s="498"/>
      <c r="S6" s="498"/>
      <c r="T6" s="205"/>
      <c r="U6" s="498"/>
      <c r="V6" s="204"/>
      <c r="W6" s="204"/>
      <c r="X6" s="204"/>
      <c r="Y6" s="204"/>
    </row>
    <row s="1854" customFormat="1" customHeight="1" ht="14.25">
      <c r="A7" s="1156"/>
      <c r="B7" s="1161"/>
      <c r="C7" s="1156"/>
      <c r="D7" s="1518"/>
      <c r="E7" s="507"/>
      <c r="F7" s="507"/>
      <c r="G7" s="147"/>
      <c r="H7" s="147"/>
      <c r="I7" s="147"/>
      <c r="J7" s="147"/>
      <c r="K7" s="147"/>
      <c r="L7" s="147"/>
      <c r="M7" s="147"/>
      <c r="N7" s="147"/>
      <c r="O7" s="147"/>
      <c r="P7" s="498"/>
      <c r="Q7" s="498"/>
      <c r="R7" s="498"/>
      <c r="S7" s="498"/>
      <c r="T7" s="205"/>
      <c r="U7" s="498"/>
      <c r="V7" s="204"/>
      <c r="W7" s="204"/>
      <c r="X7" s="204"/>
      <c r="Y7" s="204"/>
    </row>
    <row s="1576" customFormat="1" customHeight="1" ht="42.75">
      <c r="A8" s="1491"/>
      <c r="B8" s="1501"/>
      <c r="C8" s="1491"/>
      <c r="D8" s="1518"/>
      <c r="E8" s="1581" t="s">
        <v>291</v>
      </c>
      <c r="F8" s="1581"/>
      <c r="G8" s="1582" t="s">
        <v>295</v>
      </c>
      <c r="H8" s="1582" t="s">
        <v>2123</v>
      </c>
      <c r="I8" s="1582" t="s">
        <v>299</v>
      </c>
      <c r="J8" s="2403"/>
      <c r="K8" s="2404"/>
      <c r="L8" s="2405"/>
      <c r="M8" s="1582" t="s">
        <v>2124</v>
      </c>
      <c r="N8" s="1582" t="s">
        <v>2125</v>
      </c>
      <c r="O8" s="1582" t="s">
        <v>2126</v>
      </c>
      <c r="P8" s="1573"/>
      <c r="Q8" s="1573"/>
      <c r="R8" s="1573"/>
      <c r="S8" s="1573"/>
      <c r="T8" s="1574"/>
      <c r="U8" s="1573"/>
      <c r="V8" s="1575"/>
      <c r="W8" s="1575"/>
      <c r="X8" s="1575"/>
      <c r="Y8" s="1575"/>
    </row>
    <row s="1854" customFormat="1" customHeight="1" ht="47.25">
      <c r="A9" s="1156"/>
      <c r="B9" s="1161"/>
      <c r="C9" s="1156"/>
      <c r="D9" s="1518"/>
      <c r="E9" s="2053" t="s">
        <v>290</v>
      </c>
      <c r="F9" s="2396" t="s">
        <v>87</v>
      </c>
      <c r="G9" s="2396" t="s">
        <v>294</v>
      </c>
      <c r="H9" s="2396" t="s">
        <v>2127</v>
      </c>
      <c r="I9" s="2396"/>
      <c r="J9" s="2396" t="s">
        <v>2128</v>
      </c>
      <c r="K9" s="2396"/>
      <c r="L9" s="2396"/>
      <c r="M9" s="2396" t="s">
        <v>2129</v>
      </c>
      <c r="N9" s="2396" t="s">
        <v>2130</v>
      </c>
      <c r="O9" s="2396"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98"/>
      <c r="Q9" s="498"/>
      <c r="R9" s="498"/>
      <c r="S9" s="498"/>
      <c r="T9" s="205"/>
      <c r="U9" s="498"/>
      <c r="V9" s="204"/>
      <c r="W9" s="204"/>
      <c r="X9" s="204"/>
      <c r="Y9" s="204"/>
    </row>
    <row s="1854" customFormat="1" customHeight="1" ht="63.75">
      <c r="A10" s="1156"/>
      <c r="B10" s="1161"/>
      <c r="C10" s="1156"/>
      <c r="D10" s="1518"/>
      <c r="E10" s="1948"/>
      <c r="F10" s="2402"/>
      <c r="G10" s="2402"/>
      <c r="H10" s="152" t="s">
        <v>2131</v>
      </c>
      <c r="I10" s="152" t="s">
        <v>298</v>
      </c>
      <c r="J10" s="2395"/>
      <c r="K10" s="2395"/>
      <c r="L10" s="2402"/>
      <c r="M10" s="2402"/>
      <c r="N10" s="2402"/>
      <c r="O10" s="2402"/>
      <c r="P10" s="498"/>
      <c r="Q10" s="498"/>
      <c r="R10" s="498"/>
      <c r="S10" s="498"/>
      <c r="T10" s="205"/>
      <c r="U10" s="498"/>
      <c r="V10" s="204"/>
      <c r="W10" s="204"/>
      <c r="X10" s="204"/>
      <c r="Y10" s="204"/>
    </row>
    <row s="2412" customFormat="1" customHeight="1" ht="22.5">
      <c r="A11" s="1920">
        <v>26379339</v>
      </c>
      <c r="B11" s="1161">
        <v>1</v>
      </c>
      <c r="C11" s="1161"/>
      <c r="D11" s="799"/>
      <c r="E11" s="2053"/>
      <c r="F11" s="2053">
        <v>1</v>
      </c>
      <c r="G11" s="2400" t="str">
        <f>IF(region_name="","",region_name)</f>
        <v>Костромская область</v>
      </c>
      <c r="H11" s="2401"/>
      <c r="I11" s="2406"/>
      <c r="J11" s="472"/>
      <c r="K11" s="1507">
        <v>1</v>
      </c>
      <c r="L11" s="1583"/>
      <c r="M11" s="1569"/>
      <c r="N11" s="1569"/>
      <c r="O11" s="1568"/>
      <c r="P11" s="1558">
        <f>MERGEVALUE(G11)</f>
      </c>
      <c r="Q11" s="509"/>
      <c r="R11" s="509"/>
      <c r="S11" s="498" t="str">
        <f t="array" ref="S11:S11">IF(ISERROR(MATCH(MID(T11,1,250),MID(note_ter,1,250),0)),"n","y")</f>
        <v>n</v>
      </c>
      <c r="T11" s="509"/>
      <c r="U11" s="498"/>
      <c r="V11" s="1161"/>
      <c r="W11" s="1161"/>
      <c r="X11" s="418"/>
      <c r="Y11" s="1161"/>
      <c r="Z11" s="1161"/>
      <c r="AA11" s="1161"/>
      <c r="AB11" s="420"/>
      <c r="AC11" s="420"/>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17"/>
      <c r="BW11" s="417"/>
      <c r="BX11" s="417"/>
      <c r="BY11" s="420"/>
      <c r="BZ11" s="420"/>
      <c r="CA11" s="420"/>
      <c r="CB11" s="420"/>
      <c r="CC11" s="420"/>
      <c r="CD11" s="420"/>
      <c r="CE11" s="420"/>
      <c r="CF11" s="420"/>
      <c r="CG11" s="420"/>
      <c r="CH11" s="420"/>
    </row>
    <row s="2412" customFormat="1" customHeight="1" ht="22.5">
      <c r="A12" s="1920"/>
      <c r="B12" s="1161"/>
      <c r="C12" s="1161"/>
      <c r="D12" s="799"/>
      <c r="E12" s="2053"/>
      <c r="F12" s="2053"/>
      <c r="G12" s="2400"/>
      <c r="H12" s="2401"/>
      <c r="I12" s="2089"/>
      <c r="J12" s="1567"/>
      <c r="K12" s="1523"/>
      <c r="L12" s="1523" t="s">
        <v>2121</v>
      </c>
      <c r="M12" s="1570"/>
      <c r="N12" s="1570"/>
      <c r="O12" s="1571"/>
      <c r="P12" s="1558"/>
      <c r="Q12" s="509"/>
      <c r="R12" s="509"/>
      <c r="S12" s="498"/>
      <c r="T12" s="509"/>
      <c r="U12" s="498"/>
      <c r="V12" s="1161"/>
      <c r="W12" s="1161"/>
      <c r="X12" s="418"/>
      <c r="Y12" s="1161"/>
      <c r="Z12" s="1161"/>
      <c r="AA12" s="1161"/>
      <c r="AB12" s="420"/>
      <c r="AC12" s="420"/>
      <c r="AD12" s="417"/>
      <c r="AE12" s="417"/>
      <c r="AF12" s="417"/>
      <c r="AG12" s="417"/>
      <c r="AH12" s="417"/>
      <c r="AI12" s="417"/>
      <c r="AJ12" s="417"/>
      <c r="AK12" s="417"/>
      <c r="AL12" s="417"/>
      <c r="AM12" s="417"/>
      <c r="AN12" s="417"/>
      <c r="AO12" s="417"/>
      <c r="AP12" s="417"/>
      <c r="AQ12" s="417"/>
      <c r="AR12" s="417"/>
      <c r="AS12" s="417"/>
      <c r="AT12" s="417"/>
      <c r="AU12" s="417"/>
      <c r="AV12" s="417"/>
      <c r="AW12" s="417"/>
      <c r="AX12" s="417"/>
      <c r="AY12" s="417"/>
      <c r="AZ12" s="417"/>
      <c r="BA12" s="417"/>
      <c r="BB12" s="417"/>
      <c r="BC12" s="417"/>
      <c r="BD12" s="417"/>
      <c r="BE12" s="417"/>
      <c r="BF12" s="417"/>
      <c r="BG12" s="417"/>
      <c r="BH12" s="417"/>
      <c r="BI12" s="417"/>
      <c r="BJ12" s="417"/>
      <c r="BK12" s="417"/>
      <c r="BL12" s="417"/>
      <c r="BM12" s="417"/>
      <c r="BN12" s="417"/>
      <c r="BO12" s="417"/>
      <c r="BP12" s="417"/>
      <c r="BQ12" s="417"/>
      <c r="BR12" s="417"/>
      <c r="BS12" s="417"/>
      <c r="BT12" s="417"/>
      <c r="BU12" s="417"/>
      <c r="BV12" s="417"/>
      <c r="BW12" s="417"/>
      <c r="BX12" s="417"/>
      <c r="BY12" s="420"/>
      <c r="BZ12" s="420"/>
      <c r="CA12" s="420"/>
      <c r="CB12" s="420"/>
      <c r="CC12" s="420"/>
      <c r="CD12" s="420"/>
      <c r="CE12" s="420"/>
      <c r="CF12" s="420"/>
      <c r="CG12" s="420"/>
      <c r="CH12" s="420"/>
    </row>
    <row s="2412" customFormat="1" customHeight="1" ht="22.5">
      <c r="A13" s="1920"/>
      <c r="B13" s="1161"/>
      <c r="C13" s="410"/>
      <c r="D13" s="799"/>
      <c r="E13" s="1564"/>
      <c r="F13" s="1567"/>
      <c r="G13" s="1523" t="s">
        <v>2115</v>
      </c>
      <c r="H13" s="1565"/>
      <c r="I13" s="1565"/>
      <c r="J13" s="167"/>
      <c r="K13" s="167"/>
      <c r="L13" s="167"/>
      <c r="M13" s="167"/>
      <c r="N13" s="167"/>
      <c r="O13" s="1566"/>
      <c r="P13" s="1559"/>
      <c r="Q13" s="509"/>
      <c r="R13" s="509"/>
      <c r="S13" s="509"/>
      <c r="T13" s="498"/>
      <c r="U13" s="509"/>
      <c r="V13" s="1161"/>
      <c r="W13" s="1161"/>
      <c r="X13" s="418"/>
      <c r="Y13" s="1161"/>
      <c r="Z13" s="1161"/>
      <c r="AA13" s="1161"/>
      <c r="AB13" s="420"/>
      <c r="AC13" s="420"/>
      <c r="AD13" s="417"/>
      <c r="AE13" s="417"/>
      <c r="AF13" s="417"/>
      <c r="AG13" s="417"/>
      <c r="AH13" s="417"/>
      <c r="AI13" s="417"/>
      <c r="AJ13" s="417"/>
      <c r="AK13" s="417"/>
      <c r="AL13" s="417"/>
      <c r="AM13" s="417"/>
      <c r="AN13" s="417"/>
      <c r="AO13" s="417"/>
      <c r="AP13" s="417"/>
      <c r="AQ13" s="417"/>
      <c r="AR13" s="417"/>
      <c r="AS13" s="417"/>
      <c r="AT13" s="417"/>
      <c r="AU13" s="417"/>
      <c r="AV13" s="417"/>
      <c r="AW13" s="417"/>
      <c r="AX13" s="417"/>
      <c r="AY13" s="417"/>
      <c r="AZ13" s="417"/>
      <c r="BA13" s="417"/>
      <c r="BB13" s="417"/>
      <c r="BC13" s="417"/>
      <c r="BD13" s="417"/>
      <c r="BE13" s="417"/>
      <c r="BF13" s="417"/>
      <c r="BG13" s="417"/>
      <c r="BH13" s="417"/>
      <c r="BI13" s="417"/>
      <c r="BJ13" s="417"/>
      <c r="BK13" s="417"/>
      <c r="BL13" s="417"/>
      <c r="BM13" s="417"/>
      <c r="BN13" s="417"/>
      <c r="BO13" s="417"/>
      <c r="BP13" s="417"/>
      <c r="BQ13" s="417"/>
      <c r="BR13" s="417"/>
      <c r="BS13" s="417"/>
      <c r="BT13" s="417"/>
      <c r="BU13" s="417"/>
      <c r="BV13" s="417"/>
      <c r="BW13" s="417"/>
      <c r="BX13" s="417"/>
      <c r="BY13" s="420"/>
      <c r="BZ13" s="420"/>
      <c r="CA13" s="420"/>
      <c r="CB13" s="420"/>
      <c r="CC13" s="420"/>
      <c r="CD13" s="420"/>
      <c r="CE13" s="420"/>
      <c r="CF13" s="420"/>
      <c r="CG13" s="420"/>
      <c r="CH13" s="420"/>
    </row>
    <row s="1854" customFormat="1" customHeight="1" ht="21">
      <c r="A14" s="1156"/>
      <c r="B14" s="1161"/>
      <c r="C14" s="1156"/>
      <c r="D14" s="449"/>
      <c r="E14" s="160"/>
      <c r="F14" s="160"/>
      <c r="G14" s="160"/>
      <c r="H14" s="160"/>
      <c r="I14" s="160"/>
      <c r="J14" s="160"/>
      <c r="K14" s="160"/>
      <c r="L14" s="160"/>
      <c r="M14" s="160"/>
      <c r="N14" s="507"/>
      <c r="O14" s="507"/>
      <c r="P14" s="498"/>
      <c r="Q14" s="498"/>
      <c r="R14" s="498"/>
      <c r="S14" s="498"/>
      <c r="T14" s="205"/>
      <c r="U14" s="498"/>
      <c r="V14" s="204"/>
      <c r="W14" s="204"/>
      <c r="X14" s="204"/>
      <c r="Y14" s="204"/>
    </row>
    <row s="1854" customFormat="1" customHeight="1" ht="14.25">
      <c r="A15" s="1156"/>
      <c r="B15" s="1161"/>
      <c r="C15" s="1156"/>
      <c r="D15" s="449"/>
      <c r="E15" s="1156"/>
      <c r="F15" s="1156"/>
      <c r="G15" s="1156"/>
      <c r="H15" s="1156"/>
      <c r="I15" s="1156"/>
      <c r="J15" s="1156"/>
      <c r="K15" s="1156"/>
      <c r="L15" s="1156"/>
      <c r="M15" s="1156"/>
      <c r="N15" s="1156"/>
      <c r="O15" s="1156"/>
      <c r="P15" s="498"/>
      <c r="Q15" s="498"/>
      <c r="R15" s="498"/>
      <c r="S15" s="498"/>
      <c r="T15" s="205"/>
      <c r="U15" s="498"/>
      <c r="V15" s="204"/>
      <c r="W15" s="204"/>
      <c r="X15" s="204"/>
      <c r="Y15" s="204"/>
    </row>
    <row s="1854" customFormat="1" customHeight="1" ht="0.75">
      <c r="A16" s="1156"/>
      <c r="B16" s="1161"/>
      <c r="C16" s="1156"/>
      <c r="D16" s="449"/>
      <c r="E16" s="1156"/>
      <c r="F16" s="1156"/>
      <c r="G16" s="1156"/>
      <c r="H16" s="1156"/>
      <c r="I16" s="1156"/>
      <c r="J16" s="1156"/>
      <c r="K16" s="1156"/>
      <c r="L16" s="1156"/>
      <c r="M16" s="1156"/>
      <c r="N16" s="1156"/>
      <c r="O16" s="1156"/>
      <c r="P16" s="498"/>
      <c r="Q16" s="498"/>
      <c r="R16" s="498"/>
      <c r="S16" s="498"/>
      <c r="T16" s="205"/>
      <c r="U16" s="498"/>
      <c r="V16" s="204"/>
      <c r="W16" s="204"/>
      <c r="X16" s="204"/>
      <c r="Y16" s="204"/>
    </row>
  </sheetData>
  <sheetProtection formatColumns="0" formatRows="0" autoFilter="0" sort="0" insertRows="0" insertColumns="1" deleteRows="0" deleteColumns="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84452-E368-2C92-B716-D2638B221F02}" mc:Ignorable="x14ac xr xr2 xr3">
  <sheetPr>
    <tabColor rgb="FFCCCCFF"/>
    <pageSetUpPr fitToPage="1"/>
  </sheetPr>
  <dimension ref="A1:L16"/>
  <sheetViews>
    <sheetView topLeftCell="C6" showGridLines="0" zoomScale="90" workbookViewId="0" tabSelected="1">
      <selection activeCell="E15" sqref="E15"/>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12" style="243" width="9.140625"/>
  </cols>
  <sheetData>
    <row customHeight="1" ht="14.25" hidden="1">
      <c r="L1" s="243"/>
    </row>
    <row customHeight="1" ht="14.25" hidden="1"/>
    <row customHeight="1" ht="14.25" hidden="1"/>
    <row customHeight="1" ht="14.25" hidden="1"/>
    <row customHeight="1" ht="14.25" hidden="1"/>
    <row customHeight="1" ht="3">
      <c r="C6" s="71"/>
      <c r="D6" s="51"/>
      <c r="E6" s="51"/>
    </row>
    <row customHeight="1" ht="22.5">
      <c r="C7" s="71"/>
      <c r="D7" s="1921" t="s">
        <v>2132</v>
      </c>
      <c r="E7" s="1921"/>
      <c r="F7" s="246"/>
    </row>
    <row customHeight="1" ht="3">
      <c r="C8" s="71"/>
      <c r="D8" s="51"/>
      <c r="E8" s="51"/>
    </row>
    <row customHeight="1" ht="15.75">
      <c r="C9" s="71"/>
      <c r="D9" s="85" t="s">
        <v>87</v>
      </c>
      <c r="E9" s="88" t="s">
        <v>277</v>
      </c>
    </row>
    <row customHeight="1" ht="12">
      <c r="C10" s="71"/>
      <c r="D10" s="68" t="s">
        <v>108</v>
      </c>
      <c r="E10" s="68" t="s">
        <v>109</v>
      </c>
    </row>
    <row customHeight="1" ht="15" hidden="1">
      <c r="C11" s="71"/>
      <c r="D11" s="93">
        <v>0</v>
      </c>
      <c r="E11" s="129"/>
    </row>
    <row customHeight="1" ht="45">
      <c r="A12" s="243"/>
      <c r="B12" s="243"/>
      <c r="C12" s="1852" t="s">
        <v>120</v>
      </c>
      <c r="D12" s="93" t="s">
        <v>108</v>
      </c>
      <c r="E12" s="94" t="s">
        <v>2133</v>
      </c>
      <c r="F12" s="243"/>
      <c r="G12" s="243"/>
      <c r="H12" s="243"/>
      <c r="I12" s="243"/>
      <c r="J12" s="243"/>
      <c r="K12" s="243"/>
      <c r="L12" s="243"/>
    </row>
    <row customHeight="1" ht="35.833333333333336">
      <c r="A13" s="243"/>
      <c r="B13" s="243"/>
      <c r="C13" s="1852" t="s">
        <v>120</v>
      </c>
      <c r="D13" s="93" t="s">
        <v>109</v>
      </c>
      <c r="E13" s="94" t="s">
        <v>2134</v>
      </c>
      <c r="F13" s="243"/>
      <c r="G13" s="243"/>
      <c r="H13" s="243"/>
      <c r="I13" s="243"/>
      <c r="J13" s="243"/>
      <c r="K13" s="243"/>
      <c r="L13" s="243"/>
    </row>
    <row customHeight="1" ht="50.833333333333336">
      <c r="A14" s="243"/>
      <c r="B14" s="243"/>
      <c r="C14" s="1852" t="s">
        <v>120</v>
      </c>
      <c r="D14" s="93" t="s">
        <v>89</v>
      </c>
      <c r="E14" s="94" t="s">
        <v>2135</v>
      </c>
      <c r="F14" s="243"/>
      <c r="G14" s="243"/>
      <c r="H14" s="243"/>
      <c r="I14" s="243"/>
      <c r="J14" s="243"/>
      <c r="K14" s="243"/>
      <c r="L14" s="243"/>
    </row>
    <row customHeight="1" ht="32.5">
      <c r="A15" s="243"/>
      <c r="B15" s="243"/>
      <c r="C15" s="1852" t="s">
        <v>120</v>
      </c>
      <c r="D15" s="93" t="s">
        <v>90</v>
      </c>
      <c r="E15" s="94" t="s">
        <v>2136</v>
      </c>
      <c r="F15" s="243"/>
      <c r="G15" s="243"/>
      <c r="H15" s="243"/>
      <c r="I15" s="243"/>
      <c r="J15" s="243"/>
      <c r="K15" s="243"/>
      <c r="L15" s="243"/>
    </row>
    <row customHeight="1" ht="14.25">
      <c r="C16" s="71"/>
      <c r="D16" s="89"/>
      <c r="E16" s="87" t="s">
        <v>2092</v>
      </c>
    </row>
  </sheetData>
  <sheetProtection formatColumns="0" formatRows="0" autoFilter="0" sort="0" insertRows="0" insertColumns="1" deleteRows="0" deleteColumns="0"/>
  <mergeCells count="1">
    <mergeCell ref="D7:E7"/>
  </mergeCells>
  <dataValidations count="5">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A51A4-4679-A679-DE5C-9DEF1AEF1F7D}"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412" width="1.7109375" customWidth="1"/>
    <col min="2" max="2" style="2412" width="34.57421875" customWidth="1"/>
    <col min="3" max="3" style="2412" width="85.57421875" customWidth="1"/>
    <col min="4" max="4" style="2412" width="17.7109375" customWidth="1"/>
    <col min="5" max="5" style="2412" width="9.140625"/>
  </cols>
  <sheetData>
    <row customHeight="1" ht="3"/>
    <row customHeight="1" ht="22.5">
      <c r="B2" s="2452" t="s">
        <v>2137</v>
      </c>
      <c r="C2" s="2409"/>
      <c r="D2" s="2409"/>
      <c r="E2" s="247"/>
    </row>
    <row customHeight="1" ht="3"/>
    <row customHeight="1" ht="21.75">
      <c r="B4" s="2453" t="s">
        <v>2138</v>
      </c>
      <c r="C4" s="380" t="s">
        <v>2139</v>
      </c>
      <c r="D4" s="380" t="s">
        <v>2140</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EA19F-150F-64FC-33F4-D9D6148EC20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1E193-4777-7879-FD33-63CCA3F83A5A}"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1717" width="15.00390625" hidden="1" customWidth="1"/>
    <col min="2" max="2" style="499" width="15.00390625" hidden="1" customWidth="1"/>
    <col min="3" max="3" style="453" width="3.7109375" customWidth="1"/>
    <col min="4" max="4" style="454" width="6.8515625" customWidth="1"/>
    <col min="5" max="5" style="453" width="52.28125" customWidth="1"/>
    <col min="6" max="6" style="453" width="48.8515625" customWidth="1"/>
    <col min="7" max="7" style="453" width="121.7109375" customWidth="1"/>
    <col min="8" max="8" style="453" width="9.140625"/>
    <col min="9" max="9" style="453" width="65.00390625" customWidth="1"/>
  </cols>
  <sheetData>
    <row customHeight="1" ht="11.25" hidden="1">
      <c r="A1" s="1717" t="s">
        <v>289</v>
      </c>
    </row>
    <row customHeight="1" ht="11.25" hidden="1"/>
    <row s="475" customFormat="1" customHeight="1" ht="11.25">
      <c r="A3" s="1717"/>
      <c r="B3" s="499"/>
      <c r="D3" s="476"/>
    </row>
    <row customHeight="1" ht="36.75">
      <c r="D4" s="1978" t="str">
        <f>ORG_INFO_NAME_FORM</f>
        <v>Форма 1. Информация о регулируемой организации, осуществляющей холодное водоснабжение
(далее – регулируемая организация) (общая информация)</v>
      </c>
      <c r="E4" s="1979"/>
      <c r="F4" s="1980"/>
      <c r="I4" s="712"/>
    </row>
    <row customHeight="1" ht="17.25">
      <c r="D5" s="2031" t="str">
        <f>IF(org=0,"Не определено",org)</f>
        <v>ПАО "ТГК-2"</v>
      </c>
      <c r="E5" s="2031"/>
      <c r="F5" s="2031"/>
      <c r="I5" s="712"/>
    </row>
    <row s="475" customFormat="1" customHeight="1" ht="11.25">
      <c r="A6" s="1717"/>
      <c r="B6" s="499"/>
      <c r="D6" s="711"/>
      <c r="E6" s="711"/>
      <c r="F6" s="751"/>
      <c r="G6" s="711"/>
    </row>
    <row customHeight="1" ht="11.25" hidden="1">
      <c r="A7" s="455"/>
      <c r="B7" s="500"/>
      <c r="C7" s="455"/>
      <c r="D7" s="461"/>
      <c r="E7" s="2027"/>
      <c r="F7" s="2027"/>
    </row>
    <row customHeight="1" ht="11.25">
      <c r="A8" s="455"/>
      <c r="B8" s="500"/>
      <c r="C8" s="455"/>
      <c r="D8" s="2023" t="s">
        <v>290</v>
      </c>
      <c r="E8" s="2024"/>
      <c r="F8" s="2024"/>
      <c r="G8" s="2028" t="s">
        <v>291</v>
      </c>
    </row>
    <row customHeight="1" ht="11.25">
      <c r="A9" s="455"/>
      <c r="B9" s="500"/>
      <c r="C9" s="455"/>
      <c r="D9" s="470" t="s">
        <v>87</v>
      </c>
      <c r="E9" s="444" t="s">
        <v>292</v>
      </c>
      <c r="F9" s="444" t="s">
        <v>293</v>
      </c>
      <c r="G9" s="2029"/>
    </row>
    <row customHeight="1" ht="12" hidden="1">
      <c r="A10" s="455"/>
      <c r="B10" s="500"/>
      <c r="C10" s="455"/>
      <c r="D10" s="462"/>
      <c r="E10" s="462"/>
      <c r="F10" s="462"/>
      <c r="G10" s="462"/>
    </row>
    <row customHeight="1" ht="22.5" hidden="1">
      <c r="A11" s="455"/>
      <c r="B11" s="500"/>
      <c r="C11" s="455"/>
      <c r="D11" s="1010" t="s">
        <v>108</v>
      </c>
      <c r="E11" s="1013" t="s">
        <v>294</v>
      </c>
      <c r="F11" s="1012" t="str">
        <f>IF(region_name="","",region_name)</f>
        <v>Костромская область</v>
      </c>
      <c r="G11" s="1013" t="s">
        <v>295</v>
      </c>
      <c r="H11" s="473"/>
    </row>
    <row customHeight="1" ht="22.5" hidden="1">
      <c r="A12" s="455"/>
      <c r="B12" s="500"/>
      <c r="C12" s="455"/>
      <c r="D12" s="443" t="s">
        <v>108</v>
      </c>
      <c r="E12" s="44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1" t="s">
        <v>296</v>
      </c>
      <c r="G12" s="472"/>
      <c r="H12" s="473"/>
    </row>
    <row customHeight="1" ht="22.5">
      <c r="A13" s="455"/>
      <c r="B13" s="500"/>
      <c r="C13" s="455"/>
      <c r="D13" s="443" t="s">
        <v>108</v>
      </c>
      <c r="E13" s="440" t="str">
        <f>"Наименование юридического лица"&amp;IF(TEMPLATE_SPHERE="TKO"," (индивидуального предпринимателя)","")</f>
        <v>Наименование юридического лица</v>
      </c>
      <c r="F13" s="439"/>
      <c r="G13" s="44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3"/>
    </row>
    <row customHeight="1" ht="22.5" hidden="1">
      <c r="A14" s="455"/>
      <c r="B14" s="500"/>
      <c r="C14" s="455"/>
      <c r="D14" s="1010" t="s">
        <v>297</v>
      </c>
      <c r="E14" s="1011" t="s">
        <v>298</v>
      </c>
      <c r="F14" s="1012" t="str">
        <f>IF(inn="","",inn)</f>
        <v>7606053324</v>
      </c>
      <c r="G14" s="1013" t="s">
        <v>299</v>
      </c>
      <c r="H14" s="473"/>
    </row>
    <row customHeight="1" ht="22.5" hidden="1">
      <c r="A15" s="455"/>
      <c r="B15" s="500"/>
      <c r="C15" s="455"/>
      <c r="D15" s="1010" t="s">
        <v>300</v>
      </c>
      <c r="E15" s="1011" t="s">
        <v>301</v>
      </c>
      <c r="F15" s="1012" t="str">
        <f>IF(kpp="","",kpp)</f>
        <v>440132002</v>
      </c>
      <c r="G15" s="1013" t="s">
        <v>302</v>
      </c>
      <c r="H15" s="473"/>
    </row>
    <row customHeight="1" ht="36.75">
      <c r="A16" s="455"/>
      <c r="B16" s="500"/>
      <c r="C16" s="455"/>
      <c r="D16" s="443" t="s">
        <v>109</v>
      </c>
      <c r="E16" s="44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9"/>
      <c r="G16" s="44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3"/>
    </row>
    <row customHeight="1" ht="22.5">
      <c r="A17" s="455"/>
      <c r="B17" s="500"/>
      <c r="C17" s="455"/>
      <c r="D17" s="443" t="s">
        <v>89</v>
      </c>
      <c r="E17" s="440" t="str">
        <f>"Дата присвоения ОГРН"&amp;IF(TEMPLATE_SPHERE="TKO",""," (ОГРНИП)")</f>
        <v>Дата присвоения ОГРН (ОГРНИП)</v>
      </c>
      <c r="F17" s="1762" t="s">
        <v>18</v>
      </c>
      <c r="G17" s="442" t="str">
        <f>"Дата присвоения ОГРН"&amp;IF(TEMPLATE_SPHERE="TKO",""," (ОГРНИП)")&amp;" указывается в виде «ДД.ММ.ГГГГ»."</f>
        <v>Дата присвоения ОГРН (ОГРНИП) указывается в виде «ДД.ММ.ГГГГ».</v>
      </c>
      <c r="H17" s="473"/>
    </row>
    <row customHeight="1" ht="56.25">
      <c r="A18" s="455"/>
      <c r="B18" s="500"/>
      <c r="C18" s="455"/>
      <c r="D18" s="443" t="s">
        <v>90</v>
      </c>
      <c r="E18" s="44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9"/>
      <c r="G18" s="472"/>
      <c r="H18" s="473"/>
    </row>
    <row customHeight="1" ht="22.5" hidden="1">
      <c r="A19" s="2025">
        <v>1</v>
      </c>
      <c r="B19" s="500"/>
      <c r="C19" s="2030"/>
      <c r="D19" s="438">
        <v>5</v>
      </c>
      <c r="E19" s="440" t="s">
        <v>303</v>
      </c>
      <c r="F19" s="441" t="s">
        <v>296</v>
      </c>
      <c r="G19" s="442" t="s">
        <v>304</v>
      </c>
      <c r="H19" s="473"/>
      <c r="I19" s="850"/>
    </row>
    <row customHeight="1" ht="33.75" hidden="1">
      <c r="A20" s="2025"/>
      <c r="B20" s="500"/>
      <c r="C20" s="2030"/>
      <c r="D20" s="443" t="s">
        <v>305</v>
      </c>
      <c r="E20" s="437" t="s">
        <v>306</v>
      </c>
      <c r="F20" s="879" t="s">
        <v>18</v>
      </c>
      <c r="G20" s="472"/>
      <c r="H20" s="473"/>
      <c r="I20" s="850"/>
    </row>
    <row customHeight="1" ht="22.5" hidden="1">
      <c r="A21" s="2025"/>
      <c r="B21" s="500"/>
      <c r="C21" s="2030"/>
      <c r="D21" s="443" t="s">
        <v>307</v>
      </c>
      <c r="E21" s="437" t="s">
        <v>308</v>
      </c>
      <c r="F21" s="1763" t="s">
        <v>18</v>
      </c>
      <c r="G21" s="442" t="s">
        <v>309</v>
      </c>
      <c r="H21" s="473"/>
      <c r="I21" s="850"/>
    </row>
    <row customHeight="1" ht="22.5" hidden="1">
      <c r="A22" s="2025"/>
      <c r="B22" s="500"/>
      <c r="C22" s="2030"/>
      <c r="D22" s="443" t="s">
        <v>310</v>
      </c>
      <c r="E22" s="437" t="s">
        <v>311</v>
      </c>
      <c r="F22" s="879" t="s">
        <v>18</v>
      </c>
      <c r="G22" s="472"/>
      <c r="H22" s="473"/>
      <c r="I22" s="850"/>
    </row>
    <row customHeight="1" ht="22.5" hidden="1">
      <c r="A23" s="2025"/>
      <c r="B23" s="500"/>
      <c r="C23" s="2030"/>
      <c r="D23" s="443" t="s">
        <v>312</v>
      </c>
      <c r="E23" s="437" t="s">
        <v>313</v>
      </c>
      <c r="F23" s="879" t="s">
        <v>18</v>
      </c>
      <c r="G23" s="442" t="s">
        <v>314</v>
      </c>
      <c r="H23" s="473"/>
      <c r="I23" s="850"/>
    </row>
    <row s="499" customFormat="1" customHeight="1" ht="24.75" hidden="1">
      <c r="A24" s="455"/>
      <c r="B24" s="500"/>
      <c r="C24" s="500"/>
      <c r="D24" s="1007" t="s">
        <v>89</v>
      </c>
      <c r="E24" s="1009" t="s">
        <v>315</v>
      </c>
      <c r="F24" s="1014" t="s">
        <v>296</v>
      </c>
      <c r="G24" s="1009"/>
    </row>
    <row s="499" customFormat="1" customHeight="1" ht="11.25" hidden="1">
      <c r="A25" s="455"/>
      <c r="B25" s="500"/>
      <c r="C25" s="500"/>
      <c r="D25" s="1007" t="s">
        <v>316</v>
      </c>
      <c r="E25" s="1008" t="s">
        <v>317</v>
      </c>
      <c r="F25" s="1014" t="s">
        <v>296</v>
      </c>
      <c r="G25" s="1009"/>
    </row>
    <row s="499" customFormat="1" customHeight="1" ht="11.25" hidden="1">
      <c r="A26" s="455"/>
      <c r="B26" s="500"/>
      <c r="C26" s="500"/>
      <c r="D26" s="1007" t="s">
        <v>318</v>
      </c>
      <c r="E26" s="1015" t="s">
        <v>319</v>
      </c>
      <c r="F26" s="1016"/>
      <c r="G26"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499" customFormat="1" customHeight="1" ht="11.25" hidden="1">
      <c r="A27" s="455"/>
      <c r="B27" s="500"/>
      <c r="C27" s="500"/>
      <c r="D27" s="1007" t="s">
        <v>320</v>
      </c>
      <c r="E27" s="1015" t="s">
        <v>321</v>
      </c>
      <c r="F27" s="1016"/>
      <c r="G27"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499" customFormat="1" customHeight="1" ht="11.25" hidden="1">
      <c r="A28" s="455"/>
      <c r="B28" s="500"/>
      <c r="C28" s="500"/>
      <c r="D28" s="1007" t="s">
        <v>322</v>
      </c>
      <c r="E28" s="1015" t="s">
        <v>323</v>
      </c>
      <c r="F28" s="1016"/>
      <c r="G28"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499" customFormat="1" customHeight="1" ht="11.25" hidden="1">
      <c r="A29" s="455"/>
      <c r="B29" s="500"/>
      <c r="C29" s="500"/>
      <c r="D29" s="1007" t="s">
        <v>324</v>
      </c>
      <c r="E29" s="1008" t="s">
        <v>325</v>
      </c>
      <c r="F29" s="1016"/>
      <c r="G29" s="1009"/>
    </row>
    <row s="499" customFormat="1" customHeight="1" ht="11.25" hidden="1">
      <c r="A30" s="455"/>
      <c r="B30" s="500"/>
      <c r="C30" s="500"/>
      <c r="D30" s="1007" t="s">
        <v>326</v>
      </c>
      <c r="E30" s="1008" t="s">
        <v>327</v>
      </c>
      <c r="F30" s="1016"/>
      <c r="G30" s="1009"/>
    </row>
    <row s="499" customFormat="1" customHeight="1" ht="11.25" hidden="1">
      <c r="A31" s="455"/>
      <c r="B31" s="500"/>
      <c r="C31" s="500"/>
      <c r="D31" s="1007" t="s">
        <v>328</v>
      </c>
      <c r="E31" s="1008" t="s">
        <v>329</v>
      </c>
      <c r="F31" s="1017"/>
      <c r="G31" s="1009"/>
    </row>
    <row customHeight="1" ht="22.5">
      <c r="A32" s="455" t="str">
        <f>IF(TEMPLATE_SPHERE="HEAT","6","5")</f>
        <v>5</v>
      </c>
      <c r="B32" s="500"/>
      <c r="C32" s="455"/>
      <c r="D32" s="438" t="str">
        <f>A32</f>
        <v>5</v>
      </c>
      <c r="E32" s="43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41" t="s">
        <v>296</v>
      </c>
      <c r="G32" s="472"/>
      <c r="H32" s="473"/>
    </row>
    <row customHeight="1" ht="22.5">
      <c r="A33" s="455"/>
      <c r="B33" s="500"/>
      <c r="C33" s="455"/>
      <c r="D33" s="438" t="str">
        <f>D32&amp;".1"</f>
        <v>5.1</v>
      </c>
      <c r="E33" s="440" t="str">
        <f>"фамилия"&amp;IF(TEMPLATE_SPHERE&lt;&gt;"HEAT"," руководителя","")</f>
        <v>фамилия руководителя</v>
      </c>
      <c r="F33" s="439"/>
      <c r="G33" s="44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73"/>
    </row>
    <row customHeight="1" ht="22.5">
      <c r="A34" s="455"/>
      <c r="B34" s="500"/>
      <c r="C34" s="455"/>
      <c r="D34" s="438" t="str">
        <f>D32&amp;".2"</f>
        <v>5.2</v>
      </c>
      <c r="E34" s="440" t="str">
        <f>"имя"&amp;IF(TEMPLATE_SPHERE&lt;&gt;"HEAT"," руководителя","")</f>
        <v>имя руководителя</v>
      </c>
      <c r="F34" s="439"/>
      <c r="G34" s="44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73"/>
    </row>
    <row customHeight="1" ht="22.5">
      <c r="A35" s="455"/>
      <c r="B35" s="500"/>
      <c r="C35" s="455"/>
      <c r="D35" s="438" t="str">
        <f>D32&amp;".3"</f>
        <v>5.3</v>
      </c>
      <c r="E35" s="440" t="str">
        <f>"отчество"&amp;IF(TEMPLATE_SPHERE&lt;&gt;"HEAT"," руководителя","")</f>
        <v>отчество руководителя</v>
      </c>
      <c r="F35" s="695"/>
      <c r="G35" s="44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73"/>
    </row>
    <row customHeight="1" ht="33.75">
      <c r="A36" s="455"/>
      <c r="B36" s="500"/>
      <c r="C36" s="455"/>
      <c r="D36" s="438">
        <f>D32+1</f>
        <v>6</v>
      </c>
      <c r="E36" s="43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39"/>
      <c r="G36" s="442" t="s">
        <v>330</v>
      </c>
      <c r="H36" s="473"/>
    </row>
    <row customHeight="1" ht="33.75">
      <c r="A37" s="455"/>
      <c r="B37" s="500"/>
      <c r="C37" s="455"/>
      <c r="D37" s="438">
        <f>D36+1</f>
        <v>7</v>
      </c>
      <c r="E37" s="43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39"/>
      <c r="G37" s="442" t="s">
        <v>330</v>
      </c>
      <c r="H37" s="473"/>
    </row>
    <row customHeight="1" ht="22.5">
      <c r="A38" s="455"/>
      <c r="B38" s="500"/>
      <c r="C38" s="455"/>
      <c r="D38" s="438">
        <f>D37+1</f>
        <v>8</v>
      </c>
      <c r="E38" s="43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41" t="s">
        <v>296</v>
      </c>
      <c r="G38" s="203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73"/>
    </row>
    <row customHeight="1" ht="22.5" hidden="1">
      <c r="A39" s="455"/>
      <c r="B39" s="500"/>
      <c r="C39" s="455"/>
      <c r="D39" s="438" t="str">
        <f>D38&amp;".0"</f>
        <v>8.0</v>
      </c>
      <c r="E39" s="1637"/>
      <c r="F39" s="879"/>
      <c r="G39" s="2033"/>
      <c r="H39" s="473"/>
    </row>
    <row customHeight="1" ht="22.5">
      <c r="A40" s="455"/>
      <c r="B40" s="455"/>
      <c r="C40" s="1719"/>
      <c r="D40" s="438" t="str">
        <f>D38&amp;".1"</f>
        <v>8.1</v>
      </c>
      <c r="E40" s="858"/>
      <c r="F40" s="859"/>
      <c r="G40" s="2033"/>
      <c r="H40" s="473"/>
    </row>
    <row customHeight="1" ht="15">
      <c r="A41" s="455"/>
      <c r="B41" s="500"/>
      <c r="C41" s="455"/>
      <c r="D41" s="465"/>
      <c r="E41" s="413" t="s">
        <v>331</v>
      </c>
      <c r="F41" s="467"/>
      <c r="G41" s="2034"/>
      <c r="H41" s="474"/>
    </row>
    <row customHeight="1" ht="25.5">
      <c r="A42" s="455"/>
      <c r="B42" s="500"/>
      <c r="C42" s="455"/>
      <c r="D42" s="438">
        <f>D38+1</f>
        <v>9</v>
      </c>
      <c r="E42" s="43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60"/>
      <c r="G42" s="44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73"/>
    </row>
    <row customHeight="1" ht="22.5">
      <c r="A43" s="455"/>
      <c r="B43" s="500"/>
      <c r="C43" s="455"/>
      <c r="D43" s="438">
        <f>D42+1</f>
        <v>10</v>
      </c>
      <c r="E43" s="43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72"/>
      <c r="G43" s="472" t="s">
        <v>332</v>
      </c>
      <c r="H43" s="473"/>
    </row>
    <row customHeight="1" ht="22.5">
      <c r="A44" s="455"/>
      <c r="B44" s="500"/>
      <c r="C44" s="455"/>
      <c r="D44" s="438">
        <f>D43+1</f>
        <v>11</v>
      </c>
      <c r="E44" s="436" t="s">
        <v>333</v>
      </c>
      <c r="F44" s="441" t="s">
        <v>296</v>
      </c>
      <c r="G44" s="435" t="str">
        <f>IF(TEMPLATE_SPHERE="TKO","Указывается режим работы организации.","")</f>
        <v/>
      </c>
      <c r="H44" s="473"/>
    </row>
    <row customHeight="1" ht="22.5">
      <c r="A45" s="455"/>
      <c r="B45" s="500"/>
      <c r="C45" s="455"/>
      <c r="D45" s="438" t="str">
        <f>D44&amp;".1"</f>
        <v>11.1</v>
      </c>
      <c r="E45" s="440" t="str">
        <f>"режим работы регулируемой организации"&amp;IF(TEMPLATE_SPHERE="HEAT",", ЕТО, ТО","")</f>
        <v>режим работы регулируемой организации</v>
      </c>
      <c r="F45" s="1715"/>
      <c r="G45" s="435" t="s">
        <v>334</v>
      </c>
      <c r="H45" s="473"/>
    </row>
    <row customHeight="1" ht="22.5">
      <c r="A46" s="2021"/>
      <c r="B46" s="500"/>
      <c r="C46" s="490"/>
      <c r="D46" s="438" t="str">
        <f>D44&amp;".2"</f>
        <v>11.2</v>
      </c>
      <c r="E46" s="440" t="s">
        <v>335</v>
      </c>
      <c r="F46" s="488"/>
      <c r="G46" s="435" t="s">
        <v>336</v>
      </c>
      <c r="H46" s="473"/>
    </row>
    <row customHeight="1" ht="22.5">
      <c r="A47" s="2021"/>
      <c r="B47" s="500"/>
      <c r="C47" s="490"/>
      <c r="D47" s="438" t="str">
        <f>D44&amp;".3"</f>
        <v>11.3</v>
      </c>
      <c r="E47" s="440" t="s">
        <v>337</v>
      </c>
      <c r="F47" s="488"/>
      <c r="G47" s="435" t="s">
        <v>338</v>
      </c>
      <c r="H47" s="473"/>
    </row>
    <row customHeight="1" ht="22.5">
      <c r="A48" s="2021"/>
      <c r="B48" s="500"/>
      <c r="C48" s="490"/>
      <c r="D48" s="438" t="str">
        <f>IF(TEMPLATE_SPHERE="TKO",D44&amp;".0",D44&amp;".4")</f>
        <v>11.4</v>
      </c>
      <c r="E48" s="434" t="s">
        <v>339</v>
      </c>
      <c r="F48" s="1716"/>
      <c r="G48" s="1792" t="s">
        <v>340</v>
      </c>
      <c r="H48" s="473"/>
    </row>
    <row customHeight="1" ht="22.5">
      <c r="A49" s="455"/>
      <c r="B49" s="500"/>
      <c r="C49" s="455"/>
      <c r="D49" s="465"/>
      <c r="E49" s="413" t="s">
        <v>341</v>
      </c>
      <c r="F49" s="466"/>
      <c r="G49" s="1792" t="s">
        <v>342</v>
      </c>
      <c r="H49" s="474"/>
    </row>
    <row customHeight="1" ht="22.5">
      <c r="A50" s="856"/>
      <c r="B50" s="500"/>
      <c r="C50" s="490"/>
      <c r="D50" s="438">
        <f>D44+1</f>
        <v>12</v>
      </c>
      <c r="E50" s="526" t="s">
        <v>343</v>
      </c>
      <c r="F50" s="488"/>
      <c r="G50" s="172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73"/>
    </row>
    <row customHeight="1" ht="11.25">
      <c r="A51" s="455"/>
      <c r="B51" s="500"/>
      <c r="C51" s="455"/>
    </row>
    <row s="458" customFormat="1" customHeight="1" ht="30">
      <c r="A52" s="1718"/>
      <c r="B52" s="501"/>
      <c r="C52" s="2022"/>
      <c r="D52" s="202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26"/>
      <c r="F52" s="2026"/>
      <c r="G52" s="2026"/>
      <c r="H52" s="452"/>
      <c r="I52" s="452"/>
    </row>
    <row s="458" customFormat="1" customHeight="1" ht="39.75">
      <c r="A53" s="455"/>
      <c r="B53" s="500"/>
      <c r="C53" s="2022"/>
      <c r="D53" s="202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26"/>
      <c r="F53" s="2026"/>
      <c r="G53" s="2026"/>
    </row>
    <row customHeight="1" ht="11.25">
      <c r="D54" s="456"/>
      <c r="E54" s="457"/>
      <c r="F54" s="457"/>
      <c r="G54" s="457"/>
    </row>
    <row customHeight="1" ht="27">
      <c r="D55" s="459"/>
      <c r="E55" s="456"/>
      <c r="F55" s="468"/>
      <c r="G55" s="468"/>
    </row>
    <row customHeight="1" ht="11.25">
      <c r="D56" s="456"/>
      <c r="E56" s="456"/>
      <c r="F56" s="457"/>
      <c r="G56" s="457"/>
    </row>
    <row customHeight="1" ht="39">
      <c r="D57" s="460"/>
      <c r="E57" s="469"/>
      <c r="F57" s="469"/>
      <c r="G57" s="469"/>
    </row>
    <row customHeight="1" ht="27">
      <c r="D58" s="460"/>
      <c r="E58" s="469"/>
      <c r="F58" s="469"/>
      <c r="G58" s="469"/>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F489F-0F88-DF1C-2F23-97D5DB1D22E1}"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2" t="s">
        <v>2141</v>
      </c>
      <c r="B1" s="763" t="s">
        <v>2142</v>
      </c>
      <c r="C1" s="2410" t="s">
        <v>2143</v>
      </c>
      <c r="D1" s="2411"/>
      <c r="E1" s="834" t="s">
        <v>2144</v>
      </c>
    </row>
    <row customHeight="1" ht="11.25">
      <c r="A2" s="756"/>
      <c r="B2" s="764" t="s">
        <v>23</v>
      </c>
      <c r="C2" s="752"/>
      <c r="D2" s="763"/>
      <c r="E2" s="834"/>
    </row>
    <row customHeight="1" ht="11.25">
      <c r="A3" s="767"/>
      <c r="B3" s="765" t="s">
        <v>29</v>
      </c>
      <c r="C3" s="752"/>
      <c r="D3" s="763"/>
      <c r="E3" s="834"/>
    </row>
    <row customHeight="1" ht="11.25">
      <c r="A4" s="768"/>
      <c r="B4" s="765" t="s">
        <v>1064</v>
      </c>
      <c r="C4" s="752"/>
      <c r="D4" s="763"/>
      <c r="E4" s="834"/>
    </row>
    <row customHeight="1" ht="11.25">
      <c r="A5" s="779"/>
      <c r="B5" s="765" t="s">
        <v>1058</v>
      </c>
      <c r="C5" s="755" t="s">
        <v>1312</v>
      </c>
      <c r="D5" s="878" t="s">
        <v>2145</v>
      </c>
      <c r="E5" s="834"/>
    </row>
    <row s="2412" customFormat="1" customHeight="1" ht="11.25">
      <c r="A6" s="766"/>
      <c r="B6" s="765" t="s">
        <v>1070</v>
      </c>
      <c r="C6" s="752"/>
      <c r="D6" s="763"/>
      <c r="E6" s="834"/>
    </row>
    <row customHeight="1" ht="11.25">
      <c r="A7" s="754"/>
      <c r="B7" s="765" t="s">
        <v>1080</v>
      </c>
      <c r="C7" s="752"/>
      <c r="D7" s="763"/>
      <c r="E7" s="834"/>
    </row>
    <row customHeight="1" ht="11.25">
      <c r="A8" s="755"/>
      <c r="B8" s="765" t="s">
        <v>1075</v>
      </c>
      <c r="C8" s="752"/>
      <c r="D8" s="763"/>
      <c r="E8" s="83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F19D1-794C-ABFF-6408-B8A4B2EB9E0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6FE53-684F-8037-C03B-2C54A51CB5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A8B3E-627F-FF16-E5B7-329CE62F68F4}" mc:Ignorable="x14ac xr xr2 xr3">
  <sheetPr>
    <tabColor rgb="FFFFCC99"/>
  </sheetPr>
  <dimension ref="A1:I393"/>
  <sheetViews>
    <sheetView topLeftCell="A1" showGridLines="0" workbookViewId="0">
      <selection activeCell="A1" sqref="A1"/>
    </sheetView>
  </sheetViews>
  <sheetFormatPr defaultColWidth="9.140625" customHeight="1" defaultRowHeight="11.25"/>
  <cols>
    <col min="1" max="2" style="2412" width="9.140625"/>
    <col min="3" max="3" style="2412" width="20.7109375" customWidth="1"/>
    <col min="4" max="4" style="2412" width="25.140625" customWidth="1"/>
    <col min="5" max="9" style="2412" width="9.140625"/>
  </cols>
  <sheetData>
    <row customHeight="1" ht="11.25">
      <c r="A1" s="0" t="s">
        <v>2146</v>
      </c>
      <c r="B1" s="0" t="s">
        <v>2147</v>
      </c>
      <c r="C1" s="0" t="s">
        <v>2148</v>
      </c>
      <c r="D1" s="0" t="s">
        <v>2149</v>
      </c>
      <c r="E1" s="0" t="s">
        <v>2150</v>
      </c>
      <c r="F1" s="0" t="s">
        <v>2151</v>
      </c>
      <c r="G1" s="0" t="s">
        <v>2152</v>
      </c>
      <c r="H1" s="0" t="s">
        <v>2153</v>
      </c>
      <c r="I1" s="0" t="s">
        <v>2154</v>
      </c>
    </row>
    <row customHeight="1" ht="11.25">
      <c r="A2" s="2412" t="s">
        <v>2155</v>
      </c>
      <c r="B2" s="2412" t="s">
        <v>14</v>
      </c>
      <c r="C2" s="2412" t="s">
        <v>2156</v>
      </c>
      <c r="D2" s="2412" t="s">
        <v>2157</v>
      </c>
      <c r="E2" s="2412" t="s">
        <v>2158</v>
      </c>
      <c r="F2" s="2412" t="s">
        <v>2159</v>
      </c>
      <c r="G2" s="2412" t="s">
        <v>2160</v>
      </c>
      <c r="H2" s="2412" t="s">
        <v>18</v>
      </c>
      <c r="I2" s="2412" t="s">
        <v>594</v>
      </c>
    </row>
    <row customHeight="1" ht="11.25">
      <c r="A3" s="2412" t="s">
        <v>2155</v>
      </c>
      <c r="B3" s="2412" t="s">
        <v>14</v>
      </c>
      <c r="C3" s="2412" t="s">
        <v>2161</v>
      </c>
      <c r="D3" s="2412" t="s">
        <v>2162</v>
      </c>
      <c r="E3" s="2412" t="s">
        <v>2163</v>
      </c>
      <c r="F3" s="2412" t="s">
        <v>2164</v>
      </c>
      <c r="G3" s="2412" t="s">
        <v>18</v>
      </c>
      <c r="H3" s="2412" t="s">
        <v>18</v>
      </c>
      <c r="I3" s="2412" t="s">
        <v>594</v>
      </c>
    </row>
    <row customHeight="1" ht="11.25">
      <c r="A4" s="2412" t="s">
        <v>2155</v>
      </c>
      <c r="B4" s="2412" t="s">
        <v>14</v>
      </c>
      <c r="C4" s="2412" t="s">
        <v>2165</v>
      </c>
      <c r="D4" s="2412" t="s">
        <v>2166</v>
      </c>
      <c r="E4" s="2412" t="s">
        <v>2167</v>
      </c>
      <c r="F4" s="2412" t="s">
        <v>2168</v>
      </c>
      <c r="G4" s="2412" t="s">
        <v>2169</v>
      </c>
      <c r="H4" s="2412" t="s">
        <v>18</v>
      </c>
      <c r="I4" s="2412" t="s">
        <v>594</v>
      </c>
    </row>
    <row customHeight="1" ht="11.25">
      <c r="A5" s="2412" t="s">
        <v>2155</v>
      </c>
      <c r="B5" s="2412" t="s">
        <v>14</v>
      </c>
      <c r="C5" s="2412" t="s">
        <v>2170</v>
      </c>
      <c r="D5" s="2412" t="s">
        <v>2171</v>
      </c>
      <c r="E5" s="2412" t="s">
        <v>2172</v>
      </c>
      <c r="F5" s="2412" t="s">
        <v>2173</v>
      </c>
      <c r="G5" s="2412" t="s">
        <v>2174</v>
      </c>
      <c r="H5" s="2412" t="s">
        <v>18</v>
      </c>
      <c r="I5" s="2412" t="s">
        <v>594</v>
      </c>
    </row>
    <row customHeight="1" ht="11.25">
      <c r="A6" s="2412" t="s">
        <v>2155</v>
      </c>
      <c r="B6" s="2412" t="s">
        <v>14</v>
      </c>
      <c r="C6" s="2412" t="s">
        <v>2175</v>
      </c>
      <c r="D6" s="2412" t="s">
        <v>2176</v>
      </c>
      <c r="E6" s="2412" t="s">
        <v>2177</v>
      </c>
      <c r="F6" s="2412" t="s">
        <v>2178</v>
      </c>
      <c r="G6" s="2412" t="s">
        <v>2179</v>
      </c>
      <c r="H6" s="2412" t="s">
        <v>18</v>
      </c>
      <c r="I6" s="2412" t="s">
        <v>594</v>
      </c>
    </row>
    <row customHeight="1" ht="11.25">
      <c r="A7" s="2412" t="s">
        <v>2155</v>
      </c>
      <c r="B7" s="2412" t="s">
        <v>14</v>
      </c>
      <c r="C7" s="2412" t="s">
        <v>2180</v>
      </c>
      <c r="D7" s="2412" t="s">
        <v>2181</v>
      </c>
      <c r="E7" s="2412" t="s">
        <v>2182</v>
      </c>
      <c r="F7" s="2412" t="s">
        <v>2183</v>
      </c>
      <c r="G7" s="2412" t="s">
        <v>2184</v>
      </c>
      <c r="H7" s="2412" t="s">
        <v>18</v>
      </c>
      <c r="I7" s="2412" t="s">
        <v>594</v>
      </c>
    </row>
    <row customHeight="1" ht="11.25">
      <c r="A8" s="2412" t="s">
        <v>2155</v>
      </c>
      <c r="B8" s="2412" t="s">
        <v>14</v>
      </c>
      <c r="C8" s="2412" t="s">
        <v>2185</v>
      </c>
      <c r="D8" s="2412" t="s">
        <v>2186</v>
      </c>
      <c r="E8" s="2412" t="s">
        <v>2187</v>
      </c>
      <c r="F8" s="2412" t="s">
        <v>2188</v>
      </c>
      <c r="G8" s="2412" t="s">
        <v>2189</v>
      </c>
      <c r="H8" s="2412" t="s">
        <v>18</v>
      </c>
      <c r="I8" s="2412" t="s">
        <v>594</v>
      </c>
    </row>
    <row customHeight="1" ht="11.25">
      <c r="A9" s="2412" t="s">
        <v>2155</v>
      </c>
      <c r="B9" s="2412" t="s">
        <v>14</v>
      </c>
      <c r="C9" s="2412" t="s">
        <v>2190</v>
      </c>
      <c r="D9" s="2412" t="s">
        <v>2191</v>
      </c>
      <c r="E9" s="2412" t="s">
        <v>2192</v>
      </c>
      <c r="F9" s="2412" t="s">
        <v>2193</v>
      </c>
      <c r="G9" s="2412" t="s">
        <v>18</v>
      </c>
      <c r="H9" s="2412" t="s">
        <v>18</v>
      </c>
      <c r="I9" s="2412" t="s">
        <v>594</v>
      </c>
    </row>
    <row customHeight="1" ht="11.25">
      <c r="A10" s="2412" t="s">
        <v>2155</v>
      </c>
      <c r="B10" s="2412" t="s">
        <v>14</v>
      </c>
      <c r="C10" s="2412" t="s">
        <v>2194</v>
      </c>
      <c r="D10" s="2412" t="s">
        <v>2195</v>
      </c>
      <c r="E10" s="2412" t="s">
        <v>2196</v>
      </c>
      <c r="F10" s="2412" t="s">
        <v>2197</v>
      </c>
      <c r="G10" s="2412" t="s">
        <v>18</v>
      </c>
      <c r="H10" s="2412" t="s">
        <v>18</v>
      </c>
      <c r="I10" s="2412" t="s">
        <v>594</v>
      </c>
    </row>
    <row customHeight="1" ht="11.25">
      <c r="A11" s="2412" t="s">
        <v>2155</v>
      </c>
      <c r="B11" s="2412" t="s">
        <v>14</v>
      </c>
      <c r="C11" s="2412" t="s">
        <v>2198</v>
      </c>
      <c r="D11" s="2412" t="s">
        <v>2199</v>
      </c>
      <c r="E11" s="2412" t="s">
        <v>2200</v>
      </c>
      <c r="F11" s="2412" t="s">
        <v>2201</v>
      </c>
      <c r="G11" s="2412" t="s">
        <v>2202</v>
      </c>
      <c r="H11" s="2412" t="s">
        <v>18</v>
      </c>
      <c r="I11" s="2412" t="s">
        <v>594</v>
      </c>
    </row>
    <row customHeight="1" ht="11.25">
      <c r="A12" s="2412" t="s">
        <v>2155</v>
      </c>
      <c r="B12" s="2412" t="s">
        <v>14</v>
      </c>
      <c r="C12" s="2412" t="s">
        <v>2203</v>
      </c>
      <c r="D12" s="2412" t="s">
        <v>2204</v>
      </c>
      <c r="E12" s="2412" t="s">
        <v>49</v>
      </c>
      <c r="F12" s="2412" t="s">
        <v>2205</v>
      </c>
      <c r="G12" s="2412" t="s">
        <v>2206</v>
      </c>
      <c r="H12" s="2412" t="s">
        <v>18</v>
      </c>
      <c r="I12" s="2412" t="s">
        <v>594</v>
      </c>
    </row>
    <row customHeight="1" ht="11.25">
      <c r="A13" s="2412" t="s">
        <v>2155</v>
      </c>
      <c r="B13" s="2412" t="s">
        <v>14</v>
      </c>
      <c r="C13" s="2412" t="s">
        <v>18</v>
      </c>
      <c r="D13" s="2412" t="s">
        <v>2207</v>
      </c>
      <c r="E13" s="2412" t="s">
        <v>2208</v>
      </c>
      <c r="F13" s="2412" t="s">
        <v>2201</v>
      </c>
      <c r="G13" s="2412" t="s">
        <v>18</v>
      </c>
      <c r="H13" s="2412" t="s">
        <v>18</v>
      </c>
      <c r="I13" s="2412" t="s">
        <v>594</v>
      </c>
    </row>
    <row customHeight="1" ht="11.25">
      <c r="A14" s="2412" t="s">
        <v>2155</v>
      </c>
      <c r="B14" s="2412" t="s">
        <v>14</v>
      </c>
      <c r="C14" s="2412" t="s">
        <v>2209</v>
      </c>
      <c r="D14" s="2412" t="s">
        <v>2210</v>
      </c>
      <c r="E14" s="2412" t="s">
        <v>2172</v>
      </c>
      <c r="F14" s="2412" t="s">
        <v>2201</v>
      </c>
      <c r="G14" s="2412" t="s">
        <v>18</v>
      </c>
      <c r="H14" s="2412" t="s">
        <v>18</v>
      </c>
      <c r="I14" s="2412" t="s">
        <v>594</v>
      </c>
    </row>
    <row customHeight="1" ht="11.25">
      <c r="A15" s="2412" t="s">
        <v>2155</v>
      </c>
      <c r="B15" s="2412" t="s">
        <v>14</v>
      </c>
      <c r="C15" s="2412" t="s">
        <v>2211</v>
      </c>
      <c r="D15" s="2412" t="s">
        <v>2212</v>
      </c>
      <c r="E15" s="2412" t="s">
        <v>2213</v>
      </c>
      <c r="F15" s="2412" t="s">
        <v>2173</v>
      </c>
      <c r="G15" s="2412" t="s">
        <v>2214</v>
      </c>
      <c r="H15" s="2412" t="s">
        <v>18</v>
      </c>
      <c r="I15" s="2412" t="s">
        <v>594</v>
      </c>
    </row>
    <row customHeight="1" ht="11.25">
      <c r="A16" s="2412" t="s">
        <v>2155</v>
      </c>
      <c r="B16" s="2412" t="s">
        <v>14</v>
      </c>
      <c r="C16" s="2412" t="s">
        <v>2215</v>
      </c>
      <c r="D16" s="2412" t="s">
        <v>2216</v>
      </c>
      <c r="E16" s="2412" t="s">
        <v>2217</v>
      </c>
      <c r="F16" s="2412" t="s">
        <v>2201</v>
      </c>
      <c r="G16" s="2412" t="s">
        <v>2218</v>
      </c>
      <c r="H16" s="2412" t="s">
        <v>18</v>
      </c>
      <c r="I16" s="2412" t="s">
        <v>594</v>
      </c>
    </row>
    <row customHeight="1" ht="11.25">
      <c r="A17" s="2412" t="s">
        <v>2155</v>
      </c>
      <c r="B17" s="2412" t="s">
        <v>14</v>
      </c>
      <c r="C17" s="2412" t="s">
        <v>2219</v>
      </c>
      <c r="D17" s="2412" t="s">
        <v>2220</v>
      </c>
      <c r="E17" s="2412" t="s">
        <v>2221</v>
      </c>
      <c r="F17" s="2412" t="s">
        <v>2222</v>
      </c>
      <c r="G17" s="2412" t="s">
        <v>18</v>
      </c>
      <c r="H17" s="2412" t="s">
        <v>18</v>
      </c>
      <c r="I17" s="2412" t="s">
        <v>594</v>
      </c>
    </row>
    <row customHeight="1" ht="11.25">
      <c r="A18" s="2412" t="s">
        <v>2155</v>
      </c>
      <c r="B18" s="2412" t="s">
        <v>14</v>
      </c>
      <c r="C18" s="2412" t="s">
        <v>2223</v>
      </c>
      <c r="D18" s="2412" t="s">
        <v>2224</v>
      </c>
      <c r="E18" s="2412" t="s">
        <v>2225</v>
      </c>
      <c r="F18" s="2412" t="s">
        <v>420</v>
      </c>
      <c r="G18" s="2412" t="s">
        <v>2226</v>
      </c>
      <c r="H18" s="2412" t="s">
        <v>18</v>
      </c>
      <c r="I18" s="2412" t="s">
        <v>594</v>
      </c>
    </row>
    <row customHeight="1" ht="11.25">
      <c r="A19" s="2412" t="s">
        <v>2155</v>
      </c>
      <c r="B19" s="2412" t="s">
        <v>14</v>
      </c>
      <c r="C19" s="2412" t="s">
        <v>2227</v>
      </c>
      <c r="D19" s="2412" t="s">
        <v>2228</v>
      </c>
      <c r="E19" s="2412" t="s">
        <v>2229</v>
      </c>
      <c r="F19" s="2412" t="s">
        <v>420</v>
      </c>
      <c r="G19" s="2412" t="s">
        <v>2230</v>
      </c>
      <c r="H19" s="2412" t="s">
        <v>18</v>
      </c>
      <c r="I19" s="2412" t="s">
        <v>594</v>
      </c>
    </row>
    <row customHeight="1" ht="11.25">
      <c r="A20" s="2412" t="s">
        <v>2155</v>
      </c>
      <c r="B20" s="2412" t="s">
        <v>14</v>
      </c>
      <c r="C20" s="2412" t="s">
        <v>2231</v>
      </c>
      <c r="D20" s="2412" t="s">
        <v>2232</v>
      </c>
      <c r="E20" s="2412" t="s">
        <v>2233</v>
      </c>
      <c r="F20" s="2412" t="s">
        <v>420</v>
      </c>
      <c r="G20" s="2412" t="s">
        <v>2234</v>
      </c>
      <c r="H20" s="2412" t="s">
        <v>18</v>
      </c>
      <c r="I20" s="2412" t="s">
        <v>594</v>
      </c>
    </row>
    <row customHeight="1" ht="11.25">
      <c r="A21" s="2412" t="s">
        <v>2155</v>
      </c>
      <c r="B21" s="2412" t="s">
        <v>14</v>
      </c>
      <c r="C21" s="2412" t="s">
        <v>2235</v>
      </c>
      <c r="D21" s="2412" t="s">
        <v>2236</v>
      </c>
      <c r="E21" s="2412" t="s">
        <v>2237</v>
      </c>
      <c r="F21" s="2412" t="s">
        <v>420</v>
      </c>
      <c r="G21" s="2412" t="s">
        <v>2238</v>
      </c>
      <c r="H21" s="2412" t="s">
        <v>18</v>
      </c>
      <c r="I21" s="2412" t="s">
        <v>594</v>
      </c>
    </row>
    <row customHeight="1" ht="11.25">
      <c r="A22" s="2412" t="s">
        <v>2155</v>
      </c>
      <c r="B22" s="2412" t="s">
        <v>14</v>
      </c>
      <c r="C22" s="2412" t="s">
        <v>2239</v>
      </c>
      <c r="D22" s="2412" t="s">
        <v>2240</v>
      </c>
      <c r="E22" s="2412" t="s">
        <v>2241</v>
      </c>
      <c r="F22" s="2412" t="s">
        <v>2242</v>
      </c>
      <c r="G22" s="2412" t="s">
        <v>18</v>
      </c>
      <c r="H22" s="2412" t="s">
        <v>18</v>
      </c>
      <c r="I22" s="2412" t="s">
        <v>594</v>
      </c>
    </row>
    <row customHeight="1" ht="11.25">
      <c r="A23" s="2412" t="s">
        <v>2155</v>
      </c>
      <c r="B23" s="2412" t="s">
        <v>14</v>
      </c>
      <c r="C23" s="2412" t="s">
        <v>2243</v>
      </c>
      <c r="D23" s="2412" t="s">
        <v>2244</v>
      </c>
      <c r="E23" s="2412" t="s">
        <v>2245</v>
      </c>
      <c r="F23" s="2412" t="s">
        <v>2183</v>
      </c>
      <c r="G23" s="2412" t="s">
        <v>2246</v>
      </c>
      <c r="H23" s="2412" t="s">
        <v>18</v>
      </c>
      <c r="I23" s="2412" t="s">
        <v>594</v>
      </c>
    </row>
    <row customHeight="1" ht="11.25">
      <c r="A24" s="2412" t="s">
        <v>2155</v>
      </c>
      <c r="B24" s="2412" t="s">
        <v>14</v>
      </c>
      <c r="C24" s="2412" t="s">
        <v>2247</v>
      </c>
      <c r="D24" s="2412" t="s">
        <v>2248</v>
      </c>
      <c r="E24" s="2412" t="s">
        <v>2249</v>
      </c>
      <c r="F24" s="2412" t="s">
        <v>2183</v>
      </c>
      <c r="G24" s="2412" t="s">
        <v>18</v>
      </c>
      <c r="H24" s="2412" t="s">
        <v>18</v>
      </c>
      <c r="I24" s="2412" t="s">
        <v>594</v>
      </c>
    </row>
    <row customHeight="1" ht="11.25">
      <c r="A25" s="2412" t="s">
        <v>2155</v>
      </c>
      <c r="B25" s="2412" t="s">
        <v>14</v>
      </c>
      <c r="C25" s="2412" t="s">
        <v>2250</v>
      </c>
      <c r="D25" s="2412" t="s">
        <v>2251</v>
      </c>
      <c r="E25" s="2412" t="s">
        <v>2252</v>
      </c>
      <c r="F25" s="2412" t="s">
        <v>2201</v>
      </c>
      <c r="G25" s="2412" t="s">
        <v>18</v>
      </c>
      <c r="H25" s="2412" t="s">
        <v>18</v>
      </c>
      <c r="I25" s="2412" t="s">
        <v>594</v>
      </c>
    </row>
    <row customHeight="1" ht="11.25">
      <c r="A26" s="2412" t="s">
        <v>2155</v>
      </c>
      <c r="B26" s="2412" t="s">
        <v>14</v>
      </c>
      <c r="C26" s="2412" t="s">
        <v>2253</v>
      </c>
      <c r="D26" s="2412" t="s">
        <v>2254</v>
      </c>
      <c r="E26" s="2412" t="s">
        <v>2255</v>
      </c>
      <c r="F26" s="2412" t="s">
        <v>2256</v>
      </c>
      <c r="G26" s="2412" t="s">
        <v>18</v>
      </c>
      <c r="H26" s="2412" t="s">
        <v>18</v>
      </c>
      <c r="I26" s="2412" t="s">
        <v>594</v>
      </c>
    </row>
    <row customHeight="1" ht="11.25">
      <c r="A27" s="2412" t="s">
        <v>2155</v>
      </c>
      <c r="B27" s="2412" t="s">
        <v>14</v>
      </c>
      <c r="C27" s="2412" t="s">
        <v>2257</v>
      </c>
      <c r="D27" s="2412" t="s">
        <v>2258</v>
      </c>
      <c r="E27" s="2412" t="s">
        <v>2259</v>
      </c>
      <c r="F27" s="2412" t="s">
        <v>2256</v>
      </c>
      <c r="G27" s="2412" t="s">
        <v>2260</v>
      </c>
      <c r="H27" s="2412" t="s">
        <v>18</v>
      </c>
      <c r="I27" s="2412" t="s">
        <v>594</v>
      </c>
    </row>
    <row customHeight="1" ht="11.25">
      <c r="A28" s="2412" t="s">
        <v>2155</v>
      </c>
      <c r="B28" s="2412" t="s">
        <v>14</v>
      </c>
      <c r="C28" s="2412" t="s">
        <v>2261</v>
      </c>
      <c r="D28" s="2412" t="s">
        <v>2262</v>
      </c>
      <c r="E28" s="2412" t="s">
        <v>2263</v>
      </c>
      <c r="F28" s="2412" t="s">
        <v>2264</v>
      </c>
      <c r="G28" s="2412" t="s">
        <v>2265</v>
      </c>
      <c r="H28" s="2412" t="s">
        <v>18</v>
      </c>
      <c r="I28" s="2412" t="s">
        <v>594</v>
      </c>
    </row>
    <row customHeight="1" ht="11.25">
      <c r="A29" s="2412" t="s">
        <v>2155</v>
      </c>
      <c r="B29" s="2412" t="s">
        <v>14</v>
      </c>
      <c r="C29" s="2412" t="s">
        <v>2266</v>
      </c>
      <c r="D29" s="2412" t="s">
        <v>2267</v>
      </c>
      <c r="E29" s="2412" t="s">
        <v>2268</v>
      </c>
      <c r="F29" s="2412" t="s">
        <v>2269</v>
      </c>
      <c r="G29" s="2412" t="s">
        <v>2270</v>
      </c>
      <c r="H29" s="2412" t="s">
        <v>18</v>
      </c>
      <c r="I29" s="2412" t="s">
        <v>594</v>
      </c>
    </row>
    <row customHeight="1" ht="11.25">
      <c r="A30" s="2412" t="s">
        <v>2155</v>
      </c>
      <c r="B30" s="2412" t="s">
        <v>14</v>
      </c>
      <c r="C30" s="2412" t="s">
        <v>2271</v>
      </c>
      <c r="D30" s="2412" t="s">
        <v>2272</v>
      </c>
      <c r="E30" s="2412" t="s">
        <v>2273</v>
      </c>
      <c r="F30" s="2412" t="s">
        <v>2256</v>
      </c>
      <c r="G30" s="2412" t="s">
        <v>2274</v>
      </c>
      <c r="H30" s="2412" t="s">
        <v>18</v>
      </c>
      <c r="I30" s="2412" t="s">
        <v>594</v>
      </c>
    </row>
    <row customHeight="1" ht="11.25">
      <c r="A31" s="2412" t="s">
        <v>2155</v>
      </c>
      <c r="B31" s="2412" t="s">
        <v>14</v>
      </c>
      <c r="C31" s="2412" t="s">
        <v>2275</v>
      </c>
      <c r="D31" s="2412" t="s">
        <v>2276</v>
      </c>
      <c r="E31" s="2412" t="s">
        <v>2277</v>
      </c>
      <c r="F31" s="2412" t="s">
        <v>2278</v>
      </c>
      <c r="G31" s="2412" t="s">
        <v>2279</v>
      </c>
      <c r="H31" s="2412" t="s">
        <v>18</v>
      </c>
      <c r="I31" s="2412" t="s">
        <v>594</v>
      </c>
    </row>
    <row customHeight="1" ht="11.25">
      <c r="A32" s="2412" t="s">
        <v>2155</v>
      </c>
      <c r="B32" s="2412" t="s">
        <v>14</v>
      </c>
      <c r="C32" s="2412" t="s">
        <v>2280</v>
      </c>
      <c r="D32" s="2412" t="s">
        <v>2281</v>
      </c>
      <c r="E32" s="2412" t="s">
        <v>2282</v>
      </c>
      <c r="F32" s="2412" t="s">
        <v>2283</v>
      </c>
      <c r="G32" s="2412" t="s">
        <v>18</v>
      </c>
      <c r="H32" s="2412" t="s">
        <v>18</v>
      </c>
      <c r="I32" s="2412" t="s">
        <v>594</v>
      </c>
    </row>
    <row customHeight="1" ht="11.25">
      <c r="A33" s="2412" t="s">
        <v>2155</v>
      </c>
      <c r="B33" s="2412" t="s">
        <v>14</v>
      </c>
      <c r="C33" s="2412" t="s">
        <v>2284</v>
      </c>
      <c r="D33" s="2412" t="s">
        <v>2285</v>
      </c>
      <c r="E33" s="2412" t="s">
        <v>2286</v>
      </c>
      <c r="F33" s="2412" t="s">
        <v>2164</v>
      </c>
      <c r="G33" s="2412" t="s">
        <v>2287</v>
      </c>
      <c r="H33" s="2412" t="s">
        <v>18</v>
      </c>
      <c r="I33" s="2412" t="s">
        <v>594</v>
      </c>
    </row>
    <row customHeight="1" ht="11.25">
      <c r="A34" s="2412" t="s">
        <v>2155</v>
      </c>
      <c r="B34" s="2412" t="s">
        <v>14</v>
      </c>
      <c r="C34" s="2412" t="s">
        <v>2288</v>
      </c>
      <c r="D34" s="2412" t="s">
        <v>2289</v>
      </c>
      <c r="E34" s="2412" t="s">
        <v>2290</v>
      </c>
      <c r="F34" s="2412" t="s">
        <v>2291</v>
      </c>
      <c r="G34" s="2412" t="s">
        <v>2292</v>
      </c>
      <c r="H34" s="2412" t="s">
        <v>18</v>
      </c>
      <c r="I34" s="2412" t="s">
        <v>594</v>
      </c>
    </row>
    <row customHeight="1" ht="11.25">
      <c r="A35" s="2412" t="s">
        <v>2155</v>
      </c>
      <c r="B35" s="2412" t="s">
        <v>14</v>
      </c>
      <c r="C35" s="2412" t="s">
        <v>2293</v>
      </c>
      <c r="D35" s="2412" t="s">
        <v>2294</v>
      </c>
      <c r="E35" s="2412" t="s">
        <v>2295</v>
      </c>
      <c r="F35" s="2412" t="s">
        <v>2296</v>
      </c>
      <c r="G35" s="2412" t="s">
        <v>2297</v>
      </c>
      <c r="H35" s="2412" t="s">
        <v>18</v>
      </c>
      <c r="I35" s="2412" t="s">
        <v>594</v>
      </c>
    </row>
    <row customHeight="1" ht="11.25">
      <c r="A36" s="2412" t="s">
        <v>2155</v>
      </c>
      <c r="B36" s="2412" t="s">
        <v>14</v>
      </c>
      <c r="C36" s="2412" t="s">
        <v>2298</v>
      </c>
      <c r="D36" s="2412" t="s">
        <v>2299</v>
      </c>
      <c r="E36" s="2412" t="s">
        <v>2300</v>
      </c>
      <c r="F36" s="2412" t="s">
        <v>2242</v>
      </c>
      <c r="G36" s="2412" t="s">
        <v>2301</v>
      </c>
      <c r="H36" s="2412" t="s">
        <v>18</v>
      </c>
      <c r="I36" s="2412" t="s">
        <v>594</v>
      </c>
    </row>
    <row customHeight="1" ht="11.25">
      <c r="A37" s="2412" t="s">
        <v>2155</v>
      </c>
      <c r="B37" s="2412" t="s">
        <v>14</v>
      </c>
      <c r="C37" s="2412" t="s">
        <v>2302</v>
      </c>
      <c r="D37" s="2412" t="s">
        <v>2303</v>
      </c>
      <c r="E37" s="2412" t="s">
        <v>2304</v>
      </c>
      <c r="F37" s="2412" t="s">
        <v>2305</v>
      </c>
      <c r="G37" s="2412" t="s">
        <v>2306</v>
      </c>
      <c r="H37" s="2412" t="s">
        <v>18</v>
      </c>
      <c r="I37" s="2412" t="s">
        <v>594</v>
      </c>
    </row>
    <row customHeight="1" ht="11.25">
      <c r="A38" s="2412" t="s">
        <v>2155</v>
      </c>
      <c r="B38" s="2412" t="s">
        <v>14</v>
      </c>
      <c r="C38" s="2412" t="s">
        <v>2307</v>
      </c>
      <c r="D38" s="2412" t="s">
        <v>2308</v>
      </c>
      <c r="E38" s="2412" t="s">
        <v>2309</v>
      </c>
      <c r="F38" s="2412" t="s">
        <v>2310</v>
      </c>
      <c r="G38" s="2412" t="s">
        <v>2311</v>
      </c>
      <c r="H38" s="2412" t="s">
        <v>18</v>
      </c>
      <c r="I38" s="2412" t="s">
        <v>594</v>
      </c>
    </row>
    <row customHeight="1" ht="11.25">
      <c r="A39" s="2412" t="s">
        <v>2155</v>
      </c>
      <c r="B39" s="2412" t="s">
        <v>14</v>
      </c>
      <c r="C39" s="2412" t="s">
        <v>2312</v>
      </c>
      <c r="D39" s="2412" t="s">
        <v>2313</v>
      </c>
      <c r="E39" s="2412" t="s">
        <v>2314</v>
      </c>
      <c r="F39" s="2412" t="s">
        <v>2178</v>
      </c>
      <c r="G39" s="2412" t="s">
        <v>2315</v>
      </c>
      <c r="H39" s="2412" t="s">
        <v>18</v>
      </c>
      <c r="I39" s="2412" t="s">
        <v>594</v>
      </c>
    </row>
    <row customHeight="1" ht="11.25">
      <c r="A40" s="2412" t="s">
        <v>2155</v>
      </c>
      <c r="B40" s="2412" t="s">
        <v>14</v>
      </c>
      <c r="C40" s="2412" t="s">
        <v>2316</v>
      </c>
      <c r="D40" s="2412" t="s">
        <v>2317</v>
      </c>
      <c r="E40" s="2412" t="s">
        <v>2318</v>
      </c>
      <c r="F40" s="2412" t="s">
        <v>2319</v>
      </c>
      <c r="G40" s="2412" t="s">
        <v>18</v>
      </c>
      <c r="H40" s="2412" t="s">
        <v>18</v>
      </c>
      <c r="I40" s="2412" t="s">
        <v>594</v>
      </c>
    </row>
    <row customHeight="1" ht="11.25">
      <c r="A41" s="2412" t="s">
        <v>2155</v>
      </c>
      <c r="B41" s="2412" t="s">
        <v>14</v>
      </c>
      <c r="C41" s="2412" t="s">
        <v>2320</v>
      </c>
      <c r="D41" s="2412" t="s">
        <v>2321</v>
      </c>
      <c r="E41" s="2412" t="s">
        <v>2322</v>
      </c>
      <c r="F41" s="2412" t="s">
        <v>2256</v>
      </c>
      <c r="G41" s="2412" t="s">
        <v>18</v>
      </c>
      <c r="H41" s="2412" t="s">
        <v>18</v>
      </c>
      <c r="I41" s="2412" t="s">
        <v>594</v>
      </c>
    </row>
    <row customHeight="1" ht="11.25">
      <c r="A42" s="2412" t="s">
        <v>2155</v>
      </c>
      <c r="B42" s="2412" t="s">
        <v>14</v>
      </c>
      <c r="C42" s="2412" t="s">
        <v>2323</v>
      </c>
      <c r="D42" s="2412" t="s">
        <v>2324</v>
      </c>
      <c r="E42" s="2412" t="s">
        <v>2325</v>
      </c>
      <c r="F42" s="2412" t="s">
        <v>2326</v>
      </c>
      <c r="G42" s="2412" t="s">
        <v>18</v>
      </c>
      <c r="H42" s="2412" t="s">
        <v>18</v>
      </c>
      <c r="I42" s="2412" t="s">
        <v>594</v>
      </c>
    </row>
    <row customHeight="1" ht="11.25">
      <c r="A43" s="2412" t="s">
        <v>2155</v>
      </c>
      <c r="B43" s="2412" t="s">
        <v>14</v>
      </c>
      <c r="C43" s="2412" t="s">
        <v>2327</v>
      </c>
      <c r="D43" s="2412" t="s">
        <v>2328</v>
      </c>
      <c r="E43" s="2412" t="s">
        <v>2329</v>
      </c>
      <c r="F43" s="2412" t="s">
        <v>2256</v>
      </c>
      <c r="G43" s="2412" t="s">
        <v>18</v>
      </c>
      <c r="H43" s="2412" t="s">
        <v>18</v>
      </c>
      <c r="I43" s="2412" t="s">
        <v>594</v>
      </c>
    </row>
    <row customHeight="1" ht="11.25">
      <c r="A44" s="2412" t="s">
        <v>2155</v>
      </c>
      <c r="B44" s="2412" t="s">
        <v>14</v>
      </c>
      <c r="C44" s="2412" t="s">
        <v>2330</v>
      </c>
      <c r="D44" s="2412" t="s">
        <v>2331</v>
      </c>
      <c r="E44" s="2412" t="s">
        <v>2332</v>
      </c>
      <c r="F44" s="2412" t="s">
        <v>2326</v>
      </c>
      <c r="G44" s="2412" t="s">
        <v>18</v>
      </c>
      <c r="H44" s="2412" t="s">
        <v>18</v>
      </c>
      <c r="I44" s="2412" t="s">
        <v>594</v>
      </c>
    </row>
    <row customHeight="1" ht="11.25">
      <c r="A45" s="2412" t="s">
        <v>2155</v>
      </c>
      <c r="B45" s="2412" t="s">
        <v>14</v>
      </c>
      <c r="C45" s="2412" t="s">
        <v>2333</v>
      </c>
      <c r="D45" s="2412" t="s">
        <v>2334</v>
      </c>
      <c r="E45" s="2412" t="s">
        <v>2335</v>
      </c>
      <c r="F45" s="2412" t="s">
        <v>2336</v>
      </c>
      <c r="G45" s="2412" t="s">
        <v>2337</v>
      </c>
      <c r="H45" s="2412" t="s">
        <v>18</v>
      </c>
      <c r="I45" s="2412" t="s">
        <v>594</v>
      </c>
    </row>
    <row customHeight="1" ht="11.25">
      <c r="A46" s="2412" t="s">
        <v>2155</v>
      </c>
      <c r="B46" s="2412" t="s">
        <v>14</v>
      </c>
      <c r="C46" s="2412" t="s">
        <v>2338</v>
      </c>
      <c r="D46" s="2412" t="s">
        <v>2339</v>
      </c>
      <c r="E46" s="2412" t="s">
        <v>2340</v>
      </c>
      <c r="F46" s="2412" t="s">
        <v>2242</v>
      </c>
      <c r="G46" s="2412" t="s">
        <v>18</v>
      </c>
      <c r="H46" s="2412" t="s">
        <v>18</v>
      </c>
      <c r="I46" s="2412" t="s">
        <v>594</v>
      </c>
    </row>
    <row customHeight="1" ht="11.25">
      <c r="A47" s="2412" t="s">
        <v>2155</v>
      </c>
      <c r="B47" s="2412" t="s">
        <v>14</v>
      </c>
      <c r="C47" s="2412" t="s">
        <v>2341</v>
      </c>
      <c r="D47" s="2412" t="s">
        <v>2342</v>
      </c>
      <c r="E47" s="2412" t="s">
        <v>2343</v>
      </c>
      <c r="F47" s="2412" t="s">
        <v>2242</v>
      </c>
      <c r="G47" s="2412" t="s">
        <v>18</v>
      </c>
      <c r="H47" s="2412" t="s">
        <v>18</v>
      </c>
      <c r="I47" s="2412" t="s">
        <v>594</v>
      </c>
    </row>
    <row customHeight="1" ht="11.25">
      <c r="A48" s="2412" t="s">
        <v>2155</v>
      </c>
      <c r="B48" s="2412" t="s">
        <v>14</v>
      </c>
      <c r="C48" s="2412" t="s">
        <v>2344</v>
      </c>
      <c r="D48" s="2412" t="s">
        <v>2345</v>
      </c>
      <c r="E48" s="2412" t="s">
        <v>2346</v>
      </c>
      <c r="F48" s="2412" t="s">
        <v>2256</v>
      </c>
      <c r="G48" s="2412" t="s">
        <v>18</v>
      </c>
      <c r="H48" s="2412" t="s">
        <v>18</v>
      </c>
      <c r="I48" s="2412" t="s">
        <v>594</v>
      </c>
    </row>
    <row customHeight="1" ht="11.25">
      <c r="A49" s="2412" t="s">
        <v>2155</v>
      </c>
      <c r="B49" s="2412" t="s">
        <v>14</v>
      </c>
      <c r="C49" s="2412" t="s">
        <v>2347</v>
      </c>
      <c r="D49" s="2412" t="s">
        <v>2348</v>
      </c>
      <c r="E49" s="2412" t="s">
        <v>2349</v>
      </c>
      <c r="F49" s="2412" t="s">
        <v>2256</v>
      </c>
      <c r="G49" s="2412" t="s">
        <v>18</v>
      </c>
      <c r="H49" s="2412" t="s">
        <v>18</v>
      </c>
      <c r="I49" s="2412" t="s">
        <v>594</v>
      </c>
    </row>
    <row customHeight="1" ht="11.25">
      <c r="A50" s="2412" t="s">
        <v>2155</v>
      </c>
      <c r="B50" s="2412" t="s">
        <v>14</v>
      </c>
      <c r="C50" s="2412" t="s">
        <v>2350</v>
      </c>
      <c r="D50" s="2412" t="s">
        <v>2351</v>
      </c>
      <c r="E50" s="2412" t="s">
        <v>2352</v>
      </c>
      <c r="F50" s="2412" t="s">
        <v>2164</v>
      </c>
      <c r="G50" s="2412" t="s">
        <v>2353</v>
      </c>
      <c r="H50" s="2412" t="s">
        <v>18</v>
      </c>
      <c r="I50" s="2412" t="s">
        <v>594</v>
      </c>
    </row>
    <row customHeight="1" ht="11.25">
      <c r="A51" s="2412" t="s">
        <v>2155</v>
      </c>
      <c r="B51" s="2412" t="s">
        <v>14</v>
      </c>
      <c r="C51" s="2412" t="s">
        <v>2354</v>
      </c>
      <c r="D51" s="2412" t="s">
        <v>2355</v>
      </c>
      <c r="E51" s="2412" t="s">
        <v>2356</v>
      </c>
      <c r="F51" s="2412" t="s">
        <v>2168</v>
      </c>
      <c r="G51" s="2412" t="s">
        <v>18</v>
      </c>
      <c r="H51" s="2412" t="s">
        <v>18</v>
      </c>
      <c r="I51" s="2412" t="s">
        <v>594</v>
      </c>
    </row>
    <row customHeight="1" ht="11.25">
      <c r="A52" s="2412" t="s">
        <v>2155</v>
      </c>
      <c r="B52" s="2412" t="s">
        <v>14</v>
      </c>
      <c r="C52" s="2412" t="s">
        <v>2357</v>
      </c>
      <c r="D52" s="2412" t="s">
        <v>2358</v>
      </c>
      <c r="E52" s="2412" t="s">
        <v>2359</v>
      </c>
      <c r="F52" s="2412" t="s">
        <v>2360</v>
      </c>
      <c r="G52" s="2412" t="s">
        <v>18</v>
      </c>
      <c r="H52" s="2412" t="s">
        <v>2361</v>
      </c>
      <c r="I52" s="2412" t="s">
        <v>594</v>
      </c>
    </row>
    <row customHeight="1" ht="11.25">
      <c r="A53" s="2412" t="s">
        <v>2155</v>
      </c>
      <c r="B53" s="2412" t="s">
        <v>14</v>
      </c>
      <c r="C53" s="2412" t="s">
        <v>2362</v>
      </c>
      <c r="D53" s="2412" t="s">
        <v>2363</v>
      </c>
      <c r="E53" s="2412" t="s">
        <v>2364</v>
      </c>
      <c r="F53" s="2412" t="s">
        <v>2360</v>
      </c>
      <c r="G53" s="2412" t="s">
        <v>18</v>
      </c>
      <c r="H53" s="2412" t="s">
        <v>18</v>
      </c>
      <c r="I53" s="2412" t="s">
        <v>594</v>
      </c>
    </row>
    <row customHeight="1" ht="11.25">
      <c r="A54" s="2412" t="s">
        <v>2155</v>
      </c>
      <c r="B54" s="2412" t="s">
        <v>14</v>
      </c>
      <c r="C54" s="2412" t="s">
        <v>2365</v>
      </c>
      <c r="D54" s="2412" t="s">
        <v>2366</v>
      </c>
      <c r="E54" s="2412" t="s">
        <v>2367</v>
      </c>
      <c r="F54" s="2412" t="s">
        <v>2183</v>
      </c>
      <c r="G54" s="2412" t="s">
        <v>18</v>
      </c>
      <c r="H54" s="2412" t="s">
        <v>18</v>
      </c>
      <c r="I54" s="2412" t="s">
        <v>594</v>
      </c>
    </row>
    <row customHeight="1" ht="11.25">
      <c r="A55" s="2412" t="s">
        <v>2155</v>
      </c>
      <c r="B55" s="2412" t="s">
        <v>14</v>
      </c>
      <c r="C55" s="2412" t="s">
        <v>2368</v>
      </c>
      <c r="D55" s="2412" t="s">
        <v>2369</v>
      </c>
      <c r="E55" s="2412" t="s">
        <v>2370</v>
      </c>
      <c r="F55" s="2412" t="s">
        <v>2310</v>
      </c>
      <c r="G55" s="2412" t="s">
        <v>2371</v>
      </c>
      <c r="H55" s="2412" t="s">
        <v>18</v>
      </c>
      <c r="I55" s="2412" t="s">
        <v>594</v>
      </c>
    </row>
    <row customHeight="1" ht="11.25">
      <c r="A56" s="2412" t="s">
        <v>2155</v>
      </c>
      <c r="B56" s="2412" t="s">
        <v>14</v>
      </c>
      <c r="C56" s="2412" t="s">
        <v>2372</v>
      </c>
      <c r="D56" s="2412" t="s">
        <v>2373</v>
      </c>
      <c r="E56" s="2412" t="s">
        <v>2374</v>
      </c>
      <c r="F56" s="2412" t="s">
        <v>2183</v>
      </c>
      <c r="G56" s="2412" t="s">
        <v>18</v>
      </c>
      <c r="H56" s="2412" t="s">
        <v>18</v>
      </c>
      <c r="I56" s="2412" t="s">
        <v>594</v>
      </c>
    </row>
    <row customHeight="1" ht="11.25">
      <c r="A57" s="2412" t="s">
        <v>2155</v>
      </c>
      <c r="B57" s="2412" t="s">
        <v>14</v>
      </c>
      <c r="C57" s="2412" t="s">
        <v>2375</v>
      </c>
      <c r="D57" s="2412" t="s">
        <v>2376</v>
      </c>
      <c r="E57" s="2412" t="s">
        <v>2377</v>
      </c>
      <c r="F57" s="2412" t="s">
        <v>2360</v>
      </c>
      <c r="G57" s="2412" t="s">
        <v>18</v>
      </c>
      <c r="H57" s="2412" t="s">
        <v>18</v>
      </c>
      <c r="I57" s="2412" t="s">
        <v>594</v>
      </c>
    </row>
    <row customHeight="1" ht="11.25">
      <c r="A58" s="2412" t="s">
        <v>2155</v>
      </c>
      <c r="B58" s="2412" t="s">
        <v>14</v>
      </c>
      <c r="C58" s="2412" t="s">
        <v>2378</v>
      </c>
      <c r="D58" s="2412" t="s">
        <v>2379</v>
      </c>
      <c r="E58" s="2412" t="s">
        <v>2380</v>
      </c>
      <c r="F58" s="2412" t="s">
        <v>2381</v>
      </c>
      <c r="G58" s="2412" t="s">
        <v>2382</v>
      </c>
      <c r="H58" s="2412" t="s">
        <v>18</v>
      </c>
      <c r="I58" s="2412" t="s">
        <v>594</v>
      </c>
    </row>
    <row customHeight="1" ht="11.25">
      <c r="A59" s="2412" t="s">
        <v>2155</v>
      </c>
      <c r="B59" s="2412" t="s">
        <v>14</v>
      </c>
      <c r="C59" s="2412" t="s">
        <v>2383</v>
      </c>
      <c r="D59" s="2412" t="s">
        <v>2384</v>
      </c>
      <c r="E59" s="2412" t="s">
        <v>2385</v>
      </c>
      <c r="F59" s="2412" t="s">
        <v>2386</v>
      </c>
      <c r="G59" s="2412" t="s">
        <v>18</v>
      </c>
      <c r="H59" s="2412" t="s">
        <v>18</v>
      </c>
      <c r="I59" s="2412" t="s">
        <v>594</v>
      </c>
    </row>
    <row customHeight="1" ht="11.25">
      <c r="A60" s="2412" t="s">
        <v>2155</v>
      </c>
      <c r="B60" s="2412" t="s">
        <v>14</v>
      </c>
      <c r="C60" s="2412" t="s">
        <v>2387</v>
      </c>
      <c r="D60" s="2412" t="s">
        <v>2388</v>
      </c>
      <c r="E60" s="2412" t="s">
        <v>2389</v>
      </c>
      <c r="F60" s="2412" t="s">
        <v>2173</v>
      </c>
      <c r="G60" s="2412" t="s">
        <v>2390</v>
      </c>
      <c r="H60" s="2412" t="s">
        <v>18</v>
      </c>
      <c r="I60" s="2412" t="s">
        <v>594</v>
      </c>
    </row>
    <row customHeight="1" ht="11.25">
      <c r="A61" s="2412" t="s">
        <v>2155</v>
      </c>
      <c r="B61" s="2412" t="s">
        <v>14</v>
      </c>
      <c r="C61" s="2412" t="s">
        <v>2391</v>
      </c>
      <c r="D61" s="2412" t="s">
        <v>2392</v>
      </c>
      <c r="E61" s="2412" t="s">
        <v>2393</v>
      </c>
      <c r="F61" s="2412" t="s">
        <v>2291</v>
      </c>
      <c r="G61" s="2412" t="s">
        <v>18</v>
      </c>
      <c r="H61" s="2412" t="s">
        <v>18</v>
      </c>
      <c r="I61" s="2412" t="s">
        <v>594</v>
      </c>
    </row>
    <row customHeight="1" ht="11.25">
      <c r="A62" s="2412" t="s">
        <v>2155</v>
      </c>
      <c r="B62" s="2412" t="s">
        <v>14</v>
      </c>
      <c r="C62" s="2412" t="s">
        <v>2394</v>
      </c>
      <c r="D62" s="2412" t="s">
        <v>2395</v>
      </c>
      <c r="E62" s="2412" t="s">
        <v>2396</v>
      </c>
      <c r="F62" s="2412" t="s">
        <v>2173</v>
      </c>
      <c r="G62" s="2412" t="s">
        <v>18</v>
      </c>
      <c r="H62" s="2412" t="s">
        <v>18</v>
      </c>
      <c r="I62" s="2412" t="s">
        <v>594</v>
      </c>
    </row>
    <row customHeight="1" ht="11.25">
      <c r="A63" s="2412" t="s">
        <v>2155</v>
      </c>
      <c r="B63" s="2412" t="s">
        <v>14</v>
      </c>
      <c r="C63" s="2412" t="s">
        <v>2397</v>
      </c>
      <c r="D63" s="2412" t="s">
        <v>2398</v>
      </c>
      <c r="E63" s="2412" t="s">
        <v>2399</v>
      </c>
      <c r="F63" s="2412" t="s">
        <v>2400</v>
      </c>
      <c r="G63" s="2412" t="s">
        <v>2401</v>
      </c>
      <c r="H63" s="2412" t="s">
        <v>18</v>
      </c>
      <c r="I63" s="2412" t="s">
        <v>594</v>
      </c>
    </row>
    <row customHeight="1" ht="11.25">
      <c r="A64" s="2412" t="s">
        <v>2155</v>
      </c>
      <c r="B64" s="2412" t="s">
        <v>14</v>
      </c>
      <c r="C64" s="2412" t="s">
        <v>2402</v>
      </c>
      <c r="D64" s="2412" t="s">
        <v>2403</v>
      </c>
      <c r="E64" s="2412" t="s">
        <v>2404</v>
      </c>
      <c r="F64" s="2412" t="s">
        <v>2405</v>
      </c>
      <c r="G64" s="2412" t="s">
        <v>18</v>
      </c>
      <c r="H64" s="2412" t="s">
        <v>18</v>
      </c>
      <c r="I64" s="2412" t="s">
        <v>594</v>
      </c>
    </row>
    <row customHeight="1" ht="11.25">
      <c r="A65" s="2412" t="s">
        <v>2155</v>
      </c>
      <c r="B65" s="2412" t="s">
        <v>14</v>
      </c>
      <c r="C65" s="2412" t="s">
        <v>2406</v>
      </c>
      <c r="D65" s="2412" t="s">
        <v>2407</v>
      </c>
      <c r="E65" s="2412" t="s">
        <v>2408</v>
      </c>
      <c r="F65" s="2412" t="s">
        <v>2409</v>
      </c>
      <c r="G65" s="2412" t="s">
        <v>2410</v>
      </c>
      <c r="H65" s="2412" t="s">
        <v>18</v>
      </c>
      <c r="I65" s="2412" t="s">
        <v>594</v>
      </c>
    </row>
    <row customHeight="1" ht="11.25">
      <c r="A66" s="2412" t="s">
        <v>2155</v>
      </c>
      <c r="B66" s="2412" t="s">
        <v>14</v>
      </c>
      <c r="C66" s="2412" t="s">
        <v>2411</v>
      </c>
      <c r="D66" s="2412" t="s">
        <v>2412</v>
      </c>
      <c r="E66" s="2412" t="s">
        <v>2413</v>
      </c>
      <c r="F66" s="2412" t="s">
        <v>2414</v>
      </c>
      <c r="G66" s="2412" t="s">
        <v>2415</v>
      </c>
      <c r="H66" s="2412" t="s">
        <v>18</v>
      </c>
      <c r="I66" s="2412" t="s">
        <v>594</v>
      </c>
    </row>
    <row customHeight="1" ht="11.25">
      <c r="A67" s="2412" t="s">
        <v>2155</v>
      </c>
      <c r="B67" s="2412" t="s">
        <v>14</v>
      </c>
      <c r="C67" s="2412" t="s">
        <v>2416</v>
      </c>
      <c r="D67" s="2412" t="s">
        <v>2417</v>
      </c>
      <c r="E67" s="2412" t="s">
        <v>2418</v>
      </c>
      <c r="F67" s="2412" t="s">
        <v>2256</v>
      </c>
      <c r="G67" s="2412" t="s">
        <v>18</v>
      </c>
      <c r="H67" s="2412" t="s">
        <v>18</v>
      </c>
      <c r="I67" s="2412" t="s">
        <v>594</v>
      </c>
    </row>
    <row customHeight="1" ht="11.25">
      <c r="A68" s="2412" t="s">
        <v>2155</v>
      </c>
      <c r="B68" s="2412" t="s">
        <v>14</v>
      </c>
      <c r="C68" s="2412" t="s">
        <v>2419</v>
      </c>
      <c r="D68" s="2412" t="s">
        <v>2420</v>
      </c>
      <c r="E68" s="2412" t="s">
        <v>2421</v>
      </c>
      <c r="F68" s="2412" t="s">
        <v>2256</v>
      </c>
      <c r="G68" s="2412" t="s">
        <v>2422</v>
      </c>
      <c r="H68" s="2412" t="s">
        <v>18</v>
      </c>
      <c r="I68" s="2412" t="s">
        <v>594</v>
      </c>
    </row>
    <row customHeight="1" ht="11.25">
      <c r="A69" s="2412" t="s">
        <v>2155</v>
      </c>
      <c r="B69" s="2412" t="s">
        <v>14</v>
      </c>
      <c r="C69" s="2412" t="s">
        <v>2423</v>
      </c>
      <c r="D69" s="2412" t="s">
        <v>2424</v>
      </c>
      <c r="E69" s="2412" t="s">
        <v>2425</v>
      </c>
      <c r="F69" s="2412" t="s">
        <v>2178</v>
      </c>
      <c r="G69" s="2412" t="s">
        <v>2426</v>
      </c>
      <c r="H69" s="2412" t="s">
        <v>18</v>
      </c>
      <c r="I69" s="2412" t="s">
        <v>594</v>
      </c>
    </row>
    <row customHeight="1" ht="11.25">
      <c r="A70" s="2412" t="s">
        <v>2155</v>
      </c>
      <c r="B70" s="2412" t="s">
        <v>14</v>
      </c>
      <c r="C70" s="2412" t="s">
        <v>2427</v>
      </c>
      <c r="D70" s="2412" t="s">
        <v>2428</v>
      </c>
      <c r="E70" s="2412" t="s">
        <v>2429</v>
      </c>
      <c r="F70" s="2412" t="s">
        <v>2430</v>
      </c>
      <c r="G70" s="2412" t="s">
        <v>2431</v>
      </c>
      <c r="H70" s="2412" t="s">
        <v>18</v>
      </c>
      <c r="I70" s="2412" t="s">
        <v>594</v>
      </c>
    </row>
    <row customHeight="1" ht="11.25">
      <c r="A71" s="2412" t="s">
        <v>2155</v>
      </c>
      <c r="B71" s="2412" t="s">
        <v>14</v>
      </c>
      <c r="C71" s="2412" t="s">
        <v>2432</v>
      </c>
      <c r="D71" s="2412" t="s">
        <v>2433</v>
      </c>
      <c r="E71" s="2412" t="s">
        <v>2434</v>
      </c>
      <c r="F71" s="2412" t="s">
        <v>2319</v>
      </c>
      <c r="G71" s="2412" t="s">
        <v>2435</v>
      </c>
      <c r="H71" s="2412" t="s">
        <v>18</v>
      </c>
      <c r="I71" s="2412" t="s">
        <v>594</v>
      </c>
    </row>
    <row customHeight="1" ht="11.25">
      <c r="A72" s="2412" t="s">
        <v>2155</v>
      </c>
      <c r="B72" s="2412" t="s">
        <v>14</v>
      </c>
      <c r="C72" s="2412" t="s">
        <v>2436</v>
      </c>
      <c r="D72" s="2412" t="s">
        <v>2437</v>
      </c>
      <c r="E72" s="2412" t="s">
        <v>2438</v>
      </c>
      <c r="F72" s="2412" t="s">
        <v>2201</v>
      </c>
      <c r="G72" s="2412" t="s">
        <v>18</v>
      </c>
      <c r="H72" s="2412" t="s">
        <v>18</v>
      </c>
      <c r="I72" s="2412" t="s">
        <v>594</v>
      </c>
    </row>
    <row customHeight="1" ht="11.25">
      <c r="A73" s="2412" t="s">
        <v>2155</v>
      </c>
      <c r="B73" s="2412" t="s">
        <v>14</v>
      </c>
      <c r="C73" s="2412" t="s">
        <v>2439</v>
      </c>
      <c r="D73" s="2412" t="s">
        <v>2440</v>
      </c>
      <c r="E73" s="2412" t="s">
        <v>2441</v>
      </c>
      <c r="F73" s="2412" t="s">
        <v>2201</v>
      </c>
      <c r="G73" s="2412" t="s">
        <v>2442</v>
      </c>
      <c r="H73" s="2412" t="s">
        <v>18</v>
      </c>
      <c r="I73" s="2412" t="s">
        <v>594</v>
      </c>
    </row>
    <row customHeight="1" ht="11.25">
      <c r="A74" s="2412" t="s">
        <v>2155</v>
      </c>
      <c r="B74" s="2412" t="s">
        <v>14</v>
      </c>
      <c r="C74" s="2412" t="s">
        <v>2443</v>
      </c>
      <c r="D74" s="2412" t="s">
        <v>2444</v>
      </c>
      <c r="E74" s="2412" t="s">
        <v>2445</v>
      </c>
      <c r="F74" s="2412" t="s">
        <v>2446</v>
      </c>
      <c r="G74" s="2412" t="s">
        <v>18</v>
      </c>
      <c r="H74" s="2412" t="s">
        <v>18</v>
      </c>
      <c r="I74" s="2412" t="s">
        <v>594</v>
      </c>
    </row>
    <row customHeight="1" ht="11.25">
      <c r="A75" s="2412" t="s">
        <v>2155</v>
      </c>
      <c r="B75" s="2412" t="s">
        <v>14</v>
      </c>
      <c r="C75" s="2412" t="s">
        <v>2447</v>
      </c>
      <c r="D75" s="2412" t="s">
        <v>2448</v>
      </c>
      <c r="E75" s="2412" t="s">
        <v>2449</v>
      </c>
      <c r="F75" s="2412" t="s">
        <v>2450</v>
      </c>
      <c r="G75" s="2412" t="s">
        <v>18</v>
      </c>
      <c r="H75" s="2412" t="s">
        <v>18</v>
      </c>
      <c r="I75" s="2412" t="s">
        <v>594</v>
      </c>
    </row>
    <row customHeight="1" ht="11.25">
      <c r="A76" s="2412" t="s">
        <v>2155</v>
      </c>
      <c r="B76" s="2412" t="s">
        <v>14</v>
      </c>
      <c r="C76" s="2412" t="s">
        <v>2451</v>
      </c>
      <c r="D76" s="2412" t="s">
        <v>2452</v>
      </c>
      <c r="E76" s="2412" t="s">
        <v>2453</v>
      </c>
      <c r="F76" s="2412" t="s">
        <v>2201</v>
      </c>
      <c r="G76" s="2412" t="s">
        <v>2454</v>
      </c>
      <c r="H76" s="2412" t="s">
        <v>18</v>
      </c>
      <c r="I76" s="2412" t="s">
        <v>594</v>
      </c>
    </row>
    <row customHeight="1" ht="11.25">
      <c r="A77" s="2412" t="s">
        <v>2155</v>
      </c>
      <c r="B77" s="2412" t="s">
        <v>14</v>
      </c>
      <c r="C77" s="2412" t="s">
        <v>2455</v>
      </c>
      <c r="D77" s="2412" t="s">
        <v>2456</v>
      </c>
      <c r="E77" s="2412" t="s">
        <v>2457</v>
      </c>
      <c r="F77" s="2412" t="s">
        <v>2201</v>
      </c>
      <c r="G77" s="2412" t="s">
        <v>2458</v>
      </c>
      <c r="H77" s="2412" t="s">
        <v>18</v>
      </c>
      <c r="I77" s="2412" t="s">
        <v>594</v>
      </c>
    </row>
    <row customHeight="1" ht="11.25">
      <c r="A78" s="2412" t="s">
        <v>2155</v>
      </c>
      <c r="B78" s="2412" t="s">
        <v>14</v>
      </c>
      <c r="C78" s="2412" t="s">
        <v>2459</v>
      </c>
      <c r="D78" s="2412" t="s">
        <v>2460</v>
      </c>
      <c r="E78" s="2412" t="s">
        <v>2461</v>
      </c>
      <c r="F78" s="2412" t="s">
        <v>2256</v>
      </c>
      <c r="G78" s="2412" t="s">
        <v>2462</v>
      </c>
      <c r="H78" s="2412" t="s">
        <v>18</v>
      </c>
      <c r="I78" s="2412" t="s">
        <v>594</v>
      </c>
    </row>
    <row customHeight="1" ht="11.25">
      <c r="A79" s="2412" t="s">
        <v>2155</v>
      </c>
      <c r="B79" s="2412" t="s">
        <v>14</v>
      </c>
      <c r="C79" s="2412" t="s">
        <v>2463</v>
      </c>
      <c r="D79" s="2412" t="s">
        <v>2464</v>
      </c>
      <c r="E79" s="2412" t="s">
        <v>2465</v>
      </c>
      <c r="F79" s="2412" t="s">
        <v>2283</v>
      </c>
      <c r="G79" s="2412" t="s">
        <v>18</v>
      </c>
      <c r="H79" s="2412" t="s">
        <v>18</v>
      </c>
      <c r="I79" s="2412" t="s">
        <v>594</v>
      </c>
    </row>
    <row customHeight="1" ht="11.25">
      <c r="A80" s="2412" t="s">
        <v>2155</v>
      </c>
      <c r="B80" s="2412" t="s">
        <v>14</v>
      </c>
      <c r="C80" s="2412" t="s">
        <v>2466</v>
      </c>
      <c r="D80" s="2412" t="s">
        <v>2467</v>
      </c>
      <c r="E80" s="2412" t="s">
        <v>2468</v>
      </c>
      <c r="F80" s="2412" t="s">
        <v>2446</v>
      </c>
      <c r="G80" s="2412" t="s">
        <v>18</v>
      </c>
      <c r="H80" s="2412" t="s">
        <v>18</v>
      </c>
      <c r="I80" s="2412" t="s">
        <v>594</v>
      </c>
    </row>
    <row customHeight="1" ht="11.25">
      <c r="A81" s="2412" t="s">
        <v>2155</v>
      </c>
      <c r="B81" s="2412" t="s">
        <v>14</v>
      </c>
      <c r="C81" s="2412" t="s">
        <v>2469</v>
      </c>
      <c r="D81" s="2412" t="s">
        <v>2470</v>
      </c>
      <c r="E81" s="2412" t="s">
        <v>2471</v>
      </c>
      <c r="F81" s="2412" t="s">
        <v>2472</v>
      </c>
      <c r="G81" s="2412" t="s">
        <v>2473</v>
      </c>
      <c r="H81" s="2412" t="s">
        <v>18</v>
      </c>
      <c r="I81" s="2412" t="s">
        <v>594</v>
      </c>
    </row>
    <row customHeight="1" ht="11.25">
      <c r="A82" s="2412" t="s">
        <v>2155</v>
      </c>
      <c r="B82" s="2412" t="s">
        <v>14</v>
      </c>
      <c r="C82" s="2412" t="s">
        <v>2474</v>
      </c>
      <c r="D82" s="2412" t="s">
        <v>2475</v>
      </c>
      <c r="E82" s="2412" t="s">
        <v>2476</v>
      </c>
      <c r="F82" s="2412" t="s">
        <v>2256</v>
      </c>
      <c r="G82" s="2412" t="s">
        <v>2477</v>
      </c>
      <c r="H82" s="2412" t="s">
        <v>18</v>
      </c>
      <c r="I82" s="2412" t="s">
        <v>594</v>
      </c>
    </row>
    <row customHeight="1" ht="11.25">
      <c r="A83" s="2412" t="s">
        <v>2155</v>
      </c>
      <c r="B83" s="2412" t="s">
        <v>14</v>
      </c>
      <c r="C83" s="2412" t="s">
        <v>2478</v>
      </c>
      <c r="D83" s="2412" t="s">
        <v>2479</v>
      </c>
      <c r="E83" s="2412" t="s">
        <v>2480</v>
      </c>
      <c r="F83" s="2412" t="s">
        <v>2222</v>
      </c>
      <c r="G83" s="2412" t="s">
        <v>2481</v>
      </c>
      <c r="H83" s="2412" t="s">
        <v>18</v>
      </c>
      <c r="I83" s="2412" t="s">
        <v>594</v>
      </c>
    </row>
    <row customHeight="1" ht="11.25">
      <c r="A84" s="2412" t="s">
        <v>2155</v>
      </c>
      <c r="B84" s="2412" t="s">
        <v>14</v>
      </c>
      <c r="C84" s="2412" t="s">
        <v>2482</v>
      </c>
      <c r="D84" s="2412" t="s">
        <v>2483</v>
      </c>
      <c r="E84" s="2412" t="s">
        <v>2484</v>
      </c>
      <c r="F84" s="2412" t="s">
        <v>2168</v>
      </c>
      <c r="G84" s="2412" t="s">
        <v>2485</v>
      </c>
      <c r="H84" s="2412" t="s">
        <v>18</v>
      </c>
      <c r="I84" s="2412" t="s">
        <v>594</v>
      </c>
    </row>
    <row customHeight="1" ht="11.25">
      <c r="A85" s="2412" t="s">
        <v>2155</v>
      </c>
      <c r="B85" s="2412" t="s">
        <v>14</v>
      </c>
      <c r="C85" s="2412" t="s">
        <v>2486</v>
      </c>
      <c r="D85" s="2412" t="s">
        <v>2487</v>
      </c>
      <c r="E85" s="2412" t="s">
        <v>2488</v>
      </c>
      <c r="F85" s="2412" t="s">
        <v>2201</v>
      </c>
      <c r="G85" s="2412" t="s">
        <v>2489</v>
      </c>
      <c r="H85" s="2412" t="s">
        <v>18</v>
      </c>
      <c r="I85" s="2412" t="s">
        <v>594</v>
      </c>
    </row>
    <row customHeight="1" ht="11.25">
      <c r="A86" s="2412" t="s">
        <v>2155</v>
      </c>
      <c r="B86" s="2412" t="s">
        <v>14</v>
      </c>
      <c r="C86" s="2412" t="s">
        <v>2490</v>
      </c>
      <c r="D86" s="2412" t="s">
        <v>2491</v>
      </c>
      <c r="E86" s="2412" t="s">
        <v>2492</v>
      </c>
      <c r="F86" s="2412" t="s">
        <v>2414</v>
      </c>
      <c r="G86" s="2412" t="s">
        <v>2493</v>
      </c>
      <c r="H86" s="2412" t="s">
        <v>18</v>
      </c>
      <c r="I86" s="2412" t="s">
        <v>594</v>
      </c>
    </row>
    <row customHeight="1" ht="11.25">
      <c r="A87" s="2412" t="s">
        <v>2155</v>
      </c>
      <c r="B87" s="2412" t="s">
        <v>14</v>
      </c>
      <c r="C87" s="2412" t="s">
        <v>2494</v>
      </c>
      <c r="D87" s="2412" t="s">
        <v>2495</v>
      </c>
      <c r="E87" s="2412" t="s">
        <v>2496</v>
      </c>
      <c r="F87" s="2412" t="s">
        <v>2497</v>
      </c>
      <c r="G87" s="2412" t="s">
        <v>18</v>
      </c>
      <c r="H87" s="2412" t="s">
        <v>18</v>
      </c>
      <c r="I87" s="2412" t="s">
        <v>594</v>
      </c>
    </row>
    <row customHeight="1" ht="11.25">
      <c r="A88" s="2412" t="s">
        <v>2155</v>
      </c>
      <c r="B88" s="2412" t="s">
        <v>14</v>
      </c>
      <c r="C88" s="2412" t="s">
        <v>2498</v>
      </c>
      <c r="D88" s="2412" t="s">
        <v>2499</v>
      </c>
      <c r="E88" s="2412" t="s">
        <v>2500</v>
      </c>
      <c r="F88" s="2412" t="s">
        <v>2256</v>
      </c>
      <c r="G88" s="2412" t="s">
        <v>18</v>
      </c>
      <c r="H88" s="2412" t="s">
        <v>18</v>
      </c>
      <c r="I88" s="2412" t="s">
        <v>594</v>
      </c>
    </row>
    <row customHeight="1" ht="11.25">
      <c r="A89" s="2412" t="s">
        <v>2155</v>
      </c>
      <c r="B89" s="2412" t="s">
        <v>14</v>
      </c>
      <c r="C89" s="2412" t="s">
        <v>2501</v>
      </c>
      <c r="D89" s="2412" t="s">
        <v>2502</v>
      </c>
      <c r="E89" s="2412" t="s">
        <v>2503</v>
      </c>
      <c r="F89" s="2412" t="s">
        <v>2504</v>
      </c>
      <c r="G89" s="2412" t="s">
        <v>18</v>
      </c>
      <c r="H89" s="2412" t="s">
        <v>18</v>
      </c>
      <c r="I89" s="2412" t="s">
        <v>594</v>
      </c>
    </row>
    <row customHeight="1" ht="11.25">
      <c r="A90" s="2412" t="s">
        <v>2155</v>
      </c>
      <c r="B90" s="2412" t="s">
        <v>14</v>
      </c>
      <c r="C90" s="2412" t="s">
        <v>2505</v>
      </c>
      <c r="D90" s="2412" t="s">
        <v>2506</v>
      </c>
      <c r="E90" s="2412" t="s">
        <v>2507</v>
      </c>
      <c r="F90" s="2412" t="s">
        <v>2409</v>
      </c>
      <c r="G90" s="2412" t="s">
        <v>2508</v>
      </c>
      <c r="H90" s="2412" t="s">
        <v>18</v>
      </c>
      <c r="I90" s="2412" t="s">
        <v>594</v>
      </c>
    </row>
    <row customHeight="1" ht="11.25">
      <c r="A91" s="2412" t="s">
        <v>2155</v>
      </c>
      <c r="B91" s="2412" t="s">
        <v>14</v>
      </c>
      <c r="C91" s="2412" t="s">
        <v>2509</v>
      </c>
      <c r="D91" s="2412" t="s">
        <v>2510</v>
      </c>
      <c r="E91" s="2412" t="s">
        <v>2511</v>
      </c>
      <c r="F91" s="2412" t="s">
        <v>2405</v>
      </c>
      <c r="G91" s="2412" t="s">
        <v>2512</v>
      </c>
      <c r="H91" s="2412" t="s">
        <v>18</v>
      </c>
      <c r="I91" s="2412" t="s">
        <v>594</v>
      </c>
    </row>
    <row customHeight="1" ht="11.25">
      <c r="A92" s="2412" t="s">
        <v>2155</v>
      </c>
      <c r="B92" s="2412" t="s">
        <v>14</v>
      </c>
      <c r="C92" s="2412" t="s">
        <v>2513</v>
      </c>
      <c r="D92" s="2412" t="s">
        <v>2514</v>
      </c>
      <c r="E92" s="2412" t="s">
        <v>2515</v>
      </c>
      <c r="F92" s="2412" t="s">
        <v>2381</v>
      </c>
      <c r="G92" s="2412" t="s">
        <v>2516</v>
      </c>
      <c r="H92" s="2412" t="s">
        <v>18</v>
      </c>
      <c r="I92" s="2412" t="s">
        <v>594</v>
      </c>
    </row>
    <row customHeight="1" ht="11.25">
      <c r="A93" s="2412" t="s">
        <v>2155</v>
      </c>
      <c r="B93" s="2412" t="s">
        <v>14</v>
      </c>
      <c r="C93" s="2412" t="s">
        <v>2517</v>
      </c>
      <c r="D93" s="2412" t="s">
        <v>2518</v>
      </c>
      <c r="E93" s="2412" t="s">
        <v>2519</v>
      </c>
      <c r="F93" s="2412" t="s">
        <v>2278</v>
      </c>
      <c r="G93" s="2412" t="s">
        <v>2520</v>
      </c>
      <c r="H93" s="2412" t="s">
        <v>18</v>
      </c>
      <c r="I93" s="2412" t="s">
        <v>594</v>
      </c>
    </row>
    <row customHeight="1" ht="11.25">
      <c r="A94" s="2412" t="s">
        <v>2155</v>
      </c>
      <c r="B94" s="2412" t="s">
        <v>14</v>
      </c>
      <c r="C94" s="2412" t="s">
        <v>2521</v>
      </c>
      <c r="D94" s="2412" t="s">
        <v>2522</v>
      </c>
      <c r="E94" s="2412" t="s">
        <v>2523</v>
      </c>
      <c r="F94" s="2412" t="s">
        <v>2319</v>
      </c>
      <c r="G94" s="2412" t="s">
        <v>2524</v>
      </c>
      <c r="H94" s="2412" t="s">
        <v>18</v>
      </c>
      <c r="I94" s="2412" t="s">
        <v>594</v>
      </c>
    </row>
    <row customHeight="1" ht="11.25">
      <c r="A95" s="2412" t="s">
        <v>2155</v>
      </c>
      <c r="B95" s="2412" t="s">
        <v>14</v>
      </c>
      <c r="C95" s="2412" t="s">
        <v>2525</v>
      </c>
      <c r="D95" s="2412" t="s">
        <v>2526</v>
      </c>
      <c r="E95" s="2412" t="s">
        <v>2527</v>
      </c>
      <c r="F95" s="2412" t="s">
        <v>2291</v>
      </c>
      <c r="G95" s="2412" t="s">
        <v>18</v>
      </c>
      <c r="H95" s="2412" t="s">
        <v>18</v>
      </c>
      <c r="I95" s="2412" t="s">
        <v>594</v>
      </c>
    </row>
    <row customHeight="1" ht="11.25">
      <c r="A96" s="2412" t="s">
        <v>2155</v>
      </c>
      <c r="B96" s="2412" t="s">
        <v>14</v>
      </c>
      <c r="C96" s="2412" t="s">
        <v>2528</v>
      </c>
      <c r="D96" s="2412" t="s">
        <v>2529</v>
      </c>
      <c r="E96" s="2412" t="s">
        <v>2530</v>
      </c>
      <c r="F96" s="2412" t="s">
        <v>2201</v>
      </c>
      <c r="G96" s="2412" t="s">
        <v>2531</v>
      </c>
      <c r="H96" s="2412" t="s">
        <v>18</v>
      </c>
      <c r="I96" s="2412" t="s">
        <v>594</v>
      </c>
    </row>
    <row customHeight="1" ht="11.25">
      <c r="A97" s="2412" t="s">
        <v>2155</v>
      </c>
      <c r="B97" s="2412" t="s">
        <v>14</v>
      </c>
      <c r="C97" s="2412" t="s">
        <v>2532</v>
      </c>
      <c r="D97" s="2412" t="s">
        <v>2533</v>
      </c>
      <c r="E97" s="2412" t="s">
        <v>2534</v>
      </c>
      <c r="F97" s="2412" t="s">
        <v>2296</v>
      </c>
      <c r="G97" s="2412" t="s">
        <v>2535</v>
      </c>
      <c r="H97" s="2412" t="s">
        <v>18</v>
      </c>
      <c r="I97" s="2412" t="s">
        <v>594</v>
      </c>
    </row>
    <row customHeight="1" ht="11.25">
      <c r="A98" s="2412" t="s">
        <v>2155</v>
      </c>
      <c r="B98" s="2412" t="s">
        <v>14</v>
      </c>
      <c r="C98" s="2412" t="s">
        <v>2536</v>
      </c>
      <c r="D98" s="2412" t="s">
        <v>2537</v>
      </c>
      <c r="E98" s="2412" t="s">
        <v>2538</v>
      </c>
      <c r="F98" s="2412" t="s">
        <v>2201</v>
      </c>
      <c r="G98" s="2412" t="s">
        <v>18</v>
      </c>
      <c r="H98" s="2412" t="s">
        <v>18</v>
      </c>
      <c r="I98" s="2412" t="s">
        <v>594</v>
      </c>
    </row>
    <row customHeight="1" ht="11.25">
      <c r="A99" s="2412" t="s">
        <v>2155</v>
      </c>
      <c r="B99" s="2412" t="s">
        <v>14</v>
      </c>
      <c r="C99" s="2412" t="s">
        <v>2539</v>
      </c>
      <c r="D99" s="2412" t="s">
        <v>2540</v>
      </c>
      <c r="E99" s="2412" t="s">
        <v>2541</v>
      </c>
      <c r="F99" s="2412" t="s">
        <v>2201</v>
      </c>
      <c r="G99" s="2412" t="s">
        <v>2542</v>
      </c>
      <c r="H99" s="2412" t="s">
        <v>18</v>
      </c>
      <c r="I99" s="2412" t="s">
        <v>594</v>
      </c>
    </row>
    <row customHeight="1" ht="11.25">
      <c r="A100" s="2412" t="s">
        <v>2155</v>
      </c>
      <c r="B100" s="2412" t="s">
        <v>14</v>
      </c>
      <c r="C100" s="2412" t="s">
        <v>2543</v>
      </c>
      <c r="D100" s="2412" t="s">
        <v>2540</v>
      </c>
      <c r="E100" s="2412" t="s">
        <v>2541</v>
      </c>
      <c r="F100" s="2412" t="s">
        <v>2178</v>
      </c>
      <c r="G100" s="2412" t="s">
        <v>18</v>
      </c>
      <c r="H100" s="2412" t="s">
        <v>18</v>
      </c>
      <c r="I100" s="2412" t="s">
        <v>594</v>
      </c>
    </row>
    <row customHeight="1" ht="11.25">
      <c r="A101" s="2412" t="s">
        <v>2155</v>
      </c>
      <c r="B101" s="2412" t="s">
        <v>14</v>
      </c>
      <c r="C101" s="2412" t="s">
        <v>2544</v>
      </c>
      <c r="D101" s="2412" t="s">
        <v>2545</v>
      </c>
      <c r="E101" s="2412" t="s">
        <v>2546</v>
      </c>
      <c r="F101" s="2412" t="s">
        <v>2201</v>
      </c>
      <c r="G101" s="2412" t="s">
        <v>18</v>
      </c>
      <c r="H101" s="2412" t="s">
        <v>18</v>
      </c>
      <c r="I101" s="2412" t="s">
        <v>594</v>
      </c>
    </row>
    <row customHeight="1" ht="11.25">
      <c r="A102" s="2412" t="s">
        <v>2155</v>
      </c>
      <c r="B102" s="2412" t="s">
        <v>14</v>
      </c>
      <c r="C102" s="2412" t="s">
        <v>2547</v>
      </c>
      <c r="D102" s="2412" t="s">
        <v>2548</v>
      </c>
      <c r="E102" s="2412" t="s">
        <v>2549</v>
      </c>
      <c r="F102" s="2412" t="s">
        <v>2164</v>
      </c>
      <c r="G102" s="2412" t="s">
        <v>18</v>
      </c>
      <c r="H102" s="2412" t="s">
        <v>18</v>
      </c>
      <c r="I102" s="2412" t="s">
        <v>594</v>
      </c>
    </row>
    <row customHeight="1" ht="11.25">
      <c r="A103" s="2412" t="s">
        <v>2155</v>
      </c>
      <c r="B103" s="2412" t="s">
        <v>14</v>
      </c>
      <c r="C103" s="2412" t="s">
        <v>2550</v>
      </c>
      <c r="D103" s="2412" t="s">
        <v>2551</v>
      </c>
      <c r="E103" s="2412" t="s">
        <v>2552</v>
      </c>
      <c r="F103" s="2412" t="s">
        <v>2553</v>
      </c>
      <c r="G103" s="2412" t="s">
        <v>18</v>
      </c>
      <c r="H103" s="2412" t="s">
        <v>18</v>
      </c>
      <c r="I103" s="2412" t="s">
        <v>594</v>
      </c>
    </row>
    <row customHeight="1" ht="11.25">
      <c r="A104" s="2412" t="s">
        <v>2155</v>
      </c>
      <c r="B104" s="2412" t="s">
        <v>14</v>
      </c>
      <c r="C104" s="2412" t="s">
        <v>2554</v>
      </c>
      <c r="D104" s="2412" t="s">
        <v>2555</v>
      </c>
      <c r="E104" s="2412" t="s">
        <v>2556</v>
      </c>
      <c r="F104" s="2412" t="s">
        <v>2201</v>
      </c>
      <c r="G104" s="2412" t="s">
        <v>2557</v>
      </c>
      <c r="H104" s="2412" t="s">
        <v>18</v>
      </c>
      <c r="I104" s="2412" t="s">
        <v>594</v>
      </c>
    </row>
    <row customHeight="1" ht="11.25">
      <c r="A105" s="2412" t="s">
        <v>2155</v>
      </c>
      <c r="B105" s="2412" t="s">
        <v>14</v>
      </c>
      <c r="C105" s="2412" t="s">
        <v>2558</v>
      </c>
      <c r="D105" s="2412" t="s">
        <v>2559</v>
      </c>
      <c r="E105" s="2412" t="s">
        <v>2560</v>
      </c>
      <c r="F105" s="2412" t="s">
        <v>2201</v>
      </c>
      <c r="G105" s="2412" t="s">
        <v>18</v>
      </c>
      <c r="H105" s="2412" t="s">
        <v>18</v>
      </c>
      <c r="I105" s="2412" t="s">
        <v>594</v>
      </c>
    </row>
    <row customHeight="1" ht="11.25">
      <c r="A106" s="2412" t="s">
        <v>2155</v>
      </c>
      <c r="B106" s="2412" t="s">
        <v>14</v>
      </c>
      <c r="C106" s="2412" t="s">
        <v>2561</v>
      </c>
      <c r="D106" s="2412" t="s">
        <v>2562</v>
      </c>
      <c r="E106" s="2412" t="s">
        <v>2563</v>
      </c>
      <c r="F106" s="2412" t="s">
        <v>2164</v>
      </c>
      <c r="G106" s="2412" t="s">
        <v>2564</v>
      </c>
      <c r="H106" s="2412" t="s">
        <v>18</v>
      </c>
      <c r="I106" s="2412" t="s">
        <v>594</v>
      </c>
    </row>
    <row customHeight="1" ht="11.25">
      <c r="A107" s="2412" t="s">
        <v>2155</v>
      </c>
      <c r="B107" s="2412" t="s">
        <v>14</v>
      </c>
      <c r="C107" s="2412" t="s">
        <v>2565</v>
      </c>
      <c r="D107" s="2412" t="s">
        <v>2566</v>
      </c>
      <c r="E107" s="2412" t="s">
        <v>2567</v>
      </c>
      <c r="F107" s="2412" t="s">
        <v>2568</v>
      </c>
      <c r="G107" s="2412" t="s">
        <v>2569</v>
      </c>
      <c r="H107" s="2412" t="s">
        <v>18</v>
      </c>
      <c r="I107" s="2412" t="s">
        <v>594</v>
      </c>
    </row>
    <row customHeight="1" ht="11.25">
      <c r="A108" s="2412" t="s">
        <v>2155</v>
      </c>
      <c r="B108" s="2412" t="s">
        <v>14</v>
      </c>
      <c r="C108" s="2412" t="s">
        <v>2570</v>
      </c>
      <c r="D108" s="2412" t="s">
        <v>2571</v>
      </c>
      <c r="E108" s="2412" t="s">
        <v>2572</v>
      </c>
      <c r="F108" s="2412" t="s">
        <v>2201</v>
      </c>
      <c r="G108" s="2412" t="s">
        <v>2573</v>
      </c>
      <c r="H108" s="2412" t="s">
        <v>18</v>
      </c>
      <c r="I108" s="2412" t="s">
        <v>594</v>
      </c>
    </row>
    <row customHeight="1" ht="11.25">
      <c r="A109" s="2412" t="s">
        <v>2155</v>
      </c>
      <c r="B109" s="2412" t="s">
        <v>14</v>
      </c>
      <c r="C109" s="2412" t="s">
        <v>2574</v>
      </c>
      <c r="D109" s="2412" t="s">
        <v>2575</v>
      </c>
      <c r="E109" s="2412" t="s">
        <v>2576</v>
      </c>
      <c r="F109" s="2412" t="s">
        <v>2201</v>
      </c>
      <c r="G109" s="2412" t="s">
        <v>2577</v>
      </c>
      <c r="H109" s="2412" t="s">
        <v>18</v>
      </c>
      <c r="I109" s="2412" t="s">
        <v>594</v>
      </c>
    </row>
    <row customHeight="1" ht="11.25">
      <c r="A110" s="2412" t="s">
        <v>2155</v>
      </c>
      <c r="B110" s="2412" t="s">
        <v>14</v>
      </c>
      <c r="C110" s="2412" t="s">
        <v>2578</v>
      </c>
      <c r="D110" s="2412" t="s">
        <v>2579</v>
      </c>
      <c r="E110" s="2412" t="s">
        <v>2580</v>
      </c>
      <c r="F110" s="2412" t="s">
        <v>2405</v>
      </c>
      <c r="G110" s="2412" t="s">
        <v>18</v>
      </c>
      <c r="H110" s="2412" t="s">
        <v>18</v>
      </c>
      <c r="I110" s="2412" t="s">
        <v>594</v>
      </c>
    </row>
    <row customHeight="1" ht="11.25">
      <c r="A111" s="2412" t="s">
        <v>2155</v>
      </c>
      <c r="B111" s="2412" t="s">
        <v>14</v>
      </c>
      <c r="C111" s="2412" t="s">
        <v>2581</v>
      </c>
      <c r="D111" s="2412" t="s">
        <v>2582</v>
      </c>
      <c r="E111" s="2412" t="s">
        <v>2583</v>
      </c>
      <c r="F111" s="2412" t="s">
        <v>2305</v>
      </c>
      <c r="G111" s="2412" t="s">
        <v>2584</v>
      </c>
      <c r="H111" s="2412" t="s">
        <v>18</v>
      </c>
      <c r="I111" s="2412" t="s">
        <v>594</v>
      </c>
    </row>
    <row customHeight="1" ht="11.25">
      <c r="A112" s="2412" t="s">
        <v>2155</v>
      </c>
      <c r="B112" s="2412" t="s">
        <v>14</v>
      </c>
      <c r="C112" s="2412" t="s">
        <v>2585</v>
      </c>
      <c r="D112" s="2412" t="s">
        <v>2586</v>
      </c>
      <c r="E112" s="2412" t="s">
        <v>2587</v>
      </c>
      <c r="F112" s="2412" t="s">
        <v>2201</v>
      </c>
      <c r="G112" s="2412" t="s">
        <v>2588</v>
      </c>
      <c r="H112" s="2412" t="s">
        <v>18</v>
      </c>
      <c r="I112" s="2412" t="s">
        <v>594</v>
      </c>
    </row>
    <row customHeight="1" ht="11.25">
      <c r="A113" s="2412" t="s">
        <v>2155</v>
      </c>
      <c r="B113" s="2412" t="s">
        <v>14</v>
      </c>
      <c r="C113" s="2412" t="s">
        <v>2589</v>
      </c>
      <c r="D113" s="2412" t="s">
        <v>2590</v>
      </c>
      <c r="E113" s="2412" t="s">
        <v>2591</v>
      </c>
      <c r="F113" s="2412" t="s">
        <v>2201</v>
      </c>
      <c r="G113" s="2412" t="s">
        <v>2592</v>
      </c>
      <c r="H113" s="2412" t="s">
        <v>18</v>
      </c>
      <c r="I113" s="2412" t="s">
        <v>594</v>
      </c>
    </row>
    <row customHeight="1" ht="11.25">
      <c r="A114" s="2412" t="s">
        <v>2155</v>
      </c>
      <c r="B114" s="2412" t="s">
        <v>14</v>
      </c>
      <c r="C114" s="2412" t="s">
        <v>2593</v>
      </c>
      <c r="D114" s="2412" t="s">
        <v>2594</v>
      </c>
      <c r="E114" s="2412" t="s">
        <v>2595</v>
      </c>
      <c r="F114" s="2412" t="s">
        <v>2201</v>
      </c>
      <c r="G114" s="2412" t="s">
        <v>2596</v>
      </c>
      <c r="H114" s="2412" t="s">
        <v>18</v>
      </c>
      <c r="I114" s="2412" t="s">
        <v>594</v>
      </c>
    </row>
    <row customHeight="1" ht="11.25">
      <c r="A115" s="2412" t="s">
        <v>2155</v>
      </c>
      <c r="B115" s="2412" t="s">
        <v>14</v>
      </c>
      <c r="C115" s="2412" t="s">
        <v>2597</v>
      </c>
      <c r="D115" s="2412" t="s">
        <v>2598</v>
      </c>
      <c r="E115" s="2412" t="s">
        <v>2599</v>
      </c>
      <c r="F115" s="2412" t="s">
        <v>2319</v>
      </c>
      <c r="G115" s="2412" t="s">
        <v>2600</v>
      </c>
      <c r="H115" s="2412" t="s">
        <v>18</v>
      </c>
      <c r="I115" s="2412" t="s">
        <v>594</v>
      </c>
    </row>
    <row customHeight="1" ht="11.25">
      <c r="A116" s="2412" t="s">
        <v>2155</v>
      </c>
      <c r="B116" s="2412" t="s">
        <v>14</v>
      </c>
      <c r="C116" s="2412" t="s">
        <v>2601</v>
      </c>
      <c r="D116" s="2412" t="s">
        <v>2602</v>
      </c>
      <c r="E116" s="2412" t="s">
        <v>2603</v>
      </c>
      <c r="F116" s="2412" t="s">
        <v>2604</v>
      </c>
      <c r="G116" s="2412" t="s">
        <v>2605</v>
      </c>
      <c r="H116" s="2412" t="s">
        <v>18</v>
      </c>
      <c r="I116" s="2412" t="s">
        <v>594</v>
      </c>
    </row>
    <row customHeight="1" ht="11.25">
      <c r="A117" s="2412" t="s">
        <v>2155</v>
      </c>
      <c r="B117" s="2412" t="s">
        <v>14</v>
      </c>
      <c r="C117" s="2412" t="s">
        <v>2606</v>
      </c>
      <c r="D117" s="2412" t="s">
        <v>2607</v>
      </c>
      <c r="E117" s="2412" t="s">
        <v>2608</v>
      </c>
      <c r="F117" s="2412" t="s">
        <v>2604</v>
      </c>
      <c r="G117" s="2412" t="s">
        <v>2609</v>
      </c>
      <c r="H117" s="2412" t="s">
        <v>18</v>
      </c>
      <c r="I117" s="2412" t="s">
        <v>594</v>
      </c>
    </row>
    <row customHeight="1" ht="11.25">
      <c r="A118" s="2412" t="s">
        <v>2155</v>
      </c>
      <c r="B118" s="2412" t="s">
        <v>14</v>
      </c>
      <c r="C118" s="2412" t="s">
        <v>2610</v>
      </c>
      <c r="D118" s="2412" t="s">
        <v>2611</v>
      </c>
      <c r="E118" s="2412" t="s">
        <v>2612</v>
      </c>
      <c r="F118" s="2412" t="s">
        <v>2164</v>
      </c>
      <c r="G118" s="2412" t="s">
        <v>2613</v>
      </c>
      <c r="H118" s="2412" t="s">
        <v>18</v>
      </c>
      <c r="I118" s="2412" t="s">
        <v>594</v>
      </c>
    </row>
    <row customHeight="1" ht="11.25">
      <c r="A119" s="2412" t="s">
        <v>2155</v>
      </c>
      <c r="B119" s="2412" t="s">
        <v>14</v>
      </c>
      <c r="C119" s="2412" t="s">
        <v>2614</v>
      </c>
      <c r="D119" s="2412" t="s">
        <v>2615</v>
      </c>
      <c r="E119" s="2412" t="s">
        <v>2616</v>
      </c>
      <c r="F119" s="2412" t="s">
        <v>2168</v>
      </c>
      <c r="G119" s="2412" t="s">
        <v>2617</v>
      </c>
      <c r="H119" s="2412" t="s">
        <v>18</v>
      </c>
      <c r="I119" s="2412" t="s">
        <v>594</v>
      </c>
    </row>
    <row customHeight="1" ht="11.25">
      <c r="A120" s="2412" t="s">
        <v>2155</v>
      </c>
      <c r="B120" s="2412" t="s">
        <v>14</v>
      </c>
      <c r="C120" s="2412" t="s">
        <v>2618</v>
      </c>
      <c r="D120" s="2412" t="s">
        <v>2619</v>
      </c>
      <c r="E120" s="2412" t="s">
        <v>2620</v>
      </c>
      <c r="F120" s="2412" t="s">
        <v>2621</v>
      </c>
      <c r="G120" s="2412" t="s">
        <v>2622</v>
      </c>
      <c r="H120" s="2412" t="s">
        <v>18</v>
      </c>
      <c r="I120" s="2412" t="s">
        <v>594</v>
      </c>
    </row>
    <row customHeight="1" ht="11.25">
      <c r="A121" s="2412" t="s">
        <v>2155</v>
      </c>
      <c r="B121" s="2412" t="s">
        <v>14</v>
      </c>
      <c r="C121" s="2412" t="s">
        <v>2623</v>
      </c>
      <c r="D121" s="2412" t="s">
        <v>2624</v>
      </c>
      <c r="E121" s="2412" t="s">
        <v>2625</v>
      </c>
      <c r="F121" s="2412" t="s">
        <v>2222</v>
      </c>
      <c r="G121" s="2412" t="s">
        <v>18</v>
      </c>
      <c r="H121" s="2412" t="s">
        <v>18</v>
      </c>
      <c r="I121" s="2412" t="s">
        <v>594</v>
      </c>
    </row>
    <row customHeight="1" ht="11.25">
      <c r="A122" s="2412" t="s">
        <v>2155</v>
      </c>
      <c r="B122" s="2412" t="s">
        <v>14</v>
      </c>
      <c r="C122" s="2412" t="s">
        <v>2626</v>
      </c>
      <c r="D122" s="2412" t="s">
        <v>2627</v>
      </c>
      <c r="E122" s="2412" t="s">
        <v>2628</v>
      </c>
      <c r="F122" s="2412" t="s">
        <v>2446</v>
      </c>
      <c r="G122" s="2412" t="s">
        <v>2629</v>
      </c>
      <c r="H122" s="2412" t="s">
        <v>18</v>
      </c>
      <c r="I122" s="2412" t="s">
        <v>594</v>
      </c>
    </row>
    <row customHeight="1" ht="11.25">
      <c r="A123" s="2412" t="s">
        <v>2155</v>
      </c>
      <c r="B123" s="2412" t="s">
        <v>14</v>
      </c>
      <c r="C123" s="2412" t="s">
        <v>2630</v>
      </c>
      <c r="D123" s="2412" t="s">
        <v>2631</v>
      </c>
      <c r="E123" s="2412" t="s">
        <v>2632</v>
      </c>
      <c r="F123" s="2412" t="s">
        <v>2168</v>
      </c>
      <c r="G123" s="2412" t="s">
        <v>18</v>
      </c>
      <c r="H123" s="2412" t="s">
        <v>18</v>
      </c>
      <c r="I123" s="2412" t="s">
        <v>594</v>
      </c>
    </row>
    <row customHeight="1" ht="11.25">
      <c r="A124" s="2412" t="s">
        <v>2155</v>
      </c>
      <c r="B124" s="2412" t="s">
        <v>14</v>
      </c>
      <c r="C124" s="2412" t="s">
        <v>2633</v>
      </c>
      <c r="D124" s="2412" t="s">
        <v>2634</v>
      </c>
      <c r="E124" s="2412" t="s">
        <v>2635</v>
      </c>
      <c r="F124" s="2412" t="s">
        <v>2621</v>
      </c>
      <c r="G124" s="2412" t="s">
        <v>18</v>
      </c>
      <c r="H124" s="2412" t="s">
        <v>18</v>
      </c>
      <c r="I124" s="2412" t="s">
        <v>594</v>
      </c>
    </row>
    <row customHeight="1" ht="11.25">
      <c r="A125" s="2412" t="s">
        <v>2155</v>
      </c>
      <c r="B125" s="2412" t="s">
        <v>14</v>
      </c>
      <c r="C125" s="2412" t="s">
        <v>2636</v>
      </c>
      <c r="D125" s="2412" t="s">
        <v>2637</v>
      </c>
      <c r="E125" s="2412" t="s">
        <v>2638</v>
      </c>
      <c r="F125" s="2412" t="s">
        <v>2639</v>
      </c>
      <c r="G125" s="2412" t="s">
        <v>2640</v>
      </c>
      <c r="H125" s="2412" t="s">
        <v>18</v>
      </c>
      <c r="I125" s="2412" t="s">
        <v>594</v>
      </c>
    </row>
    <row customHeight="1" ht="11.25">
      <c r="A126" s="2412" t="s">
        <v>2155</v>
      </c>
      <c r="B126" s="2412" t="s">
        <v>14</v>
      </c>
      <c r="C126" s="2412" t="s">
        <v>2641</v>
      </c>
      <c r="D126" s="2412" t="s">
        <v>2642</v>
      </c>
      <c r="E126" s="2412" t="s">
        <v>2643</v>
      </c>
      <c r="F126" s="2412" t="s">
        <v>2414</v>
      </c>
      <c r="G126" s="2412" t="s">
        <v>2644</v>
      </c>
      <c r="H126" s="2412" t="s">
        <v>18</v>
      </c>
      <c r="I126" s="2412" t="s">
        <v>594</v>
      </c>
    </row>
    <row customHeight="1" ht="11.25">
      <c r="A127" s="2412" t="s">
        <v>2155</v>
      </c>
      <c r="B127" s="2412" t="s">
        <v>14</v>
      </c>
      <c r="C127" s="2412" t="s">
        <v>2645</v>
      </c>
      <c r="D127" s="2412" t="s">
        <v>2646</v>
      </c>
      <c r="E127" s="2412" t="s">
        <v>2647</v>
      </c>
      <c r="F127" s="2412" t="s">
        <v>2173</v>
      </c>
      <c r="G127" s="2412" t="s">
        <v>2648</v>
      </c>
      <c r="H127" s="2412" t="s">
        <v>18</v>
      </c>
      <c r="I127" s="2412" t="s">
        <v>594</v>
      </c>
    </row>
    <row customHeight="1" ht="11.25">
      <c r="A128" s="2412" t="s">
        <v>2155</v>
      </c>
      <c r="B128" s="2412" t="s">
        <v>14</v>
      </c>
      <c r="C128" s="2412" t="s">
        <v>2649</v>
      </c>
      <c r="D128" s="2412" t="s">
        <v>2650</v>
      </c>
      <c r="E128" s="2412" t="s">
        <v>2651</v>
      </c>
      <c r="F128" s="2412" t="s">
        <v>2201</v>
      </c>
      <c r="G128" s="2412" t="s">
        <v>2577</v>
      </c>
      <c r="H128" s="2412" t="s">
        <v>18</v>
      </c>
      <c r="I128" s="2412" t="s">
        <v>594</v>
      </c>
    </row>
    <row customHeight="1" ht="11.25">
      <c r="A129" s="2412" t="s">
        <v>2155</v>
      </c>
      <c r="B129" s="2412" t="s">
        <v>14</v>
      </c>
      <c r="C129" s="2412" t="s">
        <v>2652</v>
      </c>
      <c r="D129" s="2412" t="s">
        <v>2653</v>
      </c>
      <c r="E129" s="2412" t="s">
        <v>2654</v>
      </c>
      <c r="F129" s="2412" t="s">
        <v>2409</v>
      </c>
      <c r="G129" s="2412" t="s">
        <v>18</v>
      </c>
      <c r="H129" s="2412" t="s">
        <v>18</v>
      </c>
      <c r="I129" s="2412" t="s">
        <v>594</v>
      </c>
    </row>
    <row customHeight="1" ht="11.25">
      <c r="A130" s="2412" t="s">
        <v>2155</v>
      </c>
      <c r="B130" s="2412" t="s">
        <v>14</v>
      </c>
      <c r="C130" s="2412" t="s">
        <v>2655</v>
      </c>
      <c r="D130" s="2412" t="s">
        <v>2656</v>
      </c>
      <c r="E130" s="2412" t="s">
        <v>2657</v>
      </c>
      <c r="F130" s="2412" t="s">
        <v>2201</v>
      </c>
      <c r="G130" s="2412" t="s">
        <v>2658</v>
      </c>
      <c r="H130" s="2412" t="s">
        <v>18</v>
      </c>
      <c r="I130" s="2412" t="s">
        <v>594</v>
      </c>
    </row>
    <row customHeight="1" ht="11.25">
      <c r="A131" s="2412" t="s">
        <v>2155</v>
      </c>
      <c r="B131" s="2412" t="s">
        <v>14</v>
      </c>
      <c r="C131" s="2412" t="s">
        <v>2659</v>
      </c>
      <c r="D131" s="2412" t="s">
        <v>2660</v>
      </c>
      <c r="E131" s="2412" t="s">
        <v>2661</v>
      </c>
      <c r="F131" s="2412" t="s">
        <v>2201</v>
      </c>
      <c r="G131" s="2412" t="s">
        <v>2662</v>
      </c>
      <c r="H131" s="2412" t="s">
        <v>18</v>
      </c>
      <c r="I131" s="2412" t="s">
        <v>594</v>
      </c>
    </row>
    <row customHeight="1" ht="11.25">
      <c r="A132" s="2412" t="s">
        <v>2155</v>
      </c>
      <c r="B132" s="2412" t="s">
        <v>14</v>
      </c>
      <c r="C132" s="2412" t="s">
        <v>2663</v>
      </c>
      <c r="D132" s="2412" t="s">
        <v>2664</v>
      </c>
      <c r="E132" s="2412" t="s">
        <v>2665</v>
      </c>
      <c r="F132" s="2412" t="s">
        <v>2183</v>
      </c>
      <c r="G132" s="2412" t="s">
        <v>18</v>
      </c>
      <c r="H132" s="2412" t="s">
        <v>18</v>
      </c>
      <c r="I132" s="2412" t="s">
        <v>594</v>
      </c>
    </row>
    <row customHeight="1" ht="11.25">
      <c r="A133" s="2412" t="s">
        <v>2155</v>
      </c>
      <c r="B133" s="2412" t="s">
        <v>14</v>
      </c>
      <c r="C133" s="2412" t="s">
        <v>2666</v>
      </c>
      <c r="D133" s="2412" t="s">
        <v>2667</v>
      </c>
      <c r="E133" s="2412" t="s">
        <v>2668</v>
      </c>
      <c r="F133" s="2412" t="s">
        <v>2201</v>
      </c>
      <c r="G133" s="2412" t="s">
        <v>2669</v>
      </c>
      <c r="H133" s="2412" t="s">
        <v>18</v>
      </c>
      <c r="I133" s="2412" t="s">
        <v>594</v>
      </c>
    </row>
    <row customHeight="1" ht="11.25">
      <c r="A134" s="2412" t="s">
        <v>2155</v>
      </c>
      <c r="B134" s="2412" t="s">
        <v>14</v>
      </c>
      <c r="C134" s="2412" t="s">
        <v>2670</v>
      </c>
      <c r="D134" s="2412" t="s">
        <v>2671</v>
      </c>
      <c r="E134" s="2412" t="s">
        <v>2672</v>
      </c>
      <c r="F134" s="2412" t="s">
        <v>2201</v>
      </c>
      <c r="G134" s="2412" t="s">
        <v>2673</v>
      </c>
      <c r="H134" s="2412" t="s">
        <v>18</v>
      </c>
      <c r="I134" s="2412" t="s">
        <v>594</v>
      </c>
    </row>
    <row customHeight="1" ht="11.25">
      <c r="A135" s="2412" t="s">
        <v>2155</v>
      </c>
      <c r="B135" s="2412" t="s">
        <v>14</v>
      </c>
      <c r="C135" s="2412" t="s">
        <v>2674</v>
      </c>
      <c r="D135" s="2412" t="s">
        <v>2675</v>
      </c>
      <c r="E135" s="2412" t="s">
        <v>2676</v>
      </c>
      <c r="F135" s="2412" t="s">
        <v>2242</v>
      </c>
      <c r="G135" s="2412" t="s">
        <v>2677</v>
      </c>
      <c r="H135" s="2412" t="s">
        <v>18</v>
      </c>
      <c r="I135" s="2412" t="s">
        <v>594</v>
      </c>
    </row>
    <row customHeight="1" ht="11.25">
      <c r="A136" s="2412" t="s">
        <v>2155</v>
      </c>
      <c r="B136" s="2412" t="s">
        <v>14</v>
      </c>
      <c r="C136" s="2412" t="s">
        <v>2678</v>
      </c>
      <c r="D136" s="2412" t="s">
        <v>2679</v>
      </c>
      <c r="E136" s="2412" t="s">
        <v>2680</v>
      </c>
      <c r="F136" s="2412" t="s">
        <v>2681</v>
      </c>
      <c r="G136" s="2412" t="s">
        <v>2682</v>
      </c>
      <c r="H136" s="2412" t="s">
        <v>18</v>
      </c>
      <c r="I136" s="2412" t="s">
        <v>594</v>
      </c>
    </row>
    <row customHeight="1" ht="11.25">
      <c r="A137" s="2412" t="s">
        <v>2155</v>
      </c>
      <c r="B137" s="2412" t="s">
        <v>14</v>
      </c>
      <c r="C137" s="2412" t="s">
        <v>2683</v>
      </c>
      <c r="D137" s="2412" t="s">
        <v>2684</v>
      </c>
      <c r="E137" s="2412" t="s">
        <v>2685</v>
      </c>
      <c r="F137" s="2412" t="s">
        <v>2201</v>
      </c>
      <c r="G137" s="2412" t="s">
        <v>18</v>
      </c>
      <c r="H137" s="2412" t="s">
        <v>18</v>
      </c>
      <c r="I137" s="2412" t="s">
        <v>594</v>
      </c>
    </row>
    <row customHeight="1" ht="11.25">
      <c r="A138" s="2412" t="s">
        <v>2155</v>
      </c>
      <c r="B138" s="2412" t="s">
        <v>14</v>
      </c>
      <c r="C138" s="2412" t="s">
        <v>2686</v>
      </c>
      <c r="D138" s="2412" t="s">
        <v>2687</v>
      </c>
      <c r="E138" s="2412" t="s">
        <v>2688</v>
      </c>
      <c r="F138" s="2412" t="s">
        <v>2336</v>
      </c>
      <c r="G138" s="2412" t="s">
        <v>18</v>
      </c>
      <c r="H138" s="2412" t="s">
        <v>18</v>
      </c>
      <c r="I138" s="2412" t="s">
        <v>594</v>
      </c>
    </row>
    <row customHeight="1" ht="11.25">
      <c r="A139" s="2412" t="s">
        <v>2155</v>
      </c>
      <c r="B139" s="2412" t="s">
        <v>14</v>
      </c>
      <c r="C139" s="2412" t="s">
        <v>2689</v>
      </c>
      <c r="D139" s="2412" t="s">
        <v>46</v>
      </c>
      <c r="E139" s="2412" t="s">
        <v>49</v>
      </c>
      <c r="F139" s="2412" t="s">
        <v>51</v>
      </c>
      <c r="G139" s="2412" t="s">
        <v>2690</v>
      </c>
      <c r="H139" s="2412" t="s">
        <v>18</v>
      </c>
      <c r="I139" s="2412" t="s">
        <v>594</v>
      </c>
    </row>
    <row customHeight="1" ht="11.25">
      <c r="A140" s="2412" t="s">
        <v>2155</v>
      </c>
      <c r="B140" s="2412" t="s">
        <v>14</v>
      </c>
      <c r="C140" s="2412" t="s">
        <v>2691</v>
      </c>
      <c r="D140" s="2412" t="s">
        <v>46</v>
      </c>
      <c r="E140" s="2412" t="s">
        <v>49</v>
      </c>
      <c r="F140" s="2412" t="s">
        <v>2692</v>
      </c>
      <c r="G140" s="2412" t="s">
        <v>18</v>
      </c>
      <c r="H140" s="2412" t="s">
        <v>18</v>
      </c>
      <c r="I140" s="2412" t="s">
        <v>594</v>
      </c>
    </row>
    <row customHeight="1" ht="11.25">
      <c r="A141" s="2412" t="s">
        <v>2155</v>
      </c>
      <c r="B141" s="2412" t="s">
        <v>14</v>
      </c>
      <c r="C141" s="2412" t="s">
        <v>2693</v>
      </c>
      <c r="D141" s="2412" t="s">
        <v>2694</v>
      </c>
      <c r="E141" s="2412" t="s">
        <v>2695</v>
      </c>
      <c r="F141" s="2412" t="s">
        <v>2696</v>
      </c>
      <c r="G141" s="2412" t="s">
        <v>18</v>
      </c>
      <c r="H141" s="2412" t="s">
        <v>18</v>
      </c>
      <c r="I141" s="2412" t="s">
        <v>594</v>
      </c>
    </row>
    <row customHeight="1" ht="11.25">
      <c r="A142" s="2412" t="s">
        <v>2155</v>
      </c>
      <c r="B142" s="2412" t="s">
        <v>14</v>
      </c>
      <c r="C142" s="2412" t="s">
        <v>2697</v>
      </c>
      <c r="D142" s="2412" t="s">
        <v>2698</v>
      </c>
      <c r="E142" s="2412" t="s">
        <v>2699</v>
      </c>
      <c r="F142" s="2412" t="s">
        <v>2700</v>
      </c>
      <c r="G142" s="2412" t="s">
        <v>18</v>
      </c>
      <c r="H142" s="2412" t="s">
        <v>18</v>
      </c>
      <c r="I142" s="2412" t="s">
        <v>594</v>
      </c>
    </row>
    <row customHeight="1" ht="11.25">
      <c r="A143" s="2412" t="s">
        <v>2155</v>
      </c>
      <c r="B143" s="2412" t="s">
        <v>14</v>
      </c>
      <c r="C143" s="2412" t="s">
        <v>2701</v>
      </c>
      <c r="D143" s="2412" t="s">
        <v>2702</v>
      </c>
      <c r="E143" s="2412" t="s">
        <v>2703</v>
      </c>
      <c r="F143" s="2412" t="s">
        <v>2164</v>
      </c>
      <c r="G143" s="2412" t="s">
        <v>18</v>
      </c>
      <c r="H143" s="2412" t="s">
        <v>18</v>
      </c>
      <c r="I143" s="2412" t="s">
        <v>594</v>
      </c>
    </row>
    <row customHeight="1" ht="11.25">
      <c r="A144" s="2412" t="s">
        <v>2155</v>
      </c>
      <c r="B144" s="2412" t="s">
        <v>14</v>
      </c>
      <c r="C144" s="2412" t="s">
        <v>2704</v>
      </c>
      <c r="D144" s="2412" t="s">
        <v>2705</v>
      </c>
      <c r="E144" s="2412" t="s">
        <v>2706</v>
      </c>
      <c r="F144" s="2412" t="s">
        <v>2400</v>
      </c>
      <c r="G144" s="2412" t="s">
        <v>2707</v>
      </c>
      <c r="H144" s="2412" t="s">
        <v>18</v>
      </c>
      <c r="I144" s="2412" t="s">
        <v>594</v>
      </c>
    </row>
    <row customHeight="1" ht="11.25">
      <c r="A145" s="2412" t="s">
        <v>2155</v>
      </c>
      <c r="B145" s="2412" t="s">
        <v>14</v>
      </c>
      <c r="C145" s="2412" t="s">
        <v>2708</v>
      </c>
      <c r="D145" s="2412" t="s">
        <v>2709</v>
      </c>
      <c r="E145" s="2412" t="s">
        <v>2710</v>
      </c>
      <c r="F145" s="2412" t="s">
        <v>2242</v>
      </c>
      <c r="G145" s="2412" t="s">
        <v>18</v>
      </c>
      <c r="H145" s="2412" t="s">
        <v>18</v>
      </c>
      <c r="I145" s="2412" t="s">
        <v>594</v>
      </c>
    </row>
    <row customHeight="1" ht="11.25">
      <c r="A146" s="2412" t="s">
        <v>2155</v>
      </c>
      <c r="B146" s="2412" t="s">
        <v>14</v>
      </c>
      <c r="C146" s="2412" t="s">
        <v>2711</v>
      </c>
      <c r="D146" s="2412" t="s">
        <v>2712</v>
      </c>
      <c r="E146" s="2412" t="s">
        <v>2713</v>
      </c>
      <c r="F146" s="2412" t="s">
        <v>2714</v>
      </c>
      <c r="G146" s="2412" t="s">
        <v>18</v>
      </c>
      <c r="H146" s="2412" t="s">
        <v>18</v>
      </c>
      <c r="I146" s="2412" t="s">
        <v>594</v>
      </c>
    </row>
    <row customHeight="1" ht="11.25">
      <c r="A147" s="2412" t="s">
        <v>2155</v>
      </c>
      <c r="B147" s="2412" t="s">
        <v>14</v>
      </c>
      <c r="C147" s="2412" t="s">
        <v>2715</v>
      </c>
      <c r="D147" s="2412" t="s">
        <v>2716</v>
      </c>
      <c r="E147" s="2412" t="s">
        <v>2717</v>
      </c>
      <c r="F147" s="2412" t="s">
        <v>2336</v>
      </c>
      <c r="G147" s="2412" t="s">
        <v>18</v>
      </c>
      <c r="H147" s="2412" t="s">
        <v>18</v>
      </c>
      <c r="I147" s="2412" t="s">
        <v>594</v>
      </c>
    </row>
    <row customHeight="1" ht="11.25">
      <c r="A148" s="2412" t="s">
        <v>2155</v>
      </c>
      <c r="B148" s="2412" t="s">
        <v>14</v>
      </c>
      <c r="C148" s="2412" t="s">
        <v>2156</v>
      </c>
      <c r="D148" s="2412" t="s">
        <v>2157</v>
      </c>
      <c r="E148" s="2412" t="s">
        <v>2158</v>
      </c>
      <c r="F148" s="2412" t="s">
        <v>2159</v>
      </c>
      <c r="G148" s="2412" t="s">
        <v>2160</v>
      </c>
      <c r="H148" s="2412" t="s">
        <v>18</v>
      </c>
      <c r="I148" s="2412" t="s">
        <v>1007</v>
      </c>
    </row>
    <row customHeight="1" ht="11.25">
      <c r="A149" s="2412" t="s">
        <v>2155</v>
      </c>
      <c r="B149" s="2412" t="s">
        <v>14</v>
      </c>
      <c r="C149" s="2412" t="s">
        <v>2165</v>
      </c>
      <c r="D149" s="2412" t="s">
        <v>2166</v>
      </c>
      <c r="E149" s="2412" t="s">
        <v>2167</v>
      </c>
      <c r="F149" s="2412" t="s">
        <v>2168</v>
      </c>
      <c r="G149" s="2412" t="s">
        <v>2169</v>
      </c>
      <c r="H149" s="2412" t="s">
        <v>18</v>
      </c>
      <c r="I149" s="2412" t="s">
        <v>1007</v>
      </c>
    </row>
    <row customHeight="1" ht="11.25">
      <c r="A150" s="2412" t="s">
        <v>2155</v>
      </c>
      <c r="B150" s="2412" t="s">
        <v>14</v>
      </c>
      <c r="C150" s="2412" t="s">
        <v>2170</v>
      </c>
      <c r="D150" s="2412" t="s">
        <v>2171</v>
      </c>
      <c r="E150" s="2412" t="s">
        <v>2172</v>
      </c>
      <c r="F150" s="2412" t="s">
        <v>2173</v>
      </c>
      <c r="G150" s="2412" t="s">
        <v>2174</v>
      </c>
      <c r="H150" s="2412" t="s">
        <v>18</v>
      </c>
      <c r="I150" s="2412" t="s">
        <v>1007</v>
      </c>
    </row>
    <row customHeight="1" ht="11.25">
      <c r="A151" s="2412" t="s">
        <v>2155</v>
      </c>
      <c r="B151" s="2412" t="s">
        <v>14</v>
      </c>
      <c r="C151" s="2412" t="s">
        <v>2175</v>
      </c>
      <c r="D151" s="2412" t="s">
        <v>2176</v>
      </c>
      <c r="E151" s="2412" t="s">
        <v>2177</v>
      </c>
      <c r="F151" s="2412" t="s">
        <v>2178</v>
      </c>
      <c r="G151" s="2412" t="s">
        <v>2179</v>
      </c>
      <c r="H151" s="2412" t="s">
        <v>18</v>
      </c>
      <c r="I151" s="2412" t="s">
        <v>1007</v>
      </c>
    </row>
    <row customHeight="1" ht="11.25">
      <c r="A152" s="2412" t="s">
        <v>2155</v>
      </c>
      <c r="B152" s="2412" t="s">
        <v>14</v>
      </c>
      <c r="C152" s="2412" t="s">
        <v>2180</v>
      </c>
      <c r="D152" s="2412" t="s">
        <v>2181</v>
      </c>
      <c r="E152" s="2412" t="s">
        <v>2182</v>
      </c>
      <c r="F152" s="2412" t="s">
        <v>2183</v>
      </c>
      <c r="G152" s="2412" t="s">
        <v>2184</v>
      </c>
      <c r="H152" s="2412" t="s">
        <v>18</v>
      </c>
      <c r="I152" s="2412" t="s">
        <v>1007</v>
      </c>
    </row>
    <row customHeight="1" ht="11.25">
      <c r="A153" s="2412" t="s">
        <v>2155</v>
      </c>
      <c r="B153" s="2412" t="s">
        <v>14</v>
      </c>
      <c r="C153" s="2412" t="s">
        <v>2190</v>
      </c>
      <c r="D153" s="2412" t="s">
        <v>2191</v>
      </c>
      <c r="E153" s="2412" t="s">
        <v>2192</v>
      </c>
      <c r="F153" s="2412" t="s">
        <v>2193</v>
      </c>
      <c r="G153" s="2412" t="s">
        <v>18</v>
      </c>
      <c r="H153" s="2412" t="s">
        <v>18</v>
      </c>
      <c r="I153" s="2412" t="s">
        <v>1007</v>
      </c>
    </row>
    <row customHeight="1" ht="11.25">
      <c r="A154" s="2412" t="s">
        <v>2155</v>
      </c>
      <c r="B154" s="2412" t="s">
        <v>14</v>
      </c>
      <c r="C154" s="2412" t="s">
        <v>2194</v>
      </c>
      <c r="D154" s="2412" t="s">
        <v>2195</v>
      </c>
      <c r="E154" s="2412" t="s">
        <v>2196</v>
      </c>
      <c r="F154" s="2412" t="s">
        <v>2197</v>
      </c>
      <c r="G154" s="2412" t="s">
        <v>18</v>
      </c>
      <c r="H154" s="2412" t="s">
        <v>18</v>
      </c>
      <c r="I154" s="2412" t="s">
        <v>1007</v>
      </c>
    </row>
    <row customHeight="1" ht="11.25">
      <c r="A155" s="2412" t="s">
        <v>2155</v>
      </c>
      <c r="B155" s="2412" t="s">
        <v>14</v>
      </c>
      <c r="C155" s="2412" t="s">
        <v>18</v>
      </c>
      <c r="D155" s="2412" t="s">
        <v>2207</v>
      </c>
      <c r="E155" s="2412" t="s">
        <v>2208</v>
      </c>
      <c r="F155" s="2412" t="s">
        <v>2201</v>
      </c>
      <c r="G155" s="2412" t="s">
        <v>18</v>
      </c>
      <c r="H155" s="2412" t="s">
        <v>18</v>
      </c>
      <c r="I155" s="2412" t="s">
        <v>1007</v>
      </c>
    </row>
    <row customHeight="1" ht="11.25">
      <c r="A156" s="2412" t="s">
        <v>2155</v>
      </c>
      <c r="B156" s="2412" t="s">
        <v>14</v>
      </c>
      <c r="C156" s="2412" t="s">
        <v>2209</v>
      </c>
      <c r="D156" s="2412" t="s">
        <v>2210</v>
      </c>
      <c r="E156" s="2412" t="s">
        <v>2172</v>
      </c>
      <c r="F156" s="2412" t="s">
        <v>2201</v>
      </c>
      <c r="G156" s="2412" t="s">
        <v>18</v>
      </c>
      <c r="H156" s="2412" t="s">
        <v>18</v>
      </c>
      <c r="I156" s="2412" t="s">
        <v>1007</v>
      </c>
    </row>
    <row customHeight="1" ht="11.25">
      <c r="A157" s="2412" t="s">
        <v>2155</v>
      </c>
      <c r="B157" s="2412" t="s">
        <v>14</v>
      </c>
      <c r="C157" s="2412" t="s">
        <v>2227</v>
      </c>
      <c r="D157" s="2412" t="s">
        <v>2228</v>
      </c>
      <c r="E157" s="2412" t="s">
        <v>2229</v>
      </c>
      <c r="F157" s="2412" t="s">
        <v>420</v>
      </c>
      <c r="G157" s="2412" t="s">
        <v>2230</v>
      </c>
      <c r="H157" s="2412" t="s">
        <v>18</v>
      </c>
      <c r="I157" s="2412" t="s">
        <v>1007</v>
      </c>
    </row>
    <row customHeight="1" ht="11.25">
      <c r="A158" s="2412" t="s">
        <v>2155</v>
      </c>
      <c r="B158" s="2412" t="s">
        <v>14</v>
      </c>
      <c r="C158" s="2412" t="s">
        <v>2231</v>
      </c>
      <c r="D158" s="2412" t="s">
        <v>2232</v>
      </c>
      <c r="E158" s="2412" t="s">
        <v>2233</v>
      </c>
      <c r="F158" s="2412" t="s">
        <v>420</v>
      </c>
      <c r="G158" s="2412" t="s">
        <v>2234</v>
      </c>
      <c r="H158" s="2412" t="s">
        <v>18</v>
      </c>
      <c r="I158" s="2412" t="s">
        <v>1007</v>
      </c>
    </row>
    <row customHeight="1" ht="11.25">
      <c r="A159" s="2412" t="s">
        <v>2155</v>
      </c>
      <c r="B159" s="2412" t="s">
        <v>14</v>
      </c>
      <c r="C159" s="2412" t="s">
        <v>2243</v>
      </c>
      <c r="D159" s="2412" t="s">
        <v>2244</v>
      </c>
      <c r="E159" s="2412" t="s">
        <v>2245</v>
      </c>
      <c r="F159" s="2412" t="s">
        <v>2183</v>
      </c>
      <c r="G159" s="2412" t="s">
        <v>2246</v>
      </c>
      <c r="H159" s="2412" t="s">
        <v>18</v>
      </c>
      <c r="I159" s="2412" t="s">
        <v>1007</v>
      </c>
    </row>
    <row customHeight="1" ht="11.25">
      <c r="A160" s="2412" t="s">
        <v>2155</v>
      </c>
      <c r="B160" s="2412" t="s">
        <v>14</v>
      </c>
      <c r="C160" s="2412" t="s">
        <v>2247</v>
      </c>
      <c r="D160" s="2412" t="s">
        <v>2248</v>
      </c>
      <c r="E160" s="2412" t="s">
        <v>2249</v>
      </c>
      <c r="F160" s="2412" t="s">
        <v>2183</v>
      </c>
      <c r="G160" s="2412" t="s">
        <v>18</v>
      </c>
      <c r="H160" s="2412" t="s">
        <v>18</v>
      </c>
      <c r="I160" s="2412" t="s">
        <v>1007</v>
      </c>
    </row>
    <row customHeight="1" ht="11.25">
      <c r="A161" s="2412" t="s">
        <v>2155</v>
      </c>
      <c r="B161" s="2412" t="s">
        <v>14</v>
      </c>
      <c r="C161" s="2412" t="s">
        <v>2250</v>
      </c>
      <c r="D161" s="2412" t="s">
        <v>2251</v>
      </c>
      <c r="E161" s="2412" t="s">
        <v>2252</v>
      </c>
      <c r="F161" s="2412" t="s">
        <v>2201</v>
      </c>
      <c r="G161" s="2412" t="s">
        <v>18</v>
      </c>
      <c r="H161" s="2412" t="s">
        <v>18</v>
      </c>
      <c r="I161" s="2412" t="s">
        <v>1007</v>
      </c>
    </row>
    <row customHeight="1" ht="11.25">
      <c r="A162" s="2412" t="s">
        <v>2155</v>
      </c>
      <c r="B162" s="2412" t="s">
        <v>14</v>
      </c>
      <c r="C162" s="2412" t="s">
        <v>2312</v>
      </c>
      <c r="D162" s="2412" t="s">
        <v>2313</v>
      </c>
      <c r="E162" s="2412" t="s">
        <v>2314</v>
      </c>
      <c r="F162" s="2412" t="s">
        <v>2178</v>
      </c>
      <c r="G162" s="2412" t="s">
        <v>2315</v>
      </c>
      <c r="H162" s="2412" t="s">
        <v>18</v>
      </c>
      <c r="I162" s="2412" t="s">
        <v>1007</v>
      </c>
    </row>
    <row customHeight="1" ht="11.25">
      <c r="A163" s="2412" t="s">
        <v>2155</v>
      </c>
      <c r="B163" s="2412" t="s">
        <v>14</v>
      </c>
      <c r="C163" s="2412" t="s">
        <v>2316</v>
      </c>
      <c r="D163" s="2412" t="s">
        <v>2317</v>
      </c>
      <c r="E163" s="2412" t="s">
        <v>2318</v>
      </c>
      <c r="F163" s="2412" t="s">
        <v>2319</v>
      </c>
      <c r="G163" s="2412" t="s">
        <v>18</v>
      </c>
      <c r="H163" s="2412" t="s">
        <v>18</v>
      </c>
      <c r="I163" s="2412" t="s">
        <v>1007</v>
      </c>
    </row>
    <row customHeight="1" ht="11.25">
      <c r="A164" s="2412" t="s">
        <v>2155</v>
      </c>
      <c r="B164" s="2412" t="s">
        <v>14</v>
      </c>
      <c r="C164" s="2412" t="s">
        <v>2333</v>
      </c>
      <c r="D164" s="2412" t="s">
        <v>2334</v>
      </c>
      <c r="E164" s="2412" t="s">
        <v>2335</v>
      </c>
      <c r="F164" s="2412" t="s">
        <v>2336</v>
      </c>
      <c r="G164" s="2412" t="s">
        <v>2337</v>
      </c>
      <c r="H164" s="2412" t="s">
        <v>18</v>
      </c>
      <c r="I164" s="2412" t="s">
        <v>1007</v>
      </c>
    </row>
    <row customHeight="1" ht="11.25">
      <c r="A165" s="2412" t="s">
        <v>2155</v>
      </c>
      <c r="B165" s="2412" t="s">
        <v>14</v>
      </c>
      <c r="C165" s="2412" t="s">
        <v>2350</v>
      </c>
      <c r="D165" s="2412" t="s">
        <v>2351</v>
      </c>
      <c r="E165" s="2412" t="s">
        <v>2352</v>
      </c>
      <c r="F165" s="2412" t="s">
        <v>2164</v>
      </c>
      <c r="G165" s="2412" t="s">
        <v>2353</v>
      </c>
      <c r="H165" s="2412" t="s">
        <v>18</v>
      </c>
      <c r="I165" s="2412" t="s">
        <v>1007</v>
      </c>
    </row>
    <row customHeight="1" ht="11.25">
      <c r="A166" s="2412" t="s">
        <v>2155</v>
      </c>
      <c r="B166" s="2412" t="s">
        <v>14</v>
      </c>
      <c r="C166" s="2412" t="s">
        <v>2354</v>
      </c>
      <c r="D166" s="2412" t="s">
        <v>2355</v>
      </c>
      <c r="E166" s="2412" t="s">
        <v>2356</v>
      </c>
      <c r="F166" s="2412" t="s">
        <v>2168</v>
      </c>
      <c r="G166" s="2412" t="s">
        <v>18</v>
      </c>
      <c r="H166" s="2412" t="s">
        <v>18</v>
      </c>
      <c r="I166" s="2412" t="s">
        <v>1007</v>
      </c>
    </row>
    <row customHeight="1" ht="11.25">
      <c r="A167" s="2412" t="s">
        <v>2155</v>
      </c>
      <c r="B167" s="2412" t="s">
        <v>14</v>
      </c>
      <c r="C167" s="2412" t="s">
        <v>2362</v>
      </c>
      <c r="D167" s="2412" t="s">
        <v>2363</v>
      </c>
      <c r="E167" s="2412" t="s">
        <v>2364</v>
      </c>
      <c r="F167" s="2412" t="s">
        <v>2360</v>
      </c>
      <c r="G167" s="2412" t="s">
        <v>18</v>
      </c>
      <c r="H167" s="2412" t="s">
        <v>18</v>
      </c>
      <c r="I167" s="2412" t="s">
        <v>1007</v>
      </c>
    </row>
    <row customHeight="1" ht="11.25">
      <c r="A168" s="2412" t="s">
        <v>2155</v>
      </c>
      <c r="B168" s="2412" t="s">
        <v>14</v>
      </c>
      <c r="C168" s="2412" t="s">
        <v>2365</v>
      </c>
      <c r="D168" s="2412" t="s">
        <v>2366</v>
      </c>
      <c r="E168" s="2412" t="s">
        <v>2367</v>
      </c>
      <c r="F168" s="2412" t="s">
        <v>2183</v>
      </c>
      <c r="G168" s="2412" t="s">
        <v>18</v>
      </c>
      <c r="H168" s="2412" t="s">
        <v>18</v>
      </c>
      <c r="I168" s="2412" t="s">
        <v>1007</v>
      </c>
    </row>
    <row customHeight="1" ht="11.25">
      <c r="A169" s="2412" t="s">
        <v>2155</v>
      </c>
      <c r="B169" s="2412" t="s">
        <v>14</v>
      </c>
      <c r="C169" s="2412" t="s">
        <v>2372</v>
      </c>
      <c r="D169" s="2412" t="s">
        <v>2373</v>
      </c>
      <c r="E169" s="2412" t="s">
        <v>2374</v>
      </c>
      <c r="F169" s="2412" t="s">
        <v>2183</v>
      </c>
      <c r="G169" s="2412" t="s">
        <v>18</v>
      </c>
      <c r="H169" s="2412" t="s">
        <v>18</v>
      </c>
      <c r="I169" s="2412" t="s">
        <v>1007</v>
      </c>
    </row>
    <row customHeight="1" ht="11.25">
      <c r="A170" s="2412" t="s">
        <v>2155</v>
      </c>
      <c r="B170" s="2412" t="s">
        <v>14</v>
      </c>
      <c r="C170" s="2412" t="s">
        <v>2397</v>
      </c>
      <c r="D170" s="2412" t="s">
        <v>2398</v>
      </c>
      <c r="E170" s="2412" t="s">
        <v>2399</v>
      </c>
      <c r="F170" s="2412" t="s">
        <v>2400</v>
      </c>
      <c r="G170" s="2412" t="s">
        <v>2401</v>
      </c>
      <c r="H170" s="2412" t="s">
        <v>18</v>
      </c>
      <c r="I170" s="2412" t="s">
        <v>1007</v>
      </c>
    </row>
    <row customHeight="1" ht="11.25">
      <c r="A171" s="2412" t="s">
        <v>2155</v>
      </c>
      <c r="B171" s="2412" t="s">
        <v>14</v>
      </c>
      <c r="C171" s="2412" t="s">
        <v>2406</v>
      </c>
      <c r="D171" s="2412" t="s">
        <v>2407</v>
      </c>
      <c r="E171" s="2412" t="s">
        <v>2408</v>
      </c>
      <c r="F171" s="2412" t="s">
        <v>2409</v>
      </c>
      <c r="G171" s="2412" t="s">
        <v>2410</v>
      </c>
      <c r="H171" s="2412" t="s">
        <v>18</v>
      </c>
      <c r="I171" s="2412" t="s">
        <v>1007</v>
      </c>
    </row>
    <row customHeight="1" ht="11.25">
      <c r="A172" s="2412" t="s">
        <v>2155</v>
      </c>
      <c r="B172" s="2412" t="s">
        <v>14</v>
      </c>
      <c r="C172" s="2412" t="s">
        <v>2411</v>
      </c>
      <c r="D172" s="2412" t="s">
        <v>2412</v>
      </c>
      <c r="E172" s="2412" t="s">
        <v>2413</v>
      </c>
      <c r="F172" s="2412" t="s">
        <v>2414</v>
      </c>
      <c r="G172" s="2412" t="s">
        <v>2415</v>
      </c>
      <c r="H172" s="2412" t="s">
        <v>18</v>
      </c>
      <c r="I172" s="2412" t="s">
        <v>1007</v>
      </c>
    </row>
    <row customHeight="1" ht="11.25">
      <c r="A173" s="2412" t="s">
        <v>2155</v>
      </c>
      <c r="B173" s="2412" t="s">
        <v>14</v>
      </c>
      <c r="C173" s="2412" t="s">
        <v>2423</v>
      </c>
      <c r="D173" s="2412" t="s">
        <v>2424</v>
      </c>
      <c r="E173" s="2412" t="s">
        <v>2425</v>
      </c>
      <c r="F173" s="2412" t="s">
        <v>2178</v>
      </c>
      <c r="G173" s="2412" t="s">
        <v>2426</v>
      </c>
      <c r="H173" s="2412" t="s">
        <v>18</v>
      </c>
      <c r="I173" s="2412" t="s">
        <v>1007</v>
      </c>
    </row>
    <row customHeight="1" ht="11.25">
      <c r="A174" s="2412" t="s">
        <v>2155</v>
      </c>
      <c r="B174" s="2412" t="s">
        <v>14</v>
      </c>
      <c r="C174" s="2412" t="s">
        <v>2436</v>
      </c>
      <c r="D174" s="2412" t="s">
        <v>2437</v>
      </c>
      <c r="E174" s="2412" t="s">
        <v>2438</v>
      </c>
      <c r="F174" s="2412" t="s">
        <v>2201</v>
      </c>
      <c r="G174" s="2412" t="s">
        <v>18</v>
      </c>
      <c r="H174" s="2412" t="s">
        <v>18</v>
      </c>
      <c r="I174" s="2412" t="s">
        <v>1007</v>
      </c>
    </row>
    <row customHeight="1" ht="11.25">
      <c r="A175" s="2412" t="s">
        <v>2155</v>
      </c>
      <c r="B175" s="2412" t="s">
        <v>14</v>
      </c>
      <c r="C175" s="2412" t="s">
        <v>2482</v>
      </c>
      <c r="D175" s="2412" t="s">
        <v>2483</v>
      </c>
      <c r="E175" s="2412" t="s">
        <v>2484</v>
      </c>
      <c r="F175" s="2412" t="s">
        <v>2168</v>
      </c>
      <c r="G175" s="2412" t="s">
        <v>2485</v>
      </c>
      <c r="H175" s="2412" t="s">
        <v>18</v>
      </c>
      <c r="I175" s="2412" t="s">
        <v>1007</v>
      </c>
    </row>
    <row customHeight="1" ht="11.25">
      <c r="A176" s="2412" t="s">
        <v>2155</v>
      </c>
      <c r="B176" s="2412" t="s">
        <v>14</v>
      </c>
      <c r="C176" s="2412" t="s">
        <v>2486</v>
      </c>
      <c r="D176" s="2412" t="s">
        <v>2487</v>
      </c>
      <c r="E176" s="2412" t="s">
        <v>2488</v>
      </c>
      <c r="F176" s="2412" t="s">
        <v>2201</v>
      </c>
      <c r="G176" s="2412" t="s">
        <v>2489</v>
      </c>
      <c r="H176" s="2412" t="s">
        <v>18</v>
      </c>
      <c r="I176" s="2412" t="s">
        <v>1007</v>
      </c>
    </row>
    <row customHeight="1" ht="11.25">
      <c r="A177" s="2412" t="s">
        <v>2155</v>
      </c>
      <c r="B177" s="2412" t="s">
        <v>14</v>
      </c>
      <c r="C177" s="2412" t="s">
        <v>2501</v>
      </c>
      <c r="D177" s="2412" t="s">
        <v>2502</v>
      </c>
      <c r="E177" s="2412" t="s">
        <v>2503</v>
      </c>
      <c r="F177" s="2412" t="s">
        <v>2504</v>
      </c>
      <c r="G177" s="2412" t="s">
        <v>18</v>
      </c>
      <c r="H177" s="2412" t="s">
        <v>18</v>
      </c>
      <c r="I177" s="2412" t="s">
        <v>1007</v>
      </c>
    </row>
    <row customHeight="1" ht="11.25">
      <c r="A178" s="2412" t="s">
        <v>2155</v>
      </c>
      <c r="B178" s="2412" t="s">
        <v>14</v>
      </c>
      <c r="C178" s="2412" t="s">
        <v>2528</v>
      </c>
      <c r="D178" s="2412" t="s">
        <v>2529</v>
      </c>
      <c r="E178" s="2412" t="s">
        <v>2530</v>
      </c>
      <c r="F178" s="2412" t="s">
        <v>2201</v>
      </c>
      <c r="G178" s="2412" t="s">
        <v>2531</v>
      </c>
      <c r="H178" s="2412" t="s">
        <v>18</v>
      </c>
      <c r="I178" s="2412" t="s">
        <v>1007</v>
      </c>
    </row>
    <row customHeight="1" ht="11.25">
      <c r="A179" s="2412" t="s">
        <v>2155</v>
      </c>
      <c r="B179" s="2412" t="s">
        <v>14</v>
      </c>
      <c r="C179" s="2412" t="s">
        <v>2539</v>
      </c>
      <c r="D179" s="2412" t="s">
        <v>2540</v>
      </c>
      <c r="E179" s="2412" t="s">
        <v>2541</v>
      </c>
      <c r="F179" s="2412" t="s">
        <v>2201</v>
      </c>
      <c r="G179" s="2412" t="s">
        <v>2542</v>
      </c>
      <c r="H179" s="2412" t="s">
        <v>18</v>
      </c>
      <c r="I179" s="2412" t="s">
        <v>1007</v>
      </c>
    </row>
    <row customHeight="1" ht="11.25">
      <c r="A180" s="2412" t="s">
        <v>2155</v>
      </c>
      <c r="B180" s="2412" t="s">
        <v>14</v>
      </c>
      <c r="C180" s="2412" t="s">
        <v>2543</v>
      </c>
      <c r="D180" s="2412" t="s">
        <v>2540</v>
      </c>
      <c r="E180" s="2412" t="s">
        <v>2541</v>
      </c>
      <c r="F180" s="2412" t="s">
        <v>2178</v>
      </c>
      <c r="G180" s="2412" t="s">
        <v>18</v>
      </c>
      <c r="H180" s="2412" t="s">
        <v>18</v>
      </c>
      <c r="I180" s="2412" t="s">
        <v>1007</v>
      </c>
    </row>
    <row customHeight="1" ht="11.25">
      <c r="A181" s="2412" t="s">
        <v>2155</v>
      </c>
      <c r="B181" s="2412" t="s">
        <v>14</v>
      </c>
      <c r="C181" s="2412" t="s">
        <v>2550</v>
      </c>
      <c r="D181" s="2412" t="s">
        <v>2551</v>
      </c>
      <c r="E181" s="2412" t="s">
        <v>2552</v>
      </c>
      <c r="F181" s="2412" t="s">
        <v>2553</v>
      </c>
      <c r="G181" s="2412" t="s">
        <v>18</v>
      </c>
      <c r="H181" s="2412" t="s">
        <v>18</v>
      </c>
      <c r="I181" s="2412" t="s">
        <v>1007</v>
      </c>
    </row>
    <row customHeight="1" ht="11.25">
      <c r="A182" s="2412" t="s">
        <v>2155</v>
      </c>
      <c r="B182" s="2412" t="s">
        <v>14</v>
      </c>
      <c r="C182" s="2412" t="s">
        <v>2554</v>
      </c>
      <c r="D182" s="2412" t="s">
        <v>2555</v>
      </c>
      <c r="E182" s="2412" t="s">
        <v>2556</v>
      </c>
      <c r="F182" s="2412" t="s">
        <v>2201</v>
      </c>
      <c r="G182" s="2412" t="s">
        <v>2557</v>
      </c>
      <c r="H182" s="2412" t="s">
        <v>18</v>
      </c>
      <c r="I182" s="2412" t="s">
        <v>1007</v>
      </c>
    </row>
    <row customHeight="1" ht="11.25">
      <c r="A183" s="2412" t="s">
        <v>2155</v>
      </c>
      <c r="B183" s="2412" t="s">
        <v>14</v>
      </c>
      <c r="C183" s="2412" t="s">
        <v>2558</v>
      </c>
      <c r="D183" s="2412" t="s">
        <v>2559</v>
      </c>
      <c r="E183" s="2412" t="s">
        <v>2560</v>
      </c>
      <c r="F183" s="2412" t="s">
        <v>2201</v>
      </c>
      <c r="G183" s="2412" t="s">
        <v>18</v>
      </c>
      <c r="H183" s="2412" t="s">
        <v>18</v>
      </c>
      <c r="I183" s="2412" t="s">
        <v>1007</v>
      </c>
    </row>
    <row customHeight="1" ht="11.25">
      <c r="A184" s="2412" t="s">
        <v>2155</v>
      </c>
      <c r="B184" s="2412" t="s">
        <v>14</v>
      </c>
      <c r="C184" s="2412" t="s">
        <v>2561</v>
      </c>
      <c r="D184" s="2412" t="s">
        <v>2562</v>
      </c>
      <c r="E184" s="2412" t="s">
        <v>2563</v>
      </c>
      <c r="F184" s="2412" t="s">
        <v>2164</v>
      </c>
      <c r="G184" s="2412" t="s">
        <v>2564</v>
      </c>
      <c r="H184" s="2412" t="s">
        <v>18</v>
      </c>
      <c r="I184" s="2412" t="s">
        <v>1007</v>
      </c>
    </row>
    <row customHeight="1" ht="11.25">
      <c r="A185" s="2412" t="s">
        <v>2155</v>
      </c>
      <c r="B185" s="2412" t="s">
        <v>14</v>
      </c>
      <c r="C185" s="2412" t="s">
        <v>2574</v>
      </c>
      <c r="D185" s="2412" t="s">
        <v>2575</v>
      </c>
      <c r="E185" s="2412" t="s">
        <v>2576</v>
      </c>
      <c r="F185" s="2412" t="s">
        <v>2201</v>
      </c>
      <c r="G185" s="2412" t="s">
        <v>2577</v>
      </c>
      <c r="H185" s="2412" t="s">
        <v>18</v>
      </c>
      <c r="I185" s="2412" t="s">
        <v>1007</v>
      </c>
    </row>
    <row customHeight="1" ht="11.25">
      <c r="A186" s="2412" t="s">
        <v>2155</v>
      </c>
      <c r="B186" s="2412" t="s">
        <v>14</v>
      </c>
      <c r="C186" s="2412" t="s">
        <v>2585</v>
      </c>
      <c r="D186" s="2412" t="s">
        <v>2586</v>
      </c>
      <c r="E186" s="2412" t="s">
        <v>2587</v>
      </c>
      <c r="F186" s="2412" t="s">
        <v>2201</v>
      </c>
      <c r="G186" s="2412" t="s">
        <v>2588</v>
      </c>
      <c r="H186" s="2412" t="s">
        <v>18</v>
      </c>
      <c r="I186" s="2412" t="s">
        <v>1007</v>
      </c>
    </row>
    <row customHeight="1" ht="11.25">
      <c r="A187" s="2412" t="s">
        <v>2155</v>
      </c>
      <c r="B187" s="2412" t="s">
        <v>14</v>
      </c>
      <c r="C187" s="2412" t="s">
        <v>2610</v>
      </c>
      <c r="D187" s="2412" t="s">
        <v>2611</v>
      </c>
      <c r="E187" s="2412" t="s">
        <v>2612</v>
      </c>
      <c r="F187" s="2412" t="s">
        <v>2164</v>
      </c>
      <c r="G187" s="2412" t="s">
        <v>2613</v>
      </c>
      <c r="H187" s="2412" t="s">
        <v>18</v>
      </c>
      <c r="I187" s="2412" t="s">
        <v>1007</v>
      </c>
    </row>
    <row customHeight="1" ht="11.25">
      <c r="A188" s="2412" t="s">
        <v>2155</v>
      </c>
      <c r="B188" s="2412" t="s">
        <v>14</v>
      </c>
      <c r="C188" s="2412" t="s">
        <v>2618</v>
      </c>
      <c r="D188" s="2412" t="s">
        <v>2619</v>
      </c>
      <c r="E188" s="2412" t="s">
        <v>2620</v>
      </c>
      <c r="F188" s="2412" t="s">
        <v>2621</v>
      </c>
      <c r="G188" s="2412" t="s">
        <v>2622</v>
      </c>
      <c r="H188" s="2412" t="s">
        <v>18</v>
      </c>
      <c r="I188" s="2412" t="s">
        <v>1007</v>
      </c>
    </row>
    <row customHeight="1" ht="11.25">
      <c r="A189" s="2412" t="s">
        <v>2155</v>
      </c>
      <c r="B189" s="2412" t="s">
        <v>14</v>
      </c>
      <c r="C189" s="2412" t="s">
        <v>2623</v>
      </c>
      <c r="D189" s="2412" t="s">
        <v>2624</v>
      </c>
      <c r="E189" s="2412" t="s">
        <v>2625</v>
      </c>
      <c r="F189" s="2412" t="s">
        <v>2222</v>
      </c>
      <c r="G189" s="2412" t="s">
        <v>18</v>
      </c>
      <c r="H189" s="2412" t="s">
        <v>18</v>
      </c>
      <c r="I189" s="2412" t="s">
        <v>1007</v>
      </c>
    </row>
    <row customHeight="1" ht="11.25">
      <c r="A190" s="2412" t="s">
        <v>2155</v>
      </c>
      <c r="B190" s="2412" t="s">
        <v>14</v>
      </c>
      <c r="C190" s="2412" t="s">
        <v>2626</v>
      </c>
      <c r="D190" s="2412" t="s">
        <v>2627</v>
      </c>
      <c r="E190" s="2412" t="s">
        <v>2628</v>
      </c>
      <c r="F190" s="2412" t="s">
        <v>2446</v>
      </c>
      <c r="G190" s="2412" t="s">
        <v>2629</v>
      </c>
      <c r="H190" s="2412" t="s">
        <v>18</v>
      </c>
      <c r="I190" s="2412" t="s">
        <v>1007</v>
      </c>
    </row>
    <row customHeight="1" ht="11.25">
      <c r="A191" s="2412" t="s">
        <v>2155</v>
      </c>
      <c r="B191" s="2412" t="s">
        <v>14</v>
      </c>
      <c r="C191" s="2412" t="s">
        <v>2630</v>
      </c>
      <c r="D191" s="2412" t="s">
        <v>2631</v>
      </c>
      <c r="E191" s="2412" t="s">
        <v>2632</v>
      </c>
      <c r="F191" s="2412" t="s">
        <v>2168</v>
      </c>
      <c r="G191" s="2412" t="s">
        <v>18</v>
      </c>
      <c r="H191" s="2412" t="s">
        <v>18</v>
      </c>
      <c r="I191" s="2412" t="s">
        <v>1007</v>
      </c>
    </row>
    <row customHeight="1" ht="11.25">
      <c r="A192" s="2412" t="s">
        <v>2155</v>
      </c>
      <c r="B192" s="2412" t="s">
        <v>14</v>
      </c>
      <c r="C192" s="2412" t="s">
        <v>2633</v>
      </c>
      <c r="D192" s="2412" t="s">
        <v>2634</v>
      </c>
      <c r="E192" s="2412" t="s">
        <v>2635</v>
      </c>
      <c r="F192" s="2412" t="s">
        <v>2621</v>
      </c>
      <c r="G192" s="2412" t="s">
        <v>18</v>
      </c>
      <c r="H192" s="2412" t="s">
        <v>18</v>
      </c>
      <c r="I192" s="2412" t="s">
        <v>1007</v>
      </c>
    </row>
    <row customHeight="1" ht="11.25">
      <c r="A193" s="2412" t="s">
        <v>2155</v>
      </c>
      <c r="B193" s="2412" t="s">
        <v>14</v>
      </c>
      <c r="C193" s="2412" t="s">
        <v>2663</v>
      </c>
      <c r="D193" s="2412" t="s">
        <v>2664</v>
      </c>
      <c r="E193" s="2412" t="s">
        <v>2665</v>
      </c>
      <c r="F193" s="2412" t="s">
        <v>2183</v>
      </c>
      <c r="G193" s="2412" t="s">
        <v>18</v>
      </c>
      <c r="H193" s="2412" t="s">
        <v>18</v>
      </c>
      <c r="I193" s="2412" t="s">
        <v>1007</v>
      </c>
    </row>
    <row customHeight="1" ht="11.25">
      <c r="A194" s="2412" t="s">
        <v>2155</v>
      </c>
      <c r="B194" s="2412" t="s">
        <v>14</v>
      </c>
      <c r="C194" s="2412" t="s">
        <v>2678</v>
      </c>
      <c r="D194" s="2412" t="s">
        <v>2679</v>
      </c>
      <c r="E194" s="2412" t="s">
        <v>2680</v>
      </c>
      <c r="F194" s="2412" t="s">
        <v>2681</v>
      </c>
      <c r="G194" s="2412" t="s">
        <v>2682</v>
      </c>
      <c r="H194" s="2412" t="s">
        <v>18</v>
      </c>
      <c r="I194" s="2412" t="s">
        <v>1007</v>
      </c>
    </row>
    <row customHeight="1" ht="11.25">
      <c r="A195" s="2412" t="s">
        <v>2155</v>
      </c>
      <c r="B195" s="2412" t="s">
        <v>14</v>
      </c>
      <c r="C195" s="2412" t="s">
        <v>2689</v>
      </c>
      <c r="D195" s="2412" t="s">
        <v>46</v>
      </c>
      <c r="E195" s="2412" t="s">
        <v>49</v>
      </c>
      <c r="F195" s="2412" t="s">
        <v>51</v>
      </c>
      <c r="G195" s="2412" t="s">
        <v>2690</v>
      </c>
      <c r="H195" s="2412" t="s">
        <v>18</v>
      </c>
      <c r="I195" s="2412" t="s">
        <v>1007</v>
      </c>
    </row>
    <row customHeight="1" ht="11.25">
      <c r="A196" s="2412" t="s">
        <v>2155</v>
      </c>
      <c r="B196" s="2412" t="s">
        <v>14</v>
      </c>
      <c r="C196" s="2412" t="s">
        <v>2697</v>
      </c>
      <c r="D196" s="2412" t="s">
        <v>2698</v>
      </c>
      <c r="E196" s="2412" t="s">
        <v>2699</v>
      </c>
      <c r="F196" s="2412" t="s">
        <v>2700</v>
      </c>
      <c r="G196" s="2412" t="s">
        <v>18</v>
      </c>
      <c r="H196" s="2412" t="s">
        <v>18</v>
      </c>
      <c r="I196" s="2412" t="s">
        <v>1007</v>
      </c>
    </row>
    <row customHeight="1" ht="11.25">
      <c r="A197" s="2412" t="s">
        <v>2155</v>
      </c>
      <c r="B197" s="2412" t="s">
        <v>14</v>
      </c>
      <c r="C197" s="2412" t="s">
        <v>2701</v>
      </c>
      <c r="D197" s="2412" t="s">
        <v>2702</v>
      </c>
      <c r="E197" s="2412" t="s">
        <v>2703</v>
      </c>
      <c r="F197" s="2412" t="s">
        <v>2164</v>
      </c>
      <c r="G197" s="2412" t="s">
        <v>18</v>
      </c>
      <c r="H197" s="2412" t="s">
        <v>18</v>
      </c>
      <c r="I197" s="2412" t="s">
        <v>1007</v>
      </c>
    </row>
    <row customHeight="1" ht="11.25">
      <c r="A198" s="2412" t="s">
        <v>2155</v>
      </c>
      <c r="B198" s="2412" t="s">
        <v>14</v>
      </c>
      <c r="C198" s="2412" t="s">
        <v>2704</v>
      </c>
      <c r="D198" s="2412" t="s">
        <v>2705</v>
      </c>
      <c r="E198" s="2412" t="s">
        <v>2706</v>
      </c>
      <c r="F198" s="2412" t="s">
        <v>2400</v>
      </c>
      <c r="G198" s="2412" t="s">
        <v>2707</v>
      </c>
      <c r="H198" s="2412" t="s">
        <v>18</v>
      </c>
      <c r="I198" s="2412" t="s">
        <v>1007</v>
      </c>
    </row>
    <row customHeight="1" ht="11.25">
      <c r="A199" s="2412" t="s">
        <v>2155</v>
      </c>
      <c r="B199" s="2412" t="s">
        <v>14</v>
      </c>
      <c r="C199" s="2412" t="s">
        <v>2156</v>
      </c>
      <c r="D199" s="2412" t="s">
        <v>2157</v>
      </c>
      <c r="E199" s="2412" t="s">
        <v>2158</v>
      </c>
      <c r="F199" s="2412" t="s">
        <v>2159</v>
      </c>
      <c r="G199" s="2412" t="s">
        <v>2160</v>
      </c>
      <c r="H199" s="2412" t="s">
        <v>18</v>
      </c>
      <c r="I199" s="2412" t="s">
        <v>984</v>
      </c>
    </row>
    <row customHeight="1" ht="11.25">
      <c r="A200" s="2412" t="s">
        <v>2155</v>
      </c>
      <c r="B200" s="2412" t="s">
        <v>14</v>
      </c>
      <c r="C200" s="2412" t="s">
        <v>2175</v>
      </c>
      <c r="D200" s="2412" t="s">
        <v>2176</v>
      </c>
      <c r="E200" s="2412" t="s">
        <v>2177</v>
      </c>
      <c r="F200" s="2412" t="s">
        <v>2178</v>
      </c>
      <c r="G200" s="2412" t="s">
        <v>2179</v>
      </c>
      <c r="H200" s="2412" t="s">
        <v>18</v>
      </c>
      <c r="I200" s="2412" t="s">
        <v>984</v>
      </c>
    </row>
    <row customHeight="1" ht="11.25">
      <c r="A201" s="2412" t="s">
        <v>2155</v>
      </c>
      <c r="B201" s="2412" t="s">
        <v>14</v>
      </c>
      <c r="C201" s="2412" t="s">
        <v>2718</v>
      </c>
      <c r="D201" s="2412" t="s">
        <v>2719</v>
      </c>
      <c r="E201" s="2412" t="s">
        <v>2720</v>
      </c>
      <c r="F201" s="2412" t="s">
        <v>2201</v>
      </c>
      <c r="G201" s="2412" t="s">
        <v>2721</v>
      </c>
      <c r="H201" s="2412" t="s">
        <v>18</v>
      </c>
      <c r="I201" s="2412" t="s">
        <v>984</v>
      </c>
    </row>
    <row customHeight="1" ht="11.25">
      <c r="A202" s="2412" t="s">
        <v>2155</v>
      </c>
      <c r="B202" s="2412" t="s">
        <v>14</v>
      </c>
      <c r="C202" s="2412" t="s">
        <v>2180</v>
      </c>
      <c r="D202" s="2412" t="s">
        <v>2181</v>
      </c>
      <c r="E202" s="2412" t="s">
        <v>2182</v>
      </c>
      <c r="F202" s="2412" t="s">
        <v>2183</v>
      </c>
      <c r="G202" s="2412" t="s">
        <v>2184</v>
      </c>
      <c r="H202" s="2412" t="s">
        <v>18</v>
      </c>
      <c r="I202" s="2412" t="s">
        <v>984</v>
      </c>
    </row>
    <row customHeight="1" ht="11.25">
      <c r="A203" s="2412" t="s">
        <v>2155</v>
      </c>
      <c r="B203" s="2412" t="s">
        <v>14</v>
      </c>
      <c r="C203" s="2412" t="s">
        <v>2190</v>
      </c>
      <c r="D203" s="2412" t="s">
        <v>2191</v>
      </c>
      <c r="E203" s="2412" t="s">
        <v>2192</v>
      </c>
      <c r="F203" s="2412" t="s">
        <v>2193</v>
      </c>
      <c r="G203" s="2412" t="s">
        <v>18</v>
      </c>
      <c r="H203" s="2412" t="s">
        <v>18</v>
      </c>
      <c r="I203" s="2412" t="s">
        <v>984</v>
      </c>
    </row>
    <row customHeight="1" ht="11.25">
      <c r="A204" s="2412" t="s">
        <v>2155</v>
      </c>
      <c r="B204" s="2412" t="s">
        <v>14</v>
      </c>
      <c r="C204" s="2412" t="s">
        <v>2198</v>
      </c>
      <c r="D204" s="2412" t="s">
        <v>2199</v>
      </c>
      <c r="E204" s="2412" t="s">
        <v>2200</v>
      </c>
      <c r="F204" s="2412" t="s">
        <v>2201</v>
      </c>
      <c r="G204" s="2412" t="s">
        <v>2202</v>
      </c>
      <c r="H204" s="2412" t="s">
        <v>18</v>
      </c>
      <c r="I204" s="2412" t="s">
        <v>984</v>
      </c>
    </row>
    <row customHeight="1" ht="11.25">
      <c r="A205" s="2412" t="s">
        <v>2155</v>
      </c>
      <c r="B205" s="2412" t="s">
        <v>14</v>
      </c>
      <c r="C205" s="2412" t="s">
        <v>18</v>
      </c>
      <c r="D205" s="2412" t="s">
        <v>2207</v>
      </c>
      <c r="E205" s="2412" t="s">
        <v>2208</v>
      </c>
      <c r="F205" s="2412" t="s">
        <v>2201</v>
      </c>
      <c r="G205" s="2412" t="s">
        <v>18</v>
      </c>
      <c r="H205" s="2412" t="s">
        <v>18</v>
      </c>
      <c r="I205" s="2412" t="s">
        <v>984</v>
      </c>
    </row>
    <row customHeight="1" ht="11.25">
      <c r="A206" s="2412" t="s">
        <v>2155</v>
      </c>
      <c r="B206" s="2412" t="s">
        <v>14</v>
      </c>
      <c r="C206" s="2412" t="s">
        <v>2722</v>
      </c>
      <c r="D206" s="2412" t="s">
        <v>2723</v>
      </c>
      <c r="E206" s="2412" t="s">
        <v>2724</v>
      </c>
      <c r="F206" s="2412" t="s">
        <v>2725</v>
      </c>
      <c r="G206" s="2412" t="s">
        <v>2726</v>
      </c>
      <c r="H206" s="2412" t="s">
        <v>18</v>
      </c>
      <c r="I206" s="2412" t="s">
        <v>984</v>
      </c>
    </row>
    <row customHeight="1" ht="11.25">
      <c r="A207" s="2412" t="s">
        <v>2155</v>
      </c>
      <c r="B207" s="2412" t="s">
        <v>14</v>
      </c>
      <c r="C207" s="2412" t="s">
        <v>2219</v>
      </c>
      <c r="D207" s="2412" t="s">
        <v>2220</v>
      </c>
      <c r="E207" s="2412" t="s">
        <v>2221</v>
      </c>
      <c r="F207" s="2412" t="s">
        <v>2222</v>
      </c>
      <c r="G207" s="2412" t="s">
        <v>18</v>
      </c>
      <c r="H207" s="2412" t="s">
        <v>18</v>
      </c>
      <c r="I207" s="2412" t="s">
        <v>984</v>
      </c>
    </row>
    <row customHeight="1" ht="11.25">
      <c r="A208" s="2412" t="s">
        <v>2155</v>
      </c>
      <c r="B208" s="2412" t="s">
        <v>14</v>
      </c>
      <c r="C208" s="2412" t="s">
        <v>2227</v>
      </c>
      <c r="D208" s="2412" t="s">
        <v>2228</v>
      </c>
      <c r="E208" s="2412" t="s">
        <v>2229</v>
      </c>
      <c r="F208" s="2412" t="s">
        <v>420</v>
      </c>
      <c r="G208" s="2412" t="s">
        <v>2230</v>
      </c>
      <c r="H208" s="2412" t="s">
        <v>18</v>
      </c>
      <c r="I208" s="2412" t="s">
        <v>984</v>
      </c>
    </row>
    <row customHeight="1" ht="11.25">
      <c r="A209" s="2412" t="s">
        <v>2155</v>
      </c>
      <c r="B209" s="2412" t="s">
        <v>14</v>
      </c>
      <c r="C209" s="2412" t="s">
        <v>2727</v>
      </c>
      <c r="D209" s="2412" t="s">
        <v>2728</v>
      </c>
      <c r="E209" s="2412" t="s">
        <v>2729</v>
      </c>
      <c r="F209" s="2412" t="s">
        <v>420</v>
      </c>
      <c r="G209" s="2412" t="s">
        <v>18</v>
      </c>
      <c r="H209" s="2412" t="s">
        <v>18</v>
      </c>
      <c r="I209" s="2412" t="s">
        <v>984</v>
      </c>
    </row>
    <row customHeight="1" ht="11.25">
      <c r="A210" s="2412" t="s">
        <v>2155</v>
      </c>
      <c r="B210" s="2412" t="s">
        <v>14</v>
      </c>
      <c r="C210" s="2412" t="s">
        <v>2231</v>
      </c>
      <c r="D210" s="2412" t="s">
        <v>2232</v>
      </c>
      <c r="E210" s="2412" t="s">
        <v>2233</v>
      </c>
      <c r="F210" s="2412" t="s">
        <v>420</v>
      </c>
      <c r="G210" s="2412" t="s">
        <v>2234</v>
      </c>
      <c r="H210" s="2412" t="s">
        <v>18</v>
      </c>
      <c r="I210" s="2412" t="s">
        <v>984</v>
      </c>
    </row>
    <row customHeight="1" ht="11.25">
      <c r="A211" s="2412" t="s">
        <v>2155</v>
      </c>
      <c r="B211" s="2412" t="s">
        <v>14</v>
      </c>
      <c r="C211" s="2412" t="s">
        <v>2235</v>
      </c>
      <c r="D211" s="2412" t="s">
        <v>2236</v>
      </c>
      <c r="E211" s="2412" t="s">
        <v>2237</v>
      </c>
      <c r="F211" s="2412" t="s">
        <v>420</v>
      </c>
      <c r="G211" s="2412" t="s">
        <v>2238</v>
      </c>
      <c r="H211" s="2412" t="s">
        <v>18</v>
      </c>
      <c r="I211" s="2412" t="s">
        <v>984</v>
      </c>
    </row>
    <row customHeight="1" ht="11.25">
      <c r="A212" s="2412" t="s">
        <v>2155</v>
      </c>
      <c r="B212" s="2412" t="s">
        <v>14</v>
      </c>
      <c r="C212" s="2412" t="s">
        <v>2730</v>
      </c>
      <c r="D212" s="2412" t="s">
        <v>2731</v>
      </c>
      <c r="E212" s="2412" t="s">
        <v>2732</v>
      </c>
      <c r="F212" s="2412" t="s">
        <v>420</v>
      </c>
      <c r="G212" s="2412" t="s">
        <v>18</v>
      </c>
      <c r="H212" s="2412" t="s">
        <v>18</v>
      </c>
      <c r="I212" s="2412" t="s">
        <v>984</v>
      </c>
    </row>
    <row customHeight="1" ht="11.25">
      <c r="A213" s="2412" t="s">
        <v>2155</v>
      </c>
      <c r="B213" s="2412" t="s">
        <v>14</v>
      </c>
      <c r="C213" s="2412" t="s">
        <v>2733</v>
      </c>
      <c r="D213" s="2412" t="s">
        <v>2734</v>
      </c>
      <c r="E213" s="2412" t="s">
        <v>2735</v>
      </c>
      <c r="F213" s="2412" t="s">
        <v>2168</v>
      </c>
      <c r="G213" s="2412" t="s">
        <v>18</v>
      </c>
      <c r="H213" s="2412" t="s">
        <v>18</v>
      </c>
      <c r="I213" s="2412" t="s">
        <v>984</v>
      </c>
    </row>
    <row customHeight="1" ht="11.25">
      <c r="A214" s="2412" t="s">
        <v>2155</v>
      </c>
      <c r="B214" s="2412" t="s">
        <v>14</v>
      </c>
      <c r="C214" s="2412" t="s">
        <v>2243</v>
      </c>
      <c r="D214" s="2412" t="s">
        <v>2244</v>
      </c>
      <c r="E214" s="2412" t="s">
        <v>2245</v>
      </c>
      <c r="F214" s="2412" t="s">
        <v>2183</v>
      </c>
      <c r="G214" s="2412" t="s">
        <v>2246</v>
      </c>
      <c r="H214" s="2412" t="s">
        <v>18</v>
      </c>
      <c r="I214" s="2412" t="s">
        <v>984</v>
      </c>
    </row>
    <row customHeight="1" ht="11.25">
      <c r="A215" s="2412" t="s">
        <v>2155</v>
      </c>
      <c r="B215" s="2412" t="s">
        <v>14</v>
      </c>
      <c r="C215" s="2412" t="s">
        <v>2247</v>
      </c>
      <c r="D215" s="2412" t="s">
        <v>2248</v>
      </c>
      <c r="E215" s="2412" t="s">
        <v>2249</v>
      </c>
      <c r="F215" s="2412" t="s">
        <v>2183</v>
      </c>
      <c r="G215" s="2412" t="s">
        <v>18</v>
      </c>
      <c r="H215" s="2412" t="s">
        <v>18</v>
      </c>
      <c r="I215" s="2412" t="s">
        <v>984</v>
      </c>
    </row>
    <row customHeight="1" ht="11.25">
      <c r="A216" s="2412" t="s">
        <v>2155</v>
      </c>
      <c r="B216" s="2412" t="s">
        <v>14</v>
      </c>
      <c r="C216" s="2412" t="s">
        <v>2250</v>
      </c>
      <c r="D216" s="2412" t="s">
        <v>2251</v>
      </c>
      <c r="E216" s="2412" t="s">
        <v>2252</v>
      </c>
      <c r="F216" s="2412" t="s">
        <v>2201</v>
      </c>
      <c r="G216" s="2412" t="s">
        <v>18</v>
      </c>
      <c r="H216" s="2412" t="s">
        <v>18</v>
      </c>
      <c r="I216" s="2412" t="s">
        <v>984</v>
      </c>
    </row>
    <row customHeight="1" ht="11.25">
      <c r="A217" s="2412" t="s">
        <v>2155</v>
      </c>
      <c r="B217" s="2412" t="s">
        <v>14</v>
      </c>
      <c r="C217" s="2412" t="s">
        <v>2736</v>
      </c>
      <c r="D217" s="2412" t="s">
        <v>2737</v>
      </c>
      <c r="E217" s="2412" t="s">
        <v>2738</v>
      </c>
      <c r="F217" s="2412" t="s">
        <v>2319</v>
      </c>
      <c r="G217" s="2412" t="s">
        <v>2739</v>
      </c>
      <c r="H217" s="2412" t="s">
        <v>18</v>
      </c>
      <c r="I217" s="2412" t="s">
        <v>984</v>
      </c>
    </row>
    <row customHeight="1" ht="11.25">
      <c r="A218" s="2412" t="s">
        <v>2155</v>
      </c>
      <c r="B218" s="2412" t="s">
        <v>14</v>
      </c>
      <c r="C218" s="2412" t="s">
        <v>2740</v>
      </c>
      <c r="D218" s="2412" t="s">
        <v>2741</v>
      </c>
      <c r="E218" s="2412" t="s">
        <v>2742</v>
      </c>
      <c r="F218" s="2412" t="s">
        <v>2319</v>
      </c>
      <c r="G218" s="2412" t="s">
        <v>2743</v>
      </c>
      <c r="H218" s="2412" t="s">
        <v>18</v>
      </c>
      <c r="I218" s="2412" t="s">
        <v>984</v>
      </c>
    </row>
    <row customHeight="1" ht="11.25">
      <c r="A219" s="2412" t="s">
        <v>2155</v>
      </c>
      <c r="B219" s="2412" t="s">
        <v>14</v>
      </c>
      <c r="C219" s="2412" t="s">
        <v>2744</v>
      </c>
      <c r="D219" s="2412" t="s">
        <v>2745</v>
      </c>
      <c r="E219" s="2412" t="s">
        <v>2746</v>
      </c>
      <c r="F219" s="2412" t="s">
        <v>2269</v>
      </c>
      <c r="G219" s="2412" t="s">
        <v>2747</v>
      </c>
      <c r="H219" s="2412" t="s">
        <v>18</v>
      </c>
      <c r="I219" s="2412" t="s">
        <v>984</v>
      </c>
    </row>
    <row customHeight="1" ht="11.25">
      <c r="A220" s="2412" t="s">
        <v>2155</v>
      </c>
      <c r="B220" s="2412" t="s">
        <v>14</v>
      </c>
      <c r="C220" s="2412" t="s">
        <v>2261</v>
      </c>
      <c r="D220" s="2412" t="s">
        <v>2262</v>
      </c>
      <c r="E220" s="2412" t="s">
        <v>2263</v>
      </c>
      <c r="F220" s="2412" t="s">
        <v>2264</v>
      </c>
      <c r="G220" s="2412" t="s">
        <v>2265</v>
      </c>
      <c r="H220" s="2412" t="s">
        <v>18</v>
      </c>
      <c r="I220" s="2412" t="s">
        <v>984</v>
      </c>
    </row>
    <row customHeight="1" ht="11.25">
      <c r="A221" s="2412" t="s">
        <v>2155</v>
      </c>
      <c r="B221" s="2412" t="s">
        <v>14</v>
      </c>
      <c r="C221" s="2412" t="s">
        <v>2266</v>
      </c>
      <c r="D221" s="2412" t="s">
        <v>2267</v>
      </c>
      <c r="E221" s="2412" t="s">
        <v>2268</v>
      </c>
      <c r="F221" s="2412" t="s">
        <v>2269</v>
      </c>
      <c r="G221" s="2412" t="s">
        <v>2270</v>
      </c>
      <c r="H221" s="2412" t="s">
        <v>18</v>
      </c>
      <c r="I221" s="2412" t="s">
        <v>984</v>
      </c>
    </row>
    <row customHeight="1" ht="11.25">
      <c r="A222" s="2412" t="s">
        <v>2155</v>
      </c>
      <c r="B222" s="2412" t="s">
        <v>14</v>
      </c>
      <c r="C222" s="2412" t="s">
        <v>2284</v>
      </c>
      <c r="D222" s="2412" t="s">
        <v>2285</v>
      </c>
      <c r="E222" s="2412" t="s">
        <v>2286</v>
      </c>
      <c r="F222" s="2412" t="s">
        <v>2164</v>
      </c>
      <c r="G222" s="2412" t="s">
        <v>2287</v>
      </c>
      <c r="H222" s="2412" t="s">
        <v>18</v>
      </c>
      <c r="I222" s="2412" t="s">
        <v>984</v>
      </c>
    </row>
    <row customHeight="1" ht="11.25">
      <c r="A223" s="2412" t="s">
        <v>2155</v>
      </c>
      <c r="B223" s="2412" t="s">
        <v>14</v>
      </c>
      <c r="C223" s="2412" t="s">
        <v>2288</v>
      </c>
      <c r="D223" s="2412" t="s">
        <v>2289</v>
      </c>
      <c r="E223" s="2412" t="s">
        <v>2290</v>
      </c>
      <c r="F223" s="2412" t="s">
        <v>2291</v>
      </c>
      <c r="G223" s="2412" t="s">
        <v>2292</v>
      </c>
      <c r="H223" s="2412" t="s">
        <v>18</v>
      </c>
      <c r="I223" s="2412" t="s">
        <v>984</v>
      </c>
    </row>
    <row customHeight="1" ht="11.25">
      <c r="A224" s="2412" t="s">
        <v>2155</v>
      </c>
      <c r="B224" s="2412" t="s">
        <v>14</v>
      </c>
      <c r="C224" s="2412" t="s">
        <v>2748</v>
      </c>
      <c r="D224" s="2412" t="s">
        <v>2749</v>
      </c>
      <c r="E224" s="2412" t="s">
        <v>2750</v>
      </c>
      <c r="F224" s="2412" t="s">
        <v>2446</v>
      </c>
      <c r="G224" s="2412" t="s">
        <v>2751</v>
      </c>
      <c r="H224" s="2412" t="s">
        <v>18</v>
      </c>
      <c r="I224" s="2412" t="s">
        <v>984</v>
      </c>
    </row>
    <row customHeight="1" ht="11.25">
      <c r="A225" s="2412" t="s">
        <v>2155</v>
      </c>
      <c r="B225" s="2412" t="s">
        <v>14</v>
      </c>
      <c r="C225" s="2412" t="s">
        <v>2293</v>
      </c>
      <c r="D225" s="2412" t="s">
        <v>2294</v>
      </c>
      <c r="E225" s="2412" t="s">
        <v>2295</v>
      </c>
      <c r="F225" s="2412" t="s">
        <v>2296</v>
      </c>
      <c r="G225" s="2412" t="s">
        <v>2297</v>
      </c>
      <c r="H225" s="2412" t="s">
        <v>18</v>
      </c>
      <c r="I225" s="2412" t="s">
        <v>984</v>
      </c>
    </row>
    <row customHeight="1" ht="11.25">
      <c r="A226" s="2412" t="s">
        <v>2155</v>
      </c>
      <c r="B226" s="2412" t="s">
        <v>14</v>
      </c>
      <c r="C226" s="2412" t="s">
        <v>2298</v>
      </c>
      <c r="D226" s="2412" t="s">
        <v>2299</v>
      </c>
      <c r="E226" s="2412" t="s">
        <v>2300</v>
      </c>
      <c r="F226" s="2412" t="s">
        <v>2242</v>
      </c>
      <c r="G226" s="2412" t="s">
        <v>2301</v>
      </c>
      <c r="H226" s="2412" t="s">
        <v>18</v>
      </c>
      <c r="I226" s="2412" t="s">
        <v>984</v>
      </c>
    </row>
    <row customHeight="1" ht="11.25">
      <c r="A227" s="2412" t="s">
        <v>2155</v>
      </c>
      <c r="B227" s="2412" t="s">
        <v>14</v>
      </c>
      <c r="C227" s="2412" t="s">
        <v>2307</v>
      </c>
      <c r="D227" s="2412" t="s">
        <v>2308</v>
      </c>
      <c r="E227" s="2412" t="s">
        <v>2309</v>
      </c>
      <c r="F227" s="2412" t="s">
        <v>2310</v>
      </c>
      <c r="G227" s="2412" t="s">
        <v>2311</v>
      </c>
      <c r="H227" s="2412" t="s">
        <v>18</v>
      </c>
      <c r="I227" s="2412" t="s">
        <v>984</v>
      </c>
    </row>
    <row customHeight="1" ht="11.25">
      <c r="A228" s="2412" t="s">
        <v>2155</v>
      </c>
      <c r="B228" s="2412" t="s">
        <v>14</v>
      </c>
      <c r="C228" s="2412" t="s">
        <v>2752</v>
      </c>
      <c r="D228" s="2412" t="s">
        <v>2753</v>
      </c>
      <c r="E228" s="2412" t="s">
        <v>2754</v>
      </c>
      <c r="F228" s="2412" t="s">
        <v>2278</v>
      </c>
      <c r="G228" s="2412" t="s">
        <v>2755</v>
      </c>
      <c r="H228" s="2412" t="s">
        <v>18</v>
      </c>
      <c r="I228" s="2412" t="s">
        <v>984</v>
      </c>
    </row>
    <row customHeight="1" ht="11.25">
      <c r="A229" s="2412" t="s">
        <v>2155</v>
      </c>
      <c r="B229" s="2412" t="s">
        <v>14</v>
      </c>
      <c r="C229" s="2412" t="s">
        <v>2333</v>
      </c>
      <c r="D229" s="2412" t="s">
        <v>2334</v>
      </c>
      <c r="E229" s="2412" t="s">
        <v>2335</v>
      </c>
      <c r="F229" s="2412" t="s">
        <v>2336</v>
      </c>
      <c r="G229" s="2412" t="s">
        <v>2337</v>
      </c>
      <c r="H229" s="2412" t="s">
        <v>18</v>
      </c>
      <c r="I229" s="2412" t="s">
        <v>984</v>
      </c>
    </row>
    <row customHeight="1" ht="11.25">
      <c r="A230" s="2412" t="s">
        <v>2155</v>
      </c>
      <c r="B230" s="2412" t="s">
        <v>14</v>
      </c>
      <c r="C230" s="2412" t="s">
        <v>2354</v>
      </c>
      <c r="D230" s="2412" t="s">
        <v>2355</v>
      </c>
      <c r="E230" s="2412" t="s">
        <v>2356</v>
      </c>
      <c r="F230" s="2412" t="s">
        <v>2168</v>
      </c>
      <c r="G230" s="2412" t="s">
        <v>18</v>
      </c>
      <c r="H230" s="2412" t="s">
        <v>18</v>
      </c>
      <c r="I230" s="2412" t="s">
        <v>984</v>
      </c>
    </row>
    <row customHeight="1" ht="11.25">
      <c r="A231" s="2412" t="s">
        <v>2155</v>
      </c>
      <c r="B231" s="2412" t="s">
        <v>14</v>
      </c>
      <c r="C231" s="2412" t="s">
        <v>2357</v>
      </c>
      <c r="D231" s="2412" t="s">
        <v>2358</v>
      </c>
      <c r="E231" s="2412" t="s">
        <v>2359</v>
      </c>
      <c r="F231" s="2412" t="s">
        <v>2360</v>
      </c>
      <c r="G231" s="2412" t="s">
        <v>18</v>
      </c>
      <c r="H231" s="2412" t="s">
        <v>2361</v>
      </c>
      <c r="I231" s="2412" t="s">
        <v>984</v>
      </c>
    </row>
    <row customHeight="1" ht="11.25">
      <c r="A232" s="2412" t="s">
        <v>2155</v>
      </c>
      <c r="B232" s="2412" t="s">
        <v>14</v>
      </c>
      <c r="C232" s="2412" t="s">
        <v>2362</v>
      </c>
      <c r="D232" s="2412" t="s">
        <v>2363</v>
      </c>
      <c r="E232" s="2412" t="s">
        <v>2364</v>
      </c>
      <c r="F232" s="2412" t="s">
        <v>2360</v>
      </c>
      <c r="G232" s="2412" t="s">
        <v>18</v>
      </c>
      <c r="H232" s="2412" t="s">
        <v>18</v>
      </c>
      <c r="I232" s="2412" t="s">
        <v>984</v>
      </c>
    </row>
    <row customHeight="1" ht="11.25">
      <c r="A233" s="2412" t="s">
        <v>2155</v>
      </c>
      <c r="B233" s="2412" t="s">
        <v>14</v>
      </c>
      <c r="C233" s="2412" t="s">
        <v>2365</v>
      </c>
      <c r="D233" s="2412" t="s">
        <v>2366</v>
      </c>
      <c r="E233" s="2412" t="s">
        <v>2367</v>
      </c>
      <c r="F233" s="2412" t="s">
        <v>2183</v>
      </c>
      <c r="G233" s="2412" t="s">
        <v>18</v>
      </c>
      <c r="H233" s="2412" t="s">
        <v>18</v>
      </c>
      <c r="I233" s="2412" t="s">
        <v>984</v>
      </c>
    </row>
    <row customHeight="1" ht="11.25">
      <c r="A234" s="2412" t="s">
        <v>2155</v>
      </c>
      <c r="B234" s="2412" t="s">
        <v>14</v>
      </c>
      <c r="C234" s="2412" t="s">
        <v>2372</v>
      </c>
      <c r="D234" s="2412" t="s">
        <v>2373</v>
      </c>
      <c r="E234" s="2412" t="s">
        <v>2374</v>
      </c>
      <c r="F234" s="2412" t="s">
        <v>2183</v>
      </c>
      <c r="G234" s="2412" t="s">
        <v>18</v>
      </c>
      <c r="H234" s="2412" t="s">
        <v>18</v>
      </c>
      <c r="I234" s="2412" t="s">
        <v>984</v>
      </c>
    </row>
    <row customHeight="1" ht="11.25">
      <c r="A235" s="2412" t="s">
        <v>2155</v>
      </c>
      <c r="B235" s="2412" t="s">
        <v>14</v>
      </c>
      <c r="C235" s="2412" t="s">
        <v>2375</v>
      </c>
      <c r="D235" s="2412" t="s">
        <v>2376</v>
      </c>
      <c r="E235" s="2412" t="s">
        <v>2377</v>
      </c>
      <c r="F235" s="2412" t="s">
        <v>2360</v>
      </c>
      <c r="G235" s="2412" t="s">
        <v>18</v>
      </c>
      <c r="H235" s="2412" t="s">
        <v>18</v>
      </c>
      <c r="I235" s="2412" t="s">
        <v>984</v>
      </c>
    </row>
    <row customHeight="1" ht="11.25">
      <c r="A236" s="2412" t="s">
        <v>2155</v>
      </c>
      <c r="B236" s="2412" t="s">
        <v>14</v>
      </c>
      <c r="C236" s="2412" t="s">
        <v>2756</v>
      </c>
      <c r="D236" s="2412" t="s">
        <v>2757</v>
      </c>
      <c r="E236" s="2412" t="s">
        <v>2758</v>
      </c>
      <c r="F236" s="2412" t="s">
        <v>2168</v>
      </c>
      <c r="G236" s="2412" t="s">
        <v>2759</v>
      </c>
      <c r="H236" s="2412" t="s">
        <v>18</v>
      </c>
      <c r="I236" s="2412" t="s">
        <v>984</v>
      </c>
    </row>
    <row customHeight="1" ht="11.25">
      <c r="A237" s="2412" t="s">
        <v>2155</v>
      </c>
      <c r="B237" s="2412" t="s">
        <v>14</v>
      </c>
      <c r="C237" s="2412" t="s">
        <v>2760</v>
      </c>
      <c r="D237" s="2412" t="s">
        <v>2761</v>
      </c>
      <c r="E237" s="2412" t="s">
        <v>2762</v>
      </c>
      <c r="F237" s="2412" t="s">
        <v>2278</v>
      </c>
      <c r="G237" s="2412" t="s">
        <v>18</v>
      </c>
      <c r="H237" s="2412" t="s">
        <v>18</v>
      </c>
      <c r="I237" s="2412" t="s">
        <v>984</v>
      </c>
    </row>
    <row customHeight="1" ht="11.25">
      <c r="A238" s="2412" t="s">
        <v>2155</v>
      </c>
      <c r="B238" s="2412" t="s">
        <v>14</v>
      </c>
      <c r="C238" s="2412" t="s">
        <v>2763</v>
      </c>
      <c r="D238" s="2412" t="s">
        <v>2764</v>
      </c>
      <c r="E238" s="2412" t="s">
        <v>2765</v>
      </c>
      <c r="F238" s="2412" t="s">
        <v>2414</v>
      </c>
      <c r="G238" s="2412" t="s">
        <v>18</v>
      </c>
      <c r="H238" s="2412" t="s">
        <v>18</v>
      </c>
      <c r="I238" s="2412" t="s">
        <v>984</v>
      </c>
    </row>
    <row customHeight="1" ht="11.25">
      <c r="A239" s="2412" t="s">
        <v>2155</v>
      </c>
      <c r="B239" s="2412" t="s">
        <v>14</v>
      </c>
      <c r="C239" s="2412" t="s">
        <v>2383</v>
      </c>
      <c r="D239" s="2412" t="s">
        <v>2384</v>
      </c>
      <c r="E239" s="2412" t="s">
        <v>2385</v>
      </c>
      <c r="F239" s="2412" t="s">
        <v>2386</v>
      </c>
      <c r="G239" s="2412" t="s">
        <v>18</v>
      </c>
      <c r="H239" s="2412" t="s">
        <v>18</v>
      </c>
      <c r="I239" s="2412" t="s">
        <v>984</v>
      </c>
    </row>
    <row customHeight="1" ht="11.25">
      <c r="A240" s="2412" t="s">
        <v>2155</v>
      </c>
      <c r="B240" s="2412" t="s">
        <v>14</v>
      </c>
      <c r="C240" s="2412" t="s">
        <v>2387</v>
      </c>
      <c r="D240" s="2412" t="s">
        <v>2388</v>
      </c>
      <c r="E240" s="2412" t="s">
        <v>2389</v>
      </c>
      <c r="F240" s="2412" t="s">
        <v>2173</v>
      </c>
      <c r="G240" s="2412" t="s">
        <v>2390</v>
      </c>
      <c r="H240" s="2412" t="s">
        <v>18</v>
      </c>
      <c r="I240" s="2412" t="s">
        <v>984</v>
      </c>
    </row>
    <row customHeight="1" ht="11.25">
      <c r="A241" s="2412" t="s">
        <v>2155</v>
      </c>
      <c r="B241" s="2412" t="s">
        <v>14</v>
      </c>
      <c r="C241" s="2412" t="s">
        <v>2391</v>
      </c>
      <c r="D241" s="2412" t="s">
        <v>2392</v>
      </c>
      <c r="E241" s="2412" t="s">
        <v>2393</v>
      </c>
      <c r="F241" s="2412" t="s">
        <v>2291</v>
      </c>
      <c r="G241" s="2412" t="s">
        <v>18</v>
      </c>
      <c r="H241" s="2412" t="s">
        <v>18</v>
      </c>
      <c r="I241" s="2412" t="s">
        <v>984</v>
      </c>
    </row>
    <row customHeight="1" ht="11.25">
      <c r="A242" s="2412" t="s">
        <v>2155</v>
      </c>
      <c r="B242" s="2412" t="s">
        <v>14</v>
      </c>
      <c r="C242" s="2412" t="s">
        <v>2766</v>
      </c>
      <c r="D242" s="2412" t="s">
        <v>2767</v>
      </c>
      <c r="E242" s="2412" t="s">
        <v>2768</v>
      </c>
      <c r="F242" s="2412" t="s">
        <v>2360</v>
      </c>
      <c r="G242" s="2412" t="s">
        <v>2769</v>
      </c>
      <c r="H242" s="2412" t="s">
        <v>18</v>
      </c>
      <c r="I242" s="2412" t="s">
        <v>984</v>
      </c>
    </row>
    <row customHeight="1" ht="11.25">
      <c r="A243" s="2412" t="s">
        <v>2155</v>
      </c>
      <c r="B243" s="2412" t="s">
        <v>14</v>
      </c>
      <c r="C243" s="2412" t="s">
        <v>2394</v>
      </c>
      <c r="D243" s="2412" t="s">
        <v>2395</v>
      </c>
      <c r="E243" s="2412" t="s">
        <v>2396</v>
      </c>
      <c r="F243" s="2412" t="s">
        <v>2173</v>
      </c>
      <c r="G243" s="2412" t="s">
        <v>18</v>
      </c>
      <c r="H243" s="2412" t="s">
        <v>18</v>
      </c>
      <c r="I243" s="2412" t="s">
        <v>984</v>
      </c>
    </row>
    <row customHeight="1" ht="11.25">
      <c r="A244" s="2412" t="s">
        <v>2155</v>
      </c>
      <c r="B244" s="2412" t="s">
        <v>14</v>
      </c>
      <c r="C244" s="2412" t="s">
        <v>2397</v>
      </c>
      <c r="D244" s="2412" t="s">
        <v>2398</v>
      </c>
      <c r="E244" s="2412" t="s">
        <v>2399</v>
      </c>
      <c r="F244" s="2412" t="s">
        <v>2400</v>
      </c>
      <c r="G244" s="2412" t="s">
        <v>2401</v>
      </c>
      <c r="H244" s="2412" t="s">
        <v>18</v>
      </c>
      <c r="I244" s="2412" t="s">
        <v>984</v>
      </c>
    </row>
    <row customHeight="1" ht="11.25">
      <c r="A245" s="2412" t="s">
        <v>2155</v>
      </c>
      <c r="B245" s="2412" t="s">
        <v>14</v>
      </c>
      <c r="C245" s="2412" t="s">
        <v>2402</v>
      </c>
      <c r="D245" s="2412" t="s">
        <v>2403</v>
      </c>
      <c r="E245" s="2412" t="s">
        <v>2404</v>
      </c>
      <c r="F245" s="2412" t="s">
        <v>2405</v>
      </c>
      <c r="G245" s="2412" t="s">
        <v>18</v>
      </c>
      <c r="H245" s="2412" t="s">
        <v>18</v>
      </c>
      <c r="I245" s="2412" t="s">
        <v>984</v>
      </c>
    </row>
    <row customHeight="1" ht="11.25">
      <c r="A246" s="2412" t="s">
        <v>2155</v>
      </c>
      <c r="B246" s="2412" t="s">
        <v>14</v>
      </c>
      <c r="C246" s="2412" t="s">
        <v>2406</v>
      </c>
      <c r="D246" s="2412" t="s">
        <v>2407</v>
      </c>
      <c r="E246" s="2412" t="s">
        <v>2408</v>
      </c>
      <c r="F246" s="2412" t="s">
        <v>2409</v>
      </c>
      <c r="G246" s="2412" t="s">
        <v>2410</v>
      </c>
      <c r="H246" s="2412" t="s">
        <v>18</v>
      </c>
      <c r="I246" s="2412" t="s">
        <v>984</v>
      </c>
    </row>
    <row customHeight="1" ht="11.25">
      <c r="A247" s="2412" t="s">
        <v>2155</v>
      </c>
      <c r="B247" s="2412" t="s">
        <v>14</v>
      </c>
      <c r="C247" s="2412" t="s">
        <v>2770</v>
      </c>
      <c r="D247" s="2412" t="s">
        <v>2771</v>
      </c>
      <c r="E247" s="2412" t="s">
        <v>2772</v>
      </c>
      <c r="F247" s="2412" t="s">
        <v>2168</v>
      </c>
      <c r="G247" s="2412" t="s">
        <v>2773</v>
      </c>
      <c r="H247" s="2412" t="s">
        <v>18</v>
      </c>
      <c r="I247" s="2412" t="s">
        <v>984</v>
      </c>
    </row>
    <row customHeight="1" ht="11.25">
      <c r="A248" s="2412" t="s">
        <v>2155</v>
      </c>
      <c r="B248" s="2412" t="s">
        <v>14</v>
      </c>
      <c r="C248" s="2412" t="s">
        <v>2411</v>
      </c>
      <c r="D248" s="2412" t="s">
        <v>2412</v>
      </c>
      <c r="E248" s="2412" t="s">
        <v>2413</v>
      </c>
      <c r="F248" s="2412" t="s">
        <v>2414</v>
      </c>
      <c r="G248" s="2412" t="s">
        <v>2415</v>
      </c>
      <c r="H248" s="2412" t="s">
        <v>18</v>
      </c>
      <c r="I248" s="2412" t="s">
        <v>984</v>
      </c>
    </row>
    <row customHeight="1" ht="11.25">
      <c r="A249" s="2412" t="s">
        <v>2155</v>
      </c>
      <c r="B249" s="2412" t="s">
        <v>14</v>
      </c>
      <c r="C249" s="2412" t="s">
        <v>2416</v>
      </c>
      <c r="D249" s="2412" t="s">
        <v>2417</v>
      </c>
      <c r="E249" s="2412" t="s">
        <v>2418</v>
      </c>
      <c r="F249" s="2412" t="s">
        <v>2256</v>
      </c>
      <c r="G249" s="2412" t="s">
        <v>18</v>
      </c>
      <c r="H249" s="2412" t="s">
        <v>18</v>
      </c>
      <c r="I249" s="2412" t="s">
        <v>984</v>
      </c>
    </row>
    <row customHeight="1" ht="11.25">
      <c r="A250" s="2412" t="s">
        <v>2155</v>
      </c>
      <c r="B250" s="2412" t="s">
        <v>14</v>
      </c>
      <c r="C250" s="2412" t="s">
        <v>2419</v>
      </c>
      <c r="D250" s="2412" t="s">
        <v>2420</v>
      </c>
      <c r="E250" s="2412" t="s">
        <v>2421</v>
      </c>
      <c r="F250" s="2412" t="s">
        <v>2256</v>
      </c>
      <c r="G250" s="2412" t="s">
        <v>2422</v>
      </c>
      <c r="H250" s="2412" t="s">
        <v>18</v>
      </c>
      <c r="I250" s="2412" t="s">
        <v>984</v>
      </c>
    </row>
    <row customHeight="1" ht="11.25">
      <c r="A251" s="2412" t="s">
        <v>2155</v>
      </c>
      <c r="B251" s="2412" t="s">
        <v>14</v>
      </c>
      <c r="C251" s="2412" t="s">
        <v>2423</v>
      </c>
      <c r="D251" s="2412" t="s">
        <v>2424</v>
      </c>
      <c r="E251" s="2412" t="s">
        <v>2425</v>
      </c>
      <c r="F251" s="2412" t="s">
        <v>2178</v>
      </c>
      <c r="G251" s="2412" t="s">
        <v>2426</v>
      </c>
      <c r="H251" s="2412" t="s">
        <v>18</v>
      </c>
      <c r="I251" s="2412" t="s">
        <v>984</v>
      </c>
    </row>
    <row customHeight="1" ht="11.25">
      <c r="A252" s="2412" t="s">
        <v>2155</v>
      </c>
      <c r="B252" s="2412" t="s">
        <v>14</v>
      </c>
      <c r="C252" s="2412" t="s">
        <v>2427</v>
      </c>
      <c r="D252" s="2412" t="s">
        <v>2428</v>
      </c>
      <c r="E252" s="2412" t="s">
        <v>2429</v>
      </c>
      <c r="F252" s="2412" t="s">
        <v>2430</v>
      </c>
      <c r="G252" s="2412" t="s">
        <v>2431</v>
      </c>
      <c r="H252" s="2412" t="s">
        <v>18</v>
      </c>
      <c r="I252" s="2412" t="s">
        <v>984</v>
      </c>
    </row>
    <row customHeight="1" ht="11.25">
      <c r="A253" s="2412" t="s">
        <v>2155</v>
      </c>
      <c r="B253" s="2412" t="s">
        <v>14</v>
      </c>
      <c r="C253" s="2412" t="s">
        <v>2432</v>
      </c>
      <c r="D253" s="2412" t="s">
        <v>2433</v>
      </c>
      <c r="E253" s="2412" t="s">
        <v>2434</v>
      </c>
      <c r="F253" s="2412" t="s">
        <v>2319</v>
      </c>
      <c r="G253" s="2412" t="s">
        <v>2435</v>
      </c>
      <c r="H253" s="2412" t="s">
        <v>18</v>
      </c>
      <c r="I253" s="2412" t="s">
        <v>984</v>
      </c>
    </row>
    <row customHeight="1" ht="11.25">
      <c r="A254" s="2412" t="s">
        <v>2155</v>
      </c>
      <c r="B254" s="2412" t="s">
        <v>14</v>
      </c>
      <c r="C254" s="2412" t="s">
        <v>2774</v>
      </c>
      <c r="D254" s="2412" t="s">
        <v>2775</v>
      </c>
      <c r="E254" s="2412" t="s">
        <v>2776</v>
      </c>
      <c r="F254" s="2412" t="s">
        <v>2381</v>
      </c>
      <c r="G254" s="2412" t="s">
        <v>18</v>
      </c>
      <c r="H254" s="2412" t="s">
        <v>18</v>
      </c>
      <c r="I254" s="2412" t="s">
        <v>984</v>
      </c>
    </row>
    <row customHeight="1" ht="11.25">
      <c r="A255" s="2412" t="s">
        <v>2155</v>
      </c>
      <c r="B255" s="2412" t="s">
        <v>14</v>
      </c>
      <c r="C255" s="2412" t="s">
        <v>2777</v>
      </c>
      <c r="D255" s="2412" t="s">
        <v>2778</v>
      </c>
      <c r="E255" s="2412" t="s">
        <v>2779</v>
      </c>
      <c r="F255" s="2412" t="s">
        <v>2201</v>
      </c>
      <c r="G255" s="2412" t="s">
        <v>2780</v>
      </c>
      <c r="H255" s="2412" t="s">
        <v>18</v>
      </c>
      <c r="I255" s="2412" t="s">
        <v>984</v>
      </c>
    </row>
    <row customHeight="1" ht="11.25">
      <c r="A256" s="2412" t="s">
        <v>2155</v>
      </c>
      <c r="B256" s="2412" t="s">
        <v>14</v>
      </c>
      <c r="C256" s="2412" t="s">
        <v>2443</v>
      </c>
      <c r="D256" s="2412" t="s">
        <v>2444</v>
      </c>
      <c r="E256" s="2412" t="s">
        <v>2445</v>
      </c>
      <c r="F256" s="2412" t="s">
        <v>2446</v>
      </c>
      <c r="G256" s="2412" t="s">
        <v>18</v>
      </c>
      <c r="H256" s="2412" t="s">
        <v>18</v>
      </c>
      <c r="I256" s="2412" t="s">
        <v>984</v>
      </c>
    </row>
    <row customHeight="1" ht="11.25">
      <c r="A257" s="2412" t="s">
        <v>2155</v>
      </c>
      <c r="B257" s="2412" t="s">
        <v>14</v>
      </c>
      <c r="C257" s="2412" t="s">
        <v>2781</v>
      </c>
      <c r="D257" s="2412" t="s">
        <v>2782</v>
      </c>
      <c r="E257" s="2412" t="s">
        <v>2783</v>
      </c>
      <c r="F257" s="2412" t="s">
        <v>2400</v>
      </c>
      <c r="G257" s="2412" t="s">
        <v>18</v>
      </c>
      <c r="H257" s="2412" t="s">
        <v>18</v>
      </c>
      <c r="I257" s="2412" t="s">
        <v>984</v>
      </c>
    </row>
    <row customHeight="1" ht="11.25">
      <c r="A258" s="2412" t="s">
        <v>2155</v>
      </c>
      <c r="B258" s="2412" t="s">
        <v>14</v>
      </c>
      <c r="C258" s="2412" t="s">
        <v>2478</v>
      </c>
      <c r="D258" s="2412" t="s">
        <v>2479</v>
      </c>
      <c r="E258" s="2412" t="s">
        <v>2480</v>
      </c>
      <c r="F258" s="2412" t="s">
        <v>2222</v>
      </c>
      <c r="G258" s="2412" t="s">
        <v>2481</v>
      </c>
      <c r="H258" s="2412" t="s">
        <v>18</v>
      </c>
      <c r="I258" s="2412" t="s">
        <v>984</v>
      </c>
    </row>
    <row customHeight="1" ht="11.25">
      <c r="A259" s="2412" t="s">
        <v>2155</v>
      </c>
      <c r="B259" s="2412" t="s">
        <v>14</v>
      </c>
      <c r="C259" s="2412" t="s">
        <v>2784</v>
      </c>
      <c r="D259" s="2412" t="s">
        <v>2785</v>
      </c>
      <c r="E259" s="2412" t="s">
        <v>2786</v>
      </c>
      <c r="F259" s="2412" t="s">
        <v>2604</v>
      </c>
      <c r="G259" s="2412" t="s">
        <v>2787</v>
      </c>
      <c r="H259" s="2412" t="s">
        <v>18</v>
      </c>
      <c r="I259" s="2412" t="s">
        <v>984</v>
      </c>
    </row>
    <row customHeight="1" ht="11.25">
      <c r="A260" s="2412" t="s">
        <v>2155</v>
      </c>
      <c r="B260" s="2412" t="s">
        <v>14</v>
      </c>
      <c r="C260" s="2412" t="s">
        <v>2482</v>
      </c>
      <c r="D260" s="2412" t="s">
        <v>2483</v>
      </c>
      <c r="E260" s="2412" t="s">
        <v>2484</v>
      </c>
      <c r="F260" s="2412" t="s">
        <v>2168</v>
      </c>
      <c r="G260" s="2412" t="s">
        <v>2485</v>
      </c>
      <c r="H260" s="2412" t="s">
        <v>18</v>
      </c>
      <c r="I260" s="2412" t="s">
        <v>984</v>
      </c>
    </row>
    <row customHeight="1" ht="11.25">
      <c r="A261" s="2412" t="s">
        <v>2155</v>
      </c>
      <c r="B261" s="2412" t="s">
        <v>14</v>
      </c>
      <c r="C261" s="2412" t="s">
        <v>2788</v>
      </c>
      <c r="D261" s="2412" t="s">
        <v>2789</v>
      </c>
      <c r="E261" s="2412" t="s">
        <v>2790</v>
      </c>
      <c r="F261" s="2412" t="s">
        <v>2201</v>
      </c>
      <c r="G261" s="2412" t="s">
        <v>2791</v>
      </c>
      <c r="H261" s="2412" t="s">
        <v>18</v>
      </c>
      <c r="I261" s="2412" t="s">
        <v>984</v>
      </c>
    </row>
    <row customHeight="1" ht="11.25">
      <c r="A262" s="2412" t="s">
        <v>2155</v>
      </c>
      <c r="B262" s="2412" t="s">
        <v>14</v>
      </c>
      <c r="C262" s="2412" t="s">
        <v>2792</v>
      </c>
      <c r="D262" s="2412" t="s">
        <v>2793</v>
      </c>
      <c r="E262" s="2412" t="s">
        <v>2794</v>
      </c>
      <c r="F262" s="2412" t="s">
        <v>2639</v>
      </c>
      <c r="G262" s="2412" t="s">
        <v>18</v>
      </c>
      <c r="H262" s="2412" t="s">
        <v>18</v>
      </c>
      <c r="I262" s="2412" t="s">
        <v>984</v>
      </c>
    </row>
    <row customHeight="1" ht="11.25">
      <c r="A263" s="2412" t="s">
        <v>2155</v>
      </c>
      <c r="B263" s="2412" t="s">
        <v>14</v>
      </c>
      <c r="C263" s="2412" t="s">
        <v>2795</v>
      </c>
      <c r="D263" s="2412" t="s">
        <v>2796</v>
      </c>
      <c r="E263" s="2412" t="s">
        <v>2797</v>
      </c>
      <c r="F263" s="2412" t="s">
        <v>2201</v>
      </c>
      <c r="G263" s="2412" t="s">
        <v>18</v>
      </c>
      <c r="H263" s="2412" t="s">
        <v>18</v>
      </c>
      <c r="I263" s="2412" t="s">
        <v>984</v>
      </c>
    </row>
    <row customHeight="1" ht="11.25">
      <c r="A264" s="2412" t="s">
        <v>2155</v>
      </c>
      <c r="B264" s="2412" t="s">
        <v>14</v>
      </c>
      <c r="C264" s="2412" t="s">
        <v>2494</v>
      </c>
      <c r="D264" s="2412" t="s">
        <v>2495</v>
      </c>
      <c r="E264" s="2412" t="s">
        <v>2496</v>
      </c>
      <c r="F264" s="2412" t="s">
        <v>2497</v>
      </c>
      <c r="G264" s="2412" t="s">
        <v>18</v>
      </c>
      <c r="H264" s="2412" t="s">
        <v>18</v>
      </c>
      <c r="I264" s="2412" t="s">
        <v>984</v>
      </c>
    </row>
    <row customHeight="1" ht="11.25">
      <c r="A265" s="2412" t="s">
        <v>2155</v>
      </c>
      <c r="B265" s="2412" t="s">
        <v>14</v>
      </c>
      <c r="C265" s="2412" t="s">
        <v>2798</v>
      </c>
      <c r="D265" s="2412" t="s">
        <v>2799</v>
      </c>
      <c r="E265" s="2412" t="s">
        <v>2800</v>
      </c>
      <c r="F265" s="2412" t="s">
        <v>2604</v>
      </c>
      <c r="G265" s="2412" t="s">
        <v>2801</v>
      </c>
      <c r="H265" s="2412" t="s">
        <v>18</v>
      </c>
      <c r="I265" s="2412" t="s">
        <v>984</v>
      </c>
    </row>
    <row customHeight="1" ht="11.25">
      <c r="A266" s="2412" t="s">
        <v>2155</v>
      </c>
      <c r="B266" s="2412" t="s">
        <v>14</v>
      </c>
      <c r="C266" s="2412" t="s">
        <v>2498</v>
      </c>
      <c r="D266" s="2412" t="s">
        <v>2499</v>
      </c>
      <c r="E266" s="2412" t="s">
        <v>2500</v>
      </c>
      <c r="F266" s="2412" t="s">
        <v>2256</v>
      </c>
      <c r="G266" s="2412" t="s">
        <v>18</v>
      </c>
      <c r="H266" s="2412" t="s">
        <v>18</v>
      </c>
      <c r="I266" s="2412" t="s">
        <v>984</v>
      </c>
    </row>
    <row customHeight="1" ht="11.25">
      <c r="A267" s="2412" t="s">
        <v>2155</v>
      </c>
      <c r="B267" s="2412" t="s">
        <v>14</v>
      </c>
      <c r="C267" s="2412" t="s">
        <v>2505</v>
      </c>
      <c r="D267" s="2412" t="s">
        <v>2506</v>
      </c>
      <c r="E267" s="2412" t="s">
        <v>2507</v>
      </c>
      <c r="F267" s="2412" t="s">
        <v>2409</v>
      </c>
      <c r="G267" s="2412" t="s">
        <v>2508</v>
      </c>
      <c r="H267" s="2412" t="s">
        <v>18</v>
      </c>
      <c r="I267" s="2412" t="s">
        <v>984</v>
      </c>
    </row>
    <row customHeight="1" ht="11.25">
      <c r="A268" s="2412" t="s">
        <v>2155</v>
      </c>
      <c r="B268" s="2412" t="s">
        <v>14</v>
      </c>
      <c r="C268" s="2412" t="s">
        <v>2802</v>
      </c>
      <c r="D268" s="2412" t="s">
        <v>2803</v>
      </c>
      <c r="E268" s="2412" t="s">
        <v>2804</v>
      </c>
      <c r="F268" s="2412" t="s">
        <v>2283</v>
      </c>
      <c r="G268" s="2412" t="s">
        <v>2805</v>
      </c>
      <c r="H268" s="2412" t="s">
        <v>18</v>
      </c>
      <c r="I268" s="2412" t="s">
        <v>984</v>
      </c>
    </row>
    <row customHeight="1" ht="11.25">
      <c r="A269" s="2412" t="s">
        <v>2155</v>
      </c>
      <c r="B269" s="2412" t="s">
        <v>14</v>
      </c>
      <c r="C269" s="2412" t="s">
        <v>2806</v>
      </c>
      <c r="D269" s="2412" t="s">
        <v>2807</v>
      </c>
      <c r="E269" s="2412" t="s">
        <v>2808</v>
      </c>
      <c r="F269" s="2412" t="s">
        <v>2242</v>
      </c>
      <c r="G269" s="2412" t="s">
        <v>18</v>
      </c>
      <c r="H269" s="2412" t="s">
        <v>18</v>
      </c>
      <c r="I269" s="2412" t="s">
        <v>984</v>
      </c>
    </row>
    <row customHeight="1" ht="11.25">
      <c r="A270" s="2412" t="s">
        <v>2155</v>
      </c>
      <c r="B270" s="2412" t="s">
        <v>14</v>
      </c>
      <c r="C270" s="2412" t="s">
        <v>2509</v>
      </c>
      <c r="D270" s="2412" t="s">
        <v>2510</v>
      </c>
      <c r="E270" s="2412" t="s">
        <v>2511</v>
      </c>
      <c r="F270" s="2412" t="s">
        <v>2405</v>
      </c>
      <c r="G270" s="2412" t="s">
        <v>2512</v>
      </c>
      <c r="H270" s="2412" t="s">
        <v>18</v>
      </c>
      <c r="I270" s="2412" t="s">
        <v>984</v>
      </c>
    </row>
    <row customHeight="1" ht="11.25">
      <c r="A271" s="2412" t="s">
        <v>2155</v>
      </c>
      <c r="B271" s="2412" t="s">
        <v>14</v>
      </c>
      <c r="C271" s="2412" t="s">
        <v>2809</v>
      </c>
      <c r="D271" s="2412" t="s">
        <v>2810</v>
      </c>
      <c r="E271" s="2412" t="s">
        <v>2811</v>
      </c>
      <c r="F271" s="2412" t="s">
        <v>2173</v>
      </c>
      <c r="G271" s="2412" t="s">
        <v>2812</v>
      </c>
      <c r="H271" s="2412" t="s">
        <v>18</v>
      </c>
      <c r="I271" s="2412" t="s">
        <v>984</v>
      </c>
    </row>
    <row customHeight="1" ht="11.25">
      <c r="A272" s="2412" t="s">
        <v>2155</v>
      </c>
      <c r="B272" s="2412" t="s">
        <v>14</v>
      </c>
      <c r="C272" s="2412" t="s">
        <v>2813</v>
      </c>
      <c r="D272" s="2412" t="s">
        <v>2814</v>
      </c>
      <c r="E272" s="2412" t="s">
        <v>2815</v>
      </c>
      <c r="F272" s="2412" t="s">
        <v>2183</v>
      </c>
      <c r="G272" s="2412" t="s">
        <v>2816</v>
      </c>
      <c r="H272" s="2412" t="s">
        <v>18</v>
      </c>
      <c r="I272" s="2412" t="s">
        <v>984</v>
      </c>
    </row>
    <row customHeight="1" ht="11.25">
      <c r="A273" s="2412" t="s">
        <v>2155</v>
      </c>
      <c r="B273" s="2412" t="s">
        <v>14</v>
      </c>
      <c r="C273" s="2412" t="s">
        <v>2817</v>
      </c>
      <c r="D273" s="2412" t="s">
        <v>2818</v>
      </c>
      <c r="E273" s="2412" t="s">
        <v>2819</v>
      </c>
      <c r="F273" s="2412" t="s">
        <v>2201</v>
      </c>
      <c r="G273" s="2412" t="s">
        <v>2820</v>
      </c>
      <c r="H273" s="2412" t="s">
        <v>18</v>
      </c>
      <c r="I273" s="2412" t="s">
        <v>984</v>
      </c>
    </row>
    <row customHeight="1" ht="11.25">
      <c r="A274" s="2412" t="s">
        <v>2155</v>
      </c>
      <c r="B274" s="2412" t="s">
        <v>14</v>
      </c>
      <c r="C274" s="2412" t="s">
        <v>2517</v>
      </c>
      <c r="D274" s="2412" t="s">
        <v>2518</v>
      </c>
      <c r="E274" s="2412" t="s">
        <v>2519</v>
      </c>
      <c r="F274" s="2412" t="s">
        <v>2278</v>
      </c>
      <c r="G274" s="2412" t="s">
        <v>2520</v>
      </c>
      <c r="H274" s="2412" t="s">
        <v>18</v>
      </c>
      <c r="I274" s="2412" t="s">
        <v>984</v>
      </c>
    </row>
    <row customHeight="1" ht="11.25">
      <c r="A275" s="2412" t="s">
        <v>2155</v>
      </c>
      <c r="B275" s="2412" t="s">
        <v>14</v>
      </c>
      <c r="C275" s="2412" t="s">
        <v>2528</v>
      </c>
      <c r="D275" s="2412" t="s">
        <v>2529</v>
      </c>
      <c r="E275" s="2412" t="s">
        <v>2530</v>
      </c>
      <c r="F275" s="2412" t="s">
        <v>2201</v>
      </c>
      <c r="G275" s="2412" t="s">
        <v>2531</v>
      </c>
      <c r="H275" s="2412" t="s">
        <v>18</v>
      </c>
      <c r="I275" s="2412" t="s">
        <v>984</v>
      </c>
    </row>
    <row customHeight="1" ht="11.25">
      <c r="A276" s="2412" t="s">
        <v>2155</v>
      </c>
      <c r="B276" s="2412" t="s">
        <v>14</v>
      </c>
      <c r="C276" s="2412" t="s">
        <v>2532</v>
      </c>
      <c r="D276" s="2412" t="s">
        <v>2533</v>
      </c>
      <c r="E276" s="2412" t="s">
        <v>2534</v>
      </c>
      <c r="F276" s="2412" t="s">
        <v>2296</v>
      </c>
      <c r="G276" s="2412" t="s">
        <v>2535</v>
      </c>
      <c r="H276" s="2412" t="s">
        <v>18</v>
      </c>
      <c r="I276" s="2412" t="s">
        <v>984</v>
      </c>
    </row>
    <row customHeight="1" ht="11.25">
      <c r="A277" s="2412" t="s">
        <v>2155</v>
      </c>
      <c r="B277" s="2412" t="s">
        <v>14</v>
      </c>
      <c r="C277" s="2412" t="s">
        <v>2543</v>
      </c>
      <c r="D277" s="2412" t="s">
        <v>2540</v>
      </c>
      <c r="E277" s="2412" t="s">
        <v>2541</v>
      </c>
      <c r="F277" s="2412" t="s">
        <v>2178</v>
      </c>
      <c r="G277" s="2412" t="s">
        <v>18</v>
      </c>
      <c r="H277" s="2412" t="s">
        <v>18</v>
      </c>
      <c r="I277" s="2412" t="s">
        <v>984</v>
      </c>
    </row>
    <row customHeight="1" ht="11.25">
      <c r="A278" s="2412" t="s">
        <v>2155</v>
      </c>
      <c r="B278" s="2412" t="s">
        <v>14</v>
      </c>
      <c r="C278" s="2412" t="s">
        <v>2821</v>
      </c>
      <c r="D278" s="2412" t="s">
        <v>2822</v>
      </c>
      <c r="E278" s="2412" t="s">
        <v>2823</v>
      </c>
      <c r="F278" s="2412" t="s">
        <v>2201</v>
      </c>
      <c r="G278" s="2412" t="s">
        <v>18</v>
      </c>
      <c r="H278" s="2412" t="s">
        <v>18</v>
      </c>
      <c r="I278" s="2412" t="s">
        <v>984</v>
      </c>
    </row>
    <row customHeight="1" ht="11.25">
      <c r="A279" s="2412" t="s">
        <v>2155</v>
      </c>
      <c r="B279" s="2412" t="s">
        <v>14</v>
      </c>
      <c r="C279" s="2412" t="s">
        <v>2824</v>
      </c>
      <c r="D279" s="2412" t="s">
        <v>2825</v>
      </c>
      <c r="E279" s="2412" t="s">
        <v>2826</v>
      </c>
      <c r="F279" s="2412" t="s">
        <v>2201</v>
      </c>
      <c r="G279" s="2412" t="s">
        <v>2827</v>
      </c>
      <c r="H279" s="2412" t="s">
        <v>18</v>
      </c>
      <c r="I279" s="2412" t="s">
        <v>984</v>
      </c>
    </row>
    <row customHeight="1" ht="11.25">
      <c r="A280" s="2412" t="s">
        <v>2155</v>
      </c>
      <c r="B280" s="2412" t="s">
        <v>14</v>
      </c>
      <c r="C280" s="2412" t="s">
        <v>2623</v>
      </c>
      <c r="D280" s="2412" t="s">
        <v>2624</v>
      </c>
      <c r="E280" s="2412" t="s">
        <v>2625</v>
      </c>
      <c r="F280" s="2412" t="s">
        <v>2222</v>
      </c>
      <c r="G280" s="2412" t="s">
        <v>18</v>
      </c>
      <c r="H280" s="2412" t="s">
        <v>18</v>
      </c>
      <c r="I280" s="2412" t="s">
        <v>984</v>
      </c>
    </row>
    <row customHeight="1" ht="11.25">
      <c r="A281" s="2412" t="s">
        <v>2155</v>
      </c>
      <c r="B281" s="2412" t="s">
        <v>14</v>
      </c>
      <c r="C281" s="2412" t="s">
        <v>2630</v>
      </c>
      <c r="D281" s="2412" t="s">
        <v>2631</v>
      </c>
      <c r="E281" s="2412" t="s">
        <v>2632</v>
      </c>
      <c r="F281" s="2412" t="s">
        <v>2168</v>
      </c>
      <c r="G281" s="2412" t="s">
        <v>18</v>
      </c>
      <c r="H281" s="2412" t="s">
        <v>18</v>
      </c>
      <c r="I281" s="2412" t="s">
        <v>984</v>
      </c>
    </row>
    <row customHeight="1" ht="11.25">
      <c r="A282" s="2412" t="s">
        <v>2155</v>
      </c>
      <c r="B282" s="2412" t="s">
        <v>14</v>
      </c>
      <c r="C282" s="2412" t="s">
        <v>2633</v>
      </c>
      <c r="D282" s="2412" t="s">
        <v>2634</v>
      </c>
      <c r="E282" s="2412" t="s">
        <v>2635</v>
      </c>
      <c r="F282" s="2412" t="s">
        <v>2621</v>
      </c>
      <c r="G282" s="2412" t="s">
        <v>18</v>
      </c>
      <c r="H282" s="2412" t="s">
        <v>18</v>
      </c>
      <c r="I282" s="2412" t="s">
        <v>984</v>
      </c>
    </row>
    <row customHeight="1" ht="11.25">
      <c r="A283" s="2412" t="s">
        <v>2155</v>
      </c>
      <c r="B283" s="2412" t="s">
        <v>14</v>
      </c>
      <c r="C283" s="2412" t="s">
        <v>2636</v>
      </c>
      <c r="D283" s="2412" t="s">
        <v>2637</v>
      </c>
      <c r="E283" s="2412" t="s">
        <v>2638</v>
      </c>
      <c r="F283" s="2412" t="s">
        <v>2639</v>
      </c>
      <c r="G283" s="2412" t="s">
        <v>2640</v>
      </c>
      <c r="H283" s="2412" t="s">
        <v>18</v>
      </c>
      <c r="I283" s="2412" t="s">
        <v>984</v>
      </c>
    </row>
    <row customHeight="1" ht="11.25">
      <c r="A284" s="2412" t="s">
        <v>2155</v>
      </c>
      <c r="B284" s="2412" t="s">
        <v>14</v>
      </c>
      <c r="C284" s="2412" t="s">
        <v>2828</v>
      </c>
      <c r="D284" s="2412" t="s">
        <v>2829</v>
      </c>
      <c r="E284" s="2412" t="s">
        <v>2830</v>
      </c>
      <c r="F284" s="2412" t="s">
        <v>2183</v>
      </c>
      <c r="G284" s="2412" t="s">
        <v>2831</v>
      </c>
      <c r="H284" s="2412" t="s">
        <v>18</v>
      </c>
      <c r="I284" s="2412" t="s">
        <v>984</v>
      </c>
    </row>
    <row customHeight="1" ht="11.25">
      <c r="A285" s="2412" t="s">
        <v>2155</v>
      </c>
      <c r="B285" s="2412" t="s">
        <v>14</v>
      </c>
      <c r="C285" s="2412" t="s">
        <v>2832</v>
      </c>
      <c r="D285" s="2412" t="s">
        <v>2833</v>
      </c>
      <c r="E285" s="2412" t="s">
        <v>2834</v>
      </c>
      <c r="F285" s="2412" t="s">
        <v>2835</v>
      </c>
      <c r="G285" s="2412" t="s">
        <v>2836</v>
      </c>
      <c r="H285" s="2412" t="s">
        <v>18</v>
      </c>
      <c r="I285" s="2412" t="s">
        <v>984</v>
      </c>
    </row>
    <row customHeight="1" ht="11.25">
      <c r="A286" s="2412" t="s">
        <v>2155</v>
      </c>
      <c r="B286" s="2412" t="s">
        <v>14</v>
      </c>
      <c r="C286" s="2412" t="s">
        <v>2663</v>
      </c>
      <c r="D286" s="2412" t="s">
        <v>2664</v>
      </c>
      <c r="E286" s="2412" t="s">
        <v>2665</v>
      </c>
      <c r="F286" s="2412" t="s">
        <v>2183</v>
      </c>
      <c r="G286" s="2412" t="s">
        <v>18</v>
      </c>
      <c r="H286" s="2412" t="s">
        <v>18</v>
      </c>
      <c r="I286" s="2412" t="s">
        <v>984</v>
      </c>
    </row>
    <row customHeight="1" ht="11.25">
      <c r="A287" s="2412" t="s">
        <v>2155</v>
      </c>
      <c r="B287" s="2412" t="s">
        <v>14</v>
      </c>
      <c r="C287" s="2412" t="s">
        <v>2689</v>
      </c>
      <c r="D287" s="2412" t="s">
        <v>46</v>
      </c>
      <c r="E287" s="2412" t="s">
        <v>49</v>
      </c>
      <c r="F287" s="2412" t="s">
        <v>51</v>
      </c>
      <c r="G287" s="2412" t="s">
        <v>2690</v>
      </c>
      <c r="H287" s="2412" t="s">
        <v>18</v>
      </c>
      <c r="I287" s="2412" t="s">
        <v>984</v>
      </c>
    </row>
    <row customHeight="1" ht="11.25">
      <c r="A288" s="2412" t="s">
        <v>2155</v>
      </c>
      <c r="B288" s="2412" t="s">
        <v>14</v>
      </c>
      <c r="C288" s="2412" t="s">
        <v>2837</v>
      </c>
      <c r="D288" s="2412" t="s">
        <v>2838</v>
      </c>
      <c r="E288" s="2412" t="s">
        <v>2839</v>
      </c>
      <c r="F288" s="2412" t="s">
        <v>2497</v>
      </c>
      <c r="G288" s="2412" t="s">
        <v>2840</v>
      </c>
      <c r="H288" s="2412" t="s">
        <v>18</v>
      </c>
      <c r="I288" s="2412" t="s">
        <v>984</v>
      </c>
    </row>
    <row customHeight="1" ht="11.25">
      <c r="A289" s="2412" t="s">
        <v>2155</v>
      </c>
      <c r="B289" s="2412" t="s">
        <v>14</v>
      </c>
      <c r="C289" s="2412" t="s">
        <v>2841</v>
      </c>
      <c r="D289" s="2412" t="s">
        <v>2842</v>
      </c>
      <c r="E289" s="2412" t="s">
        <v>2843</v>
      </c>
      <c r="F289" s="2412" t="s">
        <v>2168</v>
      </c>
      <c r="G289" s="2412" t="s">
        <v>2844</v>
      </c>
      <c r="H289" s="2412" t="s">
        <v>18</v>
      </c>
      <c r="I289" s="2412" t="s">
        <v>984</v>
      </c>
    </row>
    <row customHeight="1" ht="11.25">
      <c r="A290" s="2412" t="s">
        <v>2155</v>
      </c>
      <c r="B290" s="2412" t="s">
        <v>14</v>
      </c>
      <c r="C290" s="2412" t="s">
        <v>2845</v>
      </c>
      <c r="D290" s="2412" t="s">
        <v>2846</v>
      </c>
      <c r="E290" s="2412" t="s">
        <v>2847</v>
      </c>
      <c r="F290" s="2412" t="s">
        <v>2256</v>
      </c>
      <c r="G290" s="2412" t="s">
        <v>18</v>
      </c>
      <c r="H290" s="2412" t="s">
        <v>18</v>
      </c>
      <c r="I290" s="2412" t="s">
        <v>984</v>
      </c>
    </row>
    <row customHeight="1" ht="11.25">
      <c r="A291" s="2412" t="s">
        <v>2155</v>
      </c>
      <c r="B291" s="2412" t="s">
        <v>14</v>
      </c>
      <c r="C291" s="2412" t="s">
        <v>2848</v>
      </c>
      <c r="D291" s="2412" t="s">
        <v>2849</v>
      </c>
      <c r="E291" s="2412" t="s">
        <v>2850</v>
      </c>
      <c r="F291" s="2412" t="s">
        <v>2168</v>
      </c>
      <c r="G291" s="2412" t="s">
        <v>18</v>
      </c>
      <c r="H291" s="2412" t="s">
        <v>18</v>
      </c>
      <c r="I291" s="2412" t="s">
        <v>984</v>
      </c>
    </row>
    <row customHeight="1" ht="11.25">
      <c r="A292" s="2412" t="s">
        <v>2155</v>
      </c>
      <c r="B292" s="2412" t="s">
        <v>14</v>
      </c>
      <c r="C292" s="2412" t="s">
        <v>2851</v>
      </c>
      <c r="D292" s="2412" t="s">
        <v>2852</v>
      </c>
      <c r="E292" s="2412" t="s">
        <v>2853</v>
      </c>
      <c r="F292" s="2412" t="s">
        <v>2256</v>
      </c>
      <c r="G292" s="2412" t="s">
        <v>18</v>
      </c>
      <c r="H292" s="2412" t="s">
        <v>18</v>
      </c>
      <c r="I292" s="2412" t="s">
        <v>984</v>
      </c>
    </row>
    <row customHeight="1" ht="11.25">
      <c r="A293" s="2412" t="s">
        <v>2155</v>
      </c>
      <c r="B293" s="2412" t="s">
        <v>14</v>
      </c>
      <c r="C293" s="2412" t="s">
        <v>2854</v>
      </c>
      <c r="D293" s="2412" t="s">
        <v>2855</v>
      </c>
      <c r="E293" s="2412" t="s">
        <v>2856</v>
      </c>
      <c r="F293" s="2412" t="s">
        <v>2256</v>
      </c>
      <c r="G293" s="2412" t="s">
        <v>2857</v>
      </c>
      <c r="H293" s="2412" t="s">
        <v>18</v>
      </c>
      <c r="I293" s="2412" t="s">
        <v>984</v>
      </c>
    </row>
    <row customHeight="1" ht="11.25">
      <c r="A294" s="2412" t="s">
        <v>2155</v>
      </c>
      <c r="B294" s="2412" t="s">
        <v>14</v>
      </c>
      <c r="C294" s="2412" t="s">
        <v>2858</v>
      </c>
      <c r="D294" s="2412" t="s">
        <v>2859</v>
      </c>
      <c r="E294" s="2412" t="s">
        <v>2860</v>
      </c>
      <c r="F294" s="2412" t="s">
        <v>2256</v>
      </c>
      <c r="G294" s="2412" t="s">
        <v>2861</v>
      </c>
      <c r="H294" s="2412" t="s">
        <v>18</v>
      </c>
      <c r="I294" s="2412" t="s">
        <v>984</v>
      </c>
    </row>
    <row customHeight="1" ht="11.25">
      <c r="A295" s="2412" t="s">
        <v>2155</v>
      </c>
      <c r="B295" s="2412" t="s">
        <v>14</v>
      </c>
      <c r="C295" s="2412" t="s">
        <v>2862</v>
      </c>
      <c r="D295" s="2412" t="s">
        <v>2863</v>
      </c>
      <c r="E295" s="2412" t="s">
        <v>2864</v>
      </c>
      <c r="F295" s="2412" t="s">
        <v>2173</v>
      </c>
      <c r="G295" s="2412" t="s">
        <v>18</v>
      </c>
      <c r="H295" s="2412" t="s">
        <v>18</v>
      </c>
      <c r="I295" s="2412" t="s">
        <v>984</v>
      </c>
    </row>
    <row customHeight="1" ht="11.25">
      <c r="A296" s="2412" t="s">
        <v>2155</v>
      </c>
      <c r="B296" s="2412" t="s">
        <v>14</v>
      </c>
      <c r="C296" s="2412" t="s">
        <v>2865</v>
      </c>
      <c r="D296" s="2412" t="s">
        <v>2863</v>
      </c>
      <c r="E296" s="2412" t="s">
        <v>2866</v>
      </c>
      <c r="F296" s="2412" t="s">
        <v>2386</v>
      </c>
      <c r="G296" s="2412" t="s">
        <v>18</v>
      </c>
      <c r="H296" s="2412" t="s">
        <v>18</v>
      </c>
      <c r="I296" s="2412" t="s">
        <v>984</v>
      </c>
    </row>
    <row customHeight="1" ht="11.25">
      <c r="A297" s="2412" t="s">
        <v>2155</v>
      </c>
      <c r="B297" s="2412" t="s">
        <v>14</v>
      </c>
      <c r="C297" s="2412" t="s">
        <v>2867</v>
      </c>
      <c r="D297" s="2412" t="s">
        <v>2868</v>
      </c>
      <c r="E297" s="2412" t="s">
        <v>2869</v>
      </c>
      <c r="F297" s="2412" t="s">
        <v>2386</v>
      </c>
      <c r="G297" s="2412" t="s">
        <v>2870</v>
      </c>
      <c r="H297" s="2412" t="s">
        <v>18</v>
      </c>
      <c r="I297" s="2412" t="s">
        <v>984</v>
      </c>
    </row>
    <row customHeight="1" ht="11.25">
      <c r="A298" s="2412" t="s">
        <v>2155</v>
      </c>
      <c r="B298" s="2412" t="s">
        <v>14</v>
      </c>
      <c r="C298" s="2412" t="s">
        <v>2871</v>
      </c>
      <c r="D298" s="2412" t="s">
        <v>2872</v>
      </c>
      <c r="E298" s="2412" t="s">
        <v>2873</v>
      </c>
      <c r="F298" s="2412" t="s">
        <v>2874</v>
      </c>
      <c r="G298" s="2412" t="s">
        <v>2875</v>
      </c>
      <c r="H298" s="2412" t="s">
        <v>18</v>
      </c>
      <c r="I298" s="2412" t="s">
        <v>984</v>
      </c>
    </row>
    <row customHeight="1" ht="11.25">
      <c r="A299" s="2412" t="s">
        <v>2155</v>
      </c>
      <c r="B299" s="2412" t="s">
        <v>14</v>
      </c>
      <c r="C299" s="2412" t="s">
        <v>2876</v>
      </c>
      <c r="D299" s="2412" t="s">
        <v>2877</v>
      </c>
      <c r="E299" s="2412" t="s">
        <v>2878</v>
      </c>
      <c r="F299" s="2412" t="s">
        <v>2256</v>
      </c>
      <c r="G299" s="2412" t="s">
        <v>2879</v>
      </c>
      <c r="H299" s="2412" t="s">
        <v>18</v>
      </c>
      <c r="I299" s="2412" t="s">
        <v>984</v>
      </c>
    </row>
    <row customHeight="1" ht="11.25">
      <c r="A300" s="2412" t="s">
        <v>2155</v>
      </c>
      <c r="B300" s="2412" t="s">
        <v>14</v>
      </c>
      <c r="C300" s="2412" t="s">
        <v>2880</v>
      </c>
      <c r="D300" s="2412" t="s">
        <v>2881</v>
      </c>
      <c r="E300" s="2412" t="s">
        <v>2882</v>
      </c>
      <c r="F300" s="2412" t="s">
        <v>2360</v>
      </c>
      <c r="G300" s="2412" t="s">
        <v>18</v>
      </c>
      <c r="H300" s="2412" t="s">
        <v>18</v>
      </c>
      <c r="I300" s="2412" t="s">
        <v>984</v>
      </c>
    </row>
    <row customHeight="1" ht="11.25">
      <c r="A301" s="2412" t="s">
        <v>2155</v>
      </c>
      <c r="B301" s="2412" t="s">
        <v>14</v>
      </c>
      <c r="C301" s="2412" t="s">
        <v>2883</v>
      </c>
      <c r="D301" s="2412" t="s">
        <v>2884</v>
      </c>
      <c r="E301" s="2412" t="s">
        <v>2885</v>
      </c>
      <c r="F301" s="2412" t="s">
        <v>2256</v>
      </c>
      <c r="G301" s="2412" t="s">
        <v>18</v>
      </c>
      <c r="H301" s="2412" t="s">
        <v>18</v>
      </c>
      <c r="I301" s="2412" t="s">
        <v>984</v>
      </c>
    </row>
    <row customHeight="1" ht="11.25">
      <c r="A302" s="2412" t="s">
        <v>2155</v>
      </c>
      <c r="B302" s="2412" t="s">
        <v>14</v>
      </c>
      <c r="C302" s="2412" t="s">
        <v>2886</v>
      </c>
      <c r="D302" s="2412" t="s">
        <v>2887</v>
      </c>
      <c r="E302" s="2412" t="s">
        <v>2888</v>
      </c>
      <c r="F302" s="2412" t="s">
        <v>2173</v>
      </c>
      <c r="G302" s="2412" t="s">
        <v>2889</v>
      </c>
      <c r="H302" s="2412" t="s">
        <v>18</v>
      </c>
      <c r="I302" s="2412" t="s">
        <v>984</v>
      </c>
    </row>
    <row customHeight="1" ht="11.25">
      <c r="A303" s="2412" t="s">
        <v>2155</v>
      </c>
      <c r="B303" s="2412" t="s">
        <v>14</v>
      </c>
      <c r="C303" s="2412" t="s">
        <v>2693</v>
      </c>
      <c r="D303" s="2412" t="s">
        <v>2694</v>
      </c>
      <c r="E303" s="2412" t="s">
        <v>2695</v>
      </c>
      <c r="F303" s="2412" t="s">
        <v>2696</v>
      </c>
      <c r="G303" s="2412" t="s">
        <v>18</v>
      </c>
      <c r="H303" s="2412" t="s">
        <v>18</v>
      </c>
      <c r="I303" s="2412" t="s">
        <v>984</v>
      </c>
    </row>
    <row customHeight="1" ht="11.25">
      <c r="A304" s="2412" t="s">
        <v>2155</v>
      </c>
      <c r="B304" s="2412" t="s">
        <v>14</v>
      </c>
      <c r="C304" s="2412" t="s">
        <v>2890</v>
      </c>
      <c r="D304" s="2412" t="s">
        <v>2891</v>
      </c>
      <c r="E304" s="2412" t="s">
        <v>2892</v>
      </c>
      <c r="F304" s="2412" t="s">
        <v>2183</v>
      </c>
      <c r="G304" s="2412" t="s">
        <v>18</v>
      </c>
      <c r="H304" s="2412" t="s">
        <v>18</v>
      </c>
      <c r="I304" s="2412" t="s">
        <v>984</v>
      </c>
    </row>
    <row customHeight="1" ht="11.25">
      <c r="A305" s="2412" t="s">
        <v>2155</v>
      </c>
      <c r="B305" s="2412" t="s">
        <v>14</v>
      </c>
      <c r="C305" s="2412" t="s">
        <v>2893</v>
      </c>
      <c r="D305" s="2412" t="s">
        <v>2894</v>
      </c>
      <c r="E305" s="2412" t="s">
        <v>2895</v>
      </c>
      <c r="F305" s="2412" t="s">
        <v>2896</v>
      </c>
      <c r="G305" s="2412" t="s">
        <v>2897</v>
      </c>
      <c r="H305" s="2412" t="s">
        <v>18</v>
      </c>
      <c r="I305" s="2412" t="s">
        <v>984</v>
      </c>
    </row>
    <row customHeight="1" ht="11.25">
      <c r="A306" s="2412" t="s">
        <v>2155</v>
      </c>
      <c r="B306" s="2412" t="s">
        <v>14</v>
      </c>
      <c r="C306" s="2412" t="s">
        <v>2697</v>
      </c>
      <c r="D306" s="2412" t="s">
        <v>2698</v>
      </c>
      <c r="E306" s="2412" t="s">
        <v>2699</v>
      </c>
      <c r="F306" s="2412" t="s">
        <v>2700</v>
      </c>
      <c r="G306" s="2412" t="s">
        <v>18</v>
      </c>
      <c r="H306" s="2412" t="s">
        <v>18</v>
      </c>
      <c r="I306" s="2412" t="s">
        <v>984</v>
      </c>
    </row>
    <row customHeight="1" ht="11.25">
      <c r="A307" s="2412" t="s">
        <v>2155</v>
      </c>
      <c r="B307" s="2412" t="s">
        <v>14</v>
      </c>
      <c r="C307" s="2412" t="s">
        <v>2704</v>
      </c>
      <c r="D307" s="2412" t="s">
        <v>2705</v>
      </c>
      <c r="E307" s="2412" t="s">
        <v>2706</v>
      </c>
      <c r="F307" s="2412" t="s">
        <v>2400</v>
      </c>
      <c r="G307" s="2412" t="s">
        <v>2707</v>
      </c>
      <c r="H307" s="2412" t="s">
        <v>18</v>
      </c>
      <c r="I307" s="2412" t="s">
        <v>984</v>
      </c>
    </row>
    <row customHeight="1" ht="11.25">
      <c r="A308" s="2412" t="s">
        <v>2155</v>
      </c>
      <c r="B308" s="2412" t="s">
        <v>14</v>
      </c>
      <c r="C308" s="2412" t="s">
        <v>2711</v>
      </c>
      <c r="D308" s="2412" t="s">
        <v>2712</v>
      </c>
      <c r="E308" s="2412" t="s">
        <v>2713</v>
      </c>
      <c r="F308" s="2412" t="s">
        <v>2714</v>
      </c>
      <c r="G308" s="2412" t="s">
        <v>18</v>
      </c>
      <c r="H308" s="2412" t="s">
        <v>18</v>
      </c>
      <c r="I308" s="2412" t="s">
        <v>984</v>
      </c>
    </row>
    <row customHeight="1" ht="11.25">
      <c r="A309" s="2412" t="s">
        <v>2155</v>
      </c>
      <c r="B309" s="2412" t="s">
        <v>14</v>
      </c>
      <c r="C309" s="2412" t="s">
        <v>2156</v>
      </c>
      <c r="D309" s="2412" t="s">
        <v>2157</v>
      </c>
      <c r="E309" s="2412" t="s">
        <v>2158</v>
      </c>
      <c r="F309" s="2412" t="s">
        <v>2159</v>
      </c>
      <c r="G309" s="2412" t="s">
        <v>2160</v>
      </c>
      <c r="H309" s="2412" t="s">
        <v>18</v>
      </c>
      <c r="I309" s="2412" t="s">
        <v>596</v>
      </c>
    </row>
    <row customHeight="1" ht="11.25">
      <c r="A310" s="2412" t="s">
        <v>2155</v>
      </c>
      <c r="B310" s="2412" t="s">
        <v>14</v>
      </c>
      <c r="C310" s="2412" t="s">
        <v>2898</v>
      </c>
      <c r="D310" s="2412" t="s">
        <v>2899</v>
      </c>
      <c r="E310" s="2412" t="s">
        <v>2900</v>
      </c>
      <c r="F310" s="2412" t="s">
        <v>2326</v>
      </c>
      <c r="G310" s="2412" t="s">
        <v>2901</v>
      </c>
      <c r="H310" s="2412" t="s">
        <v>18</v>
      </c>
      <c r="I310" s="2412" t="s">
        <v>596</v>
      </c>
    </row>
    <row customHeight="1" ht="11.25">
      <c r="A311" s="2412" t="s">
        <v>2155</v>
      </c>
      <c r="B311" s="2412" t="s">
        <v>14</v>
      </c>
      <c r="C311" s="2412" t="s">
        <v>2175</v>
      </c>
      <c r="D311" s="2412" t="s">
        <v>2176</v>
      </c>
      <c r="E311" s="2412" t="s">
        <v>2177</v>
      </c>
      <c r="F311" s="2412" t="s">
        <v>2178</v>
      </c>
      <c r="G311" s="2412" t="s">
        <v>2179</v>
      </c>
      <c r="H311" s="2412" t="s">
        <v>18</v>
      </c>
      <c r="I311" s="2412" t="s">
        <v>596</v>
      </c>
    </row>
    <row customHeight="1" ht="11.25">
      <c r="A312" s="2412" t="s">
        <v>2155</v>
      </c>
      <c r="B312" s="2412" t="s">
        <v>14</v>
      </c>
      <c r="C312" s="2412" t="s">
        <v>2180</v>
      </c>
      <c r="D312" s="2412" t="s">
        <v>2181</v>
      </c>
      <c r="E312" s="2412" t="s">
        <v>2182</v>
      </c>
      <c r="F312" s="2412" t="s">
        <v>2183</v>
      </c>
      <c r="G312" s="2412" t="s">
        <v>2184</v>
      </c>
      <c r="H312" s="2412" t="s">
        <v>18</v>
      </c>
      <c r="I312" s="2412" t="s">
        <v>596</v>
      </c>
    </row>
    <row customHeight="1" ht="11.25">
      <c r="A313" s="2412" t="s">
        <v>2155</v>
      </c>
      <c r="B313" s="2412" t="s">
        <v>14</v>
      </c>
      <c r="C313" s="2412" t="s">
        <v>2190</v>
      </c>
      <c r="D313" s="2412" t="s">
        <v>2191</v>
      </c>
      <c r="E313" s="2412" t="s">
        <v>2192</v>
      </c>
      <c r="F313" s="2412" t="s">
        <v>2193</v>
      </c>
      <c r="G313" s="2412" t="s">
        <v>18</v>
      </c>
      <c r="H313" s="2412" t="s">
        <v>18</v>
      </c>
      <c r="I313" s="2412" t="s">
        <v>596</v>
      </c>
    </row>
    <row customHeight="1" ht="11.25">
      <c r="A314" s="2412" t="s">
        <v>2155</v>
      </c>
      <c r="B314" s="2412" t="s">
        <v>14</v>
      </c>
      <c r="C314" s="2412" t="s">
        <v>2198</v>
      </c>
      <c r="D314" s="2412" t="s">
        <v>2199</v>
      </c>
      <c r="E314" s="2412" t="s">
        <v>2200</v>
      </c>
      <c r="F314" s="2412" t="s">
        <v>2201</v>
      </c>
      <c r="G314" s="2412" t="s">
        <v>2202</v>
      </c>
      <c r="H314" s="2412" t="s">
        <v>18</v>
      </c>
      <c r="I314" s="2412" t="s">
        <v>596</v>
      </c>
    </row>
    <row customHeight="1" ht="11.25">
      <c r="A315" s="2412" t="s">
        <v>2155</v>
      </c>
      <c r="B315" s="2412" t="s">
        <v>14</v>
      </c>
      <c r="C315" s="2412" t="s">
        <v>18</v>
      </c>
      <c r="D315" s="2412" t="s">
        <v>2207</v>
      </c>
      <c r="E315" s="2412" t="s">
        <v>2208</v>
      </c>
      <c r="F315" s="2412" t="s">
        <v>2201</v>
      </c>
      <c r="G315" s="2412" t="s">
        <v>18</v>
      </c>
      <c r="H315" s="2412" t="s">
        <v>18</v>
      </c>
      <c r="I315" s="2412" t="s">
        <v>596</v>
      </c>
    </row>
    <row customHeight="1" ht="11.25">
      <c r="A316" s="2412" t="s">
        <v>2155</v>
      </c>
      <c r="B316" s="2412" t="s">
        <v>14</v>
      </c>
      <c r="C316" s="2412" t="s">
        <v>2722</v>
      </c>
      <c r="D316" s="2412" t="s">
        <v>2723</v>
      </c>
      <c r="E316" s="2412" t="s">
        <v>2724</v>
      </c>
      <c r="F316" s="2412" t="s">
        <v>2725</v>
      </c>
      <c r="G316" s="2412" t="s">
        <v>2726</v>
      </c>
      <c r="H316" s="2412" t="s">
        <v>18</v>
      </c>
      <c r="I316" s="2412" t="s">
        <v>596</v>
      </c>
    </row>
    <row customHeight="1" ht="11.25">
      <c r="A317" s="2412" t="s">
        <v>2155</v>
      </c>
      <c r="B317" s="2412" t="s">
        <v>14</v>
      </c>
      <c r="C317" s="2412" t="s">
        <v>2219</v>
      </c>
      <c r="D317" s="2412" t="s">
        <v>2220</v>
      </c>
      <c r="E317" s="2412" t="s">
        <v>2221</v>
      </c>
      <c r="F317" s="2412" t="s">
        <v>2222</v>
      </c>
      <c r="G317" s="2412" t="s">
        <v>18</v>
      </c>
      <c r="H317" s="2412" t="s">
        <v>18</v>
      </c>
      <c r="I317" s="2412" t="s">
        <v>596</v>
      </c>
    </row>
    <row customHeight="1" ht="11.25">
      <c r="A318" s="2412" t="s">
        <v>2155</v>
      </c>
      <c r="B318" s="2412" t="s">
        <v>14</v>
      </c>
      <c r="C318" s="2412" t="s">
        <v>2227</v>
      </c>
      <c r="D318" s="2412" t="s">
        <v>2228</v>
      </c>
      <c r="E318" s="2412" t="s">
        <v>2229</v>
      </c>
      <c r="F318" s="2412" t="s">
        <v>420</v>
      </c>
      <c r="G318" s="2412" t="s">
        <v>2230</v>
      </c>
      <c r="H318" s="2412" t="s">
        <v>18</v>
      </c>
      <c r="I318" s="2412" t="s">
        <v>596</v>
      </c>
    </row>
    <row customHeight="1" ht="11.25">
      <c r="A319" s="2412" t="s">
        <v>2155</v>
      </c>
      <c r="B319" s="2412" t="s">
        <v>14</v>
      </c>
      <c r="C319" s="2412" t="s">
        <v>2727</v>
      </c>
      <c r="D319" s="2412" t="s">
        <v>2728</v>
      </c>
      <c r="E319" s="2412" t="s">
        <v>2729</v>
      </c>
      <c r="F319" s="2412" t="s">
        <v>420</v>
      </c>
      <c r="G319" s="2412" t="s">
        <v>18</v>
      </c>
      <c r="H319" s="2412" t="s">
        <v>18</v>
      </c>
      <c r="I319" s="2412" t="s">
        <v>596</v>
      </c>
    </row>
    <row customHeight="1" ht="11.25">
      <c r="A320" s="2412" t="s">
        <v>2155</v>
      </c>
      <c r="B320" s="2412" t="s">
        <v>14</v>
      </c>
      <c r="C320" s="2412" t="s">
        <v>2231</v>
      </c>
      <c r="D320" s="2412" t="s">
        <v>2232</v>
      </c>
      <c r="E320" s="2412" t="s">
        <v>2233</v>
      </c>
      <c r="F320" s="2412" t="s">
        <v>420</v>
      </c>
      <c r="G320" s="2412" t="s">
        <v>2234</v>
      </c>
      <c r="H320" s="2412" t="s">
        <v>18</v>
      </c>
      <c r="I320" s="2412" t="s">
        <v>596</v>
      </c>
    </row>
    <row customHeight="1" ht="11.25">
      <c r="A321" s="2412" t="s">
        <v>2155</v>
      </c>
      <c r="B321" s="2412" t="s">
        <v>14</v>
      </c>
      <c r="C321" s="2412" t="s">
        <v>2235</v>
      </c>
      <c r="D321" s="2412" t="s">
        <v>2236</v>
      </c>
      <c r="E321" s="2412" t="s">
        <v>2237</v>
      </c>
      <c r="F321" s="2412" t="s">
        <v>420</v>
      </c>
      <c r="G321" s="2412" t="s">
        <v>2238</v>
      </c>
      <c r="H321" s="2412" t="s">
        <v>18</v>
      </c>
      <c r="I321" s="2412" t="s">
        <v>596</v>
      </c>
    </row>
    <row customHeight="1" ht="11.25">
      <c r="A322" s="2412" t="s">
        <v>2155</v>
      </c>
      <c r="B322" s="2412" t="s">
        <v>14</v>
      </c>
      <c r="C322" s="2412" t="s">
        <v>2730</v>
      </c>
      <c r="D322" s="2412" t="s">
        <v>2731</v>
      </c>
      <c r="E322" s="2412" t="s">
        <v>2732</v>
      </c>
      <c r="F322" s="2412" t="s">
        <v>420</v>
      </c>
      <c r="G322" s="2412" t="s">
        <v>18</v>
      </c>
      <c r="H322" s="2412" t="s">
        <v>18</v>
      </c>
      <c r="I322" s="2412" t="s">
        <v>596</v>
      </c>
    </row>
    <row customHeight="1" ht="11.25">
      <c r="A323" s="2412" t="s">
        <v>2155</v>
      </c>
      <c r="B323" s="2412" t="s">
        <v>14</v>
      </c>
      <c r="C323" s="2412" t="s">
        <v>2243</v>
      </c>
      <c r="D323" s="2412" t="s">
        <v>2244</v>
      </c>
      <c r="E323" s="2412" t="s">
        <v>2245</v>
      </c>
      <c r="F323" s="2412" t="s">
        <v>2183</v>
      </c>
      <c r="G323" s="2412" t="s">
        <v>2246</v>
      </c>
      <c r="H323" s="2412" t="s">
        <v>18</v>
      </c>
      <c r="I323" s="2412" t="s">
        <v>596</v>
      </c>
    </row>
    <row customHeight="1" ht="11.25">
      <c r="A324" s="2412" t="s">
        <v>2155</v>
      </c>
      <c r="B324" s="2412" t="s">
        <v>14</v>
      </c>
      <c r="C324" s="2412" t="s">
        <v>2247</v>
      </c>
      <c r="D324" s="2412" t="s">
        <v>2248</v>
      </c>
      <c r="E324" s="2412" t="s">
        <v>2249</v>
      </c>
      <c r="F324" s="2412" t="s">
        <v>2183</v>
      </c>
      <c r="G324" s="2412" t="s">
        <v>18</v>
      </c>
      <c r="H324" s="2412" t="s">
        <v>18</v>
      </c>
      <c r="I324" s="2412" t="s">
        <v>596</v>
      </c>
    </row>
    <row customHeight="1" ht="11.25">
      <c r="A325" s="2412" t="s">
        <v>2155</v>
      </c>
      <c r="B325" s="2412" t="s">
        <v>14</v>
      </c>
      <c r="C325" s="2412" t="s">
        <v>2250</v>
      </c>
      <c r="D325" s="2412" t="s">
        <v>2251</v>
      </c>
      <c r="E325" s="2412" t="s">
        <v>2252</v>
      </c>
      <c r="F325" s="2412" t="s">
        <v>2201</v>
      </c>
      <c r="G325" s="2412" t="s">
        <v>18</v>
      </c>
      <c r="H325" s="2412" t="s">
        <v>18</v>
      </c>
      <c r="I325" s="2412" t="s">
        <v>596</v>
      </c>
    </row>
    <row customHeight="1" ht="11.25">
      <c r="A326" s="2412" t="s">
        <v>2155</v>
      </c>
      <c r="B326" s="2412" t="s">
        <v>14</v>
      </c>
      <c r="C326" s="2412" t="s">
        <v>2284</v>
      </c>
      <c r="D326" s="2412" t="s">
        <v>2285</v>
      </c>
      <c r="E326" s="2412" t="s">
        <v>2286</v>
      </c>
      <c r="F326" s="2412" t="s">
        <v>2164</v>
      </c>
      <c r="G326" s="2412" t="s">
        <v>2287</v>
      </c>
      <c r="H326" s="2412" t="s">
        <v>18</v>
      </c>
      <c r="I326" s="2412" t="s">
        <v>596</v>
      </c>
    </row>
    <row customHeight="1" ht="11.25">
      <c r="A327" s="2412" t="s">
        <v>2155</v>
      </c>
      <c r="B327" s="2412" t="s">
        <v>14</v>
      </c>
      <c r="C327" s="2412" t="s">
        <v>2288</v>
      </c>
      <c r="D327" s="2412" t="s">
        <v>2289</v>
      </c>
      <c r="E327" s="2412" t="s">
        <v>2290</v>
      </c>
      <c r="F327" s="2412" t="s">
        <v>2291</v>
      </c>
      <c r="G327" s="2412" t="s">
        <v>2292</v>
      </c>
      <c r="H327" s="2412" t="s">
        <v>18</v>
      </c>
      <c r="I327" s="2412" t="s">
        <v>596</v>
      </c>
    </row>
    <row customHeight="1" ht="11.25">
      <c r="A328" s="2412" t="s">
        <v>2155</v>
      </c>
      <c r="B328" s="2412" t="s">
        <v>14</v>
      </c>
      <c r="C328" s="2412" t="s">
        <v>2748</v>
      </c>
      <c r="D328" s="2412" t="s">
        <v>2749</v>
      </c>
      <c r="E328" s="2412" t="s">
        <v>2750</v>
      </c>
      <c r="F328" s="2412" t="s">
        <v>2446</v>
      </c>
      <c r="G328" s="2412" t="s">
        <v>2751</v>
      </c>
      <c r="H328" s="2412" t="s">
        <v>18</v>
      </c>
      <c r="I328" s="2412" t="s">
        <v>596</v>
      </c>
    </row>
    <row customHeight="1" ht="11.25">
      <c r="A329" s="2412" t="s">
        <v>2155</v>
      </c>
      <c r="B329" s="2412" t="s">
        <v>14</v>
      </c>
      <c r="C329" s="2412" t="s">
        <v>2298</v>
      </c>
      <c r="D329" s="2412" t="s">
        <v>2299</v>
      </c>
      <c r="E329" s="2412" t="s">
        <v>2300</v>
      </c>
      <c r="F329" s="2412" t="s">
        <v>2242</v>
      </c>
      <c r="G329" s="2412" t="s">
        <v>2301</v>
      </c>
      <c r="H329" s="2412" t="s">
        <v>18</v>
      </c>
      <c r="I329" s="2412" t="s">
        <v>596</v>
      </c>
    </row>
    <row customHeight="1" ht="11.25">
      <c r="A330" s="2412" t="s">
        <v>2155</v>
      </c>
      <c r="B330" s="2412" t="s">
        <v>14</v>
      </c>
      <c r="C330" s="2412" t="s">
        <v>2307</v>
      </c>
      <c r="D330" s="2412" t="s">
        <v>2308</v>
      </c>
      <c r="E330" s="2412" t="s">
        <v>2309</v>
      </c>
      <c r="F330" s="2412" t="s">
        <v>2310</v>
      </c>
      <c r="G330" s="2412" t="s">
        <v>2311</v>
      </c>
      <c r="H330" s="2412" t="s">
        <v>18</v>
      </c>
      <c r="I330" s="2412" t="s">
        <v>596</v>
      </c>
    </row>
    <row customHeight="1" ht="11.25">
      <c r="A331" s="2412" t="s">
        <v>2155</v>
      </c>
      <c r="B331" s="2412" t="s">
        <v>14</v>
      </c>
      <c r="C331" s="2412" t="s">
        <v>2902</v>
      </c>
      <c r="D331" s="2412" t="s">
        <v>2903</v>
      </c>
      <c r="E331" s="2412" t="s">
        <v>2904</v>
      </c>
      <c r="F331" s="2412" t="s">
        <v>2319</v>
      </c>
      <c r="G331" s="2412" t="s">
        <v>2905</v>
      </c>
      <c r="H331" s="2412" t="s">
        <v>18</v>
      </c>
      <c r="I331" s="2412" t="s">
        <v>596</v>
      </c>
    </row>
    <row customHeight="1" ht="11.25">
      <c r="A332" s="2412" t="s">
        <v>2155</v>
      </c>
      <c r="B332" s="2412" t="s">
        <v>14</v>
      </c>
      <c r="C332" s="2412" t="s">
        <v>2752</v>
      </c>
      <c r="D332" s="2412" t="s">
        <v>2753</v>
      </c>
      <c r="E332" s="2412" t="s">
        <v>2754</v>
      </c>
      <c r="F332" s="2412" t="s">
        <v>2278</v>
      </c>
      <c r="G332" s="2412" t="s">
        <v>2755</v>
      </c>
      <c r="H332" s="2412" t="s">
        <v>18</v>
      </c>
      <c r="I332" s="2412" t="s">
        <v>596</v>
      </c>
    </row>
    <row customHeight="1" ht="11.25">
      <c r="A333" s="2412" t="s">
        <v>2155</v>
      </c>
      <c r="B333" s="2412" t="s">
        <v>14</v>
      </c>
      <c r="C333" s="2412" t="s">
        <v>2333</v>
      </c>
      <c r="D333" s="2412" t="s">
        <v>2334</v>
      </c>
      <c r="E333" s="2412" t="s">
        <v>2335</v>
      </c>
      <c r="F333" s="2412" t="s">
        <v>2336</v>
      </c>
      <c r="G333" s="2412" t="s">
        <v>2337</v>
      </c>
      <c r="H333" s="2412" t="s">
        <v>18</v>
      </c>
      <c r="I333" s="2412" t="s">
        <v>596</v>
      </c>
    </row>
    <row customHeight="1" ht="11.25">
      <c r="A334" s="2412" t="s">
        <v>2155</v>
      </c>
      <c r="B334" s="2412" t="s">
        <v>14</v>
      </c>
      <c r="C334" s="2412" t="s">
        <v>2354</v>
      </c>
      <c r="D334" s="2412" t="s">
        <v>2355</v>
      </c>
      <c r="E334" s="2412" t="s">
        <v>2356</v>
      </c>
      <c r="F334" s="2412" t="s">
        <v>2168</v>
      </c>
      <c r="G334" s="2412" t="s">
        <v>18</v>
      </c>
      <c r="H334" s="2412" t="s">
        <v>18</v>
      </c>
      <c r="I334" s="2412" t="s">
        <v>596</v>
      </c>
    </row>
    <row customHeight="1" ht="11.25">
      <c r="A335" s="2412" t="s">
        <v>2155</v>
      </c>
      <c r="B335" s="2412" t="s">
        <v>14</v>
      </c>
      <c r="C335" s="2412" t="s">
        <v>2357</v>
      </c>
      <c r="D335" s="2412" t="s">
        <v>2358</v>
      </c>
      <c r="E335" s="2412" t="s">
        <v>2359</v>
      </c>
      <c r="F335" s="2412" t="s">
        <v>2360</v>
      </c>
      <c r="G335" s="2412" t="s">
        <v>18</v>
      </c>
      <c r="H335" s="2412" t="s">
        <v>2361</v>
      </c>
      <c r="I335" s="2412" t="s">
        <v>596</v>
      </c>
    </row>
    <row customHeight="1" ht="11.25">
      <c r="A336" s="2412" t="s">
        <v>2155</v>
      </c>
      <c r="B336" s="2412" t="s">
        <v>14</v>
      </c>
      <c r="C336" s="2412" t="s">
        <v>2362</v>
      </c>
      <c r="D336" s="2412" t="s">
        <v>2363</v>
      </c>
      <c r="E336" s="2412" t="s">
        <v>2364</v>
      </c>
      <c r="F336" s="2412" t="s">
        <v>2360</v>
      </c>
      <c r="G336" s="2412" t="s">
        <v>18</v>
      </c>
      <c r="H336" s="2412" t="s">
        <v>18</v>
      </c>
      <c r="I336" s="2412" t="s">
        <v>596</v>
      </c>
    </row>
    <row customHeight="1" ht="11.25">
      <c r="A337" s="2412" t="s">
        <v>2155</v>
      </c>
      <c r="B337" s="2412" t="s">
        <v>14</v>
      </c>
      <c r="C337" s="2412" t="s">
        <v>2906</v>
      </c>
      <c r="D337" s="2412" t="s">
        <v>2907</v>
      </c>
      <c r="E337" s="2412" t="s">
        <v>2908</v>
      </c>
      <c r="F337" s="2412" t="s">
        <v>2497</v>
      </c>
      <c r="G337" s="2412" t="s">
        <v>2909</v>
      </c>
      <c r="H337" s="2412" t="s">
        <v>18</v>
      </c>
      <c r="I337" s="2412" t="s">
        <v>596</v>
      </c>
    </row>
    <row customHeight="1" ht="11.25">
      <c r="A338" s="2412" t="s">
        <v>2155</v>
      </c>
      <c r="B338" s="2412" t="s">
        <v>14</v>
      </c>
      <c r="C338" s="2412" t="s">
        <v>2365</v>
      </c>
      <c r="D338" s="2412" t="s">
        <v>2366</v>
      </c>
      <c r="E338" s="2412" t="s">
        <v>2367</v>
      </c>
      <c r="F338" s="2412" t="s">
        <v>2183</v>
      </c>
      <c r="G338" s="2412" t="s">
        <v>18</v>
      </c>
      <c r="H338" s="2412" t="s">
        <v>18</v>
      </c>
      <c r="I338" s="2412" t="s">
        <v>596</v>
      </c>
    </row>
    <row customHeight="1" ht="11.25">
      <c r="A339" s="2412" t="s">
        <v>2155</v>
      </c>
      <c r="B339" s="2412" t="s">
        <v>14</v>
      </c>
      <c r="C339" s="2412" t="s">
        <v>2372</v>
      </c>
      <c r="D339" s="2412" t="s">
        <v>2373</v>
      </c>
      <c r="E339" s="2412" t="s">
        <v>2374</v>
      </c>
      <c r="F339" s="2412" t="s">
        <v>2183</v>
      </c>
      <c r="G339" s="2412" t="s">
        <v>18</v>
      </c>
      <c r="H339" s="2412" t="s">
        <v>18</v>
      </c>
      <c r="I339" s="2412" t="s">
        <v>596</v>
      </c>
    </row>
    <row customHeight="1" ht="11.25">
      <c r="A340" s="2412" t="s">
        <v>2155</v>
      </c>
      <c r="B340" s="2412" t="s">
        <v>14</v>
      </c>
      <c r="C340" s="2412" t="s">
        <v>2375</v>
      </c>
      <c r="D340" s="2412" t="s">
        <v>2376</v>
      </c>
      <c r="E340" s="2412" t="s">
        <v>2377</v>
      </c>
      <c r="F340" s="2412" t="s">
        <v>2360</v>
      </c>
      <c r="G340" s="2412" t="s">
        <v>18</v>
      </c>
      <c r="H340" s="2412" t="s">
        <v>18</v>
      </c>
      <c r="I340" s="2412" t="s">
        <v>596</v>
      </c>
    </row>
    <row customHeight="1" ht="11.25">
      <c r="A341" s="2412" t="s">
        <v>2155</v>
      </c>
      <c r="B341" s="2412" t="s">
        <v>14</v>
      </c>
      <c r="C341" s="2412" t="s">
        <v>2756</v>
      </c>
      <c r="D341" s="2412" t="s">
        <v>2757</v>
      </c>
      <c r="E341" s="2412" t="s">
        <v>2758</v>
      </c>
      <c r="F341" s="2412" t="s">
        <v>2168</v>
      </c>
      <c r="G341" s="2412" t="s">
        <v>2759</v>
      </c>
      <c r="H341" s="2412" t="s">
        <v>18</v>
      </c>
      <c r="I341" s="2412" t="s">
        <v>596</v>
      </c>
    </row>
    <row customHeight="1" ht="11.25">
      <c r="A342" s="2412" t="s">
        <v>2155</v>
      </c>
      <c r="B342" s="2412" t="s">
        <v>14</v>
      </c>
      <c r="C342" s="2412" t="s">
        <v>2760</v>
      </c>
      <c r="D342" s="2412" t="s">
        <v>2761</v>
      </c>
      <c r="E342" s="2412" t="s">
        <v>2762</v>
      </c>
      <c r="F342" s="2412" t="s">
        <v>2278</v>
      </c>
      <c r="G342" s="2412" t="s">
        <v>18</v>
      </c>
      <c r="H342" s="2412" t="s">
        <v>18</v>
      </c>
      <c r="I342" s="2412" t="s">
        <v>596</v>
      </c>
    </row>
    <row customHeight="1" ht="11.25">
      <c r="A343" s="2412" t="s">
        <v>2155</v>
      </c>
      <c r="B343" s="2412" t="s">
        <v>14</v>
      </c>
      <c r="C343" s="2412" t="s">
        <v>2763</v>
      </c>
      <c r="D343" s="2412" t="s">
        <v>2764</v>
      </c>
      <c r="E343" s="2412" t="s">
        <v>2765</v>
      </c>
      <c r="F343" s="2412" t="s">
        <v>2414</v>
      </c>
      <c r="G343" s="2412" t="s">
        <v>18</v>
      </c>
      <c r="H343" s="2412" t="s">
        <v>18</v>
      </c>
      <c r="I343" s="2412" t="s">
        <v>596</v>
      </c>
    </row>
    <row customHeight="1" ht="11.25">
      <c r="A344" s="2412" t="s">
        <v>2155</v>
      </c>
      <c r="B344" s="2412" t="s">
        <v>14</v>
      </c>
      <c r="C344" s="2412" t="s">
        <v>2766</v>
      </c>
      <c r="D344" s="2412" t="s">
        <v>2767</v>
      </c>
      <c r="E344" s="2412" t="s">
        <v>2768</v>
      </c>
      <c r="F344" s="2412" t="s">
        <v>2360</v>
      </c>
      <c r="G344" s="2412" t="s">
        <v>2769</v>
      </c>
      <c r="H344" s="2412" t="s">
        <v>18</v>
      </c>
      <c r="I344" s="2412" t="s">
        <v>596</v>
      </c>
    </row>
    <row customHeight="1" ht="11.25">
      <c r="A345" s="2412" t="s">
        <v>2155</v>
      </c>
      <c r="B345" s="2412" t="s">
        <v>14</v>
      </c>
      <c r="C345" s="2412" t="s">
        <v>2394</v>
      </c>
      <c r="D345" s="2412" t="s">
        <v>2395</v>
      </c>
      <c r="E345" s="2412" t="s">
        <v>2396</v>
      </c>
      <c r="F345" s="2412" t="s">
        <v>2173</v>
      </c>
      <c r="G345" s="2412" t="s">
        <v>18</v>
      </c>
      <c r="H345" s="2412" t="s">
        <v>18</v>
      </c>
      <c r="I345" s="2412" t="s">
        <v>596</v>
      </c>
    </row>
    <row customHeight="1" ht="11.25">
      <c r="A346" s="2412" t="s">
        <v>2155</v>
      </c>
      <c r="B346" s="2412" t="s">
        <v>14</v>
      </c>
      <c r="C346" s="2412" t="s">
        <v>2397</v>
      </c>
      <c r="D346" s="2412" t="s">
        <v>2398</v>
      </c>
      <c r="E346" s="2412" t="s">
        <v>2399</v>
      </c>
      <c r="F346" s="2412" t="s">
        <v>2400</v>
      </c>
      <c r="G346" s="2412" t="s">
        <v>2401</v>
      </c>
      <c r="H346" s="2412" t="s">
        <v>18</v>
      </c>
      <c r="I346" s="2412" t="s">
        <v>596</v>
      </c>
    </row>
    <row customHeight="1" ht="11.25">
      <c r="A347" s="2412" t="s">
        <v>2155</v>
      </c>
      <c r="B347" s="2412" t="s">
        <v>14</v>
      </c>
      <c r="C347" s="2412" t="s">
        <v>2402</v>
      </c>
      <c r="D347" s="2412" t="s">
        <v>2403</v>
      </c>
      <c r="E347" s="2412" t="s">
        <v>2404</v>
      </c>
      <c r="F347" s="2412" t="s">
        <v>2405</v>
      </c>
      <c r="G347" s="2412" t="s">
        <v>18</v>
      </c>
      <c r="H347" s="2412" t="s">
        <v>18</v>
      </c>
      <c r="I347" s="2412" t="s">
        <v>596</v>
      </c>
    </row>
    <row customHeight="1" ht="11.25">
      <c r="A348" s="2412" t="s">
        <v>2155</v>
      </c>
      <c r="B348" s="2412" t="s">
        <v>14</v>
      </c>
      <c r="C348" s="2412" t="s">
        <v>2406</v>
      </c>
      <c r="D348" s="2412" t="s">
        <v>2407</v>
      </c>
      <c r="E348" s="2412" t="s">
        <v>2408</v>
      </c>
      <c r="F348" s="2412" t="s">
        <v>2409</v>
      </c>
      <c r="G348" s="2412" t="s">
        <v>2410</v>
      </c>
      <c r="H348" s="2412" t="s">
        <v>18</v>
      </c>
      <c r="I348" s="2412" t="s">
        <v>596</v>
      </c>
    </row>
    <row customHeight="1" ht="11.25">
      <c r="A349" s="2412" t="s">
        <v>2155</v>
      </c>
      <c r="B349" s="2412" t="s">
        <v>14</v>
      </c>
      <c r="C349" s="2412" t="s">
        <v>2770</v>
      </c>
      <c r="D349" s="2412" t="s">
        <v>2771</v>
      </c>
      <c r="E349" s="2412" t="s">
        <v>2772</v>
      </c>
      <c r="F349" s="2412" t="s">
        <v>2168</v>
      </c>
      <c r="G349" s="2412" t="s">
        <v>2773</v>
      </c>
      <c r="H349" s="2412" t="s">
        <v>18</v>
      </c>
      <c r="I349" s="2412" t="s">
        <v>596</v>
      </c>
    </row>
    <row customHeight="1" ht="11.25">
      <c r="A350" s="2412" t="s">
        <v>2155</v>
      </c>
      <c r="B350" s="2412" t="s">
        <v>14</v>
      </c>
      <c r="C350" s="2412" t="s">
        <v>2411</v>
      </c>
      <c r="D350" s="2412" t="s">
        <v>2412</v>
      </c>
      <c r="E350" s="2412" t="s">
        <v>2413</v>
      </c>
      <c r="F350" s="2412" t="s">
        <v>2414</v>
      </c>
      <c r="G350" s="2412" t="s">
        <v>2415</v>
      </c>
      <c r="H350" s="2412" t="s">
        <v>18</v>
      </c>
      <c r="I350" s="2412" t="s">
        <v>596</v>
      </c>
    </row>
    <row customHeight="1" ht="11.25">
      <c r="A351" s="2412" t="s">
        <v>2155</v>
      </c>
      <c r="B351" s="2412" t="s">
        <v>14</v>
      </c>
      <c r="C351" s="2412" t="s">
        <v>2423</v>
      </c>
      <c r="D351" s="2412" t="s">
        <v>2424</v>
      </c>
      <c r="E351" s="2412" t="s">
        <v>2425</v>
      </c>
      <c r="F351" s="2412" t="s">
        <v>2178</v>
      </c>
      <c r="G351" s="2412" t="s">
        <v>2426</v>
      </c>
      <c r="H351" s="2412" t="s">
        <v>18</v>
      </c>
      <c r="I351" s="2412" t="s">
        <v>596</v>
      </c>
    </row>
    <row customHeight="1" ht="11.25">
      <c r="A352" s="2412" t="s">
        <v>2155</v>
      </c>
      <c r="B352" s="2412" t="s">
        <v>14</v>
      </c>
      <c r="C352" s="2412" t="s">
        <v>2427</v>
      </c>
      <c r="D352" s="2412" t="s">
        <v>2428</v>
      </c>
      <c r="E352" s="2412" t="s">
        <v>2429</v>
      </c>
      <c r="F352" s="2412" t="s">
        <v>2430</v>
      </c>
      <c r="G352" s="2412" t="s">
        <v>2431</v>
      </c>
      <c r="H352" s="2412" t="s">
        <v>18</v>
      </c>
      <c r="I352" s="2412" t="s">
        <v>596</v>
      </c>
    </row>
    <row customHeight="1" ht="11.25">
      <c r="A353" s="2412" t="s">
        <v>2155</v>
      </c>
      <c r="B353" s="2412" t="s">
        <v>14</v>
      </c>
      <c r="C353" s="2412" t="s">
        <v>2432</v>
      </c>
      <c r="D353" s="2412" t="s">
        <v>2433</v>
      </c>
      <c r="E353" s="2412" t="s">
        <v>2434</v>
      </c>
      <c r="F353" s="2412" t="s">
        <v>2319</v>
      </c>
      <c r="G353" s="2412" t="s">
        <v>2435</v>
      </c>
      <c r="H353" s="2412" t="s">
        <v>18</v>
      </c>
      <c r="I353" s="2412" t="s">
        <v>596</v>
      </c>
    </row>
    <row customHeight="1" ht="11.25">
      <c r="A354" s="2412" t="s">
        <v>2155</v>
      </c>
      <c r="B354" s="2412" t="s">
        <v>14</v>
      </c>
      <c r="C354" s="2412" t="s">
        <v>2774</v>
      </c>
      <c r="D354" s="2412" t="s">
        <v>2775</v>
      </c>
      <c r="E354" s="2412" t="s">
        <v>2776</v>
      </c>
      <c r="F354" s="2412" t="s">
        <v>2381</v>
      </c>
      <c r="G354" s="2412" t="s">
        <v>18</v>
      </c>
      <c r="H354" s="2412" t="s">
        <v>18</v>
      </c>
      <c r="I354" s="2412" t="s">
        <v>596</v>
      </c>
    </row>
    <row customHeight="1" ht="11.25">
      <c r="A355" s="2412" t="s">
        <v>2155</v>
      </c>
      <c r="B355" s="2412" t="s">
        <v>14</v>
      </c>
      <c r="C355" s="2412" t="s">
        <v>2777</v>
      </c>
      <c r="D355" s="2412" t="s">
        <v>2778</v>
      </c>
      <c r="E355" s="2412" t="s">
        <v>2779</v>
      </c>
      <c r="F355" s="2412" t="s">
        <v>2201</v>
      </c>
      <c r="G355" s="2412" t="s">
        <v>2780</v>
      </c>
      <c r="H355" s="2412" t="s">
        <v>18</v>
      </c>
      <c r="I355" s="2412" t="s">
        <v>596</v>
      </c>
    </row>
    <row customHeight="1" ht="11.25">
      <c r="A356" s="2412" t="s">
        <v>2155</v>
      </c>
      <c r="B356" s="2412" t="s">
        <v>14</v>
      </c>
      <c r="C356" s="2412" t="s">
        <v>2784</v>
      </c>
      <c r="D356" s="2412" t="s">
        <v>2785</v>
      </c>
      <c r="E356" s="2412" t="s">
        <v>2786</v>
      </c>
      <c r="F356" s="2412" t="s">
        <v>2604</v>
      </c>
      <c r="G356" s="2412" t="s">
        <v>2787</v>
      </c>
      <c r="H356" s="2412" t="s">
        <v>18</v>
      </c>
      <c r="I356" s="2412" t="s">
        <v>596</v>
      </c>
    </row>
    <row customHeight="1" ht="11.25">
      <c r="A357" s="2412" t="s">
        <v>2155</v>
      </c>
      <c r="B357" s="2412" t="s">
        <v>14</v>
      </c>
      <c r="C357" s="2412" t="s">
        <v>2482</v>
      </c>
      <c r="D357" s="2412" t="s">
        <v>2483</v>
      </c>
      <c r="E357" s="2412" t="s">
        <v>2484</v>
      </c>
      <c r="F357" s="2412" t="s">
        <v>2168</v>
      </c>
      <c r="G357" s="2412" t="s">
        <v>2485</v>
      </c>
      <c r="H357" s="2412" t="s">
        <v>18</v>
      </c>
      <c r="I357" s="2412" t="s">
        <v>596</v>
      </c>
    </row>
    <row customHeight="1" ht="11.25">
      <c r="A358" s="2412" t="s">
        <v>2155</v>
      </c>
      <c r="B358" s="2412" t="s">
        <v>14</v>
      </c>
      <c r="C358" s="2412" t="s">
        <v>2788</v>
      </c>
      <c r="D358" s="2412" t="s">
        <v>2789</v>
      </c>
      <c r="E358" s="2412" t="s">
        <v>2790</v>
      </c>
      <c r="F358" s="2412" t="s">
        <v>2201</v>
      </c>
      <c r="G358" s="2412" t="s">
        <v>2791</v>
      </c>
      <c r="H358" s="2412" t="s">
        <v>18</v>
      </c>
      <c r="I358" s="2412" t="s">
        <v>596</v>
      </c>
    </row>
    <row customHeight="1" ht="11.25">
      <c r="A359" s="2412" t="s">
        <v>2155</v>
      </c>
      <c r="B359" s="2412" t="s">
        <v>14</v>
      </c>
      <c r="C359" s="2412" t="s">
        <v>2792</v>
      </c>
      <c r="D359" s="2412" t="s">
        <v>2793</v>
      </c>
      <c r="E359" s="2412" t="s">
        <v>2794</v>
      </c>
      <c r="F359" s="2412" t="s">
        <v>2639</v>
      </c>
      <c r="G359" s="2412" t="s">
        <v>18</v>
      </c>
      <c r="H359" s="2412" t="s">
        <v>18</v>
      </c>
      <c r="I359" s="2412" t="s">
        <v>596</v>
      </c>
    </row>
    <row customHeight="1" ht="11.25">
      <c r="A360" s="2412" t="s">
        <v>2155</v>
      </c>
      <c r="B360" s="2412" t="s">
        <v>14</v>
      </c>
      <c r="C360" s="2412" t="s">
        <v>2795</v>
      </c>
      <c r="D360" s="2412" t="s">
        <v>2796</v>
      </c>
      <c r="E360" s="2412" t="s">
        <v>2797</v>
      </c>
      <c r="F360" s="2412" t="s">
        <v>2201</v>
      </c>
      <c r="G360" s="2412" t="s">
        <v>18</v>
      </c>
      <c r="H360" s="2412" t="s">
        <v>18</v>
      </c>
      <c r="I360" s="2412" t="s">
        <v>596</v>
      </c>
    </row>
    <row customHeight="1" ht="11.25">
      <c r="A361" s="2412" t="s">
        <v>2155</v>
      </c>
      <c r="B361" s="2412" t="s">
        <v>14</v>
      </c>
      <c r="C361" s="2412" t="s">
        <v>2505</v>
      </c>
      <c r="D361" s="2412" t="s">
        <v>2506</v>
      </c>
      <c r="E361" s="2412" t="s">
        <v>2507</v>
      </c>
      <c r="F361" s="2412" t="s">
        <v>2409</v>
      </c>
      <c r="G361" s="2412" t="s">
        <v>2508</v>
      </c>
      <c r="H361" s="2412" t="s">
        <v>18</v>
      </c>
      <c r="I361" s="2412" t="s">
        <v>596</v>
      </c>
    </row>
    <row customHeight="1" ht="11.25">
      <c r="A362" s="2412" t="s">
        <v>2155</v>
      </c>
      <c r="B362" s="2412" t="s">
        <v>14</v>
      </c>
      <c r="C362" s="2412" t="s">
        <v>2910</v>
      </c>
      <c r="D362" s="2412" t="s">
        <v>2911</v>
      </c>
      <c r="E362" s="2412" t="s">
        <v>2912</v>
      </c>
      <c r="F362" s="2412" t="s">
        <v>2201</v>
      </c>
      <c r="G362" s="2412" t="s">
        <v>18</v>
      </c>
      <c r="H362" s="2412" t="s">
        <v>18</v>
      </c>
      <c r="I362" s="2412" t="s">
        <v>596</v>
      </c>
    </row>
    <row customHeight="1" ht="11.25">
      <c r="A363" s="2412" t="s">
        <v>2155</v>
      </c>
      <c r="B363" s="2412" t="s">
        <v>14</v>
      </c>
      <c r="C363" s="2412" t="s">
        <v>2806</v>
      </c>
      <c r="D363" s="2412" t="s">
        <v>2807</v>
      </c>
      <c r="E363" s="2412" t="s">
        <v>2808</v>
      </c>
      <c r="F363" s="2412" t="s">
        <v>2242</v>
      </c>
      <c r="G363" s="2412" t="s">
        <v>18</v>
      </c>
      <c r="H363" s="2412" t="s">
        <v>18</v>
      </c>
      <c r="I363" s="2412" t="s">
        <v>596</v>
      </c>
    </row>
    <row customHeight="1" ht="11.25">
      <c r="A364" s="2412" t="s">
        <v>2155</v>
      </c>
      <c r="B364" s="2412" t="s">
        <v>14</v>
      </c>
      <c r="C364" s="2412" t="s">
        <v>2509</v>
      </c>
      <c r="D364" s="2412" t="s">
        <v>2510</v>
      </c>
      <c r="E364" s="2412" t="s">
        <v>2511</v>
      </c>
      <c r="F364" s="2412" t="s">
        <v>2405</v>
      </c>
      <c r="G364" s="2412" t="s">
        <v>2512</v>
      </c>
      <c r="H364" s="2412" t="s">
        <v>18</v>
      </c>
      <c r="I364" s="2412" t="s">
        <v>596</v>
      </c>
    </row>
    <row customHeight="1" ht="11.25">
      <c r="A365" s="2412" t="s">
        <v>2155</v>
      </c>
      <c r="B365" s="2412" t="s">
        <v>14</v>
      </c>
      <c r="C365" s="2412" t="s">
        <v>2817</v>
      </c>
      <c r="D365" s="2412" t="s">
        <v>2818</v>
      </c>
      <c r="E365" s="2412" t="s">
        <v>2819</v>
      </c>
      <c r="F365" s="2412" t="s">
        <v>2201</v>
      </c>
      <c r="G365" s="2412" t="s">
        <v>2820</v>
      </c>
      <c r="H365" s="2412" t="s">
        <v>18</v>
      </c>
      <c r="I365" s="2412" t="s">
        <v>596</v>
      </c>
    </row>
    <row customHeight="1" ht="11.25">
      <c r="A366" s="2412" t="s">
        <v>2155</v>
      </c>
      <c r="B366" s="2412" t="s">
        <v>14</v>
      </c>
      <c r="C366" s="2412" t="s">
        <v>2525</v>
      </c>
      <c r="D366" s="2412" t="s">
        <v>2526</v>
      </c>
      <c r="E366" s="2412" t="s">
        <v>2527</v>
      </c>
      <c r="F366" s="2412" t="s">
        <v>2291</v>
      </c>
      <c r="G366" s="2412" t="s">
        <v>18</v>
      </c>
      <c r="H366" s="2412" t="s">
        <v>18</v>
      </c>
      <c r="I366" s="2412" t="s">
        <v>596</v>
      </c>
    </row>
    <row customHeight="1" ht="11.25">
      <c r="A367" s="2412" t="s">
        <v>2155</v>
      </c>
      <c r="B367" s="2412" t="s">
        <v>14</v>
      </c>
      <c r="C367" s="2412" t="s">
        <v>2528</v>
      </c>
      <c r="D367" s="2412" t="s">
        <v>2529</v>
      </c>
      <c r="E367" s="2412" t="s">
        <v>2530</v>
      </c>
      <c r="F367" s="2412" t="s">
        <v>2201</v>
      </c>
      <c r="G367" s="2412" t="s">
        <v>2531</v>
      </c>
      <c r="H367" s="2412" t="s">
        <v>18</v>
      </c>
      <c r="I367" s="2412" t="s">
        <v>596</v>
      </c>
    </row>
    <row customHeight="1" ht="11.25">
      <c r="A368" s="2412" t="s">
        <v>2155</v>
      </c>
      <c r="B368" s="2412" t="s">
        <v>14</v>
      </c>
      <c r="C368" s="2412" t="s">
        <v>2543</v>
      </c>
      <c r="D368" s="2412" t="s">
        <v>2540</v>
      </c>
      <c r="E368" s="2412" t="s">
        <v>2541</v>
      </c>
      <c r="F368" s="2412" t="s">
        <v>2178</v>
      </c>
      <c r="G368" s="2412" t="s">
        <v>18</v>
      </c>
      <c r="H368" s="2412" t="s">
        <v>18</v>
      </c>
      <c r="I368" s="2412" t="s">
        <v>596</v>
      </c>
    </row>
    <row customHeight="1" ht="11.25">
      <c r="A369" s="2412" t="s">
        <v>2155</v>
      </c>
      <c r="B369" s="2412" t="s">
        <v>14</v>
      </c>
      <c r="C369" s="2412" t="s">
        <v>2824</v>
      </c>
      <c r="D369" s="2412" t="s">
        <v>2825</v>
      </c>
      <c r="E369" s="2412" t="s">
        <v>2826</v>
      </c>
      <c r="F369" s="2412" t="s">
        <v>2201</v>
      </c>
      <c r="G369" s="2412" t="s">
        <v>2827</v>
      </c>
      <c r="H369" s="2412" t="s">
        <v>18</v>
      </c>
      <c r="I369" s="2412" t="s">
        <v>596</v>
      </c>
    </row>
    <row customHeight="1" ht="11.25">
      <c r="A370" s="2412" t="s">
        <v>2155</v>
      </c>
      <c r="B370" s="2412" t="s">
        <v>14</v>
      </c>
      <c r="C370" s="2412" t="s">
        <v>2913</v>
      </c>
      <c r="D370" s="2412" t="s">
        <v>2914</v>
      </c>
      <c r="E370" s="2412" t="s">
        <v>2915</v>
      </c>
      <c r="F370" s="2412" t="s">
        <v>2201</v>
      </c>
      <c r="G370" s="2412" t="s">
        <v>18</v>
      </c>
      <c r="H370" s="2412" t="s">
        <v>18</v>
      </c>
      <c r="I370" s="2412" t="s">
        <v>596</v>
      </c>
    </row>
    <row customHeight="1" ht="11.25">
      <c r="A371" s="2412" t="s">
        <v>2155</v>
      </c>
      <c r="B371" s="2412" t="s">
        <v>14</v>
      </c>
      <c r="C371" s="2412" t="s">
        <v>2916</v>
      </c>
      <c r="D371" s="2412" t="s">
        <v>2917</v>
      </c>
      <c r="E371" s="2412" t="s">
        <v>2918</v>
      </c>
      <c r="F371" s="2412" t="s">
        <v>2183</v>
      </c>
      <c r="G371" s="2412" t="s">
        <v>2919</v>
      </c>
      <c r="H371" s="2412" t="s">
        <v>18</v>
      </c>
      <c r="I371" s="2412" t="s">
        <v>596</v>
      </c>
    </row>
    <row customHeight="1" ht="11.25">
      <c r="A372" s="2412" t="s">
        <v>2155</v>
      </c>
      <c r="B372" s="2412" t="s">
        <v>14</v>
      </c>
      <c r="C372" s="2412" t="s">
        <v>2623</v>
      </c>
      <c r="D372" s="2412" t="s">
        <v>2624</v>
      </c>
      <c r="E372" s="2412" t="s">
        <v>2625</v>
      </c>
      <c r="F372" s="2412" t="s">
        <v>2222</v>
      </c>
      <c r="G372" s="2412" t="s">
        <v>18</v>
      </c>
      <c r="H372" s="2412" t="s">
        <v>18</v>
      </c>
      <c r="I372" s="2412" t="s">
        <v>596</v>
      </c>
    </row>
    <row customHeight="1" ht="11.25">
      <c r="A373" s="2412" t="s">
        <v>2155</v>
      </c>
      <c r="B373" s="2412" t="s">
        <v>14</v>
      </c>
      <c r="C373" s="2412" t="s">
        <v>2630</v>
      </c>
      <c r="D373" s="2412" t="s">
        <v>2631</v>
      </c>
      <c r="E373" s="2412" t="s">
        <v>2632</v>
      </c>
      <c r="F373" s="2412" t="s">
        <v>2168</v>
      </c>
      <c r="G373" s="2412" t="s">
        <v>18</v>
      </c>
      <c r="H373" s="2412" t="s">
        <v>18</v>
      </c>
      <c r="I373" s="2412" t="s">
        <v>596</v>
      </c>
    </row>
    <row customHeight="1" ht="11.25">
      <c r="A374" s="2412" t="s">
        <v>2155</v>
      </c>
      <c r="B374" s="2412" t="s">
        <v>14</v>
      </c>
      <c r="C374" s="2412" t="s">
        <v>2636</v>
      </c>
      <c r="D374" s="2412" t="s">
        <v>2637</v>
      </c>
      <c r="E374" s="2412" t="s">
        <v>2638</v>
      </c>
      <c r="F374" s="2412" t="s">
        <v>2639</v>
      </c>
      <c r="G374" s="2412" t="s">
        <v>2640</v>
      </c>
      <c r="H374" s="2412" t="s">
        <v>18</v>
      </c>
      <c r="I374" s="2412" t="s">
        <v>596</v>
      </c>
    </row>
    <row customHeight="1" ht="11.25">
      <c r="A375" s="2412" t="s">
        <v>2155</v>
      </c>
      <c r="B375" s="2412" t="s">
        <v>14</v>
      </c>
      <c r="C375" s="2412" t="s">
        <v>2828</v>
      </c>
      <c r="D375" s="2412" t="s">
        <v>2829</v>
      </c>
      <c r="E375" s="2412" t="s">
        <v>2830</v>
      </c>
      <c r="F375" s="2412" t="s">
        <v>2183</v>
      </c>
      <c r="G375" s="2412" t="s">
        <v>2831</v>
      </c>
      <c r="H375" s="2412" t="s">
        <v>18</v>
      </c>
      <c r="I375" s="2412" t="s">
        <v>596</v>
      </c>
    </row>
    <row customHeight="1" ht="11.25">
      <c r="A376" s="2412" t="s">
        <v>2155</v>
      </c>
      <c r="B376" s="2412" t="s">
        <v>14</v>
      </c>
      <c r="C376" s="2412" t="s">
        <v>2663</v>
      </c>
      <c r="D376" s="2412" t="s">
        <v>2664</v>
      </c>
      <c r="E376" s="2412" t="s">
        <v>2665</v>
      </c>
      <c r="F376" s="2412" t="s">
        <v>2183</v>
      </c>
      <c r="G376" s="2412" t="s">
        <v>18</v>
      </c>
      <c r="H376" s="2412" t="s">
        <v>18</v>
      </c>
      <c r="I376" s="2412" t="s">
        <v>596</v>
      </c>
    </row>
    <row customHeight="1" ht="11.25">
      <c r="A377" s="2412" t="s">
        <v>2155</v>
      </c>
      <c r="B377" s="2412" t="s">
        <v>14</v>
      </c>
      <c r="C377" s="2412" t="s">
        <v>2683</v>
      </c>
      <c r="D377" s="2412" t="s">
        <v>2684</v>
      </c>
      <c r="E377" s="2412" t="s">
        <v>2685</v>
      </c>
      <c r="F377" s="2412" t="s">
        <v>2201</v>
      </c>
      <c r="G377" s="2412" t="s">
        <v>18</v>
      </c>
      <c r="H377" s="2412" t="s">
        <v>18</v>
      </c>
      <c r="I377" s="2412" t="s">
        <v>596</v>
      </c>
    </row>
    <row customHeight="1" ht="11.25">
      <c r="A378" s="2412" t="s">
        <v>2155</v>
      </c>
      <c r="B378" s="2412" t="s">
        <v>14</v>
      </c>
      <c r="C378" s="2412" t="s">
        <v>2880</v>
      </c>
      <c r="D378" s="2412" t="s">
        <v>2881</v>
      </c>
      <c r="E378" s="2412" t="s">
        <v>2882</v>
      </c>
      <c r="F378" s="2412" t="s">
        <v>2360</v>
      </c>
      <c r="G378" s="2412" t="s">
        <v>18</v>
      </c>
      <c r="H378" s="2412" t="s">
        <v>18</v>
      </c>
      <c r="I378" s="2412" t="s">
        <v>596</v>
      </c>
    </row>
    <row customHeight="1" ht="11.25">
      <c r="A379" s="2412" t="s">
        <v>2155</v>
      </c>
      <c r="B379" s="2412" t="s">
        <v>14</v>
      </c>
      <c r="C379" s="2412" t="s">
        <v>2890</v>
      </c>
      <c r="D379" s="2412" t="s">
        <v>2891</v>
      </c>
      <c r="E379" s="2412" t="s">
        <v>2892</v>
      </c>
      <c r="F379" s="2412" t="s">
        <v>2183</v>
      </c>
      <c r="G379" s="2412" t="s">
        <v>18</v>
      </c>
      <c r="H379" s="2412" t="s">
        <v>18</v>
      </c>
      <c r="I379" s="2412" t="s">
        <v>596</v>
      </c>
    </row>
    <row customHeight="1" ht="11.25">
      <c r="A380" s="2412" t="s">
        <v>2155</v>
      </c>
      <c r="B380" s="2412" t="s">
        <v>14</v>
      </c>
      <c r="C380" s="2412" t="s">
        <v>2893</v>
      </c>
      <c r="D380" s="2412" t="s">
        <v>2894</v>
      </c>
      <c r="E380" s="2412" t="s">
        <v>2895</v>
      </c>
      <c r="F380" s="2412" t="s">
        <v>2896</v>
      </c>
      <c r="G380" s="2412" t="s">
        <v>2897</v>
      </c>
      <c r="H380" s="2412" t="s">
        <v>18</v>
      </c>
      <c r="I380" s="2412" t="s">
        <v>596</v>
      </c>
    </row>
    <row customHeight="1" ht="11.25">
      <c r="A381" s="2412" t="s">
        <v>2155</v>
      </c>
      <c r="B381" s="2412" t="s">
        <v>14</v>
      </c>
      <c r="C381" s="2412" t="s">
        <v>2697</v>
      </c>
      <c r="D381" s="2412" t="s">
        <v>2698</v>
      </c>
      <c r="E381" s="2412" t="s">
        <v>2699</v>
      </c>
      <c r="F381" s="2412" t="s">
        <v>2700</v>
      </c>
      <c r="G381" s="2412" t="s">
        <v>18</v>
      </c>
      <c r="H381" s="2412" t="s">
        <v>18</v>
      </c>
      <c r="I381" s="2412" t="s">
        <v>596</v>
      </c>
    </row>
    <row customHeight="1" ht="11.25">
      <c r="A382" s="2412" t="s">
        <v>2155</v>
      </c>
      <c r="B382" s="2412" t="s">
        <v>14</v>
      </c>
      <c r="C382" s="2412" t="s">
        <v>2704</v>
      </c>
      <c r="D382" s="2412" t="s">
        <v>2705</v>
      </c>
      <c r="E382" s="2412" t="s">
        <v>2706</v>
      </c>
      <c r="F382" s="2412" t="s">
        <v>2400</v>
      </c>
      <c r="G382" s="2412" t="s">
        <v>2707</v>
      </c>
      <c r="H382" s="2412" t="s">
        <v>18</v>
      </c>
      <c r="I382" s="2412" t="s">
        <v>596</v>
      </c>
    </row>
    <row customHeight="1" ht="11.25">
      <c r="A383" s="2412" t="s">
        <v>2155</v>
      </c>
      <c r="B383" s="2412" t="s">
        <v>14</v>
      </c>
      <c r="C383" s="2412" t="s">
        <v>2711</v>
      </c>
      <c r="D383" s="2412" t="s">
        <v>2712</v>
      </c>
      <c r="E383" s="2412" t="s">
        <v>2713</v>
      </c>
      <c r="F383" s="2412" t="s">
        <v>2714</v>
      </c>
      <c r="G383" s="2412" t="s">
        <v>18</v>
      </c>
      <c r="H383" s="2412" t="s">
        <v>18</v>
      </c>
      <c r="I383" s="2412" t="s">
        <v>596</v>
      </c>
    </row>
    <row customHeight="1" ht="11.25">
      <c r="A384" s="2412" t="s">
        <v>2155</v>
      </c>
      <c r="B384" s="2412" t="s">
        <v>14</v>
      </c>
      <c r="C384" s="2412" t="s">
        <v>18</v>
      </c>
      <c r="D384" s="2412" t="s">
        <v>2207</v>
      </c>
      <c r="E384" s="2412" t="s">
        <v>2208</v>
      </c>
      <c r="F384" s="2412" t="s">
        <v>2201</v>
      </c>
      <c r="G384" s="2412" t="s">
        <v>18</v>
      </c>
      <c r="H384" s="2412" t="s">
        <v>18</v>
      </c>
      <c r="I384" s="2412" t="s">
        <v>1015</v>
      </c>
    </row>
    <row customHeight="1" ht="11.25">
      <c r="A385" s="2412" t="s">
        <v>2155</v>
      </c>
      <c r="B385" s="2412" t="s">
        <v>14</v>
      </c>
      <c r="C385" s="2412" t="s">
        <v>2920</v>
      </c>
      <c r="D385" s="2412" t="s">
        <v>2921</v>
      </c>
      <c r="E385" s="2412" t="s">
        <v>2922</v>
      </c>
      <c r="F385" s="2412" t="s">
        <v>2173</v>
      </c>
      <c r="G385" s="2412" t="s">
        <v>2923</v>
      </c>
      <c r="H385" s="2412" t="s">
        <v>18</v>
      </c>
      <c r="I385" s="2412" t="s">
        <v>1015</v>
      </c>
    </row>
    <row customHeight="1" ht="11.25">
      <c r="A386" s="2412" t="s">
        <v>2155</v>
      </c>
      <c r="B386" s="2412" t="s">
        <v>14</v>
      </c>
      <c r="C386" s="2412" t="s">
        <v>2924</v>
      </c>
      <c r="D386" s="2412" t="s">
        <v>2925</v>
      </c>
      <c r="E386" s="2412" t="s">
        <v>2926</v>
      </c>
      <c r="F386" s="2412" t="s">
        <v>2193</v>
      </c>
      <c r="G386" s="2412" t="s">
        <v>18</v>
      </c>
      <c r="H386" s="2412" t="s">
        <v>18</v>
      </c>
      <c r="I386" s="2412" t="s">
        <v>1015</v>
      </c>
    </row>
    <row customHeight="1" ht="11.25">
      <c r="A387" s="2412" t="s">
        <v>2155</v>
      </c>
      <c r="B387" s="2412" t="s">
        <v>14</v>
      </c>
      <c r="C387" s="2412" t="s">
        <v>2763</v>
      </c>
      <c r="D387" s="2412" t="s">
        <v>2764</v>
      </c>
      <c r="E387" s="2412" t="s">
        <v>2765</v>
      </c>
      <c r="F387" s="2412" t="s">
        <v>2414</v>
      </c>
      <c r="G387" s="2412" t="s">
        <v>18</v>
      </c>
      <c r="H387" s="2412" t="s">
        <v>18</v>
      </c>
      <c r="I387" s="2412" t="s">
        <v>1015</v>
      </c>
    </row>
    <row customHeight="1" ht="11.25">
      <c r="A388" s="2412" t="s">
        <v>2155</v>
      </c>
      <c r="B388" s="2412" t="s">
        <v>14</v>
      </c>
      <c r="C388" s="2412" t="s">
        <v>2927</v>
      </c>
      <c r="D388" s="2412" t="s">
        <v>2928</v>
      </c>
      <c r="E388" s="2412" t="s">
        <v>2929</v>
      </c>
      <c r="F388" s="2412" t="s">
        <v>2874</v>
      </c>
      <c r="G388" s="2412" t="s">
        <v>2930</v>
      </c>
      <c r="H388" s="2412" t="s">
        <v>18</v>
      </c>
      <c r="I388" s="2412" t="s">
        <v>1015</v>
      </c>
    </row>
    <row customHeight="1" ht="11.25">
      <c r="A389" s="2412" t="s">
        <v>2155</v>
      </c>
      <c r="B389" s="2412" t="s">
        <v>14</v>
      </c>
      <c r="C389" s="2412" t="s">
        <v>2931</v>
      </c>
      <c r="D389" s="2412" t="s">
        <v>2932</v>
      </c>
      <c r="E389" s="2412" t="s">
        <v>2933</v>
      </c>
      <c r="F389" s="2412" t="s">
        <v>2201</v>
      </c>
      <c r="G389" s="2412" t="s">
        <v>2934</v>
      </c>
      <c r="H389" s="2412" t="s">
        <v>18</v>
      </c>
      <c r="I389" s="2412" t="s">
        <v>1015</v>
      </c>
    </row>
    <row customHeight="1" ht="11.25">
      <c r="A390" s="2412" t="s">
        <v>2155</v>
      </c>
      <c r="B390" s="2412" t="s">
        <v>14</v>
      </c>
      <c r="C390" s="2412" t="s">
        <v>2525</v>
      </c>
      <c r="D390" s="2412" t="s">
        <v>2526</v>
      </c>
      <c r="E390" s="2412" t="s">
        <v>2527</v>
      </c>
      <c r="F390" s="2412" t="s">
        <v>2291</v>
      </c>
      <c r="G390" s="2412" t="s">
        <v>18</v>
      </c>
      <c r="H390" s="2412" t="s">
        <v>18</v>
      </c>
      <c r="I390" s="2412" t="s">
        <v>1015</v>
      </c>
    </row>
    <row customHeight="1" ht="11.25">
      <c r="A391" s="2412" t="s">
        <v>2155</v>
      </c>
      <c r="B391" s="2412" t="s">
        <v>14</v>
      </c>
      <c r="C391" s="2412" t="s">
        <v>2935</v>
      </c>
      <c r="D391" s="2412" t="s">
        <v>2936</v>
      </c>
      <c r="E391" s="2412" t="s">
        <v>2937</v>
      </c>
      <c r="F391" s="2412" t="s">
        <v>2164</v>
      </c>
      <c r="G391" s="2412" t="s">
        <v>2938</v>
      </c>
      <c r="H391" s="2412" t="s">
        <v>18</v>
      </c>
      <c r="I391" s="2412" t="s">
        <v>1015</v>
      </c>
    </row>
    <row customHeight="1" ht="11.25">
      <c r="A392" s="2412" t="s">
        <v>2155</v>
      </c>
      <c r="B392" s="2412" t="s">
        <v>14</v>
      </c>
      <c r="C392" s="2412" t="s">
        <v>2939</v>
      </c>
      <c r="D392" s="2412" t="s">
        <v>2940</v>
      </c>
      <c r="E392" s="2412" t="s">
        <v>2941</v>
      </c>
      <c r="F392" s="2412" t="s">
        <v>2409</v>
      </c>
      <c r="G392" s="2412" t="s">
        <v>2942</v>
      </c>
      <c r="H392" s="2412" t="s">
        <v>18</v>
      </c>
      <c r="I392" s="2412" t="s">
        <v>1015</v>
      </c>
    </row>
    <row customHeight="1" ht="11.25">
      <c r="A393" s="2412" t="s">
        <v>2155</v>
      </c>
      <c r="B393" s="2412" t="s">
        <v>14</v>
      </c>
      <c r="C393" s="2412" t="s">
        <v>2943</v>
      </c>
      <c r="D393" s="2412" t="s">
        <v>2944</v>
      </c>
      <c r="E393" s="2412" t="s">
        <v>2945</v>
      </c>
      <c r="F393" s="2412" t="s">
        <v>2201</v>
      </c>
      <c r="G393" s="2412" t="s">
        <v>2946</v>
      </c>
      <c r="H393" s="2412" t="s">
        <v>18</v>
      </c>
      <c r="I393" s="2412" t="s">
        <v>1015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ABF9D-2816-4D76-39A8-78ECEA8D1579}" mc:Ignorable="x14ac xr xr2 xr3">
  <sheetPr>
    <tabColor rgb="FFFFCC99"/>
  </sheetPr>
  <dimension ref="A1:G132"/>
  <sheetViews>
    <sheetView topLeftCell="A1" showGridLines="0" workbookViewId="0">
      <selection activeCell="A1" sqref="A1"/>
    </sheetView>
  </sheetViews>
  <sheetFormatPr customHeight="1" defaultRowHeight="11.25"/>
  <cols>
    <col min="1" max="1" style="2412" width="9.140625"/>
  </cols>
  <sheetData>
    <row customHeight="1" ht="11.25">
      <c r="A1" s="0" t="s">
        <v>2947</v>
      </c>
      <c r="B1" s="0" t="s">
        <v>2948</v>
      </c>
      <c r="C1" s="0" t="s">
        <v>2949</v>
      </c>
      <c r="D1" s="0" t="s">
        <v>2950</v>
      </c>
      <c r="E1" s="0" t="s">
        <v>2951</v>
      </c>
      <c r="F1" s="0" t="s">
        <v>2952</v>
      </c>
      <c r="G1" s="0" t="s">
        <v>2953</v>
      </c>
    </row>
    <row customHeight="1" ht="11.25">
      <c r="A2" s="0" t="s">
        <v>14</v>
      </c>
      <c r="B2" s="0" t="s">
        <v>2954</v>
      </c>
      <c r="C2" s="0" t="s">
        <v>2955</v>
      </c>
      <c r="D2" s="0" t="s">
        <v>2954</v>
      </c>
      <c r="E2" s="0" t="s">
        <v>2955</v>
      </c>
      <c r="F2" s="0" t="s">
        <v>2956</v>
      </c>
      <c r="G2" s="0" t="s">
        <v>108</v>
      </c>
    </row>
    <row customHeight="1" ht="11.25">
      <c r="A3" s="0" t="s">
        <v>14</v>
      </c>
      <c r="B3" s="0" t="s">
        <v>2954</v>
      </c>
      <c r="C3" s="0" t="s">
        <v>2955</v>
      </c>
      <c r="D3" s="0" t="s">
        <v>2957</v>
      </c>
      <c r="E3" s="0" t="s">
        <v>2958</v>
      </c>
      <c r="F3" s="0" t="s">
        <v>2959</v>
      </c>
      <c r="G3" s="0" t="s">
        <v>109</v>
      </c>
    </row>
    <row customHeight="1" ht="11.25">
      <c r="A4" s="0" t="s">
        <v>14</v>
      </c>
      <c r="B4" s="0" t="s">
        <v>2954</v>
      </c>
      <c r="C4" s="0" t="s">
        <v>2955</v>
      </c>
      <c r="D4" s="0" t="s">
        <v>2960</v>
      </c>
      <c r="E4" s="0" t="s">
        <v>2961</v>
      </c>
      <c r="F4" s="0" t="s">
        <v>2959</v>
      </c>
      <c r="G4" s="0" t="s">
        <v>89</v>
      </c>
    </row>
    <row customHeight="1" ht="11.25">
      <c r="A5" s="0" t="s">
        <v>14</v>
      </c>
      <c r="B5" s="0" t="s">
        <v>2954</v>
      </c>
      <c r="C5" s="0" t="s">
        <v>2955</v>
      </c>
      <c r="D5" s="0" t="s">
        <v>2962</v>
      </c>
      <c r="E5" s="0" t="s">
        <v>2963</v>
      </c>
      <c r="F5" s="0" t="s">
        <v>2959</v>
      </c>
      <c r="G5" s="0" t="s">
        <v>90</v>
      </c>
    </row>
    <row customHeight="1" ht="11.25">
      <c r="A6" s="0" t="s">
        <v>14</v>
      </c>
      <c r="B6" s="0" t="s">
        <v>2954</v>
      </c>
      <c r="C6" s="0" t="s">
        <v>2955</v>
      </c>
      <c r="D6" s="0" t="s">
        <v>2964</v>
      </c>
      <c r="E6" s="0" t="s">
        <v>2965</v>
      </c>
      <c r="F6" s="0" t="s">
        <v>2959</v>
      </c>
      <c r="G6" s="0" t="s">
        <v>110</v>
      </c>
    </row>
    <row customHeight="1" ht="11.25">
      <c r="A7" s="0" t="s">
        <v>14</v>
      </c>
      <c r="B7" s="0" t="s">
        <v>2966</v>
      </c>
      <c r="C7" s="0" t="s">
        <v>2967</v>
      </c>
      <c r="D7" s="0" t="s">
        <v>2968</v>
      </c>
      <c r="E7" s="0" t="s">
        <v>2969</v>
      </c>
      <c r="F7" s="0" t="s">
        <v>2959</v>
      </c>
      <c r="G7" s="0" t="s">
        <v>91</v>
      </c>
    </row>
    <row customHeight="1" ht="11.25">
      <c r="A8" s="0" t="s">
        <v>14</v>
      </c>
      <c r="B8" s="0" t="s">
        <v>2966</v>
      </c>
      <c r="C8" s="0" t="s">
        <v>2967</v>
      </c>
      <c r="D8" s="0" t="s">
        <v>2966</v>
      </c>
      <c r="E8" s="0" t="s">
        <v>2967</v>
      </c>
      <c r="F8" s="0" t="s">
        <v>2956</v>
      </c>
      <c r="G8" s="0" t="s">
        <v>92</v>
      </c>
    </row>
    <row customHeight="1" ht="11.25">
      <c r="A9" s="0" t="s">
        <v>14</v>
      </c>
      <c r="B9" s="0" t="s">
        <v>2966</v>
      </c>
      <c r="C9" s="0" t="s">
        <v>2967</v>
      </c>
      <c r="D9" s="0" t="s">
        <v>2970</v>
      </c>
      <c r="E9" s="0" t="s">
        <v>2971</v>
      </c>
      <c r="F9" s="0" t="s">
        <v>2959</v>
      </c>
      <c r="G9" s="0" t="s">
        <v>111</v>
      </c>
    </row>
    <row customHeight="1" ht="11.25">
      <c r="A10" s="0" t="s">
        <v>14</v>
      </c>
      <c r="B10" s="0" t="s">
        <v>2966</v>
      </c>
      <c r="C10" s="0" t="s">
        <v>2967</v>
      </c>
      <c r="D10" s="0" t="s">
        <v>2972</v>
      </c>
      <c r="E10" s="0" t="s">
        <v>2973</v>
      </c>
      <c r="F10" s="0" t="s">
        <v>2974</v>
      </c>
      <c r="G10" s="0" t="s">
        <v>152</v>
      </c>
    </row>
    <row customHeight="1" ht="11.25">
      <c r="A11" s="0" t="s">
        <v>14</v>
      </c>
      <c r="B11" s="0" t="s">
        <v>2975</v>
      </c>
      <c r="C11" s="0" t="s">
        <v>2976</v>
      </c>
      <c r="D11" s="0" t="s">
        <v>2977</v>
      </c>
      <c r="E11" s="0" t="s">
        <v>2978</v>
      </c>
      <c r="F11" s="0" t="s">
        <v>2959</v>
      </c>
      <c r="G11" s="0" t="s">
        <v>153</v>
      </c>
    </row>
    <row customHeight="1" ht="11.25">
      <c r="A12" s="0" t="s">
        <v>14</v>
      </c>
      <c r="B12" s="0" t="s">
        <v>2975</v>
      </c>
      <c r="C12" s="0" t="s">
        <v>2976</v>
      </c>
      <c r="D12" s="0" t="s">
        <v>2979</v>
      </c>
      <c r="E12" s="0" t="s">
        <v>2980</v>
      </c>
      <c r="F12" s="0" t="s">
        <v>2959</v>
      </c>
      <c r="G12" s="0" t="s">
        <v>154</v>
      </c>
    </row>
    <row customHeight="1" ht="11.25">
      <c r="A13" s="0" t="s">
        <v>14</v>
      </c>
      <c r="B13" s="0" t="s">
        <v>2975</v>
      </c>
      <c r="C13" s="0" t="s">
        <v>2976</v>
      </c>
      <c r="D13" s="0" t="s">
        <v>2975</v>
      </c>
      <c r="E13" s="0" t="s">
        <v>2976</v>
      </c>
      <c r="F13" s="0" t="s">
        <v>2956</v>
      </c>
      <c r="G13" s="0" t="s">
        <v>155</v>
      </c>
    </row>
    <row customHeight="1" ht="11.25">
      <c r="A14" s="0" t="s">
        <v>14</v>
      </c>
      <c r="B14" s="0" t="s">
        <v>2975</v>
      </c>
      <c r="C14" s="0" t="s">
        <v>2976</v>
      </c>
      <c r="D14" s="0" t="s">
        <v>2981</v>
      </c>
      <c r="E14" s="0" t="s">
        <v>2982</v>
      </c>
      <c r="F14" s="0" t="s">
        <v>2959</v>
      </c>
      <c r="G14" s="0" t="s">
        <v>156</v>
      </c>
    </row>
    <row customHeight="1" ht="11.25">
      <c r="A15" s="0" t="s">
        <v>14</v>
      </c>
      <c r="B15" s="0" t="s">
        <v>2975</v>
      </c>
      <c r="C15" s="0" t="s">
        <v>2976</v>
      </c>
      <c r="D15" s="0" t="s">
        <v>2983</v>
      </c>
      <c r="E15" s="0" t="s">
        <v>2984</v>
      </c>
      <c r="F15" s="0" t="s">
        <v>2959</v>
      </c>
      <c r="G15" s="0" t="s">
        <v>157</v>
      </c>
    </row>
    <row customHeight="1" ht="11.25">
      <c r="A16" s="0" t="s">
        <v>14</v>
      </c>
      <c r="B16" s="0" t="s">
        <v>2975</v>
      </c>
      <c r="C16" s="0" t="s">
        <v>2976</v>
      </c>
      <c r="D16" s="0" t="s">
        <v>2985</v>
      </c>
      <c r="E16" s="0" t="s">
        <v>2986</v>
      </c>
      <c r="F16" s="0" t="s">
        <v>2959</v>
      </c>
      <c r="G16" s="0" t="s">
        <v>856</v>
      </c>
    </row>
    <row customHeight="1" ht="11.25">
      <c r="A17" s="0" t="s">
        <v>14</v>
      </c>
      <c r="B17" s="0" t="s">
        <v>2987</v>
      </c>
      <c r="C17" s="0" t="s">
        <v>2988</v>
      </c>
      <c r="D17" s="0" t="s">
        <v>2989</v>
      </c>
      <c r="E17" s="0" t="s">
        <v>2990</v>
      </c>
      <c r="F17" s="0" t="s">
        <v>2959</v>
      </c>
      <c r="G17" s="0" t="s">
        <v>862</v>
      </c>
    </row>
    <row customHeight="1" ht="11.25">
      <c r="A18" s="0" t="s">
        <v>14</v>
      </c>
      <c r="B18" s="0" t="s">
        <v>2987</v>
      </c>
      <c r="C18" s="0" t="s">
        <v>2988</v>
      </c>
      <c r="D18" s="0" t="s">
        <v>2987</v>
      </c>
      <c r="E18" s="0" t="s">
        <v>2988</v>
      </c>
      <c r="F18" s="0" t="s">
        <v>2956</v>
      </c>
      <c r="G18" s="0" t="s">
        <v>873</v>
      </c>
    </row>
    <row customHeight="1" ht="11.25">
      <c r="A19" s="0" t="s">
        <v>14</v>
      </c>
      <c r="B19" s="0" t="s">
        <v>2987</v>
      </c>
      <c r="C19" s="0" t="s">
        <v>2988</v>
      </c>
      <c r="D19" s="0" t="s">
        <v>2991</v>
      </c>
      <c r="E19" s="0" t="s">
        <v>2992</v>
      </c>
      <c r="F19" s="0" t="s">
        <v>2959</v>
      </c>
      <c r="G19" s="0" t="s">
        <v>887</v>
      </c>
    </row>
    <row customHeight="1" ht="11.25">
      <c r="A20" s="0" t="s">
        <v>14</v>
      </c>
      <c r="B20" s="0" t="s">
        <v>2987</v>
      </c>
      <c r="C20" s="0" t="s">
        <v>2988</v>
      </c>
      <c r="D20" s="0" t="s">
        <v>2993</v>
      </c>
      <c r="E20" s="0" t="s">
        <v>2994</v>
      </c>
      <c r="F20" s="0" t="s">
        <v>2959</v>
      </c>
      <c r="G20" s="0" t="s">
        <v>899</v>
      </c>
    </row>
    <row customHeight="1" ht="11.25">
      <c r="A21" s="0" t="s">
        <v>14</v>
      </c>
      <c r="B21" s="0" t="s">
        <v>2987</v>
      </c>
      <c r="C21" s="0" t="s">
        <v>2988</v>
      </c>
      <c r="D21" s="0" t="s">
        <v>2995</v>
      </c>
      <c r="E21" s="0" t="s">
        <v>2996</v>
      </c>
      <c r="F21" s="0" t="s">
        <v>2959</v>
      </c>
      <c r="G21" s="0" t="s">
        <v>908</v>
      </c>
    </row>
    <row customHeight="1" ht="11.25">
      <c r="A22" s="0" t="s">
        <v>14</v>
      </c>
      <c r="B22" s="0" t="s">
        <v>2987</v>
      </c>
      <c r="C22" s="0" t="s">
        <v>2988</v>
      </c>
      <c r="D22" s="0" t="s">
        <v>2997</v>
      </c>
      <c r="E22" s="0" t="s">
        <v>2998</v>
      </c>
      <c r="F22" s="0" t="s">
        <v>2959</v>
      </c>
      <c r="G22" s="0" t="s">
        <v>924</v>
      </c>
    </row>
    <row customHeight="1" ht="11.25">
      <c r="A23" s="0" t="s">
        <v>14</v>
      </c>
      <c r="B23" s="0" t="s">
        <v>2999</v>
      </c>
      <c r="C23" s="0" t="s">
        <v>3000</v>
      </c>
      <c r="D23" s="0" t="s">
        <v>3001</v>
      </c>
      <c r="E23" s="0" t="s">
        <v>3002</v>
      </c>
      <c r="F23" s="0" t="s">
        <v>2959</v>
      </c>
      <c r="G23" s="0" t="s">
        <v>931</v>
      </c>
    </row>
    <row customHeight="1" ht="11.25">
      <c r="A24" s="0" t="s">
        <v>14</v>
      </c>
      <c r="B24" s="0" t="s">
        <v>2999</v>
      </c>
      <c r="C24" s="0" t="s">
        <v>3000</v>
      </c>
      <c r="D24" s="0" t="s">
        <v>3003</v>
      </c>
      <c r="E24" s="0" t="s">
        <v>3004</v>
      </c>
      <c r="F24" s="0" t="s">
        <v>2959</v>
      </c>
      <c r="G24" s="0" t="s">
        <v>939</v>
      </c>
    </row>
    <row customHeight="1" ht="11.25">
      <c r="A25" s="0" t="s">
        <v>14</v>
      </c>
      <c r="B25" s="0" t="s">
        <v>2999</v>
      </c>
      <c r="C25" s="0" t="s">
        <v>3000</v>
      </c>
      <c r="D25" s="0" t="s">
        <v>3005</v>
      </c>
      <c r="E25" s="0" t="s">
        <v>3006</v>
      </c>
      <c r="F25" s="0" t="s">
        <v>2959</v>
      </c>
      <c r="G25" s="0" t="s">
        <v>946</v>
      </c>
    </row>
    <row customHeight="1" ht="11.25">
      <c r="A26" s="0" t="s">
        <v>14</v>
      </c>
      <c r="B26" s="0" t="s">
        <v>2999</v>
      </c>
      <c r="C26" s="0" t="s">
        <v>3000</v>
      </c>
      <c r="D26" s="0" t="s">
        <v>3007</v>
      </c>
      <c r="E26" s="0" t="s">
        <v>3008</v>
      </c>
      <c r="F26" s="0" t="s">
        <v>3009</v>
      </c>
      <c r="G26" s="0" t="s">
        <v>949</v>
      </c>
    </row>
    <row customHeight="1" ht="11.25">
      <c r="A27" s="0" t="s">
        <v>14</v>
      </c>
      <c r="B27" s="0" t="s">
        <v>2999</v>
      </c>
      <c r="C27" s="0" t="s">
        <v>3000</v>
      </c>
      <c r="D27" s="0" t="s">
        <v>2999</v>
      </c>
      <c r="E27" s="0" t="s">
        <v>3000</v>
      </c>
      <c r="F27" s="0" t="s">
        <v>2956</v>
      </c>
      <c r="G27" s="0" t="s">
        <v>954</v>
      </c>
    </row>
    <row customHeight="1" ht="11.25">
      <c r="A28" s="0" t="s">
        <v>14</v>
      </c>
      <c r="B28" s="0" t="s">
        <v>2999</v>
      </c>
      <c r="C28" s="0" t="s">
        <v>3000</v>
      </c>
      <c r="D28" s="0" t="s">
        <v>3010</v>
      </c>
      <c r="E28" s="0" t="s">
        <v>3011</v>
      </c>
      <c r="F28" s="0" t="s">
        <v>2959</v>
      </c>
      <c r="G28" s="0" t="s">
        <v>962</v>
      </c>
    </row>
    <row customHeight="1" ht="11.25">
      <c r="A29" s="0" t="s">
        <v>14</v>
      </c>
      <c r="B29" s="0" t="s">
        <v>3012</v>
      </c>
      <c r="C29" s="0" t="s">
        <v>3013</v>
      </c>
      <c r="D29" s="0" t="s">
        <v>3014</v>
      </c>
      <c r="E29" s="0" t="s">
        <v>3015</v>
      </c>
      <c r="F29" s="0" t="s">
        <v>2959</v>
      </c>
      <c r="G29" s="0" t="s">
        <v>964</v>
      </c>
    </row>
    <row customHeight="1" ht="11.25">
      <c r="A30" s="0" t="s">
        <v>14</v>
      </c>
      <c r="B30" s="0" t="s">
        <v>3012</v>
      </c>
      <c r="C30" s="0" t="s">
        <v>3013</v>
      </c>
      <c r="D30" s="0" t="s">
        <v>3016</v>
      </c>
      <c r="E30" s="0" t="s">
        <v>3017</v>
      </c>
      <c r="F30" s="0" t="s">
        <v>2959</v>
      </c>
      <c r="G30" s="0" t="s">
        <v>967</v>
      </c>
    </row>
    <row customHeight="1" ht="11.25">
      <c r="A31" s="0" t="s">
        <v>14</v>
      </c>
      <c r="B31" s="0" t="s">
        <v>3012</v>
      </c>
      <c r="C31" s="0" t="s">
        <v>3013</v>
      </c>
      <c r="D31" s="0" t="s">
        <v>3018</v>
      </c>
      <c r="E31" s="0" t="s">
        <v>3019</v>
      </c>
      <c r="F31" s="0" t="s">
        <v>2959</v>
      </c>
      <c r="G31" s="0" t="s">
        <v>973</v>
      </c>
    </row>
    <row customHeight="1" ht="11.25">
      <c r="A32" s="0" t="s">
        <v>14</v>
      </c>
      <c r="B32" s="0" t="s">
        <v>3012</v>
      </c>
      <c r="C32" s="0" t="s">
        <v>3013</v>
      </c>
      <c r="D32" s="0" t="s">
        <v>3012</v>
      </c>
      <c r="E32" s="0" t="s">
        <v>3013</v>
      </c>
      <c r="F32" s="0" t="s">
        <v>2956</v>
      </c>
      <c r="G32" s="0" t="s">
        <v>975</v>
      </c>
    </row>
    <row customHeight="1" ht="11.25">
      <c r="A33" s="0" t="s">
        <v>14</v>
      </c>
      <c r="B33" s="0" t="s">
        <v>3012</v>
      </c>
      <c r="C33" s="0" t="s">
        <v>3013</v>
      </c>
      <c r="D33" s="0" t="s">
        <v>3020</v>
      </c>
      <c r="E33" s="0" t="s">
        <v>3021</v>
      </c>
      <c r="F33" s="0" t="s">
        <v>2959</v>
      </c>
      <c r="G33" s="0" t="s">
        <v>977</v>
      </c>
    </row>
    <row customHeight="1" ht="11.25">
      <c r="A34" s="0" t="s">
        <v>14</v>
      </c>
      <c r="B34" s="0" t="s">
        <v>3012</v>
      </c>
      <c r="C34" s="0" t="s">
        <v>3013</v>
      </c>
      <c r="D34" s="0" t="s">
        <v>3022</v>
      </c>
      <c r="E34" s="0" t="s">
        <v>3023</v>
      </c>
      <c r="F34" s="0" t="s">
        <v>2959</v>
      </c>
      <c r="G34" s="0" t="s">
        <v>979</v>
      </c>
    </row>
    <row customHeight="1" ht="11.25">
      <c r="A35" s="0" t="s">
        <v>14</v>
      </c>
      <c r="B35" s="0" t="s">
        <v>3012</v>
      </c>
      <c r="C35" s="0" t="s">
        <v>3013</v>
      </c>
      <c r="D35" s="0" t="s">
        <v>3024</v>
      </c>
      <c r="E35" s="0" t="s">
        <v>3025</v>
      </c>
      <c r="F35" s="0" t="s">
        <v>2959</v>
      </c>
      <c r="G35" s="0" t="s">
        <v>985</v>
      </c>
    </row>
    <row customHeight="1" ht="11.25">
      <c r="A36" s="0" t="s">
        <v>14</v>
      </c>
      <c r="B36" s="0" t="s">
        <v>3012</v>
      </c>
      <c r="C36" s="0" t="s">
        <v>3013</v>
      </c>
      <c r="D36" s="0" t="s">
        <v>3026</v>
      </c>
      <c r="E36" s="0" t="s">
        <v>3027</v>
      </c>
      <c r="F36" s="0" t="s">
        <v>2959</v>
      </c>
      <c r="G36" s="0" t="s">
        <v>990</v>
      </c>
    </row>
    <row customHeight="1" ht="11.25">
      <c r="A37" s="0" t="s">
        <v>14</v>
      </c>
      <c r="B37" s="0" t="s">
        <v>3012</v>
      </c>
      <c r="C37" s="0" t="s">
        <v>3013</v>
      </c>
      <c r="D37" s="0" t="s">
        <v>3028</v>
      </c>
      <c r="E37" s="0" t="s">
        <v>3029</v>
      </c>
      <c r="F37" s="0" t="s">
        <v>2974</v>
      </c>
      <c r="G37" s="0" t="s">
        <v>994</v>
      </c>
    </row>
    <row customHeight="1" ht="11.25">
      <c r="A38" s="0" t="s">
        <v>14</v>
      </c>
      <c r="B38" s="0" t="s">
        <v>3030</v>
      </c>
      <c r="C38" s="0" t="s">
        <v>3031</v>
      </c>
      <c r="D38" s="0" t="s">
        <v>3030</v>
      </c>
      <c r="E38" s="0" t="s">
        <v>3031</v>
      </c>
      <c r="F38" s="0" t="s">
        <v>3032</v>
      </c>
      <c r="G38" s="0" t="s">
        <v>1002</v>
      </c>
    </row>
    <row customHeight="1" ht="11.25">
      <c r="A39" s="0" t="s">
        <v>14</v>
      </c>
      <c r="B39" s="0" t="s">
        <v>3033</v>
      </c>
      <c r="C39" s="0" t="s">
        <v>3034</v>
      </c>
      <c r="D39" s="0" t="s">
        <v>3035</v>
      </c>
      <c r="E39" s="0" t="s">
        <v>3036</v>
      </c>
      <c r="F39" s="0" t="s">
        <v>2959</v>
      </c>
      <c r="G39" s="0" t="s">
        <v>1009</v>
      </c>
    </row>
    <row customHeight="1" ht="11.25">
      <c r="A40" s="0" t="s">
        <v>14</v>
      </c>
      <c r="B40" s="0" t="s">
        <v>3033</v>
      </c>
      <c r="C40" s="0" t="s">
        <v>3034</v>
      </c>
      <c r="D40" s="0" t="s">
        <v>3037</v>
      </c>
      <c r="E40" s="0" t="s">
        <v>3038</v>
      </c>
      <c r="F40" s="0" t="s">
        <v>2959</v>
      </c>
      <c r="G40" s="0" t="s">
        <v>1016</v>
      </c>
    </row>
    <row customHeight="1" ht="11.25">
      <c r="A41" s="0" t="s">
        <v>14</v>
      </c>
      <c r="B41" s="0" t="s">
        <v>3033</v>
      </c>
      <c r="C41" s="0" t="s">
        <v>3034</v>
      </c>
      <c r="D41" s="0" t="s">
        <v>3039</v>
      </c>
      <c r="E41" s="0" t="s">
        <v>3040</v>
      </c>
      <c r="F41" s="0" t="s">
        <v>2959</v>
      </c>
      <c r="G41" s="0" t="s">
        <v>1022</v>
      </c>
    </row>
    <row customHeight="1" ht="11.25">
      <c r="A42" s="0" t="s">
        <v>14</v>
      </c>
      <c r="B42" s="0" t="s">
        <v>3033</v>
      </c>
      <c r="C42" s="0" t="s">
        <v>3034</v>
      </c>
      <c r="D42" s="0" t="s">
        <v>3033</v>
      </c>
      <c r="E42" s="0" t="s">
        <v>3034</v>
      </c>
      <c r="F42" s="0" t="s">
        <v>2956</v>
      </c>
      <c r="G42" s="0" t="s">
        <v>1027</v>
      </c>
    </row>
    <row customHeight="1" ht="11.25">
      <c r="A43" s="0" t="s">
        <v>14</v>
      </c>
      <c r="B43" s="0" t="s">
        <v>3033</v>
      </c>
      <c r="C43" s="0" t="s">
        <v>3034</v>
      </c>
      <c r="D43" s="0" t="s">
        <v>3041</v>
      </c>
      <c r="E43" s="0" t="s">
        <v>3042</v>
      </c>
      <c r="F43" s="0" t="s">
        <v>2959</v>
      </c>
      <c r="G43" s="0" t="s">
        <v>1034</v>
      </c>
    </row>
    <row customHeight="1" ht="11.25">
      <c r="A44" s="0" t="s">
        <v>14</v>
      </c>
      <c r="B44" s="0" t="s">
        <v>3033</v>
      </c>
      <c r="C44" s="0" t="s">
        <v>3034</v>
      </c>
      <c r="D44" s="0" t="s">
        <v>3043</v>
      </c>
      <c r="E44" s="0" t="s">
        <v>3044</v>
      </c>
      <c r="F44" s="0" t="s">
        <v>2959</v>
      </c>
      <c r="G44" s="0" t="s">
        <v>1043</v>
      </c>
    </row>
    <row customHeight="1" ht="11.25">
      <c r="A45" s="0" t="s">
        <v>14</v>
      </c>
      <c r="B45" s="0" t="s">
        <v>3033</v>
      </c>
      <c r="C45" s="0" t="s">
        <v>3034</v>
      </c>
      <c r="D45" s="0" t="s">
        <v>3045</v>
      </c>
      <c r="E45" s="0" t="s">
        <v>3046</v>
      </c>
      <c r="F45" s="0" t="s">
        <v>2959</v>
      </c>
      <c r="G45" s="0" t="s">
        <v>1049</v>
      </c>
    </row>
    <row customHeight="1" ht="11.25">
      <c r="A46" s="0" t="s">
        <v>14</v>
      </c>
      <c r="B46" s="0" t="s">
        <v>3033</v>
      </c>
      <c r="C46" s="0" t="s">
        <v>3034</v>
      </c>
      <c r="D46" s="0" t="s">
        <v>3047</v>
      </c>
      <c r="E46" s="0" t="s">
        <v>3048</v>
      </c>
      <c r="F46" s="0" t="s">
        <v>2959</v>
      </c>
      <c r="G46" s="0" t="s">
        <v>1054</v>
      </c>
    </row>
    <row customHeight="1" ht="11.25">
      <c r="A47" s="0" t="s">
        <v>14</v>
      </c>
      <c r="B47" s="0" t="s">
        <v>3033</v>
      </c>
      <c r="C47" s="0" t="s">
        <v>3034</v>
      </c>
      <c r="D47" s="0" t="s">
        <v>3049</v>
      </c>
      <c r="E47" s="0" t="s">
        <v>3050</v>
      </c>
      <c r="F47" s="0" t="s">
        <v>2959</v>
      </c>
      <c r="G47" s="0" t="s">
        <v>1060</v>
      </c>
    </row>
    <row customHeight="1" ht="11.25">
      <c r="A48" s="0" t="s">
        <v>14</v>
      </c>
      <c r="B48" s="0" t="s">
        <v>3033</v>
      </c>
      <c r="C48" s="0" t="s">
        <v>3034</v>
      </c>
      <c r="D48" s="0" t="s">
        <v>3051</v>
      </c>
      <c r="E48" s="0" t="s">
        <v>3052</v>
      </c>
      <c r="F48" s="0" t="s">
        <v>2959</v>
      </c>
      <c r="G48" s="0" t="s">
        <v>1066</v>
      </c>
    </row>
    <row customHeight="1" ht="11.25">
      <c r="A49" s="0" t="s">
        <v>14</v>
      </c>
      <c r="B49" s="0" t="s">
        <v>3033</v>
      </c>
      <c r="C49" s="0" t="s">
        <v>3034</v>
      </c>
      <c r="D49" s="0" t="s">
        <v>3053</v>
      </c>
      <c r="E49" s="0" t="s">
        <v>3054</v>
      </c>
      <c r="F49" s="0" t="s">
        <v>2959</v>
      </c>
      <c r="G49" s="0" t="s">
        <v>1072</v>
      </c>
    </row>
    <row customHeight="1" ht="11.25">
      <c r="A50" s="0" t="s">
        <v>14</v>
      </c>
      <c r="B50" s="0" t="s">
        <v>3033</v>
      </c>
      <c r="C50" s="0" t="s">
        <v>3034</v>
      </c>
      <c r="D50" s="0" t="s">
        <v>3055</v>
      </c>
      <c r="E50" s="0" t="s">
        <v>3056</v>
      </c>
      <c r="F50" s="0" t="s">
        <v>2959</v>
      </c>
      <c r="G50" s="0" t="s">
        <v>1077</v>
      </c>
    </row>
    <row customHeight="1" ht="11.25">
      <c r="A51" s="0" t="s">
        <v>14</v>
      </c>
      <c r="B51" s="0" t="s">
        <v>3033</v>
      </c>
      <c r="C51" s="0" t="s">
        <v>3034</v>
      </c>
      <c r="D51" s="0" t="s">
        <v>3057</v>
      </c>
      <c r="E51" s="0" t="s">
        <v>3058</v>
      </c>
      <c r="F51" s="0" t="s">
        <v>2959</v>
      </c>
      <c r="G51" s="0" t="s">
        <v>1082</v>
      </c>
    </row>
    <row customHeight="1" ht="11.25">
      <c r="A52" s="0" t="s">
        <v>14</v>
      </c>
      <c r="B52" s="0" t="s">
        <v>3033</v>
      </c>
      <c r="C52" s="0" t="s">
        <v>3034</v>
      </c>
      <c r="D52" s="0" t="s">
        <v>3059</v>
      </c>
      <c r="E52" s="0" t="s">
        <v>3060</v>
      </c>
      <c r="F52" s="0" t="s">
        <v>2959</v>
      </c>
      <c r="G52" s="0" t="s">
        <v>1086</v>
      </c>
    </row>
    <row customHeight="1" ht="11.25">
      <c r="A53" s="0" t="s">
        <v>14</v>
      </c>
      <c r="B53" s="0" t="s">
        <v>3061</v>
      </c>
      <c r="C53" s="0" t="s">
        <v>3062</v>
      </c>
      <c r="D53" s="0" t="s">
        <v>3063</v>
      </c>
      <c r="E53" s="0" t="s">
        <v>3064</v>
      </c>
      <c r="F53" s="0" t="s">
        <v>2959</v>
      </c>
      <c r="G53" s="0" t="s">
        <v>1088</v>
      </c>
    </row>
    <row customHeight="1" ht="11.25">
      <c r="A54" s="0" t="s">
        <v>14</v>
      </c>
      <c r="B54" s="0" t="s">
        <v>3061</v>
      </c>
      <c r="C54" s="0" t="s">
        <v>3062</v>
      </c>
      <c r="D54" s="0" t="s">
        <v>3065</v>
      </c>
      <c r="E54" s="0" t="s">
        <v>3066</v>
      </c>
      <c r="F54" s="0" t="s">
        <v>2959</v>
      </c>
      <c r="G54" s="0" t="s">
        <v>1091</v>
      </c>
    </row>
    <row customHeight="1" ht="11.25">
      <c r="A55" s="0" t="s">
        <v>14</v>
      </c>
      <c r="B55" s="0" t="s">
        <v>3061</v>
      </c>
      <c r="C55" s="0" t="s">
        <v>3062</v>
      </c>
      <c r="D55" s="0" t="s">
        <v>3061</v>
      </c>
      <c r="E55" s="0" t="s">
        <v>3062</v>
      </c>
      <c r="F55" s="0" t="s">
        <v>2956</v>
      </c>
      <c r="G55" s="0" t="s">
        <v>1095</v>
      </c>
    </row>
    <row customHeight="1" ht="11.25">
      <c r="A56" s="0" t="s">
        <v>14</v>
      </c>
      <c r="B56" s="0" t="s">
        <v>3061</v>
      </c>
      <c r="C56" s="0" t="s">
        <v>3062</v>
      </c>
      <c r="D56" s="0" t="s">
        <v>3067</v>
      </c>
      <c r="E56" s="0" t="s">
        <v>3068</v>
      </c>
      <c r="F56" s="0" t="s">
        <v>2959</v>
      </c>
      <c r="G56" s="0" t="s">
        <v>1098</v>
      </c>
    </row>
    <row customHeight="1" ht="11.25">
      <c r="A57" s="0" t="s">
        <v>14</v>
      </c>
      <c r="B57" s="0" t="s">
        <v>3061</v>
      </c>
      <c r="C57" s="0" t="s">
        <v>3062</v>
      </c>
      <c r="D57" s="0" t="s">
        <v>3069</v>
      </c>
      <c r="E57" s="0" t="s">
        <v>3070</v>
      </c>
      <c r="F57" s="0" t="s">
        <v>2959</v>
      </c>
      <c r="G57" s="0" t="s">
        <v>1101</v>
      </c>
    </row>
    <row customHeight="1" ht="11.25">
      <c r="A58" s="0" t="s">
        <v>14</v>
      </c>
      <c r="B58" s="0" t="s">
        <v>3061</v>
      </c>
      <c r="C58" s="0" t="s">
        <v>3062</v>
      </c>
      <c r="D58" s="0" t="s">
        <v>3071</v>
      </c>
      <c r="E58" s="0" t="s">
        <v>3072</v>
      </c>
      <c r="F58" s="0" t="s">
        <v>2959</v>
      </c>
      <c r="G58" s="0" t="s">
        <v>1104</v>
      </c>
    </row>
    <row customHeight="1" ht="11.25">
      <c r="A59" s="0" t="s">
        <v>14</v>
      </c>
      <c r="B59" s="0" t="s">
        <v>3061</v>
      </c>
      <c r="C59" s="0" t="s">
        <v>3062</v>
      </c>
      <c r="D59" s="0" t="s">
        <v>3073</v>
      </c>
      <c r="E59" s="0" t="s">
        <v>3074</v>
      </c>
      <c r="F59" s="0" t="s">
        <v>2959</v>
      </c>
      <c r="G59" s="0" t="s">
        <v>1108</v>
      </c>
    </row>
    <row customHeight="1" ht="11.25">
      <c r="A60" s="0" t="s">
        <v>14</v>
      </c>
      <c r="B60" s="0" t="s">
        <v>3061</v>
      </c>
      <c r="C60" s="0" t="s">
        <v>3062</v>
      </c>
      <c r="D60" s="0" t="s">
        <v>3075</v>
      </c>
      <c r="E60" s="0" t="s">
        <v>3076</v>
      </c>
      <c r="F60" s="0" t="s">
        <v>2959</v>
      </c>
      <c r="G60" s="0" t="s">
        <v>1111</v>
      </c>
    </row>
    <row customHeight="1" ht="11.25">
      <c r="A61" s="0" t="s">
        <v>14</v>
      </c>
      <c r="B61" s="0" t="s">
        <v>3061</v>
      </c>
      <c r="C61" s="0" t="s">
        <v>3062</v>
      </c>
      <c r="D61" s="0" t="s">
        <v>3077</v>
      </c>
      <c r="E61" s="0" t="s">
        <v>3078</v>
      </c>
      <c r="F61" s="0" t="s">
        <v>2974</v>
      </c>
      <c r="G61" s="0" t="s">
        <v>3079</v>
      </c>
    </row>
    <row customHeight="1" ht="11.25">
      <c r="A62" s="0" t="s">
        <v>14</v>
      </c>
      <c r="B62" s="0" t="s">
        <v>3080</v>
      </c>
      <c r="C62" s="0" t="s">
        <v>3081</v>
      </c>
      <c r="D62" s="0" t="s">
        <v>3082</v>
      </c>
      <c r="E62" s="0" t="s">
        <v>3083</v>
      </c>
      <c r="F62" s="0" t="s">
        <v>2959</v>
      </c>
      <c r="G62" s="0" t="s">
        <v>3084</v>
      </c>
    </row>
    <row customHeight="1" ht="11.25">
      <c r="A63" s="0" t="s">
        <v>14</v>
      </c>
      <c r="B63" s="0" t="s">
        <v>3080</v>
      </c>
      <c r="C63" s="0" t="s">
        <v>3081</v>
      </c>
      <c r="D63" s="0" t="s">
        <v>3080</v>
      </c>
      <c r="E63" s="0" t="s">
        <v>3081</v>
      </c>
      <c r="F63" s="0" t="s">
        <v>2956</v>
      </c>
      <c r="G63" s="0" t="s">
        <v>3085</v>
      </c>
    </row>
    <row customHeight="1" ht="11.25">
      <c r="A64" s="0" t="s">
        <v>14</v>
      </c>
      <c r="B64" s="0" t="s">
        <v>3080</v>
      </c>
      <c r="C64" s="0" t="s">
        <v>3081</v>
      </c>
      <c r="D64" s="0" t="s">
        <v>3086</v>
      </c>
      <c r="E64" s="0" t="s">
        <v>3087</v>
      </c>
      <c r="F64" s="0" t="s">
        <v>2959</v>
      </c>
      <c r="G64" s="0" t="s">
        <v>3088</v>
      </c>
    </row>
    <row customHeight="1" ht="11.25">
      <c r="A65" s="0" t="s">
        <v>14</v>
      </c>
      <c r="B65" s="0" t="s">
        <v>3080</v>
      </c>
      <c r="C65" s="0" t="s">
        <v>3081</v>
      </c>
      <c r="D65" s="0" t="s">
        <v>3089</v>
      </c>
      <c r="E65" s="0" t="s">
        <v>3090</v>
      </c>
      <c r="F65" s="0" t="s">
        <v>2959</v>
      </c>
      <c r="G65" s="0" t="s">
        <v>3091</v>
      </c>
    </row>
    <row customHeight="1" ht="11.25">
      <c r="A66" s="0" t="s">
        <v>14</v>
      </c>
      <c r="B66" s="0" t="s">
        <v>3080</v>
      </c>
      <c r="C66" s="0" t="s">
        <v>3081</v>
      </c>
      <c r="D66" s="0" t="s">
        <v>3092</v>
      </c>
      <c r="E66" s="0" t="s">
        <v>3093</v>
      </c>
      <c r="F66" s="0" t="s">
        <v>2959</v>
      </c>
      <c r="G66" s="0" t="s">
        <v>3094</v>
      </c>
    </row>
    <row customHeight="1" ht="11.25">
      <c r="A67" s="0" t="s">
        <v>14</v>
      </c>
      <c r="B67" s="0" t="s">
        <v>3080</v>
      </c>
      <c r="C67" s="0" t="s">
        <v>3081</v>
      </c>
      <c r="D67" s="0" t="s">
        <v>3095</v>
      </c>
      <c r="E67" s="0" t="s">
        <v>3096</v>
      </c>
      <c r="F67" s="0" t="s">
        <v>2959</v>
      </c>
      <c r="G67" s="0" t="s">
        <v>1328</v>
      </c>
    </row>
    <row customHeight="1" ht="11.25">
      <c r="A68" s="0" t="s">
        <v>14</v>
      </c>
      <c r="B68" s="0" t="s">
        <v>3080</v>
      </c>
      <c r="C68" s="0" t="s">
        <v>3081</v>
      </c>
      <c r="D68" s="0" t="s">
        <v>3097</v>
      </c>
      <c r="E68" s="0" t="s">
        <v>3098</v>
      </c>
      <c r="F68" s="0" t="s">
        <v>3009</v>
      </c>
      <c r="G68" s="0" t="s">
        <v>3099</v>
      </c>
    </row>
    <row customHeight="1" ht="11.25">
      <c r="A69" s="0" t="s">
        <v>14</v>
      </c>
      <c r="B69" s="0" t="s">
        <v>3100</v>
      </c>
      <c r="C69" s="0" t="s">
        <v>3101</v>
      </c>
      <c r="D69" s="0" t="s">
        <v>3100</v>
      </c>
      <c r="E69" s="0" t="s">
        <v>3101</v>
      </c>
      <c r="F69" s="0" t="s">
        <v>3032</v>
      </c>
      <c r="G69" s="0" t="s">
        <v>1565</v>
      </c>
    </row>
    <row customHeight="1" ht="11.25">
      <c r="A70" s="0" t="s">
        <v>14</v>
      </c>
      <c r="B70" s="0" t="s">
        <v>3102</v>
      </c>
      <c r="C70" s="0" t="s">
        <v>3103</v>
      </c>
      <c r="D70" s="0" t="s">
        <v>3102</v>
      </c>
      <c r="E70" s="0" t="s">
        <v>3103</v>
      </c>
      <c r="F70" s="0" t="s">
        <v>3032</v>
      </c>
      <c r="G70" s="0" t="s">
        <v>3104</v>
      </c>
    </row>
    <row customHeight="1" ht="11.25">
      <c r="A71" s="0" t="s">
        <v>14</v>
      </c>
      <c r="B71" s="0" t="s">
        <v>3105</v>
      </c>
      <c r="C71" s="0" t="s">
        <v>3106</v>
      </c>
      <c r="D71" s="0" t="s">
        <v>3105</v>
      </c>
      <c r="E71" s="0" t="s">
        <v>3106</v>
      </c>
      <c r="F71" s="0" t="s">
        <v>3032</v>
      </c>
      <c r="G71" s="0" t="s">
        <v>3107</v>
      </c>
    </row>
    <row customHeight="1" ht="11.25">
      <c r="A72" s="0" t="s">
        <v>14</v>
      </c>
      <c r="B72" s="0" t="s">
        <v>3108</v>
      </c>
      <c r="C72" s="0" t="s">
        <v>3109</v>
      </c>
      <c r="D72" s="0" t="s">
        <v>3110</v>
      </c>
      <c r="E72" s="0" t="s">
        <v>3111</v>
      </c>
      <c r="F72" s="0" t="s">
        <v>2959</v>
      </c>
      <c r="G72" s="0" t="s">
        <v>3112</v>
      </c>
    </row>
    <row customHeight="1" ht="11.25">
      <c r="A73" s="0" t="s">
        <v>14</v>
      </c>
      <c r="B73" s="0" t="s">
        <v>3108</v>
      </c>
      <c r="C73" s="0" t="s">
        <v>3109</v>
      </c>
      <c r="D73" s="0" t="s">
        <v>3113</v>
      </c>
      <c r="E73" s="0" t="s">
        <v>3114</v>
      </c>
      <c r="F73" s="0" t="s">
        <v>2959</v>
      </c>
      <c r="G73" s="0" t="s">
        <v>3115</v>
      </c>
    </row>
    <row customHeight="1" ht="11.25">
      <c r="A74" s="0" t="s">
        <v>14</v>
      </c>
      <c r="B74" s="0" t="s">
        <v>3108</v>
      </c>
      <c r="C74" s="0" t="s">
        <v>3109</v>
      </c>
      <c r="D74" s="0" t="s">
        <v>3108</v>
      </c>
      <c r="E74" s="0" t="s">
        <v>3109</v>
      </c>
      <c r="F74" s="0" t="s">
        <v>2956</v>
      </c>
      <c r="G74" s="0" t="s">
        <v>3116</v>
      </c>
    </row>
    <row customHeight="1" ht="11.25">
      <c r="A75" s="0" t="s">
        <v>14</v>
      </c>
      <c r="B75" s="0" t="s">
        <v>3108</v>
      </c>
      <c r="C75" s="0" t="s">
        <v>3109</v>
      </c>
      <c r="D75" s="0" t="s">
        <v>3117</v>
      </c>
      <c r="E75" s="0" t="s">
        <v>3118</v>
      </c>
      <c r="F75" s="0" t="s">
        <v>2959</v>
      </c>
      <c r="G75" s="0" t="s">
        <v>3119</v>
      </c>
    </row>
    <row customHeight="1" ht="11.25">
      <c r="A76" s="0" t="s">
        <v>14</v>
      </c>
      <c r="B76" s="0" t="s">
        <v>3120</v>
      </c>
      <c r="C76" s="0" t="s">
        <v>3121</v>
      </c>
      <c r="D76" s="0" t="s">
        <v>3120</v>
      </c>
      <c r="E76" s="0" t="s">
        <v>3121</v>
      </c>
      <c r="F76" s="0" t="s">
        <v>3032</v>
      </c>
      <c r="G76" s="0" t="s">
        <v>3122</v>
      </c>
    </row>
    <row customHeight="1" ht="11.25">
      <c r="A77" s="0" t="s">
        <v>14</v>
      </c>
      <c r="B77" s="0" t="s">
        <v>3123</v>
      </c>
      <c r="C77" s="0" t="s">
        <v>3124</v>
      </c>
      <c r="D77" s="0" t="s">
        <v>3125</v>
      </c>
      <c r="E77" s="0" t="s">
        <v>3126</v>
      </c>
      <c r="F77" s="0" t="s">
        <v>2959</v>
      </c>
      <c r="G77" s="0" t="s">
        <v>3127</v>
      </c>
    </row>
    <row customHeight="1" ht="11.25">
      <c r="A78" s="0" t="s">
        <v>14</v>
      </c>
      <c r="B78" s="0" t="s">
        <v>3123</v>
      </c>
      <c r="C78" s="0" t="s">
        <v>3124</v>
      </c>
      <c r="D78" s="0" t="s">
        <v>3128</v>
      </c>
      <c r="E78" s="0" t="s">
        <v>3129</v>
      </c>
      <c r="F78" s="0" t="s">
        <v>2959</v>
      </c>
      <c r="G78" s="0" t="s">
        <v>3130</v>
      </c>
    </row>
    <row customHeight="1" ht="11.25">
      <c r="A79" s="0" t="s">
        <v>14</v>
      </c>
      <c r="B79" s="0" t="s">
        <v>3123</v>
      </c>
      <c r="C79" s="0" t="s">
        <v>3124</v>
      </c>
      <c r="D79" s="0" t="s">
        <v>3123</v>
      </c>
      <c r="E79" s="0" t="s">
        <v>3124</v>
      </c>
      <c r="F79" s="0" t="s">
        <v>2956</v>
      </c>
      <c r="G79" s="0" t="s">
        <v>3131</v>
      </c>
    </row>
    <row customHeight="1" ht="11.25">
      <c r="A80" s="0" t="s">
        <v>14</v>
      </c>
      <c r="B80" s="0" t="s">
        <v>3123</v>
      </c>
      <c r="C80" s="0" t="s">
        <v>3124</v>
      </c>
      <c r="D80" s="0" t="s">
        <v>3132</v>
      </c>
      <c r="E80" s="0" t="s">
        <v>3133</v>
      </c>
      <c r="F80" s="0" t="s">
        <v>2959</v>
      </c>
      <c r="G80" s="0" t="s">
        <v>3134</v>
      </c>
    </row>
    <row customHeight="1" ht="11.25">
      <c r="A81" s="0" t="s">
        <v>14</v>
      </c>
      <c r="B81" s="0" t="s">
        <v>3123</v>
      </c>
      <c r="C81" s="0" t="s">
        <v>3124</v>
      </c>
      <c r="D81" s="0" t="s">
        <v>3135</v>
      </c>
      <c r="E81" s="0" t="s">
        <v>3136</v>
      </c>
      <c r="F81" s="0" t="s">
        <v>2959</v>
      </c>
      <c r="G81" s="0" t="s">
        <v>3137</v>
      </c>
    </row>
    <row customHeight="1" ht="11.25">
      <c r="A82" s="0" t="s">
        <v>14</v>
      </c>
      <c r="B82" s="0" t="s">
        <v>3138</v>
      </c>
      <c r="C82" s="0" t="s">
        <v>3139</v>
      </c>
      <c r="D82" s="0" t="s">
        <v>3138</v>
      </c>
      <c r="E82" s="0" t="s">
        <v>3139</v>
      </c>
      <c r="F82" s="0" t="s">
        <v>3032</v>
      </c>
      <c r="G82" s="0" t="s">
        <v>3140</v>
      </c>
    </row>
    <row customHeight="1" ht="11.25">
      <c r="A83" s="0" t="s">
        <v>14</v>
      </c>
      <c r="B83" s="0" t="s">
        <v>3141</v>
      </c>
      <c r="C83" s="0" t="s">
        <v>3142</v>
      </c>
      <c r="D83" s="0" t="s">
        <v>3143</v>
      </c>
      <c r="E83" s="0" t="s">
        <v>3144</v>
      </c>
      <c r="F83" s="0" t="s">
        <v>2959</v>
      </c>
      <c r="G83" s="0" t="s">
        <v>3145</v>
      </c>
    </row>
    <row customHeight="1" ht="11.25">
      <c r="A84" s="0" t="s">
        <v>14</v>
      </c>
      <c r="B84" s="0" t="s">
        <v>3141</v>
      </c>
      <c r="C84" s="0" t="s">
        <v>3142</v>
      </c>
      <c r="D84" s="0" t="s">
        <v>3141</v>
      </c>
      <c r="E84" s="0" t="s">
        <v>3142</v>
      </c>
      <c r="F84" s="0" t="s">
        <v>2956</v>
      </c>
      <c r="G84" s="0" t="s">
        <v>3146</v>
      </c>
    </row>
    <row customHeight="1" ht="11.25">
      <c r="A85" s="0" t="s">
        <v>14</v>
      </c>
      <c r="B85" s="0" t="s">
        <v>3141</v>
      </c>
      <c r="C85" s="0" t="s">
        <v>3142</v>
      </c>
      <c r="D85" s="0" t="s">
        <v>3147</v>
      </c>
      <c r="E85" s="0" t="s">
        <v>3148</v>
      </c>
      <c r="F85" s="0" t="s">
        <v>2959</v>
      </c>
      <c r="G85" s="0" t="s">
        <v>3149</v>
      </c>
    </row>
    <row customHeight="1" ht="11.25">
      <c r="A86" s="0" t="s">
        <v>14</v>
      </c>
      <c r="B86" s="0" t="s">
        <v>3141</v>
      </c>
      <c r="C86" s="0" t="s">
        <v>3142</v>
      </c>
      <c r="D86" s="0" t="s">
        <v>3150</v>
      </c>
      <c r="E86" s="0" t="s">
        <v>3151</v>
      </c>
      <c r="F86" s="0" t="s">
        <v>2959</v>
      </c>
      <c r="G86" s="0" t="s">
        <v>3152</v>
      </c>
    </row>
    <row customHeight="1" ht="11.25">
      <c r="A87" s="0" t="s">
        <v>14</v>
      </c>
      <c r="B87" s="0" t="s">
        <v>3153</v>
      </c>
      <c r="C87" s="0" t="s">
        <v>3154</v>
      </c>
      <c r="D87" s="0" t="s">
        <v>3153</v>
      </c>
      <c r="E87" s="0" t="s">
        <v>3154</v>
      </c>
      <c r="F87" s="0" t="s">
        <v>3032</v>
      </c>
      <c r="G87" s="0" t="s">
        <v>3155</v>
      </c>
    </row>
    <row customHeight="1" ht="11.25">
      <c r="A88" s="0" t="s">
        <v>14</v>
      </c>
      <c r="B88" s="0" t="s">
        <v>3156</v>
      </c>
      <c r="C88" s="0" t="s">
        <v>3157</v>
      </c>
      <c r="D88" s="0" t="s">
        <v>3156</v>
      </c>
      <c r="E88" s="0" t="s">
        <v>3157</v>
      </c>
      <c r="F88" s="0" t="s">
        <v>3032</v>
      </c>
      <c r="G88" s="0" t="s">
        <v>3158</v>
      </c>
    </row>
    <row customHeight="1" ht="11.25">
      <c r="A89" s="0" t="s">
        <v>14</v>
      </c>
      <c r="B89" s="0" t="s">
        <v>3159</v>
      </c>
      <c r="C89" s="0" t="s">
        <v>3160</v>
      </c>
      <c r="D89" s="0" t="s">
        <v>3159</v>
      </c>
      <c r="E89" s="0" t="s">
        <v>3160</v>
      </c>
      <c r="F89" s="0" t="s">
        <v>3032</v>
      </c>
      <c r="G89" s="0" t="s">
        <v>3161</v>
      </c>
    </row>
    <row customHeight="1" ht="11.25">
      <c r="A90" s="0" t="s">
        <v>14</v>
      </c>
      <c r="B90" s="0" t="s">
        <v>3162</v>
      </c>
      <c r="C90" s="0" t="s">
        <v>3163</v>
      </c>
      <c r="D90" s="0" t="s">
        <v>3162</v>
      </c>
      <c r="E90" s="0" t="s">
        <v>3163</v>
      </c>
      <c r="F90" s="0" t="s">
        <v>3032</v>
      </c>
      <c r="G90" s="0" t="s">
        <v>3164</v>
      </c>
    </row>
    <row customHeight="1" ht="11.25">
      <c r="A91" s="0" t="s">
        <v>14</v>
      </c>
      <c r="B91" s="0" t="s">
        <v>3165</v>
      </c>
      <c r="C91" s="0" t="s">
        <v>3166</v>
      </c>
      <c r="D91" s="0" t="s">
        <v>3167</v>
      </c>
      <c r="E91" s="0" t="s">
        <v>3168</v>
      </c>
      <c r="F91" s="0" t="s">
        <v>2959</v>
      </c>
      <c r="G91" s="0" t="s">
        <v>3169</v>
      </c>
    </row>
    <row customHeight="1" ht="11.25">
      <c r="A92" s="0" t="s">
        <v>14</v>
      </c>
      <c r="B92" s="0" t="s">
        <v>3165</v>
      </c>
      <c r="C92" s="0" t="s">
        <v>3166</v>
      </c>
      <c r="D92" s="0" t="s">
        <v>3170</v>
      </c>
      <c r="E92" s="0" t="s">
        <v>3171</v>
      </c>
      <c r="F92" s="0" t="s">
        <v>2959</v>
      </c>
      <c r="G92" s="0" t="s">
        <v>3172</v>
      </c>
    </row>
    <row customHeight="1" ht="11.25">
      <c r="A93" s="0" t="s">
        <v>14</v>
      </c>
      <c r="B93" s="0" t="s">
        <v>3165</v>
      </c>
      <c r="C93" s="0" t="s">
        <v>3166</v>
      </c>
      <c r="D93" s="0" t="s">
        <v>3173</v>
      </c>
      <c r="E93" s="0" t="s">
        <v>3174</v>
      </c>
      <c r="F93" s="0" t="s">
        <v>2959</v>
      </c>
      <c r="G93" s="0" t="s">
        <v>3175</v>
      </c>
    </row>
    <row customHeight="1" ht="11.25">
      <c r="A94" s="0" t="s">
        <v>14</v>
      </c>
      <c r="B94" s="0" t="s">
        <v>3165</v>
      </c>
      <c r="C94" s="0" t="s">
        <v>3166</v>
      </c>
      <c r="D94" s="0" t="s">
        <v>3176</v>
      </c>
      <c r="E94" s="0" t="s">
        <v>3177</v>
      </c>
      <c r="F94" s="0" t="s">
        <v>2959</v>
      </c>
      <c r="G94" s="0" t="s">
        <v>3178</v>
      </c>
    </row>
    <row customHeight="1" ht="11.25">
      <c r="A95" s="0" t="s">
        <v>14</v>
      </c>
      <c r="B95" s="0" t="s">
        <v>3165</v>
      </c>
      <c r="C95" s="0" t="s">
        <v>3166</v>
      </c>
      <c r="D95" s="0" t="s">
        <v>3165</v>
      </c>
      <c r="E95" s="0" t="s">
        <v>3166</v>
      </c>
      <c r="F95" s="0" t="s">
        <v>2956</v>
      </c>
      <c r="G95" s="0" t="s">
        <v>3179</v>
      </c>
    </row>
    <row customHeight="1" ht="11.25">
      <c r="A96" s="0" t="s">
        <v>14</v>
      </c>
      <c r="B96" s="0" t="s">
        <v>3165</v>
      </c>
      <c r="C96" s="0" t="s">
        <v>3166</v>
      </c>
      <c r="D96" s="0" t="s">
        <v>3180</v>
      </c>
      <c r="E96" s="0" t="s">
        <v>3181</v>
      </c>
      <c r="F96" s="0" t="s">
        <v>2959</v>
      </c>
      <c r="G96" s="0" t="s">
        <v>3182</v>
      </c>
    </row>
    <row customHeight="1" ht="11.25">
      <c r="A97" s="0" t="s">
        <v>14</v>
      </c>
      <c r="B97" s="0" t="s">
        <v>3165</v>
      </c>
      <c r="C97" s="0" t="s">
        <v>3166</v>
      </c>
      <c r="D97" s="0" t="s">
        <v>3183</v>
      </c>
      <c r="E97" s="0" t="s">
        <v>3184</v>
      </c>
      <c r="F97" s="0" t="s">
        <v>3009</v>
      </c>
      <c r="G97" s="0" t="s">
        <v>3185</v>
      </c>
    </row>
    <row customHeight="1" ht="11.25">
      <c r="A98" s="0" t="s">
        <v>14</v>
      </c>
      <c r="B98" s="0" t="s">
        <v>3186</v>
      </c>
      <c r="C98" s="0" t="s">
        <v>3187</v>
      </c>
      <c r="D98" s="0" t="s">
        <v>3188</v>
      </c>
      <c r="E98" s="0" t="s">
        <v>3189</v>
      </c>
      <c r="F98" s="0" t="s">
        <v>2959</v>
      </c>
      <c r="G98" s="0" t="s">
        <v>3190</v>
      </c>
    </row>
    <row customHeight="1" ht="11.25">
      <c r="A99" s="0" t="s">
        <v>14</v>
      </c>
      <c r="B99" s="0" t="s">
        <v>3186</v>
      </c>
      <c r="C99" s="0" t="s">
        <v>3187</v>
      </c>
      <c r="D99" s="0" t="s">
        <v>3191</v>
      </c>
      <c r="E99" s="0" t="s">
        <v>3192</v>
      </c>
      <c r="F99" s="0" t="s">
        <v>2959</v>
      </c>
      <c r="G99" s="0" t="s">
        <v>3193</v>
      </c>
    </row>
    <row customHeight="1" ht="11.25">
      <c r="A100" s="0" t="s">
        <v>14</v>
      </c>
      <c r="B100" s="0" t="s">
        <v>3186</v>
      </c>
      <c r="C100" s="0" t="s">
        <v>3187</v>
      </c>
      <c r="D100" s="0" t="s">
        <v>3186</v>
      </c>
      <c r="E100" s="0" t="s">
        <v>3187</v>
      </c>
      <c r="F100" s="0" t="s">
        <v>2956</v>
      </c>
      <c r="G100" s="0" t="s">
        <v>3194</v>
      </c>
    </row>
    <row customHeight="1" ht="11.25">
      <c r="A101" s="0" t="s">
        <v>14</v>
      </c>
      <c r="B101" s="0" t="s">
        <v>3186</v>
      </c>
      <c r="C101" s="0" t="s">
        <v>3187</v>
      </c>
      <c r="D101" s="0" t="s">
        <v>3195</v>
      </c>
      <c r="E101" s="0" t="s">
        <v>3196</v>
      </c>
      <c r="F101" s="0" t="s">
        <v>2959</v>
      </c>
      <c r="G101" s="0" t="s">
        <v>3197</v>
      </c>
    </row>
    <row customHeight="1" ht="11.25">
      <c r="A102" s="0" t="s">
        <v>14</v>
      </c>
      <c r="B102" s="0" t="s">
        <v>3186</v>
      </c>
      <c r="C102" s="0" t="s">
        <v>3187</v>
      </c>
      <c r="D102" s="0" t="s">
        <v>3198</v>
      </c>
      <c r="E102" s="0" t="s">
        <v>3199</v>
      </c>
      <c r="F102" s="0" t="s">
        <v>2974</v>
      </c>
      <c r="G102" s="0" t="s">
        <v>3200</v>
      </c>
    </row>
    <row customHeight="1" ht="11.25">
      <c r="A103" s="0" t="s">
        <v>14</v>
      </c>
      <c r="B103" s="0" t="s">
        <v>3201</v>
      </c>
      <c r="C103" s="0" t="s">
        <v>3202</v>
      </c>
      <c r="D103" s="0" t="s">
        <v>3203</v>
      </c>
      <c r="E103" s="0" t="s">
        <v>3204</v>
      </c>
      <c r="F103" s="0" t="s">
        <v>2959</v>
      </c>
      <c r="G103" s="0" t="s">
        <v>3205</v>
      </c>
    </row>
    <row customHeight="1" ht="11.25">
      <c r="A104" s="0" t="s">
        <v>14</v>
      </c>
      <c r="B104" s="0" t="s">
        <v>3201</v>
      </c>
      <c r="C104" s="0" t="s">
        <v>3202</v>
      </c>
      <c r="D104" s="0" t="s">
        <v>3206</v>
      </c>
      <c r="E104" s="0" t="s">
        <v>3207</v>
      </c>
      <c r="F104" s="0" t="s">
        <v>2959</v>
      </c>
      <c r="G104" s="0" t="s">
        <v>3208</v>
      </c>
    </row>
    <row customHeight="1" ht="11.25">
      <c r="A105" s="0" t="s">
        <v>14</v>
      </c>
      <c r="B105" s="0" t="s">
        <v>3201</v>
      </c>
      <c r="C105" s="0" t="s">
        <v>3202</v>
      </c>
      <c r="D105" s="0" t="s">
        <v>3209</v>
      </c>
      <c r="E105" s="0" t="s">
        <v>3210</v>
      </c>
      <c r="F105" s="0" t="s">
        <v>2959</v>
      </c>
      <c r="G105" s="0" t="s">
        <v>3211</v>
      </c>
    </row>
    <row customHeight="1" ht="11.25">
      <c r="A106" s="0" t="s">
        <v>14</v>
      </c>
      <c r="B106" s="0" t="s">
        <v>3201</v>
      </c>
      <c r="C106" s="0" t="s">
        <v>3202</v>
      </c>
      <c r="D106" s="0" t="s">
        <v>3212</v>
      </c>
      <c r="E106" s="0" t="s">
        <v>3213</v>
      </c>
      <c r="F106" s="0" t="s">
        <v>2959</v>
      </c>
      <c r="G106" s="0" t="s">
        <v>3214</v>
      </c>
    </row>
    <row customHeight="1" ht="11.25">
      <c r="A107" s="0" t="s">
        <v>14</v>
      </c>
      <c r="B107" s="0" t="s">
        <v>3201</v>
      </c>
      <c r="C107" s="0" t="s">
        <v>3202</v>
      </c>
      <c r="D107" s="0" t="s">
        <v>3215</v>
      </c>
      <c r="E107" s="0" t="s">
        <v>3216</v>
      </c>
      <c r="F107" s="0" t="s">
        <v>2959</v>
      </c>
      <c r="G107" s="0" t="s">
        <v>3217</v>
      </c>
    </row>
    <row customHeight="1" ht="11.25">
      <c r="A108" s="0" t="s">
        <v>14</v>
      </c>
      <c r="B108" s="0" t="s">
        <v>3201</v>
      </c>
      <c r="C108" s="0" t="s">
        <v>3202</v>
      </c>
      <c r="D108" s="0" t="s">
        <v>3201</v>
      </c>
      <c r="E108" s="0" t="s">
        <v>3202</v>
      </c>
      <c r="F108" s="0" t="s">
        <v>2956</v>
      </c>
      <c r="G108" s="0" t="s">
        <v>3218</v>
      </c>
    </row>
    <row customHeight="1" ht="11.25">
      <c r="A109" s="0" t="s">
        <v>14</v>
      </c>
      <c r="B109" s="0" t="s">
        <v>3201</v>
      </c>
      <c r="C109" s="0" t="s">
        <v>3202</v>
      </c>
      <c r="D109" s="0" t="s">
        <v>3219</v>
      </c>
      <c r="E109" s="0" t="s">
        <v>3220</v>
      </c>
      <c r="F109" s="0" t="s">
        <v>2959</v>
      </c>
      <c r="G109" s="0" t="s">
        <v>3221</v>
      </c>
    </row>
    <row customHeight="1" ht="11.25">
      <c r="A110" s="0" t="s">
        <v>14</v>
      </c>
      <c r="B110" s="0" t="s">
        <v>3201</v>
      </c>
      <c r="C110" s="0" t="s">
        <v>3202</v>
      </c>
      <c r="D110" s="0" t="s">
        <v>3222</v>
      </c>
      <c r="E110" s="0" t="s">
        <v>3223</v>
      </c>
      <c r="F110" s="0" t="s">
        <v>2974</v>
      </c>
      <c r="G110" s="0" t="s">
        <v>3224</v>
      </c>
    </row>
    <row customHeight="1" ht="11.25">
      <c r="A111" s="0" t="s">
        <v>14</v>
      </c>
      <c r="B111" s="0" t="s">
        <v>3225</v>
      </c>
      <c r="C111" s="0" t="s">
        <v>3226</v>
      </c>
      <c r="D111" s="0" t="s">
        <v>3227</v>
      </c>
      <c r="E111" s="0" t="s">
        <v>3228</v>
      </c>
      <c r="F111" s="0" t="s">
        <v>2959</v>
      </c>
      <c r="G111" s="0" t="s">
        <v>3229</v>
      </c>
    </row>
    <row customHeight="1" ht="11.25">
      <c r="A112" s="0" t="s">
        <v>14</v>
      </c>
      <c r="B112" s="0" t="s">
        <v>3225</v>
      </c>
      <c r="C112" s="0" t="s">
        <v>3226</v>
      </c>
      <c r="D112" s="0" t="s">
        <v>3230</v>
      </c>
      <c r="E112" s="0" t="s">
        <v>3231</v>
      </c>
      <c r="F112" s="0" t="s">
        <v>2959</v>
      </c>
      <c r="G112" s="0" t="s">
        <v>3232</v>
      </c>
    </row>
    <row customHeight="1" ht="11.25">
      <c r="A113" s="0" t="s">
        <v>14</v>
      </c>
      <c r="B113" s="0" t="s">
        <v>3225</v>
      </c>
      <c r="C113" s="0" t="s">
        <v>3226</v>
      </c>
      <c r="D113" s="0" t="s">
        <v>3233</v>
      </c>
      <c r="E113" s="0" t="s">
        <v>3234</v>
      </c>
      <c r="F113" s="0" t="s">
        <v>2959</v>
      </c>
      <c r="G113" s="0" t="s">
        <v>3235</v>
      </c>
    </row>
    <row customHeight="1" ht="11.25">
      <c r="A114" s="0" t="s">
        <v>14</v>
      </c>
      <c r="B114" s="0" t="s">
        <v>3225</v>
      </c>
      <c r="C114" s="0" t="s">
        <v>3226</v>
      </c>
      <c r="D114" s="0" t="s">
        <v>3236</v>
      </c>
      <c r="E114" s="0" t="s">
        <v>3237</v>
      </c>
      <c r="F114" s="0" t="s">
        <v>2959</v>
      </c>
      <c r="G114" s="0" t="s">
        <v>3238</v>
      </c>
    </row>
    <row customHeight="1" ht="11.25">
      <c r="A115" s="0" t="s">
        <v>14</v>
      </c>
      <c r="B115" s="0" t="s">
        <v>3225</v>
      </c>
      <c r="C115" s="0" t="s">
        <v>3226</v>
      </c>
      <c r="D115" s="0" t="s">
        <v>3225</v>
      </c>
      <c r="E115" s="0" t="s">
        <v>3226</v>
      </c>
      <c r="F115" s="0" t="s">
        <v>2956</v>
      </c>
      <c r="G115" s="0" t="s">
        <v>3239</v>
      </c>
    </row>
    <row customHeight="1" ht="11.25">
      <c r="A116" s="0" t="s">
        <v>14</v>
      </c>
      <c r="B116" s="0" t="s">
        <v>3225</v>
      </c>
      <c r="C116" s="0" t="s">
        <v>3226</v>
      </c>
      <c r="D116" s="0" t="s">
        <v>3240</v>
      </c>
      <c r="E116" s="0" t="s">
        <v>3241</v>
      </c>
      <c r="F116" s="0" t="s">
        <v>2959</v>
      </c>
      <c r="G116" s="0" t="s">
        <v>3242</v>
      </c>
    </row>
    <row customHeight="1" ht="11.25">
      <c r="A117" s="0" t="s">
        <v>14</v>
      </c>
      <c r="B117" s="0" t="s">
        <v>3225</v>
      </c>
      <c r="C117" s="0" t="s">
        <v>3226</v>
      </c>
      <c r="D117" s="0" t="s">
        <v>3243</v>
      </c>
      <c r="E117" s="0" t="s">
        <v>3244</v>
      </c>
      <c r="F117" s="0" t="s">
        <v>2959</v>
      </c>
      <c r="G117" s="0" t="s">
        <v>3245</v>
      </c>
    </row>
    <row customHeight="1" ht="11.25">
      <c r="A118" s="0" t="s">
        <v>14</v>
      </c>
      <c r="B118" s="0" t="s">
        <v>3225</v>
      </c>
      <c r="C118" s="0" t="s">
        <v>3226</v>
      </c>
      <c r="D118" s="0" t="s">
        <v>3246</v>
      </c>
      <c r="E118" s="0" t="s">
        <v>3247</v>
      </c>
      <c r="F118" s="0" t="s">
        <v>3009</v>
      </c>
      <c r="G118" s="0" t="s">
        <v>3248</v>
      </c>
    </row>
    <row customHeight="1" ht="11.25">
      <c r="A119" s="0" t="s">
        <v>14</v>
      </c>
      <c r="B119" s="0" t="s">
        <v>3249</v>
      </c>
      <c r="C119" s="0" t="s">
        <v>3250</v>
      </c>
      <c r="D119" s="0" t="s">
        <v>3251</v>
      </c>
      <c r="E119" s="0" t="s">
        <v>3252</v>
      </c>
      <c r="F119" s="0" t="s">
        <v>2959</v>
      </c>
      <c r="G119" s="0" t="s">
        <v>3253</v>
      </c>
    </row>
    <row customHeight="1" ht="11.25">
      <c r="A120" s="0" t="s">
        <v>14</v>
      </c>
      <c r="B120" s="0" t="s">
        <v>3249</v>
      </c>
      <c r="C120" s="0" t="s">
        <v>3250</v>
      </c>
      <c r="D120" s="0" t="s">
        <v>3254</v>
      </c>
      <c r="E120" s="0" t="s">
        <v>3255</v>
      </c>
      <c r="F120" s="0" t="s">
        <v>2959</v>
      </c>
      <c r="G120" s="0" t="s">
        <v>3256</v>
      </c>
    </row>
    <row customHeight="1" ht="11.25">
      <c r="A121" s="0" t="s">
        <v>14</v>
      </c>
      <c r="B121" s="0" t="s">
        <v>3249</v>
      </c>
      <c r="C121" s="0" t="s">
        <v>3250</v>
      </c>
      <c r="D121" s="0" t="s">
        <v>3257</v>
      </c>
      <c r="E121" s="0" t="s">
        <v>3258</v>
      </c>
      <c r="F121" s="0" t="s">
        <v>2959</v>
      </c>
      <c r="G121" s="0" t="s">
        <v>3259</v>
      </c>
    </row>
    <row customHeight="1" ht="11.25">
      <c r="A122" s="0" t="s">
        <v>14</v>
      </c>
      <c r="B122" s="0" t="s">
        <v>3249</v>
      </c>
      <c r="C122" s="0" t="s">
        <v>3250</v>
      </c>
      <c r="D122" s="0" t="s">
        <v>3260</v>
      </c>
      <c r="E122" s="0" t="s">
        <v>3261</v>
      </c>
      <c r="F122" s="0" t="s">
        <v>2959</v>
      </c>
      <c r="G122" s="0" t="s">
        <v>3262</v>
      </c>
    </row>
    <row customHeight="1" ht="11.25">
      <c r="A123" s="0" t="s">
        <v>14</v>
      </c>
      <c r="B123" s="0" t="s">
        <v>3249</v>
      </c>
      <c r="C123" s="0" t="s">
        <v>3250</v>
      </c>
      <c r="D123" s="0" t="s">
        <v>3263</v>
      </c>
      <c r="E123" s="0" t="s">
        <v>3264</v>
      </c>
      <c r="F123" s="0" t="s">
        <v>2959</v>
      </c>
      <c r="G123" s="0" t="s">
        <v>3265</v>
      </c>
    </row>
    <row customHeight="1" ht="11.25">
      <c r="A124" s="0" t="s">
        <v>14</v>
      </c>
      <c r="B124" s="0" t="s">
        <v>3249</v>
      </c>
      <c r="C124" s="0" t="s">
        <v>3250</v>
      </c>
      <c r="D124" s="0" t="s">
        <v>3266</v>
      </c>
      <c r="E124" s="0" t="s">
        <v>3267</v>
      </c>
      <c r="F124" s="0" t="s">
        <v>2959</v>
      </c>
      <c r="G124" s="0" t="s">
        <v>3268</v>
      </c>
    </row>
    <row customHeight="1" ht="11.25">
      <c r="A125" s="0" t="s">
        <v>14</v>
      </c>
      <c r="B125" s="0" t="s">
        <v>3249</v>
      </c>
      <c r="C125" s="0" t="s">
        <v>3250</v>
      </c>
      <c r="D125" s="0" t="s">
        <v>3249</v>
      </c>
      <c r="E125" s="0" t="s">
        <v>3250</v>
      </c>
      <c r="F125" s="0" t="s">
        <v>2956</v>
      </c>
      <c r="G125" s="0" t="s">
        <v>3269</v>
      </c>
    </row>
    <row customHeight="1" ht="11.25">
      <c r="A126" s="0" t="s">
        <v>14</v>
      </c>
      <c r="B126" s="0" t="s">
        <v>3249</v>
      </c>
      <c r="C126" s="0" t="s">
        <v>3250</v>
      </c>
      <c r="D126" s="0" t="s">
        <v>3270</v>
      </c>
      <c r="E126" s="0" t="s">
        <v>3271</v>
      </c>
      <c r="F126" s="0" t="s">
        <v>2959</v>
      </c>
      <c r="G126" s="0" t="s">
        <v>3272</v>
      </c>
    </row>
    <row customHeight="1" ht="11.25">
      <c r="A127" s="0" t="s">
        <v>14</v>
      </c>
      <c r="B127" s="0" t="s">
        <v>3273</v>
      </c>
      <c r="C127" s="0" t="s">
        <v>3274</v>
      </c>
      <c r="D127" s="0" t="s">
        <v>3273</v>
      </c>
      <c r="E127" s="0" t="s">
        <v>3274</v>
      </c>
      <c r="F127" s="0" t="s">
        <v>3275</v>
      </c>
      <c r="G127" s="0" t="s">
        <v>3276</v>
      </c>
    </row>
    <row customHeight="1" ht="11.25">
      <c r="A128" s="0" t="s">
        <v>14</v>
      </c>
      <c r="B128" s="0" t="s">
        <v>3277</v>
      </c>
      <c r="C128" s="0" t="s">
        <v>3278</v>
      </c>
      <c r="D128" s="0" t="s">
        <v>3277</v>
      </c>
      <c r="E128" s="0" t="s">
        <v>3278</v>
      </c>
      <c r="F128" s="0" t="s">
        <v>3275</v>
      </c>
      <c r="G128" s="0" t="s">
        <v>3279</v>
      </c>
    </row>
    <row customHeight="1" ht="11.25">
      <c r="A129" s="0" t="s">
        <v>14</v>
      </c>
      <c r="B129" s="0" t="s">
        <v>3280</v>
      </c>
      <c r="C129" s="0" t="s">
        <v>3281</v>
      </c>
      <c r="D129" s="0" t="s">
        <v>3280</v>
      </c>
      <c r="E129" s="0" t="s">
        <v>3281</v>
      </c>
      <c r="F129" s="0" t="s">
        <v>3275</v>
      </c>
      <c r="G129" s="0" t="s">
        <v>3282</v>
      </c>
    </row>
    <row customHeight="1" ht="11.25">
      <c r="A130" s="0" t="s">
        <v>14</v>
      </c>
      <c r="B130" s="0" t="s">
        <v>98</v>
      </c>
      <c r="C130" s="0" t="s">
        <v>100</v>
      </c>
      <c r="D130" s="0" t="s">
        <v>98</v>
      </c>
      <c r="E130" s="0" t="s">
        <v>100</v>
      </c>
      <c r="F130" s="0" t="s">
        <v>3275</v>
      </c>
      <c r="G130" s="0" t="s">
        <v>99</v>
      </c>
    </row>
    <row customHeight="1" ht="11.25">
      <c r="A131" s="0" t="s">
        <v>14</v>
      </c>
      <c r="B131" s="0" t="s">
        <v>3283</v>
      </c>
      <c r="C131" s="0" t="s">
        <v>3284</v>
      </c>
      <c r="D131" s="0" t="s">
        <v>3283</v>
      </c>
      <c r="E131" s="0" t="s">
        <v>3284</v>
      </c>
      <c r="F131" s="0" t="s">
        <v>3275</v>
      </c>
      <c r="G131" s="0" t="s">
        <v>3285</v>
      </c>
    </row>
    <row customHeight="1" ht="11.25">
      <c r="A132" s="0" t="s">
        <v>14</v>
      </c>
      <c r="B132" s="0" t="s">
        <v>3286</v>
      </c>
      <c r="C132" s="0" t="s">
        <v>3287</v>
      </c>
      <c r="D132" s="0" t="s">
        <v>3286</v>
      </c>
      <c r="E132" s="0" t="s">
        <v>3287</v>
      </c>
      <c r="F132" s="0" t="s">
        <v>3275</v>
      </c>
      <c r="G132" s="0" t="s">
        <v>3288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8A06E-21E7-E7C9-46ED-7BA43E45103E}" mc:Ignorable="x14ac xr xr2 xr3">
  <sheetPr>
    <tabColor rgb="FFFFCC99"/>
  </sheetPr>
  <dimension ref="A1:D6"/>
  <sheetViews>
    <sheetView topLeftCell="A1" showGridLines="0" workbookViewId="0">
      <selection activeCell="A1" sqref="A1"/>
    </sheetView>
  </sheetViews>
  <sheetFormatPr defaultColWidth="9.140625" customHeight="1" defaultRowHeight="11.25"/>
  <cols>
    <col min="1" max="4" style="1721" width="9.140625"/>
  </cols>
  <sheetData>
    <row customHeight="1" ht="11.25">
      <c r="A1" s="833" t="s">
        <v>3289</v>
      </c>
      <c r="B1" s="833" t="s">
        <v>3290</v>
      </c>
      <c r="C1" s="833" t="s">
        <v>3291</v>
      </c>
      <c r="D1" s="833" t="s">
        <v>3292</v>
      </c>
    </row>
    <row customHeight="1" ht="11.25">
      <c r="A2" s="1721" t="s">
        <v>108</v>
      </c>
      <c r="B2" s="1721" t="s">
        <v>3293</v>
      </c>
      <c r="C2" s="1721" t="s">
        <v>3294</v>
      </c>
      <c r="D2" s="1721" t="s">
        <v>3295</v>
      </c>
    </row>
    <row customHeight="1" ht="11.25">
      <c r="A3" s="1721" t="s">
        <v>109</v>
      </c>
      <c r="B3" s="1721" t="s">
        <v>3296</v>
      </c>
      <c r="C3" s="1721" t="s">
        <v>3297</v>
      </c>
      <c r="D3" s="1721" t="s">
        <v>3298</v>
      </c>
    </row>
    <row customHeight="1" ht="11.25">
      <c r="A4" s="1721" t="s">
        <v>89</v>
      </c>
      <c r="B4" s="1721" t="s">
        <v>3299</v>
      </c>
      <c r="C4" s="1721" t="s">
        <v>3300</v>
      </c>
      <c r="D4" s="1721" t="s">
        <v>3295</v>
      </c>
    </row>
    <row customHeight="1" ht="11.25">
      <c r="A5" s="1721" t="s">
        <v>90</v>
      </c>
      <c r="B5" s="1721" t="s">
        <v>3301</v>
      </c>
      <c r="C5" s="1721" t="s">
        <v>3294</v>
      </c>
      <c r="D5" s="1721" t="s">
        <v>3295</v>
      </c>
    </row>
    <row customHeight="1" ht="11.25">
      <c r="A6" s="1721" t="s">
        <v>110</v>
      </c>
      <c r="B6" s="1721" t="s">
        <v>3302</v>
      </c>
      <c r="C6" s="1721" t="s">
        <v>3303</v>
      </c>
      <c r="D6" s="1721" t="s">
        <v>3304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282B6-64AD-B6F3-F9DB-2BC56C0C0E2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1FDE9-AB72-959A-5667-620DE98357B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3" width="9.140625"/>
  </cols>
  <sheetData>
    <row customHeight="1" ht="11.25">
      <c r="A1" s="163" t="s">
        <v>134</v>
      </c>
      <c r="B1" s="163" t="s">
        <v>3305</v>
      </c>
    </row>
    <row customHeight="1" ht="11.25">
      <c r="A2" s="163" t="s">
        <v>97</v>
      </c>
      <c r="B2" s="163" t="s">
        <v>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BD11B-A7DF-77D3-E0F1-E6B41C4AD33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21" width="9.140625"/>
    <col min="2" max="2" style="1721" width="65.28125" customWidth="1"/>
  </cols>
  <sheetData>
    <row customHeight="1" ht="11.25">
      <c r="A1" s="833" t="s">
        <v>3306</v>
      </c>
      <c r="B1" s="833" t="s">
        <v>3307</v>
      </c>
    </row>
    <row customHeight="1" ht="11.25">
      <c r="A2" s="833">
        <v>4213775</v>
      </c>
      <c r="B2" s="833" t="s">
        <v>611</v>
      </c>
    </row>
    <row customHeight="1" ht="11.25">
      <c r="A3" s="833">
        <v>4213784</v>
      </c>
      <c r="B3" s="833" t="s">
        <v>647</v>
      </c>
    </row>
    <row customHeight="1" ht="11.25">
      <c r="A4" s="833">
        <v>4213781</v>
      </c>
      <c r="B4" s="833" t="s">
        <v>640</v>
      </c>
    </row>
    <row customHeight="1" ht="11.25">
      <c r="A5" s="833">
        <v>4213776</v>
      </c>
      <c r="B5" s="833" t="s">
        <v>170</v>
      </c>
    </row>
    <row customHeight="1" ht="11.25">
      <c r="A6" s="833">
        <v>4213777</v>
      </c>
      <c r="B6" s="833" t="s">
        <v>176</v>
      </c>
    </row>
    <row customHeight="1" ht="11.25">
      <c r="A7" s="833">
        <v>4213778</v>
      </c>
      <c r="B7" s="833" t="s">
        <v>182</v>
      </c>
    </row>
    <row customHeight="1" ht="11.25">
      <c r="A8" s="833">
        <v>4213780</v>
      </c>
      <c r="B8" s="833" t="s">
        <v>188</v>
      </c>
    </row>
    <row customHeight="1" ht="11.25">
      <c r="A9" s="833">
        <v>4213779</v>
      </c>
      <c r="B9" s="833" t="s">
        <v>780</v>
      </c>
    </row>
    <row customHeight="1" ht="11.25">
      <c r="A10" s="833">
        <v>4213783</v>
      </c>
      <c r="B10" s="833" t="s">
        <v>795</v>
      </c>
    </row>
    <row customHeight="1" ht="11.25">
      <c r="A11" s="833">
        <v>4213782</v>
      </c>
      <c r="B11" s="833" t="s">
        <v>194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CD0CC-F655-47FA-0888-753C95DDFD4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721" width="9.140625"/>
    <col min="2" max="2" style="1721" width="65.28125" customWidth="1"/>
  </cols>
  <sheetData>
    <row customHeight="1" ht="11.25">
      <c r="A1" s="833" t="s">
        <v>3306</v>
      </c>
      <c r="B1" s="833" t="s">
        <v>3308</v>
      </c>
    </row>
    <row customHeight="1" ht="11.25">
      <c r="A2" s="833" t="s">
        <v>3309</v>
      </c>
      <c r="B2" s="833" t="s">
        <v>894</v>
      </c>
    </row>
    <row customHeight="1" ht="11.25">
      <c r="A3" s="833" t="s">
        <v>118</v>
      </c>
      <c r="B3" s="833" t="s">
        <v>904</v>
      </c>
    </row>
    <row customHeight="1" ht="11.25">
      <c r="A4" s="833" t="s">
        <v>3310</v>
      </c>
      <c r="B4" s="833" t="s">
        <v>913</v>
      </c>
    </row>
    <row customHeight="1" ht="11.25">
      <c r="A5" s="833" t="s">
        <v>3311</v>
      </c>
      <c r="B5" s="833" t="s">
        <v>922</v>
      </c>
    </row>
    <row customHeight="1" ht="11.25">
      <c r="A6" s="833" t="s">
        <v>3312</v>
      </c>
      <c r="B6" s="833" t="s">
        <v>928</v>
      </c>
    </row>
    <row customHeight="1" ht="11.25">
      <c r="A7" s="833" t="s">
        <v>3313</v>
      </c>
      <c r="B7" s="833" t="s">
        <v>936</v>
      </c>
    </row>
    <row customHeight="1" ht="11.25">
      <c r="A8" s="833" t="s">
        <v>3314</v>
      </c>
      <c r="B8" s="833" t="s">
        <v>943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C343D-7086-4D71-D47E-3562A7409D05}"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1663" width="9.140625" hidden="1" customWidth="1"/>
    <col min="2" max="2" style="1666" width="9.140625" hidden="1" customWidth="1"/>
    <col min="3" max="3" style="1877" width="3.7109375" customWidth="1"/>
    <col min="4" max="4" style="1666" width="5.57421875" customWidth="1"/>
    <col min="5" max="5" style="1666" width="48.421875" customWidth="1"/>
    <col min="6" max="6" style="1666" width="38.140625" customWidth="1"/>
    <col min="7" max="7" style="1666" width="1.7109375" hidden="1" customWidth="1"/>
    <col min="8" max="11" style="1666" width="19.8515625" hidden="1" customWidth="1"/>
    <col min="12" max="12" style="1666" width="9.7109375" hidden="1" customWidth="1"/>
    <col min="13" max="18" style="1666" width="19.8515625" hidden="1" customWidth="1"/>
    <col min="19" max="19" style="1666" width="1.7109375" hidden="1" customWidth="1"/>
    <col min="20" max="22" style="1666" width="19.8515625" hidden="1" customWidth="1"/>
    <col min="23" max="23" style="1666" width="1.7109375" hidden="1" customWidth="1"/>
    <col min="24" max="26" style="1666" width="19.8515625" customWidth="1"/>
    <col min="27" max="27" style="1666" width="1.7109375" hidden="1" customWidth="1"/>
    <col min="28" max="29" style="1666" width="19.8515625" hidden="1" customWidth="1"/>
    <col min="30" max="30" style="1666" width="1.7109375" hidden="1" customWidth="1"/>
    <col min="31" max="32" style="1666" width="103.7109375" hidden="1" customWidth="1"/>
    <col min="33" max="33" style="1666" width="103.7109375" customWidth="1"/>
    <col min="34" max="34" style="1666" width="103.7109375" hidden="1" customWidth="1"/>
    <col min="35" max="35" style="1854" width="3.7109375" customWidth="1"/>
    <col min="36" max="38" style="1673" width="10.57421875"/>
    <col min="39" max="39" style="1673" width="13.7109375" hidden="1" customWidth="1"/>
    <col min="40" max="40" style="1673" width="15.421875" customWidth="1"/>
    <col min="41" max="41" style="1673" width="16.28125" customWidth="1"/>
    <col min="42" max="45" style="1673" width="10.57421875"/>
  </cols>
  <sheetData>
    <row customHeight="1" ht="14.25" hidden="1">
      <c r="E1" s="410"/>
      <c r="F1" s="410"/>
      <c r="G1" s="410"/>
      <c r="H1" s="2038" t="s">
        <v>344</v>
      </c>
      <c r="I1" s="2038"/>
      <c r="J1" s="2038"/>
      <c r="K1" s="2038"/>
      <c r="L1" s="2038"/>
      <c r="M1" s="2038"/>
      <c r="N1" s="2038"/>
      <c r="O1" s="2038"/>
      <c r="P1" s="2038"/>
      <c r="Q1" s="2038"/>
      <c r="R1" s="2038"/>
      <c r="T1" s="2038" t="s">
        <v>345</v>
      </c>
      <c r="U1" s="2038"/>
      <c r="V1" s="2038"/>
      <c r="X1" s="2038" t="s">
        <v>346</v>
      </c>
      <c r="Y1" s="2038"/>
      <c r="Z1" s="2038"/>
      <c r="AB1" s="2038" t="s">
        <v>347</v>
      </c>
      <c r="AC1" s="2038"/>
    </row>
    <row customHeight="1" ht="14.25" hidden="1"/>
    <row s="1644" customFormat="1" customHeight="1" ht="6">
      <c r="C3" s="698"/>
      <c r="D3" s="699"/>
      <c r="E3" s="699"/>
      <c r="F3" s="699"/>
      <c r="G3" s="699"/>
      <c r="H3" s="699" t="s">
        <v>348</v>
      </c>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J3" s="509"/>
      <c r="AK3" s="509"/>
      <c r="AL3" s="509"/>
      <c r="AM3" s="509"/>
      <c r="AN3" s="509"/>
      <c r="AO3" s="509"/>
      <c r="AP3" s="509"/>
      <c r="AQ3" s="509"/>
      <c r="AR3" s="509"/>
      <c r="AS3" s="509"/>
    </row>
    <row customHeight="1" ht="24">
      <c r="C4" s="448"/>
      <c r="D4" s="1978" t="str">
        <f>"Форма 2. Общая информация об объектах "&amp;TEMPLATE_SPHERE_RUS&amp;" регулируемой организации"&amp;IF(TEMPLATE_SPHERE="HEAT",",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f>
        <v>Форма 2. Общая информация об объектах холодного водоснабжения регулируемой организации</v>
      </c>
      <c r="E4" s="1979"/>
      <c r="F4" s="1979"/>
      <c r="G4" s="1979"/>
      <c r="H4" s="1979"/>
      <c r="I4" s="1979"/>
      <c r="J4" s="1979"/>
      <c r="K4" s="1979"/>
      <c r="L4" s="1979"/>
      <c r="M4" s="1979"/>
      <c r="N4" s="1979"/>
      <c r="O4" s="1979"/>
      <c r="P4" s="1979"/>
      <c r="Q4" s="1979"/>
      <c r="R4" s="1980"/>
      <c r="S4" s="851"/>
      <c r="T4" s="696"/>
      <c r="U4" s="696"/>
      <c r="V4" s="696"/>
      <c r="W4" s="696"/>
      <c r="X4" s="696"/>
      <c r="Y4" s="696"/>
      <c r="Z4" s="696"/>
      <c r="AA4" s="696"/>
      <c r="AB4" s="696"/>
      <c r="AC4" s="696"/>
      <c r="AD4" s="696"/>
      <c r="AE4" s="489"/>
      <c r="AF4" s="489"/>
      <c r="AG4" s="489"/>
      <c r="AH4" s="489"/>
      <c r="AI4" s="486"/>
    </row>
    <row s="1666" customFormat="1" customHeight="1" ht="17.25">
      <c r="A5" s="758"/>
      <c r="C5" s="820"/>
      <c r="D5" s="2035" t="str">
        <f>IF(org=0,"Не определено",org)</f>
        <v>ПАО "ТГК-2"</v>
      </c>
      <c r="E5" s="2036"/>
      <c r="F5" s="2036"/>
      <c r="G5" s="2036"/>
      <c r="H5" s="2036"/>
      <c r="I5" s="2036"/>
      <c r="J5" s="2036"/>
      <c r="K5" s="2036"/>
      <c r="L5" s="2036"/>
      <c r="M5" s="2036"/>
      <c r="N5" s="2036"/>
      <c r="O5" s="2036"/>
      <c r="P5" s="2036"/>
      <c r="Q5" s="2036"/>
      <c r="R5" s="2037"/>
      <c r="S5" s="851"/>
      <c r="T5" s="696"/>
      <c r="U5" s="696"/>
      <c r="V5" s="696"/>
      <c r="W5" s="696"/>
      <c r="X5" s="696"/>
      <c r="Y5" s="696"/>
      <c r="Z5" s="696"/>
      <c r="AA5" s="696"/>
      <c r="AB5" s="696"/>
      <c r="AC5" s="696"/>
      <c r="AD5" s="696"/>
      <c r="AE5" s="489"/>
      <c r="AF5" s="489"/>
      <c r="AG5" s="489"/>
      <c r="AH5" s="489"/>
      <c r="AI5" s="486"/>
      <c r="AJ5" s="509"/>
      <c r="AK5" s="509"/>
      <c r="AL5" s="509"/>
      <c r="AM5" s="509"/>
      <c r="AN5" s="509"/>
      <c r="AO5" s="509"/>
      <c r="AP5" s="509"/>
      <c r="AQ5" s="509"/>
      <c r="AR5" s="509"/>
      <c r="AS5" s="509"/>
    </row>
    <row s="1643" customFormat="1" customHeight="1" ht="11.25">
      <c r="A6" s="477"/>
      <c r="C6" s="484"/>
      <c r="D6" s="483"/>
      <c r="E6" s="483"/>
      <c r="F6" s="483"/>
      <c r="G6" s="483"/>
      <c r="H6" s="483"/>
      <c r="I6" s="483"/>
      <c r="J6" s="483"/>
      <c r="K6" s="483"/>
      <c r="L6" s="483"/>
      <c r="M6" s="483"/>
      <c r="N6" s="483"/>
      <c r="O6" s="483"/>
      <c r="P6" s="483"/>
      <c r="Q6" s="483"/>
      <c r="R6" s="751"/>
      <c r="S6" s="751"/>
      <c r="T6" s="483"/>
      <c r="U6" s="483"/>
      <c r="V6" s="709"/>
      <c r="W6" s="709"/>
      <c r="X6" s="483"/>
      <c r="Y6" s="483"/>
      <c r="Z6" s="709"/>
      <c r="AA6" s="709"/>
      <c r="AB6" s="483"/>
      <c r="AC6" s="709"/>
      <c r="AD6" s="709"/>
      <c r="AE6" s="483"/>
      <c r="AF6" s="483"/>
      <c r="AG6" s="483"/>
      <c r="AH6" s="483"/>
      <c r="AJ6" s="487"/>
      <c r="AK6" s="487"/>
      <c r="AL6" s="487"/>
      <c r="AM6" s="487"/>
      <c r="AN6" s="487"/>
      <c r="AO6" s="487"/>
      <c r="AP6" s="487"/>
      <c r="AQ6" s="487"/>
      <c r="AR6" s="487"/>
      <c r="AS6" s="487"/>
    </row>
    <row customHeight="1" ht="14.25">
      <c r="C7" s="448"/>
      <c r="D7" s="2039" t="s">
        <v>290</v>
      </c>
      <c r="E7" s="2040"/>
      <c r="F7" s="2040"/>
      <c r="G7" s="2040"/>
      <c r="H7" s="2040"/>
      <c r="I7" s="2040"/>
      <c r="J7" s="2040"/>
      <c r="K7" s="2040"/>
      <c r="L7" s="2040"/>
      <c r="M7" s="2040"/>
      <c r="N7" s="2040"/>
      <c r="O7" s="2040"/>
      <c r="P7" s="2040"/>
      <c r="Q7" s="2040"/>
      <c r="R7" s="2040"/>
      <c r="S7" s="2040"/>
      <c r="T7" s="2040"/>
      <c r="U7" s="2040"/>
      <c r="V7" s="2040"/>
      <c r="W7" s="2040"/>
      <c r="X7" s="2040"/>
      <c r="Y7" s="2040"/>
      <c r="Z7" s="2040"/>
      <c r="AA7" s="2040"/>
      <c r="AB7" s="2040"/>
      <c r="AC7" s="2040"/>
      <c r="AD7" s="2041"/>
      <c r="AE7" s="2044" t="s">
        <v>291</v>
      </c>
      <c r="AF7" s="2044" t="s">
        <v>291</v>
      </c>
      <c r="AG7" s="2044" t="s">
        <v>291</v>
      </c>
      <c r="AH7" s="2044" t="s">
        <v>291</v>
      </c>
    </row>
    <row customHeight="1" ht="25.5">
      <c r="C8" s="448"/>
      <c r="D8" s="1948" t="s">
        <v>87</v>
      </c>
      <c r="E8" s="2044" t="str">
        <f>"Наименование "&amp;IF(TEMPLATE_SPHERE&lt;&gt;"HEAT","централизованной ","")&amp;"системы "&amp;TEMPLATE_SPHERE_RUS</f>
        <v>Наименование централизованной системы холодного водоснабжения</v>
      </c>
      <c r="F8" s="2044" t="str">
        <f>IF(TEMPLATE_SPHERE&lt;&gt;"HEAT","Регулируемый вид деятельности","Вид регулируемой деятельности")</f>
        <v>Регулируемый вид деятельности</v>
      </c>
      <c r="G8" s="826"/>
      <c r="H8" s="2045" t="s">
        <v>349</v>
      </c>
      <c r="I8" s="2047" t="s">
        <v>350</v>
      </c>
      <c r="J8" s="2044" t="s">
        <v>351</v>
      </c>
      <c r="K8" s="2044"/>
      <c r="L8" s="2044"/>
      <c r="M8" s="2039"/>
      <c r="N8" s="2044" t="s">
        <v>352</v>
      </c>
      <c r="O8" s="2044"/>
      <c r="P8" s="2044" t="s">
        <v>353</v>
      </c>
      <c r="Q8" s="2044"/>
      <c r="R8" s="2051" t="s">
        <v>354</v>
      </c>
      <c r="S8" s="822"/>
      <c r="T8" s="2049" t="s">
        <v>355</v>
      </c>
      <c r="U8" s="2049" t="s">
        <v>356</v>
      </c>
      <c r="V8" s="2049" t="s">
        <v>357</v>
      </c>
      <c r="W8" s="824"/>
      <c r="X8" s="2049" t="s">
        <v>358</v>
      </c>
      <c r="Y8" s="2049" t="s">
        <v>359</v>
      </c>
      <c r="Z8" s="2049" t="s">
        <v>360</v>
      </c>
      <c r="AA8" s="824"/>
      <c r="AB8" s="2049" t="s">
        <v>361</v>
      </c>
      <c r="AC8" s="2049" t="s">
        <v>354</v>
      </c>
      <c r="AD8" s="824"/>
      <c r="AE8" s="2044"/>
      <c r="AF8" s="2044"/>
      <c r="AG8" s="2044"/>
      <c r="AH8" s="2044"/>
    </row>
    <row customHeight="1" ht="33.75">
      <c r="C9" s="448"/>
      <c r="D9" s="1948"/>
      <c r="E9" s="2044"/>
      <c r="F9" s="2044"/>
      <c r="G9" s="827"/>
      <c r="H9" s="2046"/>
      <c r="I9" s="2048"/>
      <c r="J9" s="422" t="s">
        <v>362</v>
      </c>
      <c r="K9" s="422" t="s">
        <v>363</v>
      </c>
      <c r="L9" s="422" t="s">
        <v>364</v>
      </c>
      <c r="M9" s="428" t="s">
        <v>365</v>
      </c>
      <c r="N9" s="422" t="s">
        <v>366</v>
      </c>
      <c r="O9" s="422" t="s">
        <v>365</v>
      </c>
      <c r="P9" s="422" t="s">
        <v>367</v>
      </c>
      <c r="Q9" s="422" t="s">
        <v>365</v>
      </c>
      <c r="R9" s="2052"/>
      <c r="S9" s="823"/>
      <c r="T9" s="2050"/>
      <c r="U9" s="2050"/>
      <c r="V9" s="2050"/>
      <c r="W9" s="825"/>
      <c r="X9" s="2050"/>
      <c r="Y9" s="2050"/>
      <c r="Z9" s="2050"/>
      <c r="AA9" s="825"/>
      <c r="AB9" s="2050"/>
      <c r="AC9" s="2050"/>
      <c r="AD9" s="825"/>
      <c r="AE9" s="2044"/>
      <c r="AF9" s="2044"/>
      <c r="AG9" s="2044"/>
      <c r="AH9" s="2044"/>
    </row>
    <row customHeight="1" ht="12" hidden="1">
      <c r="C10" s="485"/>
      <c r="D10" s="446"/>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5"/>
      <c r="AP10" s="498"/>
      <c r="AQ10" s="498"/>
    </row>
    <row s="1672" customFormat="1" customHeight="1" ht="11.25" hidden="1">
      <c r="C11" s="496"/>
      <c r="D11" s="497" t="s">
        <v>368</v>
      </c>
      <c r="E11" s="497"/>
      <c r="F11" s="497"/>
      <c r="G11" s="497"/>
      <c r="H11" s="495"/>
      <c r="I11" s="495"/>
      <c r="J11" s="495"/>
      <c r="K11" s="495"/>
      <c r="L11" s="495"/>
      <c r="M11" s="495"/>
      <c r="N11" s="495"/>
      <c r="O11" s="495"/>
      <c r="P11" s="495"/>
      <c r="Q11" s="495"/>
      <c r="R11" s="495"/>
      <c r="S11" s="495"/>
      <c r="T11" s="495"/>
      <c r="U11" s="495"/>
      <c r="V11" s="495"/>
      <c r="W11" s="495"/>
      <c r="X11" s="495"/>
      <c r="Y11" s="495"/>
      <c r="Z11" s="495"/>
      <c r="AA11" s="495"/>
      <c r="AB11" s="495"/>
      <c r="AC11" s="495"/>
      <c r="AD11" s="495"/>
      <c r="AE11" s="433"/>
      <c r="AF11" s="433"/>
      <c r="AG11" s="433"/>
      <c r="AH11" s="433"/>
      <c r="AJ11" s="487"/>
      <c r="AK11" s="487"/>
      <c r="AL11" s="487"/>
      <c r="AM11" s="487"/>
      <c r="AN11" s="487"/>
      <c r="AO11" s="487"/>
      <c r="AP11" s="487"/>
      <c r="AQ11" s="487"/>
      <c r="AR11" s="487"/>
      <c r="AS11" s="487"/>
    </row>
    <row customHeight="1" ht="14.25">
      <c r="A12" s="445"/>
      <c r="C12" s="448"/>
      <c r="D12" s="432" t="s">
        <v>108</v>
      </c>
      <c r="E12" s="1811" t="s">
        <v>18</v>
      </c>
      <c r="F12" s="853"/>
      <c r="G12" s="854"/>
      <c r="H12" s="1812"/>
      <c r="I12" s="1812"/>
      <c r="J12" s="431"/>
      <c r="K12" s="430"/>
      <c r="L12" s="429"/>
      <c r="M12" s="430"/>
      <c r="N12" s="431"/>
      <c r="O12" s="430"/>
      <c r="P12" s="431"/>
      <c r="Q12" s="430"/>
      <c r="R12" s="431"/>
      <c r="S12" s="852"/>
      <c r="T12" s="1812"/>
      <c r="U12" s="431"/>
      <c r="V12" s="431"/>
      <c r="W12" s="825"/>
      <c r="X12" s="1812"/>
      <c r="Y12" s="431"/>
      <c r="Z12" s="431"/>
      <c r="AA12" s="825"/>
      <c r="AB12" s="1812"/>
      <c r="AC12" s="431"/>
      <c r="AD12" s="825"/>
      <c r="AE12" s="2042" t="s">
        <v>369</v>
      </c>
      <c r="AF12" s="2042" t="s">
        <v>370</v>
      </c>
      <c r="AG12" s="2042" t="s">
        <v>371</v>
      </c>
      <c r="AH12" s="2042" t="s">
        <v>372</v>
      </c>
      <c r="AI12" s="445"/>
      <c r="AM12" s="509"/>
      <c r="AP12" s="498" t="s">
        <v>373</v>
      </c>
      <c r="AQ12" s="498" t="s">
        <v>373</v>
      </c>
    </row>
    <row customHeight="1" ht="17.25">
      <c r="A13" s="445"/>
      <c r="C13" s="448"/>
      <c r="D13" s="403"/>
      <c r="E13" s="867" t="str">
        <f>IF(TITLE_DIFFERENTIATION_TYPE="нет","","Добавить систему")</f>
        <v/>
      </c>
      <c r="F13" s="867" t="str">
        <f>IF(TITLE_DIFFERENTIATION_TYPE="нет","Добавить вид деятельности","")</f>
        <v>Добавить вид деятельности</v>
      </c>
      <c r="G13" s="295"/>
      <c r="H13" s="404"/>
      <c r="I13" s="404"/>
      <c r="J13" s="404"/>
      <c r="K13" s="404"/>
      <c r="L13" s="404"/>
      <c r="M13" s="404"/>
      <c r="N13" s="404"/>
      <c r="O13" s="404"/>
      <c r="P13" s="404"/>
      <c r="Q13" s="404"/>
      <c r="R13" s="404"/>
      <c r="S13" s="404"/>
      <c r="T13" s="404"/>
      <c r="U13" s="404"/>
      <c r="V13" s="404"/>
      <c r="W13" s="404"/>
      <c r="X13" s="404"/>
      <c r="Y13" s="404"/>
      <c r="Z13" s="404"/>
      <c r="AA13" s="404"/>
      <c r="AB13" s="404"/>
      <c r="AC13" s="404"/>
      <c r="AD13" s="855"/>
      <c r="AE13" s="2043"/>
      <c r="AF13" s="2043"/>
      <c r="AG13" s="2043"/>
      <c r="AH13" s="2043"/>
      <c r="AI13" s="445"/>
    </row>
    <row customHeight="1" ht="14.25">
      <c r="AI14" s="445"/>
    </row>
    <row customHeight="1" ht="14.25">
      <c r="E15" s="757"/>
      <c r="L15" s="757"/>
    </row>
    <row customHeight="1" ht="14.25">
      <c r="L16" s="757"/>
    </row>
    <row customHeight="1" ht="14.25">
      <c r="L17" s="757"/>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O12 Q12 K12 M12 H12:I12 T12 X12 AB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3A2674-743C-5F72-71C8-88501CA9D6CB}" mc:Ignorable="x14ac xr xr2 xr3">
  <sheetPr>
    <tabColor rgb="FFFFCC99"/>
  </sheetPr>
  <dimension ref="A1:G132"/>
  <sheetViews>
    <sheetView topLeftCell="A1" showGridLines="0" workbookViewId="0">
      <selection activeCell="A1" sqref="A1"/>
    </sheetView>
  </sheetViews>
  <sheetFormatPr customHeight="1" defaultRowHeight="11.25"/>
  <sheetData>
    <row customHeight="1" ht="11.25">
      <c r="A1" s="0" t="s">
        <v>2947</v>
      </c>
      <c r="B1" s="0" t="s">
        <v>2948</v>
      </c>
      <c r="C1" s="0" t="s">
        <v>2949</v>
      </c>
      <c r="D1" s="0" t="s">
        <v>2950</v>
      </c>
      <c r="E1" s="0" t="s">
        <v>2951</v>
      </c>
      <c r="F1" s="0" t="s">
        <v>2952</v>
      </c>
      <c r="G1" s="0" t="s">
        <v>2953</v>
      </c>
    </row>
    <row customHeight="1" ht="11.25">
      <c r="A2" s="0" t="s">
        <v>14</v>
      </c>
      <c r="B2" s="0" t="s">
        <v>2954</v>
      </c>
      <c r="C2" s="0" t="s">
        <v>2955</v>
      </c>
      <c r="D2" s="0" t="s">
        <v>2954</v>
      </c>
      <c r="E2" s="0" t="s">
        <v>2955</v>
      </c>
      <c r="F2" s="0" t="s">
        <v>2956</v>
      </c>
      <c r="G2" s="0" t="s">
        <v>108</v>
      </c>
    </row>
    <row customHeight="1" ht="11.25">
      <c r="A3" s="0" t="s">
        <v>14</v>
      </c>
      <c r="B3" s="0" t="s">
        <v>2954</v>
      </c>
      <c r="C3" s="0" t="s">
        <v>2955</v>
      </c>
      <c r="D3" s="0" t="s">
        <v>2957</v>
      </c>
      <c r="E3" s="0" t="s">
        <v>2958</v>
      </c>
      <c r="F3" s="0" t="s">
        <v>2959</v>
      </c>
      <c r="G3" s="0" t="s">
        <v>109</v>
      </c>
    </row>
    <row customHeight="1" ht="11.25">
      <c r="A4" s="0" t="s">
        <v>14</v>
      </c>
      <c r="B4" s="0" t="s">
        <v>2954</v>
      </c>
      <c r="C4" s="0" t="s">
        <v>2955</v>
      </c>
      <c r="D4" s="0" t="s">
        <v>2960</v>
      </c>
      <c r="E4" s="0" t="s">
        <v>2961</v>
      </c>
      <c r="F4" s="0" t="s">
        <v>2959</v>
      </c>
      <c r="G4" s="0" t="s">
        <v>89</v>
      </c>
    </row>
    <row customHeight="1" ht="11.25">
      <c r="A5" s="0" t="s">
        <v>14</v>
      </c>
      <c r="B5" s="0" t="s">
        <v>2954</v>
      </c>
      <c r="C5" s="0" t="s">
        <v>2955</v>
      </c>
      <c r="D5" s="0" t="s">
        <v>2962</v>
      </c>
      <c r="E5" s="0" t="s">
        <v>2963</v>
      </c>
      <c r="F5" s="0" t="s">
        <v>2959</v>
      </c>
      <c r="G5" s="0" t="s">
        <v>90</v>
      </c>
    </row>
    <row customHeight="1" ht="11.25">
      <c r="A6" s="0" t="s">
        <v>14</v>
      </c>
      <c r="B6" s="0" t="s">
        <v>2954</v>
      </c>
      <c r="C6" s="0" t="s">
        <v>2955</v>
      </c>
      <c r="D6" s="0" t="s">
        <v>2964</v>
      </c>
      <c r="E6" s="0" t="s">
        <v>2965</v>
      </c>
      <c r="F6" s="0" t="s">
        <v>2959</v>
      </c>
      <c r="G6" s="0" t="s">
        <v>110</v>
      </c>
    </row>
    <row customHeight="1" ht="11.25">
      <c r="A7" s="0" t="s">
        <v>14</v>
      </c>
      <c r="B7" s="0" t="s">
        <v>2966</v>
      </c>
      <c r="C7" s="0" t="s">
        <v>2967</v>
      </c>
      <c r="D7" s="0" t="s">
        <v>2968</v>
      </c>
      <c r="E7" s="0" t="s">
        <v>2969</v>
      </c>
      <c r="F7" s="0" t="s">
        <v>2959</v>
      </c>
      <c r="G7" s="0" t="s">
        <v>91</v>
      </c>
    </row>
    <row customHeight="1" ht="11.25">
      <c r="A8" s="0" t="s">
        <v>14</v>
      </c>
      <c r="B8" s="0" t="s">
        <v>2966</v>
      </c>
      <c r="C8" s="0" t="s">
        <v>2967</v>
      </c>
      <c r="D8" s="0" t="s">
        <v>2966</v>
      </c>
      <c r="E8" s="0" t="s">
        <v>2967</v>
      </c>
      <c r="F8" s="0" t="s">
        <v>2956</v>
      </c>
      <c r="G8" s="0" t="s">
        <v>92</v>
      </c>
    </row>
    <row customHeight="1" ht="11.25">
      <c r="A9" s="0" t="s">
        <v>14</v>
      </c>
      <c r="B9" s="0" t="s">
        <v>2966</v>
      </c>
      <c r="C9" s="0" t="s">
        <v>2967</v>
      </c>
      <c r="D9" s="0" t="s">
        <v>2970</v>
      </c>
      <c r="E9" s="0" t="s">
        <v>2971</v>
      </c>
      <c r="F9" s="0" t="s">
        <v>2959</v>
      </c>
      <c r="G9" s="0" t="s">
        <v>111</v>
      </c>
    </row>
    <row customHeight="1" ht="11.25">
      <c r="A10" s="0" t="s">
        <v>14</v>
      </c>
      <c r="B10" s="0" t="s">
        <v>2966</v>
      </c>
      <c r="C10" s="0" t="s">
        <v>2967</v>
      </c>
      <c r="D10" s="0" t="s">
        <v>2972</v>
      </c>
      <c r="E10" s="0" t="s">
        <v>2973</v>
      </c>
      <c r="F10" s="0" t="s">
        <v>2974</v>
      </c>
      <c r="G10" s="0" t="s">
        <v>152</v>
      </c>
    </row>
    <row customHeight="1" ht="11.25">
      <c r="A11" s="0" t="s">
        <v>14</v>
      </c>
      <c r="B11" s="0" t="s">
        <v>2975</v>
      </c>
      <c r="C11" s="0" t="s">
        <v>2976</v>
      </c>
      <c r="D11" s="0" t="s">
        <v>2977</v>
      </c>
      <c r="E11" s="0" t="s">
        <v>2978</v>
      </c>
      <c r="F11" s="0" t="s">
        <v>2959</v>
      </c>
      <c r="G11" s="0" t="s">
        <v>153</v>
      </c>
    </row>
    <row customHeight="1" ht="11.25">
      <c r="A12" s="0" t="s">
        <v>14</v>
      </c>
      <c r="B12" s="0" t="s">
        <v>2975</v>
      </c>
      <c r="C12" s="0" t="s">
        <v>2976</v>
      </c>
      <c r="D12" s="0" t="s">
        <v>2979</v>
      </c>
      <c r="E12" s="0" t="s">
        <v>2980</v>
      </c>
      <c r="F12" s="0" t="s">
        <v>2959</v>
      </c>
      <c r="G12" s="0" t="s">
        <v>154</v>
      </c>
    </row>
    <row customHeight="1" ht="11.25">
      <c r="A13" s="0" t="s">
        <v>14</v>
      </c>
      <c r="B13" s="0" t="s">
        <v>2975</v>
      </c>
      <c r="C13" s="0" t="s">
        <v>2976</v>
      </c>
      <c r="D13" s="0" t="s">
        <v>2975</v>
      </c>
      <c r="E13" s="0" t="s">
        <v>2976</v>
      </c>
      <c r="F13" s="0" t="s">
        <v>2956</v>
      </c>
      <c r="G13" s="0" t="s">
        <v>155</v>
      </c>
    </row>
    <row customHeight="1" ht="11.25">
      <c r="A14" s="0" t="s">
        <v>14</v>
      </c>
      <c r="B14" s="0" t="s">
        <v>2975</v>
      </c>
      <c r="C14" s="0" t="s">
        <v>2976</v>
      </c>
      <c r="D14" s="0" t="s">
        <v>2981</v>
      </c>
      <c r="E14" s="0" t="s">
        <v>2982</v>
      </c>
      <c r="F14" s="0" t="s">
        <v>2959</v>
      </c>
      <c r="G14" s="0" t="s">
        <v>156</v>
      </c>
    </row>
    <row customHeight="1" ht="11.25">
      <c r="A15" s="0" t="s">
        <v>14</v>
      </c>
      <c r="B15" s="0" t="s">
        <v>2975</v>
      </c>
      <c r="C15" s="0" t="s">
        <v>2976</v>
      </c>
      <c r="D15" s="0" t="s">
        <v>2983</v>
      </c>
      <c r="E15" s="0" t="s">
        <v>2984</v>
      </c>
      <c r="F15" s="0" t="s">
        <v>2959</v>
      </c>
      <c r="G15" s="0" t="s">
        <v>157</v>
      </c>
    </row>
    <row customHeight="1" ht="11.25">
      <c r="A16" s="0" t="s">
        <v>14</v>
      </c>
      <c r="B16" s="0" t="s">
        <v>2975</v>
      </c>
      <c r="C16" s="0" t="s">
        <v>2976</v>
      </c>
      <c r="D16" s="0" t="s">
        <v>2985</v>
      </c>
      <c r="E16" s="0" t="s">
        <v>2986</v>
      </c>
      <c r="F16" s="0" t="s">
        <v>2959</v>
      </c>
      <c r="G16" s="0" t="s">
        <v>856</v>
      </c>
    </row>
    <row customHeight="1" ht="11.25">
      <c r="A17" s="0" t="s">
        <v>14</v>
      </c>
      <c r="B17" s="0" t="s">
        <v>2987</v>
      </c>
      <c r="C17" s="0" t="s">
        <v>2988</v>
      </c>
      <c r="D17" s="0" t="s">
        <v>2989</v>
      </c>
      <c r="E17" s="0" t="s">
        <v>2990</v>
      </c>
      <c r="F17" s="0" t="s">
        <v>2959</v>
      </c>
      <c r="G17" s="0" t="s">
        <v>862</v>
      </c>
    </row>
    <row customHeight="1" ht="11.25">
      <c r="A18" s="0" t="s">
        <v>14</v>
      </c>
      <c r="B18" s="0" t="s">
        <v>2987</v>
      </c>
      <c r="C18" s="0" t="s">
        <v>2988</v>
      </c>
      <c r="D18" s="0" t="s">
        <v>2987</v>
      </c>
      <c r="E18" s="0" t="s">
        <v>2988</v>
      </c>
      <c r="F18" s="0" t="s">
        <v>2956</v>
      </c>
      <c r="G18" s="0" t="s">
        <v>873</v>
      </c>
    </row>
    <row customHeight="1" ht="11.25">
      <c r="A19" s="0" t="s">
        <v>14</v>
      </c>
      <c r="B19" s="0" t="s">
        <v>2987</v>
      </c>
      <c r="C19" s="0" t="s">
        <v>2988</v>
      </c>
      <c r="D19" s="0" t="s">
        <v>2991</v>
      </c>
      <c r="E19" s="0" t="s">
        <v>2992</v>
      </c>
      <c r="F19" s="0" t="s">
        <v>2959</v>
      </c>
      <c r="G19" s="0" t="s">
        <v>887</v>
      </c>
    </row>
    <row customHeight="1" ht="11.25">
      <c r="A20" s="0" t="s">
        <v>14</v>
      </c>
      <c r="B20" s="0" t="s">
        <v>2987</v>
      </c>
      <c r="C20" s="0" t="s">
        <v>2988</v>
      </c>
      <c r="D20" s="0" t="s">
        <v>2993</v>
      </c>
      <c r="E20" s="0" t="s">
        <v>2994</v>
      </c>
      <c r="F20" s="0" t="s">
        <v>2959</v>
      </c>
      <c r="G20" s="0" t="s">
        <v>899</v>
      </c>
    </row>
    <row customHeight="1" ht="11.25">
      <c r="A21" s="0" t="s">
        <v>14</v>
      </c>
      <c r="B21" s="0" t="s">
        <v>2987</v>
      </c>
      <c r="C21" s="0" t="s">
        <v>2988</v>
      </c>
      <c r="D21" s="0" t="s">
        <v>2995</v>
      </c>
      <c r="E21" s="0" t="s">
        <v>2996</v>
      </c>
      <c r="F21" s="0" t="s">
        <v>2959</v>
      </c>
      <c r="G21" s="0" t="s">
        <v>908</v>
      </c>
    </row>
    <row customHeight="1" ht="11.25">
      <c r="A22" s="0" t="s">
        <v>14</v>
      </c>
      <c r="B22" s="0" t="s">
        <v>2987</v>
      </c>
      <c r="C22" s="0" t="s">
        <v>2988</v>
      </c>
      <c r="D22" s="0" t="s">
        <v>2997</v>
      </c>
      <c r="E22" s="0" t="s">
        <v>2998</v>
      </c>
      <c r="F22" s="0" t="s">
        <v>2959</v>
      </c>
      <c r="G22" s="0" t="s">
        <v>924</v>
      </c>
    </row>
    <row customHeight="1" ht="11.25">
      <c r="A23" s="0" t="s">
        <v>14</v>
      </c>
      <c r="B23" s="0" t="s">
        <v>2999</v>
      </c>
      <c r="C23" s="0" t="s">
        <v>3000</v>
      </c>
      <c r="D23" s="0" t="s">
        <v>3001</v>
      </c>
      <c r="E23" s="0" t="s">
        <v>3002</v>
      </c>
      <c r="F23" s="0" t="s">
        <v>2959</v>
      </c>
      <c r="G23" s="0" t="s">
        <v>931</v>
      </c>
    </row>
    <row customHeight="1" ht="11.25">
      <c r="A24" s="0" t="s">
        <v>14</v>
      </c>
      <c r="B24" s="0" t="s">
        <v>2999</v>
      </c>
      <c r="C24" s="0" t="s">
        <v>3000</v>
      </c>
      <c r="D24" s="0" t="s">
        <v>3003</v>
      </c>
      <c r="E24" s="0" t="s">
        <v>3004</v>
      </c>
      <c r="F24" s="0" t="s">
        <v>2959</v>
      </c>
      <c r="G24" s="0" t="s">
        <v>939</v>
      </c>
    </row>
    <row customHeight="1" ht="11.25">
      <c r="A25" s="0" t="s">
        <v>14</v>
      </c>
      <c r="B25" s="0" t="s">
        <v>2999</v>
      </c>
      <c r="C25" s="0" t="s">
        <v>3000</v>
      </c>
      <c r="D25" s="0" t="s">
        <v>3005</v>
      </c>
      <c r="E25" s="0" t="s">
        <v>3006</v>
      </c>
      <c r="F25" s="0" t="s">
        <v>2959</v>
      </c>
      <c r="G25" s="0" t="s">
        <v>946</v>
      </c>
    </row>
    <row customHeight="1" ht="11.25">
      <c r="A26" s="0" t="s">
        <v>14</v>
      </c>
      <c r="B26" s="0" t="s">
        <v>2999</v>
      </c>
      <c r="C26" s="0" t="s">
        <v>3000</v>
      </c>
      <c r="D26" s="0" t="s">
        <v>3007</v>
      </c>
      <c r="E26" s="0" t="s">
        <v>3008</v>
      </c>
      <c r="F26" s="0" t="s">
        <v>3009</v>
      </c>
      <c r="G26" s="0" t="s">
        <v>949</v>
      </c>
    </row>
    <row customHeight="1" ht="11.25">
      <c r="A27" s="0" t="s">
        <v>14</v>
      </c>
      <c r="B27" s="0" t="s">
        <v>2999</v>
      </c>
      <c r="C27" s="0" t="s">
        <v>3000</v>
      </c>
      <c r="D27" s="0" t="s">
        <v>2999</v>
      </c>
      <c r="E27" s="0" t="s">
        <v>3000</v>
      </c>
      <c r="F27" s="0" t="s">
        <v>2956</v>
      </c>
      <c r="G27" s="0" t="s">
        <v>954</v>
      </c>
    </row>
    <row customHeight="1" ht="11.25">
      <c r="A28" s="0" t="s">
        <v>14</v>
      </c>
      <c r="B28" s="0" t="s">
        <v>2999</v>
      </c>
      <c r="C28" s="0" t="s">
        <v>3000</v>
      </c>
      <c r="D28" s="0" t="s">
        <v>3010</v>
      </c>
      <c r="E28" s="0" t="s">
        <v>3011</v>
      </c>
      <c r="F28" s="0" t="s">
        <v>2959</v>
      </c>
      <c r="G28" s="0" t="s">
        <v>962</v>
      </c>
    </row>
    <row customHeight="1" ht="11.25">
      <c r="A29" s="0" t="s">
        <v>14</v>
      </c>
      <c r="B29" s="0" t="s">
        <v>3012</v>
      </c>
      <c r="C29" s="0" t="s">
        <v>3013</v>
      </c>
      <c r="D29" s="0" t="s">
        <v>3014</v>
      </c>
      <c r="E29" s="0" t="s">
        <v>3015</v>
      </c>
      <c r="F29" s="0" t="s">
        <v>2959</v>
      </c>
      <c r="G29" s="0" t="s">
        <v>964</v>
      </c>
    </row>
    <row customHeight="1" ht="11.25">
      <c r="A30" s="0" t="s">
        <v>14</v>
      </c>
      <c r="B30" s="0" t="s">
        <v>3012</v>
      </c>
      <c r="C30" s="0" t="s">
        <v>3013</v>
      </c>
      <c r="D30" s="0" t="s">
        <v>3016</v>
      </c>
      <c r="E30" s="0" t="s">
        <v>3017</v>
      </c>
      <c r="F30" s="0" t="s">
        <v>2959</v>
      </c>
      <c r="G30" s="0" t="s">
        <v>967</v>
      </c>
    </row>
    <row customHeight="1" ht="11.25">
      <c r="A31" s="0" t="s">
        <v>14</v>
      </c>
      <c r="B31" s="0" t="s">
        <v>3012</v>
      </c>
      <c r="C31" s="0" t="s">
        <v>3013</v>
      </c>
      <c r="D31" s="0" t="s">
        <v>3018</v>
      </c>
      <c r="E31" s="0" t="s">
        <v>3019</v>
      </c>
      <c r="F31" s="0" t="s">
        <v>2959</v>
      </c>
      <c r="G31" s="0" t="s">
        <v>973</v>
      </c>
    </row>
    <row customHeight="1" ht="11.25">
      <c r="A32" s="0" t="s">
        <v>14</v>
      </c>
      <c r="B32" s="0" t="s">
        <v>3012</v>
      </c>
      <c r="C32" s="0" t="s">
        <v>3013</v>
      </c>
      <c r="D32" s="0" t="s">
        <v>3012</v>
      </c>
      <c r="E32" s="0" t="s">
        <v>3013</v>
      </c>
      <c r="F32" s="0" t="s">
        <v>2956</v>
      </c>
      <c r="G32" s="0" t="s">
        <v>975</v>
      </c>
    </row>
    <row customHeight="1" ht="11.25">
      <c r="A33" s="0" t="s">
        <v>14</v>
      </c>
      <c r="B33" s="0" t="s">
        <v>3012</v>
      </c>
      <c r="C33" s="0" t="s">
        <v>3013</v>
      </c>
      <c r="D33" s="0" t="s">
        <v>3020</v>
      </c>
      <c r="E33" s="0" t="s">
        <v>3021</v>
      </c>
      <c r="F33" s="0" t="s">
        <v>2959</v>
      </c>
      <c r="G33" s="0" t="s">
        <v>977</v>
      </c>
    </row>
    <row customHeight="1" ht="11.25">
      <c r="A34" s="0" t="s">
        <v>14</v>
      </c>
      <c r="B34" s="0" t="s">
        <v>3012</v>
      </c>
      <c r="C34" s="0" t="s">
        <v>3013</v>
      </c>
      <c r="D34" s="0" t="s">
        <v>3022</v>
      </c>
      <c r="E34" s="0" t="s">
        <v>3023</v>
      </c>
      <c r="F34" s="0" t="s">
        <v>2959</v>
      </c>
      <c r="G34" s="0" t="s">
        <v>979</v>
      </c>
    </row>
    <row customHeight="1" ht="11.25">
      <c r="A35" s="0" t="s">
        <v>14</v>
      </c>
      <c r="B35" s="0" t="s">
        <v>3012</v>
      </c>
      <c r="C35" s="0" t="s">
        <v>3013</v>
      </c>
      <c r="D35" s="0" t="s">
        <v>3024</v>
      </c>
      <c r="E35" s="0" t="s">
        <v>3025</v>
      </c>
      <c r="F35" s="0" t="s">
        <v>2959</v>
      </c>
      <c r="G35" s="0" t="s">
        <v>985</v>
      </c>
    </row>
    <row customHeight="1" ht="11.25">
      <c r="A36" s="0" t="s">
        <v>14</v>
      </c>
      <c r="B36" s="0" t="s">
        <v>3012</v>
      </c>
      <c r="C36" s="0" t="s">
        <v>3013</v>
      </c>
      <c r="D36" s="0" t="s">
        <v>3026</v>
      </c>
      <c r="E36" s="0" t="s">
        <v>3027</v>
      </c>
      <c r="F36" s="0" t="s">
        <v>2959</v>
      </c>
      <c r="G36" s="0" t="s">
        <v>990</v>
      </c>
    </row>
    <row customHeight="1" ht="11.25">
      <c r="A37" s="0" t="s">
        <v>14</v>
      </c>
      <c r="B37" s="0" t="s">
        <v>3012</v>
      </c>
      <c r="C37" s="0" t="s">
        <v>3013</v>
      </c>
      <c r="D37" s="0" t="s">
        <v>3028</v>
      </c>
      <c r="E37" s="0" t="s">
        <v>3029</v>
      </c>
      <c r="F37" s="0" t="s">
        <v>2974</v>
      </c>
      <c r="G37" s="0" t="s">
        <v>994</v>
      </c>
    </row>
    <row customHeight="1" ht="11.25">
      <c r="A38" s="0" t="s">
        <v>14</v>
      </c>
      <c r="B38" s="0" t="s">
        <v>3030</v>
      </c>
      <c r="C38" s="0" t="s">
        <v>3031</v>
      </c>
      <c r="D38" s="0" t="s">
        <v>3030</v>
      </c>
      <c r="E38" s="0" t="s">
        <v>3031</v>
      </c>
      <c r="F38" s="0" t="s">
        <v>3032</v>
      </c>
      <c r="G38" s="0" t="s">
        <v>1002</v>
      </c>
    </row>
    <row customHeight="1" ht="11.25">
      <c r="A39" s="0" t="s">
        <v>14</v>
      </c>
      <c r="B39" s="0" t="s">
        <v>3033</v>
      </c>
      <c r="C39" s="0" t="s">
        <v>3034</v>
      </c>
      <c r="D39" s="0" t="s">
        <v>3035</v>
      </c>
      <c r="E39" s="0" t="s">
        <v>3036</v>
      </c>
      <c r="F39" s="0" t="s">
        <v>2959</v>
      </c>
      <c r="G39" s="0" t="s">
        <v>1009</v>
      </c>
    </row>
    <row customHeight="1" ht="11.25">
      <c r="A40" s="0" t="s">
        <v>14</v>
      </c>
      <c r="B40" s="0" t="s">
        <v>3033</v>
      </c>
      <c r="C40" s="0" t="s">
        <v>3034</v>
      </c>
      <c r="D40" s="0" t="s">
        <v>3037</v>
      </c>
      <c r="E40" s="0" t="s">
        <v>3038</v>
      </c>
      <c r="F40" s="0" t="s">
        <v>2959</v>
      </c>
      <c r="G40" s="0" t="s">
        <v>1016</v>
      </c>
    </row>
    <row customHeight="1" ht="11.25">
      <c r="A41" s="0" t="s">
        <v>14</v>
      </c>
      <c r="B41" s="0" t="s">
        <v>3033</v>
      </c>
      <c r="C41" s="0" t="s">
        <v>3034</v>
      </c>
      <c r="D41" s="0" t="s">
        <v>3039</v>
      </c>
      <c r="E41" s="0" t="s">
        <v>3040</v>
      </c>
      <c r="F41" s="0" t="s">
        <v>2959</v>
      </c>
      <c r="G41" s="0" t="s">
        <v>1022</v>
      </c>
    </row>
    <row customHeight="1" ht="11.25">
      <c r="A42" s="0" t="s">
        <v>14</v>
      </c>
      <c r="B42" s="0" t="s">
        <v>3033</v>
      </c>
      <c r="C42" s="0" t="s">
        <v>3034</v>
      </c>
      <c r="D42" s="0" t="s">
        <v>3033</v>
      </c>
      <c r="E42" s="0" t="s">
        <v>3034</v>
      </c>
      <c r="F42" s="0" t="s">
        <v>2956</v>
      </c>
      <c r="G42" s="0" t="s">
        <v>1027</v>
      </c>
    </row>
    <row customHeight="1" ht="11.25">
      <c r="A43" s="0" t="s">
        <v>14</v>
      </c>
      <c r="B43" s="0" t="s">
        <v>3033</v>
      </c>
      <c r="C43" s="0" t="s">
        <v>3034</v>
      </c>
      <c r="D43" s="0" t="s">
        <v>3041</v>
      </c>
      <c r="E43" s="0" t="s">
        <v>3042</v>
      </c>
      <c r="F43" s="0" t="s">
        <v>2959</v>
      </c>
      <c r="G43" s="0" t="s">
        <v>1034</v>
      </c>
    </row>
    <row customHeight="1" ht="11.25">
      <c r="A44" s="0" t="s">
        <v>14</v>
      </c>
      <c r="B44" s="0" t="s">
        <v>3033</v>
      </c>
      <c r="C44" s="0" t="s">
        <v>3034</v>
      </c>
      <c r="D44" s="0" t="s">
        <v>3043</v>
      </c>
      <c r="E44" s="0" t="s">
        <v>3044</v>
      </c>
      <c r="F44" s="0" t="s">
        <v>2959</v>
      </c>
      <c r="G44" s="0" t="s">
        <v>1043</v>
      </c>
    </row>
    <row customHeight="1" ht="11.25">
      <c r="A45" s="0" t="s">
        <v>14</v>
      </c>
      <c r="B45" s="0" t="s">
        <v>3033</v>
      </c>
      <c r="C45" s="0" t="s">
        <v>3034</v>
      </c>
      <c r="D45" s="0" t="s">
        <v>3045</v>
      </c>
      <c r="E45" s="0" t="s">
        <v>3046</v>
      </c>
      <c r="F45" s="0" t="s">
        <v>2959</v>
      </c>
      <c r="G45" s="0" t="s">
        <v>1049</v>
      </c>
    </row>
    <row customHeight="1" ht="11.25">
      <c r="A46" s="0" t="s">
        <v>14</v>
      </c>
      <c r="B46" s="0" t="s">
        <v>3033</v>
      </c>
      <c r="C46" s="0" t="s">
        <v>3034</v>
      </c>
      <c r="D46" s="0" t="s">
        <v>3047</v>
      </c>
      <c r="E46" s="0" t="s">
        <v>3048</v>
      </c>
      <c r="F46" s="0" t="s">
        <v>2959</v>
      </c>
      <c r="G46" s="0" t="s">
        <v>1054</v>
      </c>
    </row>
    <row customHeight="1" ht="11.25">
      <c r="A47" s="0" t="s">
        <v>14</v>
      </c>
      <c r="B47" s="0" t="s">
        <v>3033</v>
      </c>
      <c r="C47" s="0" t="s">
        <v>3034</v>
      </c>
      <c r="D47" s="0" t="s">
        <v>3049</v>
      </c>
      <c r="E47" s="0" t="s">
        <v>3050</v>
      </c>
      <c r="F47" s="0" t="s">
        <v>2959</v>
      </c>
      <c r="G47" s="0" t="s">
        <v>1060</v>
      </c>
    </row>
    <row customHeight="1" ht="11.25">
      <c r="A48" s="0" t="s">
        <v>14</v>
      </c>
      <c r="B48" s="0" t="s">
        <v>3033</v>
      </c>
      <c r="C48" s="0" t="s">
        <v>3034</v>
      </c>
      <c r="D48" s="0" t="s">
        <v>3051</v>
      </c>
      <c r="E48" s="0" t="s">
        <v>3052</v>
      </c>
      <c r="F48" s="0" t="s">
        <v>2959</v>
      </c>
      <c r="G48" s="0" t="s">
        <v>1066</v>
      </c>
    </row>
    <row customHeight="1" ht="11.25">
      <c r="A49" s="0" t="s">
        <v>14</v>
      </c>
      <c r="B49" s="0" t="s">
        <v>3033</v>
      </c>
      <c r="C49" s="0" t="s">
        <v>3034</v>
      </c>
      <c r="D49" s="0" t="s">
        <v>3053</v>
      </c>
      <c r="E49" s="0" t="s">
        <v>3054</v>
      </c>
      <c r="F49" s="0" t="s">
        <v>2959</v>
      </c>
      <c r="G49" s="0" t="s">
        <v>1072</v>
      </c>
    </row>
    <row customHeight="1" ht="11.25">
      <c r="A50" s="0" t="s">
        <v>14</v>
      </c>
      <c r="B50" s="0" t="s">
        <v>3033</v>
      </c>
      <c r="C50" s="0" t="s">
        <v>3034</v>
      </c>
      <c r="D50" s="0" t="s">
        <v>3055</v>
      </c>
      <c r="E50" s="0" t="s">
        <v>3056</v>
      </c>
      <c r="F50" s="0" t="s">
        <v>2959</v>
      </c>
      <c r="G50" s="0" t="s">
        <v>1077</v>
      </c>
    </row>
    <row customHeight="1" ht="11.25">
      <c r="A51" s="0" t="s">
        <v>14</v>
      </c>
      <c r="B51" s="0" t="s">
        <v>3033</v>
      </c>
      <c r="C51" s="0" t="s">
        <v>3034</v>
      </c>
      <c r="D51" s="0" t="s">
        <v>3057</v>
      </c>
      <c r="E51" s="0" t="s">
        <v>3058</v>
      </c>
      <c r="F51" s="0" t="s">
        <v>2959</v>
      </c>
      <c r="G51" s="0" t="s">
        <v>1082</v>
      </c>
    </row>
    <row customHeight="1" ht="11.25">
      <c r="A52" s="0" t="s">
        <v>14</v>
      </c>
      <c r="B52" s="0" t="s">
        <v>3033</v>
      </c>
      <c r="C52" s="0" t="s">
        <v>3034</v>
      </c>
      <c r="D52" s="0" t="s">
        <v>3059</v>
      </c>
      <c r="E52" s="0" t="s">
        <v>3060</v>
      </c>
      <c r="F52" s="0" t="s">
        <v>2959</v>
      </c>
      <c r="G52" s="0" t="s">
        <v>1086</v>
      </c>
    </row>
    <row customHeight="1" ht="11.25">
      <c r="A53" s="0" t="s">
        <v>14</v>
      </c>
      <c r="B53" s="0" t="s">
        <v>3061</v>
      </c>
      <c r="C53" s="0" t="s">
        <v>3062</v>
      </c>
      <c r="D53" s="0" t="s">
        <v>3063</v>
      </c>
      <c r="E53" s="0" t="s">
        <v>3064</v>
      </c>
      <c r="F53" s="0" t="s">
        <v>2959</v>
      </c>
      <c r="G53" s="0" t="s">
        <v>1088</v>
      </c>
    </row>
    <row customHeight="1" ht="11.25">
      <c r="A54" s="0" t="s">
        <v>14</v>
      </c>
      <c r="B54" s="0" t="s">
        <v>3061</v>
      </c>
      <c r="C54" s="0" t="s">
        <v>3062</v>
      </c>
      <c r="D54" s="0" t="s">
        <v>3065</v>
      </c>
      <c r="E54" s="0" t="s">
        <v>3066</v>
      </c>
      <c r="F54" s="0" t="s">
        <v>2959</v>
      </c>
      <c r="G54" s="0" t="s">
        <v>1091</v>
      </c>
    </row>
    <row customHeight="1" ht="11.25">
      <c r="A55" s="0" t="s">
        <v>14</v>
      </c>
      <c r="B55" s="0" t="s">
        <v>3061</v>
      </c>
      <c r="C55" s="0" t="s">
        <v>3062</v>
      </c>
      <c r="D55" s="0" t="s">
        <v>3061</v>
      </c>
      <c r="E55" s="0" t="s">
        <v>3062</v>
      </c>
      <c r="F55" s="0" t="s">
        <v>2956</v>
      </c>
      <c r="G55" s="0" t="s">
        <v>1095</v>
      </c>
    </row>
    <row customHeight="1" ht="11.25">
      <c r="A56" s="0" t="s">
        <v>14</v>
      </c>
      <c r="B56" s="0" t="s">
        <v>3061</v>
      </c>
      <c r="C56" s="0" t="s">
        <v>3062</v>
      </c>
      <c r="D56" s="0" t="s">
        <v>3067</v>
      </c>
      <c r="E56" s="0" t="s">
        <v>3068</v>
      </c>
      <c r="F56" s="0" t="s">
        <v>2959</v>
      </c>
      <c r="G56" s="0" t="s">
        <v>1098</v>
      </c>
    </row>
    <row customHeight="1" ht="11.25">
      <c r="A57" s="0" t="s">
        <v>14</v>
      </c>
      <c r="B57" s="0" t="s">
        <v>3061</v>
      </c>
      <c r="C57" s="0" t="s">
        <v>3062</v>
      </c>
      <c r="D57" s="0" t="s">
        <v>3069</v>
      </c>
      <c r="E57" s="0" t="s">
        <v>3070</v>
      </c>
      <c r="F57" s="0" t="s">
        <v>2959</v>
      </c>
      <c r="G57" s="0" t="s">
        <v>1101</v>
      </c>
    </row>
    <row customHeight="1" ht="11.25">
      <c r="A58" s="0" t="s">
        <v>14</v>
      </c>
      <c r="B58" s="0" t="s">
        <v>3061</v>
      </c>
      <c r="C58" s="0" t="s">
        <v>3062</v>
      </c>
      <c r="D58" s="0" t="s">
        <v>3071</v>
      </c>
      <c r="E58" s="0" t="s">
        <v>3072</v>
      </c>
      <c r="F58" s="0" t="s">
        <v>2959</v>
      </c>
      <c r="G58" s="0" t="s">
        <v>1104</v>
      </c>
    </row>
    <row customHeight="1" ht="11.25">
      <c r="A59" s="0" t="s">
        <v>14</v>
      </c>
      <c r="B59" s="0" t="s">
        <v>3061</v>
      </c>
      <c r="C59" s="0" t="s">
        <v>3062</v>
      </c>
      <c r="D59" s="0" t="s">
        <v>3073</v>
      </c>
      <c r="E59" s="0" t="s">
        <v>3074</v>
      </c>
      <c r="F59" s="0" t="s">
        <v>2959</v>
      </c>
      <c r="G59" s="0" t="s">
        <v>1108</v>
      </c>
    </row>
    <row customHeight="1" ht="11.25">
      <c r="A60" s="0" t="s">
        <v>14</v>
      </c>
      <c r="B60" s="0" t="s">
        <v>3061</v>
      </c>
      <c r="C60" s="0" t="s">
        <v>3062</v>
      </c>
      <c r="D60" s="0" t="s">
        <v>3075</v>
      </c>
      <c r="E60" s="0" t="s">
        <v>3076</v>
      </c>
      <c r="F60" s="0" t="s">
        <v>2959</v>
      </c>
      <c r="G60" s="0" t="s">
        <v>1111</v>
      </c>
    </row>
    <row customHeight="1" ht="11.25">
      <c r="A61" s="0" t="s">
        <v>14</v>
      </c>
      <c r="B61" s="0" t="s">
        <v>3061</v>
      </c>
      <c r="C61" s="0" t="s">
        <v>3062</v>
      </c>
      <c r="D61" s="0" t="s">
        <v>3077</v>
      </c>
      <c r="E61" s="0" t="s">
        <v>3078</v>
      </c>
      <c r="F61" s="0" t="s">
        <v>2974</v>
      </c>
      <c r="G61" s="0" t="s">
        <v>3079</v>
      </c>
    </row>
    <row customHeight="1" ht="11.25">
      <c r="A62" s="0" t="s">
        <v>14</v>
      </c>
      <c r="B62" s="0" t="s">
        <v>3080</v>
      </c>
      <c r="C62" s="0" t="s">
        <v>3081</v>
      </c>
      <c r="D62" s="0" t="s">
        <v>3082</v>
      </c>
      <c r="E62" s="0" t="s">
        <v>3083</v>
      </c>
      <c r="F62" s="0" t="s">
        <v>2959</v>
      </c>
      <c r="G62" s="0" t="s">
        <v>3084</v>
      </c>
    </row>
    <row customHeight="1" ht="11.25">
      <c r="A63" s="0" t="s">
        <v>14</v>
      </c>
      <c r="B63" s="0" t="s">
        <v>3080</v>
      </c>
      <c r="C63" s="0" t="s">
        <v>3081</v>
      </c>
      <c r="D63" s="0" t="s">
        <v>3080</v>
      </c>
      <c r="E63" s="0" t="s">
        <v>3081</v>
      </c>
      <c r="F63" s="0" t="s">
        <v>2956</v>
      </c>
      <c r="G63" s="0" t="s">
        <v>3085</v>
      </c>
    </row>
    <row customHeight="1" ht="11.25">
      <c r="A64" s="0" t="s">
        <v>14</v>
      </c>
      <c r="B64" s="0" t="s">
        <v>3080</v>
      </c>
      <c r="C64" s="0" t="s">
        <v>3081</v>
      </c>
      <c r="D64" s="0" t="s">
        <v>3086</v>
      </c>
      <c r="E64" s="0" t="s">
        <v>3087</v>
      </c>
      <c r="F64" s="0" t="s">
        <v>2959</v>
      </c>
      <c r="G64" s="0" t="s">
        <v>3088</v>
      </c>
    </row>
    <row customHeight="1" ht="11.25">
      <c r="A65" s="0" t="s">
        <v>14</v>
      </c>
      <c r="B65" s="0" t="s">
        <v>3080</v>
      </c>
      <c r="C65" s="0" t="s">
        <v>3081</v>
      </c>
      <c r="D65" s="0" t="s">
        <v>3089</v>
      </c>
      <c r="E65" s="0" t="s">
        <v>3090</v>
      </c>
      <c r="F65" s="0" t="s">
        <v>2959</v>
      </c>
      <c r="G65" s="0" t="s">
        <v>3091</v>
      </c>
    </row>
    <row customHeight="1" ht="11.25">
      <c r="A66" s="0" t="s">
        <v>14</v>
      </c>
      <c r="B66" s="0" t="s">
        <v>3080</v>
      </c>
      <c r="C66" s="0" t="s">
        <v>3081</v>
      </c>
      <c r="D66" s="0" t="s">
        <v>3092</v>
      </c>
      <c r="E66" s="0" t="s">
        <v>3093</v>
      </c>
      <c r="F66" s="0" t="s">
        <v>2959</v>
      </c>
      <c r="G66" s="0" t="s">
        <v>3094</v>
      </c>
    </row>
    <row customHeight="1" ht="11.25">
      <c r="A67" s="0" t="s">
        <v>14</v>
      </c>
      <c r="B67" s="0" t="s">
        <v>3080</v>
      </c>
      <c r="C67" s="0" t="s">
        <v>3081</v>
      </c>
      <c r="D67" s="0" t="s">
        <v>3095</v>
      </c>
      <c r="E67" s="0" t="s">
        <v>3096</v>
      </c>
      <c r="F67" s="0" t="s">
        <v>2959</v>
      </c>
      <c r="G67" s="0" t="s">
        <v>1328</v>
      </c>
    </row>
    <row customHeight="1" ht="11.25">
      <c r="A68" s="0" t="s">
        <v>14</v>
      </c>
      <c r="B68" s="0" t="s">
        <v>3080</v>
      </c>
      <c r="C68" s="0" t="s">
        <v>3081</v>
      </c>
      <c r="D68" s="0" t="s">
        <v>3097</v>
      </c>
      <c r="E68" s="0" t="s">
        <v>3098</v>
      </c>
      <c r="F68" s="0" t="s">
        <v>3009</v>
      </c>
      <c r="G68" s="0" t="s">
        <v>3099</v>
      </c>
    </row>
    <row customHeight="1" ht="11.25">
      <c r="A69" s="0" t="s">
        <v>14</v>
      </c>
      <c r="B69" s="0" t="s">
        <v>3100</v>
      </c>
      <c r="C69" s="0" t="s">
        <v>3101</v>
      </c>
      <c r="D69" s="0" t="s">
        <v>3100</v>
      </c>
      <c r="E69" s="0" t="s">
        <v>3101</v>
      </c>
      <c r="F69" s="0" t="s">
        <v>3032</v>
      </c>
      <c r="G69" s="0" t="s">
        <v>1565</v>
      </c>
    </row>
    <row customHeight="1" ht="11.25">
      <c r="A70" s="0" t="s">
        <v>14</v>
      </c>
      <c r="B70" s="0" t="s">
        <v>3102</v>
      </c>
      <c r="C70" s="0" t="s">
        <v>3103</v>
      </c>
      <c r="D70" s="0" t="s">
        <v>3102</v>
      </c>
      <c r="E70" s="0" t="s">
        <v>3103</v>
      </c>
      <c r="F70" s="0" t="s">
        <v>3032</v>
      </c>
      <c r="G70" s="0" t="s">
        <v>3104</v>
      </c>
    </row>
    <row customHeight="1" ht="11.25">
      <c r="A71" s="0" t="s">
        <v>14</v>
      </c>
      <c r="B71" s="0" t="s">
        <v>3105</v>
      </c>
      <c r="C71" s="0" t="s">
        <v>3106</v>
      </c>
      <c r="D71" s="0" t="s">
        <v>3105</v>
      </c>
      <c r="E71" s="0" t="s">
        <v>3106</v>
      </c>
      <c r="F71" s="0" t="s">
        <v>3032</v>
      </c>
      <c r="G71" s="0" t="s">
        <v>3107</v>
      </c>
    </row>
    <row customHeight="1" ht="11.25">
      <c r="A72" s="0" t="s">
        <v>14</v>
      </c>
      <c r="B72" s="0" t="s">
        <v>3108</v>
      </c>
      <c r="C72" s="0" t="s">
        <v>3109</v>
      </c>
      <c r="D72" s="0" t="s">
        <v>3110</v>
      </c>
      <c r="E72" s="0" t="s">
        <v>3111</v>
      </c>
      <c r="F72" s="0" t="s">
        <v>2959</v>
      </c>
      <c r="G72" s="0" t="s">
        <v>3112</v>
      </c>
    </row>
    <row customHeight="1" ht="11.25">
      <c r="A73" s="0" t="s">
        <v>14</v>
      </c>
      <c r="B73" s="0" t="s">
        <v>3108</v>
      </c>
      <c r="C73" s="0" t="s">
        <v>3109</v>
      </c>
      <c r="D73" s="0" t="s">
        <v>3113</v>
      </c>
      <c r="E73" s="0" t="s">
        <v>3114</v>
      </c>
      <c r="F73" s="0" t="s">
        <v>2959</v>
      </c>
      <c r="G73" s="0" t="s">
        <v>3115</v>
      </c>
    </row>
    <row customHeight="1" ht="11.25">
      <c r="A74" s="0" t="s">
        <v>14</v>
      </c>
      <c r="B74" s="0" t="s">
        <v>3108</v>
      </c>
      <c r="C74" s="0" t="s">
        <v>3109</v>
      </c>
      <c r="D74" s="0" t="s">
        <v>3108</v>
      </c>
      <c r="E74" s="0" t="s">
        <v>3109</v>
      </c>
      <c r="F74" s="0" t="s">
        <v>2956</v>
      </c>
      <c r="G74" s="0" t="s">
        <v>3116</v>
      </c>
    </row>
    <row customHeight="1" ht="11.25">
      <c r="A75" s="0" t="s">
        <v>14</v>
      </c>
      <c r="B75" s="0" t="s">
        <v>3108</v>
      </c>
      <c r="C75" s="0" t="s">
        <v>3109</v>
      </c>
      <c r="D75" s="0" t="s">
        <v>3117</v>
      </c>
      <c r="E75" s="0" t="s">
        <v>3118</v>
      </c>
      <c r="F75" s="0" t="s">
        <v>2959</v>
      </c>
      <c r="G75" s="0" t="s">
        <v>3119</v>
      </c>
    </row>
    <row customHeight="1" ht="11.25">
      <c r="A76" s="0" t="s">
        <v>14</v>
      </c>
      <c r="B76" s="0" t="s">
        <v>3120</v>
      </c>
      <c r="C76" s="0" t="s">
        <v>3121</v>
      </c>
      <c r="D76" s="0" t="s">
        <v>3120</v>
      </c>
      <c r="E76" s="0" t="s">
        <v>3121</v>
      </c>
      <c r="F76" s="0" t="s">
        <v>3032</v>
      </c>
      <c r="G76" s="0" t="s">
        <v>3122</v>
      </c>
    </row>
    <row customHeight="1" ht="11.25">
      <c r="A77" s="0" t="s">
        <v>14</v>
      </c>
      <c r="B77" s="0" t="s">
        <v>3123</v>
      </c>
      <c r="C77" s="0" t="s">
        <v>3124</v>
      </c>
      <c r="D77" s="0" t="s">
        <v>3125</v>
      </c>
      <c r="E77" s="0" t="s">
        <v>3126</v>
      </c>
      <c r="F77" s="0" t="s">
        <v>2959</v>
      </c>
      <c r="G77" s="0" t="s">
        <v>3127</v>
      </c>
    </row>
    <row customHeight="1" ht="11.25">
      <c r="A78" s="0" t="s">
        <v>14</v>
      </c>
      <c r="B78" s="0" t="s">
        <v>3123</v>
      </c>
      <c r="C78" s="0" t="s">
        <v>3124</v>
      </c>
      <c r="D78" s="0" t="s">
        <v>3128</v>
      </c>
      <c r="E78" s="0" t="s">
        <v>3129</v>
      </c>
      <c r="F78" s="0" t="s">
        <v>2959</v>
      </c>
      <c r="G78" s="0" t="s">
        <v>3130</v>
      </c>
    </row>
    <row customHeight="1" ht="11.25">
      <c r="A79" s="0" t="s">
        <v>14</v>
      </c>
      <c r="B79" s="0" t="s">
        <v>3123</v>
      </c>
      <c r="C79" s="0" t="s">
        <v>3124</v>
      </c>
      <c r="D79" s="0" t="s">
        <v>3123</v>
      </c>
      <c r="E79" s="0" t="s">
        <v>3124</v>
      </c>
      <c r="F79" s="0" t="s">
        <v>2956</v>
      </c>
      <c r="G79" s="0" t="s">
        <v>3131</v>
      </c>
    </row>
    <row customHeight="1" ht="11.25">
      <c r="A80" s="0" t="s">
        <v>14</v>
      </c>
      <c r="B80" s="0" t="s">
        <v>3123</v>
      </c>
      <c r="C80" s="0" t="s">
        <v>3124</v>
      </c>
      <c r="D80" s="0" t="s">
        <v>3132</v>
      </c>
      <c r="E80" s="0" t="s">
        <v>3133</v>
      </c>
      <c r="F80" s="0" t="s">
        <v>2959</v>
      </c>
      <c r="G80" s="0" t="s">
        <v>3134</v>
      </c>
    </row>
    <row customHeight="1" ht="11.25">
      <c r="A81" s="0" t="s">
        <v>14</v>
      </c>
      <c r="B81" s="0" t="s">
        <v>3123</v>
      </c>
      <c r="C81" s="0" t="s">
        <v>3124</v>
      </c>
      <c r="D81" s="0" t="s">
        <v>3135</v>
      </c>
      <c r="E81" s="0" t="s">
        <v>3136</v>
      </c>
      <c r="F81" s="0" t="s">
        <v>2959</v>
      </c>
      <c r="G81" s="0" t="s">
        <v>3137</v>
      </c>
    </row>
    <row customHeight="1" ht="11.25">
      <c r="A82" s="0" t="s">
        <v>14</v>
      </c>
      <c r="B82" s="0" t="s">
        <v>3138</v>
      </c>
      <c r="C82" s="0" t="s">
        <v>3139</v>
      </c>
      <c r="D82" s="0" t="s">
        <v>3138</v>
      </c>
      <c r="E82" s="0" t="s">
        <v>3139</v>
      </c>
      <c r="F82" s="0" t="s">
        <v>3032</v>
      </c>
      <c r="G82" s="0" t="s">
        <v>3140</v>
      </c>
    </row>
    <row customHeight="1" ht="11.25">
      <c r="A83" s="0" t="s">
        <v>14</v>
      </c>
      <c r="B83" s="0" t="s">
        <v>3141</v>
      </c>
      <c r="C83" s="0" t="s">
        <v>3142</v>
      </c>
      <c r="D83" s="0" t="s">
        <v>3143</v>
      </c>
      <c r="E83" s="0" t="s">
        <v>3144</v>
      </c>
      <c r="F83" s="0" t="s">
        <v>2959</v>
      </c>
      <c r="G83" s="0" t="s">
        <v>3145</v>
      </c>
    </row>
    <row customHeight="1" ht="11.25">
      <c r="A84" s="0" t="s">
        <v>14</v>
      </c>
      <c r="B84" s="0" t="s">
        <v>3141</v>
      </c>
      <c r="C84" s="0" t="s">
        <v>3142</v>
      </c>
      <c r="D84" s="0" t="s">
        <v>3141</v>
      </c>
      <c r="E84" s="0" t="s">
        <v>3142</v>
      </c>
      <c r="F84" s="0" t="s">
        <v>2956</v>
      </c>
      <c r="G84" s="0" t="s">
        <v>3146</v>
      </c>
    </row>
    <row customHeight="1" ht="11.25">
      <c r="A85" s="0" t="s">
        <v>14</v>
      </c>
      <c r="B85" s="0" t="s">
        <v>3141</v>
      </c>
      <c r="C85" s="0" t="s">
        <v>3142</v>
      </c>
      <c r="D85" s="0" t="s">
        <v>3147</v>
      </c>
      <c r="E85" s="0" t="s">
        <v>3148</v>
      </c>
      <c r="F85" s="0" t="s">
        <v>2959</v>
      </c>
      <c r="G85" s="0" t="s">
        <v>3149</v>
      </c>
    </row>
    <row customHeight="1" ht="11.25">
      <c r="A86" s="0" t="s">
        <v>14</v>
      </c>
      <c r="B86" s="0" t="s">
        <v>3141</v>
      </c>
      <c r="C86" s="0" t="s">
        <v>3142</v>
      </c>
      <c r="D86" s="0" t="s">
        <v>3150</v>
      </c>
      <c r="E86" s="0" t="s">
        <v>3151</v>
      </c>
      <c r="F86" s="0" t="s">
        <v>2959</v>
      </c>
      <c r="G86" s="0" t="s">
        <v>3152</v>
      </c>
    </row>
    <row customHeight="1" ht="11.25">
      <c r="A87" s="0" t="s">
        <v>14</v>
      </c>
      <c r="B87" s="0" t="s">
        <v>3153</v>
      </c>
      <c r="C87" s="0" t="s">
        <v>3154</v>
      </c>
      <c r="D87" s="0" t="s">
        <v>3153</v>
      </c>
      <c r="E87" s="0" t="s">
        <v>3154</v>
      </c>
      <c r="F87" s="0" t="s">
        <v>3032</v>
      </c>
      <c r="G87" s="0" t="s">
        <v>3155</v>
      </c>
    </row>
    <row customHeight="1" ht="11.25">
      <c r="A88" s="0" t="s">
        <v>14</v>
      </c>
      <c r="B88" s="0" t="s">
        <v>3156</v>
      </c>
      <c r="C88" s="0" t="s">
        <v>3157</v>
      </c>
      <c r="D88" s="0" t="s">
        <v>3156</v>
      </c>
      <c r="E88" s="0" t="s">
        <v>3157</v>
      </c>
      <c r="F88" s="0" t="s">
        <v>3032</v>
      </c>
      <c r="G88" s="0" t="s">
        <v>3158</v>
      </c>
    </row>
    <row customHeight="1" ht="11.25">
      <c r="A89" s="0" t="s">
        <v>14</v>
      </c>
      <c r="B89" s="0" t="s">
        <v>3159</v>
      </c>
      <c r="C89" s="0" t="s">
        <v>3160</v>
      </c>
      <c r="D89" s="0" t="s">
        <v>3159</v>
      </c>
      <c r="E89" s="0" t="s">
        <v>3160</v>
      </c>
      <c r="F89" s="0" t="s">
        <v>3032</v>
      </c>
      <c r="G89" s="0" t="s">
        <v>3161</v>
      </c>
    </row>
    <row customHeight="1" ht="11.25">
      <c r="A90" s="0" t="s">
        <v>14</v>
      </c>
      <c r="B90" s="0" t="s">
        <v>3162</v>
      </c>
      <c r="C90" s="0" t="s">
        <v>3163</v>
      </c>
      <c r="D90" s="0" t="s">
        <v>3162</v>
      </c>
      <c r="E90" s="0" t="s">
        <v>3163</v>
      </c>
      <c r="F90" s="0" t="s">
        <v>3032</v>
      </c>
      <c r="G90" s="0" t="s">
        <v>3164</v>
      </c>
    </row>
    <row customHeight="1" ht="11.25">
      <c r="A91" s="0" t="s">
        <v>14</v>
      </c>
      <c r="B91" s="0" t="s">
        <v>3165</v>
      </c>
      <c r="C91" s="0" t="s">
        <v>3166</v>
      </c>
      <c r="D91" s="0" t="s">
        <v>3167</v>
      </c>
      <c r="E91" s="0" t="s">
        <v>3168</v>
      </c>
      <c r="F91" s="0" t="s">
        <v>2959</v>
      </c>
      <c r="G91" s="0" t="s">
        <v>3169</v>
      </c>
    </row>
    <row customHeight="1" ht="11.25">
      <c r="A92" s="0" t="s">
        <v>14</v>
      </c>
      <c r="B92" s="0" t="s">
        <v>3165</v>
      </c>
      <c r="C92" s="0" t="s">
        <v>3166</v>
      </c>
      <c r="D92" s="0" t="s">
        <v>3170</v>
      </c>
      <c r="E92" s="0" t="s">
        <v>3171</v>
      </c>
      <c r="F92" s="0" t="s">
        <v>2959</v>
      </c>
      <c r="G92" s="0" t="s">
        <v>3172</v>
      </c>
    </row>
    <row customHeight="1" ht="11.25">
      <c r="A93" s="0" t="s">
        <v>14</v>
      </c>
      <c r="B93" s="0" t="s">
        <v>3165</v>
      </c>
      <c r="C93" s="0" t="s">
        <v>3166</v>
      </c>
      <c r="D93" s="0" t="s">
        <v>3173</v>
      </c>
      <c r="E93" s="0" t="s">
        <v>3174</v>
      </c>
      <c r="F93" s="0" t="s">
        <v>2959</v>
      </c>
      <c r="G93" s="0" t="s">
        <v>3175</v>
      </c>
    </row>
    <row customHeight="1" ht="11.25">
      <c r="A94" s="0" t="s">
        <v>14</v>
      </c>
      <c r="B94" s="0" t="s">
        <v>3165</v>
      </c>
      <c r="C94" s="0" t="s">
        <v>3166</v>
      </c>
      <c r="D94" s="0" t="s">
        <v>3176</v>
      </c>
      <c r="E94" s="0" t="s">
        <v>3177</v>
      </c>
      <c r="F94" s="0" t="s">
        <v>2959</v>
      </c>
      <c r="G94" s="0" t="s">
        <v>3178</v>
      </c>
    </row>
    <row customHeight="1" ht="11.25">
      <c r="A95" s="0" t="s">
        <v>14</v>
      </c>
      <c r="B95" s="0" t="s">
        <v>3165</v>
      </c>
      <c r="C95" s="0" t="s">
        <v>3166</v>
      </c>
      <c r="D95" s="0" t="s">
        <v>3165</v>
      </c>
      <c r="E95" s="0" t="s">
        <v>3166</v>
      </c>
      <c r="F95" s="0" t="s">
        <v>2956</v>
      </c>
      <c r="G95" s="0" t="s">
        <v>3179</v>
      </c>
    </row>
    <row customHeight="1" ht="11.25">
      <c r="A96" s="0" t="s">
        <v>14</v>
      </c>
      <c r="B96" s="0" t="s">
        <v>3165</v>
      </c>
      <c r="C96" s="0" t="s">
        <v>3166</v>
      </c>
      <c r="D96" s="0" t="s">
        <v>3180</v>
      </c>
      <c r="E96" s="0" t="s">
        <v>3181</v>
      </c>
      <c r="F96" s="0" t="s">
        <v>2959</v>
      </c>
      <c r="G96" s="0" t="s">
        <v>3182</v>
      </c>
    </row>
    <row customHeight="1" ht="11.25">
      <c r="A97" s="0" t="s">
        <v>14</v>
      </c>
      <c r="B97" s="0" t="s">
        <v>3165</v>
      </c>
      <c r="C97" s="0" t="s">
        <v>3166</v>
      </c>
      <c r="D97" s="0" t="s">
        <v>3183</v>
      </c>
      <c r="E97" s="0" t="s">
        <v>3184</v>
      </c>
      <c r="F97" s="0" t="s">
        <v>3009</v>
      </c>
      <c r="G97" s="0" t="s">
        <v>3185</v>
      </c>
    </row>
    <row customHeight="1" ht="11.25">
      <c r="A98" s="0" t="s">
        <v>14</v>
      </c>
      <c r="B98" s="0" t="s">
        <v>3186</v>
      </c>
      <c r="C98" s="0" t="s">
        <v>3187</v>
      </c>
      <c r="D98" s="0" t="s">
        <v>3188</v>
      </c>
      <c r="E98" s="0" t="s">
        <v>3189</v>
      </c>
      <c r="F98" s="0" t="s">
        <v>2959</v>
      </c>
      <c r="G98" s="0" t="s">
        <v>3190</v>
      </c>
    </row>
    <row customHeight="1" ht="11.25">
      <c r="A99" s="0" t="s">
        <v>14</v>
      </c>
      <c r="B99" s="0" t="s">
        <v>3186</v>
      </c>
      <c r="C99" s="0" t="s">
        <v>3187</v>
      </c>
      <c r="D99" s="0" t="s">
        <v>3191</v>
      </c>
      <c r="E99" s="0" t="s">
        <v>3192</v>
      </c>
      <c r="F99" s="0" t="s">
        <v>2959</v>
      </c>
      <c r="G99" s="0" t="s">
        <v>3193</v>
      </c>
    </row>
    <row customHeight="1" ht="11.25">
      <c r="A100" s="0" t="s">
        <v>14</v>
      </c>
      <c r="B100" s="0" t="s">
        <v>3186</v>
      </c>
      <c r="C100" s="0" t="s">
        <v>3187</v>
      </c>
      <c r="D100" s="0" t="s">
        <v>3186</v>
      </c>
      <c r="E100" s="0" t="s">
        <v>3187</v>
      </c>
      <c r="F100" s="0" t="s">
        <v>2956</v>
      </c>
      <c r="G100" s="0" t="s">
        <v>3194</v>
      </c>
    </row>
    <row customHeight="1" ht="11.25">
      <c r="A101" s="0" t="s">
        <v>14</v>
      </c>
      <c r="B101" s="0" t="s">
        <v>3186</v>
      </c>
      <c r="C101" s="0" t="s">
        <v>3187</v>
      </c>
      <c r="D101" s="0" t="s">
        <v>3195</v>
      </c>
      <c r="E101" s="0" t="s">
        <v>3196</v>
      </c>
      <c r="F101" s="0" t="s">
        <v>2959</v>
      </c>
      <c r="G101" s="0" t="s">
        <v>3197</v>
      </c>
    </row>
    <row customHeight="1" ht="11.25">
      <c r="A102" s="0" t="s">
        <v>14</v>
      </c>
      <c r="B102" s="0" t="s">
        <v>3186</v>
      </c>
      <c r="C102" s="0" t="s">
        <v>3187</v>
      </c>
      <c r="D102" s="0" t="s">
        <v>3198</v>
      </c>
      <c r="E102" s="0" t="s">
        <v>3199</v>
      </c>
      <c r="F102" s="0" t="s">
        <v>2974</v>
      </c>
      <c r="G102" s="0" t="s">
        <v>3200</v>
      </c>
    </row>
    <row customHeight="1" ht="11.25">
      <c r="A103" s="0" t="s">
        <v>14</v>
      </c>
      <c r="B103" s="0" t="s">
        <v>3201</v>
      </c>
      <c r="C103" s="0" t="s">
        <v>3202</v>
      </c>
      <c r="D103" s="0" t="s">
        <v>3203</v>
      </c>
      <c r="E103" s="0" t="s">
        <v>3204</v>
      </c>
      <c r="F103" s="0" t="s">
        <v>2959</v>
      </c>
      <c r="G103" s="0" t="s">
        <v>3205</v>
      </c>
    </row>
    <row customHeight="1" ht="11.25">
      <c r="A104" s="0" t="s">
        <v>14</v>
      </c>
      <c r="B104" s="0" t="s">
        <v>3201</v>
      </c>
      <c r="C104" s="0" t="s">
        <v>3202</v>
      </c>
      <c r="D104" s="0" t="s">
        <v>3206</v>
      </c>
      <c r="E104" s="0" t="s">
        <v>3207</v>
      </c>
      <c r="F104" s="0" t="s">
        <v>2959</v>
      </c>
      <c r="G104" s="0" t="s">
        <v>3208</v>
      </c>
    </row>
    <row customHeight="1" ht="11.25">
      <c r="A105" s="0" t="s">
        <v>14</v>
      </c>
      <c r="B105" s="0" t="s">
        <v>3201</v>
      </c>
      <c r="C105" s="0" t="s">
        <v>3202</v>
      </c>
      <c r="D105" s="0" t="s">
        <v>3209</v>
      </c>
      <c r="E105" s="0" t="s">
        <v>3210</v>
      </c>
      <c r="F105" s="0" t="s">
        <v>2959</v>
      </c>
      <c r="G105" s="0" t="s">
        <v>3211</v>
      </c>
    </row>
    <row customHeight="1" ht="11.25">
      <c r="A106" s="0" t="s">
        <v>14</v>
      </c>
      <c r="B106" s="0" t="s">
        <v>3201</v>
      </c>
      <c r="C106" s="0" t="s">
        <v>3202</v>
      </c>
      <c r="D106" s="0" t="s">
        <v>3212</v>
      </c>
      <c r="E106" s="0" t="s">
        <v>3213</v>
      </c>
      <c r="F106" s="0" t="s">
        <v>2959</v>
      </c>
      <c r="G106" s="0" t="s">
        <v>3214</v>
      </c>
    </row>
    <row customHeight="1" ht="11.25">
      <c r="A107" s="0" t="s">
        <v>14</v>
      </c>
      <c r="B107" s="0" t="s">
        <v>3201</v>
      </c>
      <c r="C107" s="0" t="s">
        <v>3202</v>
      </c>
      <c r="D107" s="0" t="s">
        <v>3215</v>
      </c>
      <c r="E107" s="0" t="s">
        <v>3216</v>
      </c>
      <c r="F107" s="0" t="s">
        <v>2959</v>
      </c>
      <c r="G107" s="0" t="s">
        <v>3217</v>
      </c>
    </row>
    <row customHeight="1" ht="11.25">
      <c r="A108" s="0" t="s">
        <v>14</v>
      </c>
      <c r="B108" s="0" t="s">
        <v>3201</v>
      </c>
      <c r="C108" s="0" t="s">
        <v>3202</v>
      </c>
      <c r="D108" s="0" t="s">
        <v>3201</v>
      </c>
      <c r="E108" s="0" t="s">
        <v>3202</v>
      </c>
      <c r="F108" s="0" t="s">
        <v>2956</v>
      </c>
      <c r="G108" s="0" t="s">
        <v>3218</v>
      </c>
    </row>
    <row customHeight="1" ht="11.25">
      <c r="A109" s="0" t="s">
        <v>14</v>
      </c>
      <c r="B109" s="0" t="s">
        <v>3201</v>
      </c>
      <c r="C109" s="0" t="s">
        <v>3202</v>
      </c>
      <c r="D109" s="0" t="s">
        <v>3219</v>
      </c>
      <c r="E109" s="0" t="s">
        <v>3220</v>
      </c>
      <c r="F109" s="0" t="s">
        <v>2959</v>
      </c>
      <c r="G109" s="0" t="s">
        <v>3221</v>
      </c>
    </row>
    <row customHeight="1" ht="11.25">
      <c r="A110" s="0" t="s">
        <v>14</v>
      </c>
      <c r="B110" s="0" t="s">
        <v>3201</v>
      </c>
      <c r="C110" s="0" t="s">
        <v>3202</v>
      </c>
      <c r="D110" s="0" t="s">
        <v>3222</v>
      </c>
      <c r="E110" s="0" t="s">
        <v>3223</v>
      </c>
      <c r="F110" s="0" t="s">
        <v>2974</v>
      </c>
      <c r="G110" s="0" t="s">
        <v>3224</v>
      </c>
    </row>
    <row customHeight="1" ht="11.25">
      <c r="A111" s="0" t="s">
        <v>14</v>
      </c>
      <c r="B111" s="0" t="s">
        <v>3225</v>
      </c>
      <c r="C111" s="0" t="s">
        <v>3226</v>
      </c>
      <c r="D111" s="0" t="s">
        <v>3227</v>
      </c>
      <c r="E111" s="0" t="s">
        <v>3228</v>
      </c>
      <c r="F111" s="0" t="s">
        <v>2959</v>
      </c>
      <c r="G111" s="0" t="s">
        <v>3229</v>
      </c>
    </row>
    <row customHeight="1" ht="11.25">
      <c r="A112" s="0" t="s">
        <v>14</v>
      </c>
      <c r="B112" s="0" t="s">
        <v>3225</v>
      </c>
      <c r="C112" s="0" t="s">
        <v>3226</v>
      </c>
      <c r="D112" s="0" t="s">
        <v>3230</v>
      </c>
      <c r="E112" s="0" t="s">
        <v>3231</v>
      </c>
      <c r="F112" s="0" t="s">
        <v>2959</v>
      </c>
      <c r="G112" s="0" t="s">
        <v>3232</v>
      </c>
    </row>
    <row customHeight="1" ht="11.25">
      <c r="A113" s="0" t="s">
        <v>14</v>
      </c>
      <c r="B113" s="0" t="s">
        <v>3225</v>
      </c>
      <c r="C113" s="0" t="s">
        <v>3226</v>
      </c>
      <c r="D113" s="0" t="s">
        <v>3233</v>
      </c>
      <c r="E113" s="0" t="s">
        <v>3234</v>
      </c>
      <c r="F113" s="0" t="s">
        <v>2959</v>
      </c>
      <c r="G113" s="0" t="s">
        <v>3235</v>
      </c>
    </row>
    <row customHeight="1" ht="11.25">
      <c r="A114" s="0" t="s">
        <v>14</v>
      </c>
      <c r="B114" s="0" t="s">
        <v>3225</v>
      </c>
      <c r="C114" s="0" t="s">
        <v>3226</v>
      </c>
      <c r="D114" s="0" t="s">
        <v>3236</v>
      </c>
      <c r="E114" s="0" t="s">
        <v>3237</v>
      </c>
      <c r="F114" s="0" t="s">
        <v>2959</v>
      </c>
      <c r="G114" s="0" t="s">
        <v>3238</v>
      </c>
    </row>
    <row customHeight="1" ht="11.25">
      <c r="A115" s="0" t="s">
        <v>14</v>
      </c>
      <c r="B115" s="0" t="s">
        <v>3225</v>
      </c>
      <c r="C115" s="0" t="s">
        <v>3226</v>
      </c>
      <c r="D115" s="0" t="s">
        <v>3225</v>
      </c>
      <c r="E115" s="0" t="s">
        <v>3226</v>
      </c>
      <c r="F115" s="0" t="s">
        <v>2956</v>
      </c>
      <c r="G115" s="0" t="s">
        <v>3239</v>
      </c>
    </row>
    <row customHeight="1" ht="11.25">
      <c r="A116" s="0" t="s">
        <v>14</v>
      </c>
      <c r="B116" s="0" t="s">
        <v>3225</v>
      </c>
      <c r="C116" s="0" t="s">
        <v>3226</v>
      </c>
      <c r="D116" s="0" t="s">
        <v>3240</v>
      </c>
      <c r="E116" s="0" t="s">
        <v>3241</v>
      </c>
      <c r="F116" s="0" t="s">
        <v>2959</v>
      </c>
      <c r="G116" s="0" t="s">
        <v>3242</v>
      </c>
    </row>
    <row customHeight="1" ht="11.25">
      <c r="A117" s="0" t="s">
        <v>14</v>
      </c>
      <c r="B117" s="0" t="s">
        <v>3225</v>
      </c>
      <c r="C117" s="0" t="s">
        <v>3226</v>
      </c>
      <c r="D117" s="0" t="s">
        <v>3243</v>
      </c>
      <c r="E117" s="0" t="s">
        <v>3244</v>
      </c>
      <c r="F117" s="0" t="s">
        <v>2959</v>
      </c>
      <c r="G117" s="0" t="s">
        <v>3245</v>
      </c>
    </row>
    <row customHeight="1" ht="11.25">
      <c r="A118" s="0" t="s">
        <v>14</v>
      </c>
      <c r="B118" s="0" t="s">
        <v>3225</v>
      </c>
      <c r="C118" s="0" t="s">
        <v>3226</v>
      </c>
      <c r="D118" s="0" t="s">
        <v>3246</v>
      </c>
      <c r="E118" s="0" t="s">
        <v>3247</v>
      </c>
      <c r="F118" s="0" t="s">
        <v>3009</v>
      </c>
      <c r="G118" s="0" t="s">
        <v>3248</v>
      </c>
    </row>
    <row customHeight="1" ht="11.25">
      <c r="A119" s="0" t="s">
        <v>14</v>
      </c>
      <c r="B119" s="0" t="s">
        <v>3249</v>
      </c>
      <c r="C119" s="0" t="s">
        <v>3250</v>
      </c>
      <c r="D119" s="0" t="s">
        <v>3251</v>
      </c>
      <c r="E119" s="0" t="s">
        <v>3252</v>
      </c>
      <c r="F119" s="0" t="s">
        <v>2959</v>
      </c>
      <c r="G119" s="0" t="s">
        <v>3253</v>
      </c>
    </row>
    <row customHeight="1" ht="11.25">
      <c r="A120" s="0" t="s">
        <v>14</v>
      </c>
      <c r="B120" s="0" t="s">
        <v>3249</v>
      </c>
      <c r="C120" s="0" t="s">
        <v>3250</v>
      </c>
      <c r="D120" s="0" t="s">
        <v>3254</v>
      </c>
      <c r="E120" s="0" t="s">
        <v>3255</v>
      </c>
      <c r="F120" s="0" t="s">
        <v>2959</v>
      </c>
      <c r="G120" s="0" t="s">
        <v>3256</v>
      </c>
    </row>
    <row customHeight="1" ht="11.25">
      <c r="A121" s="0" t="s">
        <v>14</v>
      </c>
      <c r="B121" s="0" t="s">
        <v>3249</v>
      </c>
      <c r="C121" s="0" t="s">
        <v>3250</v>
      </c>
      <c r="D121" s="0" t="s">
        <v>3257</v>
      </c>
      <c r="E121" s="0" t="s">
        <v>3258</v>
      </c>
      <c r="F121" s="0" t="s">
        <v>2959</v>
      </c>
      <c r="G121" s="0" t="s">
        <v>3259</v>
      </c>
    </row>
    <row customHeight="1" ht="11.25">
      <c r="A122" s="0" t="s">
        <v>14</v>
      </c>
      <c r="B122" s="0" t="s">
        <v>3249</v>
      </c>
      <c r="C122" s="0" t="s">
        <v>3250</v>
      </c>
      <c r="D122" s="0" t="s">
        <v>3260</v>
      </c>
      <c r="E122" s="0" t="s">
        <v>3261</v>
      </c>
      <c r="F122" s="0" t="s">
        <v>2959</v>
      </c>
      <c r="G122" s="0" t="s">
        <v>3262</v>
      </c>
    </row>
    <row customHeight="1" ht="11.25">
      <c r="A123" s="0" t="s">
        <v>14</v>
      </c>
      <c r="B123" s="0" t="s">
        <v>3249</v>
      </c>
      <c r="C123" s="0" t="s">
        <v>3250</v>
      </c>
      <c r="D123" s="0" t="s">
        <v>3263</v>
      </c>
      <c r="E123" s="0" t="s">
        <v>3264</v>
      </c>
      <c r="F123" s="0" t="s">
        <v>2959</v>
      </c>
      <c r="G123" s="0" t="s">
        <v>3265</v>
      </c>
    </row>
    <row customHeight="1" ht="11.25">
      <c r="A124" s="0" t="s">
        <v>14</v>
      </c>
      <c r="B124" s="0" t="s">
        <v>3249</v>
      </c>
      <c r="C124" s="0" t="s">
        <v>3250</v>
      </c>
      <c r="D124" s="0" t="s">
        <v>3266</v>
      </c>
      <c r="E124" s="0" t="s">
        <v>3267</v>
      </c>
      <c r="F124" s="0" t="s">
        <v>2959</v>
      </c>
      <c r="G124" s="0" t="s">
        <v>3268</v>
      </c>
    </row>
    <row customHeight="1" ht="11.25">
      <c r="A125" s="0" t="s">
        <v>14</v>
      </c>
      <c r="B125" s="0" t="s">
        <v>3249</v>
      </c>
      <c r="C125" s="0" t="s">
        <v>3250</v>
      </c>
      <c r="D125" s="0" t="s">
        <v>3249</v>
      </c>
      <c r="E125" s="0" t="s">
        <v>3250</v>
      </c>
      <c r="F125" s="0" t="s">
        <v>2956</v>
      </c>
      <c r="G125" s="0" t="s">
        <v>3269</v>
      </c>
    </row>
    <row customHeight="1" ht="11.25">
      <c r="A126" s="0" t="s">
        <v>14</v>
      </c>
      <c r="B126" s="0" t="s">
        <v>3249</v>
      </c>
      <c r="C126" s="0" t="s">
        <v>3250</v>
      </c>
      <c r="D126" s="0" t="s">
        <v>3270</v>
      </c>
      <c r="E126" s="0" t="s">
        <v>3271</v>
      </c>
      <c r="F126" s="0" t="s">
        <v>2959</v>
      </c>
      <c r="G126" s="0" t="s">
        <v>3272</v>
      </c>
    </row>
    <row customHeight="1" ht="11.25">
      <c r="A127" s="0" t="s">
        <v>14</v>
      </c>
      <c r="B127" s="0" t="s">
        <v>3273</v>
      </c>
      <c r="C127" s="0" t="s">
        <v>3274</v>
      </c>
      <c r="D127" s="0" t="s">
        <v>3273</v>
      </c>
      <c r="E127" s="0" t="s">
        <v>3274</v>
      </c>
      <c r="F127" s="0" t="s">
        <v>3275</v>
      </c>
      <c r="G127" s="0" t="s">
        <v>3276</v>
      </c>
    </row>
    <row customHeight="1" ht="11.25">
      <c r="A128" s="0" t="s">
        <v>14</v>
      </c>
      <c r="B128" s="0" t="s">
        <v>3277</v>
      </c>
      <c r="C128" s="0" t="s">
        <v>3278</v>
      </c>
      <c r="D128" s="0" t="s">
        <v>3277</v>
      </c>
      <c r="E128" s="0" t="s">
        <v>3278</v>
      </c>
      <c r="F128" s="0" t="s">
        <v>3275</v>
      </c>
      <c r="G128" s="0" t="s">
        <v>3279</v>
      </c>
    </row>
    <row customHeight="1" ht="11.25">
      <c r="A129" s="0" t="s">
        <v>14</v>
      </c>
      <c r="B129" s="0" t="s">
        <v>3280</v>
      </c>
      <c r="C129" s="0" t="s">
        <v>3281</v>
      </c>
      <c r="D129" s="0" t="s">
        <v>3280</v>
      </c>
      <c r="E129" s="0" t="s">
        <v>3281</v>
      </c>
      <c r="F129" s="0" t="s">
        <v>3275</v>
      </c>
      <c r="G129" s="0" t="s">
        <v>3282</v>
      </c>
    </row>
    <row customHeight="1" ht="11.25">
      <c r="A130" s="0" t="s">
        <v>14</v>
      </c>
      <c r="B130" s="0" t="s">
        <v>98</v>
      </c>
      <c r="C130" s="0" t="s">
        <v>100</v>
      </c>
      <c r="D130" s="0" t="s">
        <v>98</v>
      </c>
      <c r="E130" s="0" t="s">
        <v>100</v>
      </c>
      <c r="F130" s="0" t="s">
        <v>3275</v>
      </c>
      <c r="G130" s="0" t="s">
        <v>99</v>
      </c>
    </row>
    <row customHeight="1" ht="11.25">
      <c r="A131" s="0" t="s">
        <v>14</v>
      </c>
      <c r="B131" s="0" t="s">
        <v>3283</v>
      </c>
      <c r="C131" s="0" t="s">
        <v>3284</v>
      </c>
      <c r="D131" s="0" t="s">
        <v>3283</v>
      </c>
      <c r="E131" s="0" t="s">
        <v>3284</v>
      </c>
      <c r="F131" s="0" t="s">
        <v>3275</v>
      </c>
      <c r="G131" s="0" t="s">
        <v>3285</v>
      </c>
    </row>
    <row customHeight="1" ht="11.25">
      <c r="A132" s="0" t="s">
        <v>14</v>
      </c>
      <c r="B132" s="0" t="s">
        <v>3286</v>
      </c>
      <c r="C132" s="0" t="s">
        <v>3287</v>
      </c>
      <c r="D132" s="0" t="s">
        <v>3286</v>
      </c>
      <c r="E132" s="0" t="s">
        <v>3287</v>
      </c>
      <c r="F132" s="0" t="s">
        <v>3275</v>
      </c>
      <c r="G132" s="0" t="s">
        <v>3288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DD6DD-1EEB-10BC-6FC2-25565DD6272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21" width="9.140625"/>
    <col min="2" max="2" style="1721" width="84.28125" customWidth="1"/>
    <col min="3" max="3" style="1721" width="9.140625"/>
  </cols>
  <sheetData>
    <row customHeight="1" ht="11.25">
      <c r="A1" s="833" t="s">
        <v>3315</v>
      </c>
      <c r="B1" s="833" t="s">
        <v>3316</v>
      </c>
      <c r="C1" s="833" t="s">
        <v>555</v>
      </c>
    </row>
    <row customHeight="1" ht="11.25">
      <c r="A2" s="833">
        <v>4189678</v>
      </c>
      <c r="B2" s="833" t="s">
        <v>3317</v>
      </c>
      <c r="C2" s="833" t="s">
        <v>3318</v>
      </c>
    </row>
    <row customHeight="1" ht="11.25">
      <c r="A3" s="833">
        <v>4190415</v>
      </c>
      <c r="B3" s="833" t="s">
        <v>3319</v>
      </c>
      <c r="C3" s="833" t="s">
        <v>3318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FF16E7-7001-3D4A-AAD9-883D40D99BB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2" width="38.421875" customWidth="1"/>
    <col min="2" max="5" style="142" width="9.140625"/>
  </cols>
  <sheetData>
    <row customHeight="1" ht="15">
      <c r="A1" s="143" t="s">
        <v>3320</v>
      </c>
      <c r="B1" s="143" t="s">
        <v>3321</v>
      </c>
      <c r="C1" s="143"/>
      <c r="D1" s="143"/>
      <c r="E1" s="143"/>
    </row>
    <row customHeight="1" ht="15">
      <c r="A2" s="143"/>
      <c r="B2" s="143"/>
      <c r="C2" s="143"/>
      <c r="D2" s="143"/>
      <c r="E2" s="143"/>
    </row>
    <row customHeight="1" ht="15">
      <c r="A3" s="143"/>
      <c r="B3" s="143"/>
      <c r="C3" s="143"/>
      <c r="D3" s="143"/>
      <c r="E3" s="143"/>
    </row>
    <row customHeight="1" ht="15">
      <c r="A4" s="143"/>
      <c r="B4" s="143"/>
      <c r="C4" s="143"/>
      <c r="D4" s="143"/>
      <c r="E4" s="143"/>
    </row>
    <row customHeight="1" ht="15">
      <c r="A5" s="143"/>
      <c r="B5" s="143"/>
      <c r="C5" s="143"/>
      <c r="D5" s="143"/>
      <c r="E5" s="143"/>
    </row>
    <row customHeight="1" ht="15">
      <c r="A6" s="143"/>
      <c r="B6" s="143"/>
      <c r="C6" s="143"/>
      <c r="D6" s="143"/>
      <c r="E6" s="143"/>
    </row>
    <row customHeight="1" ht="15">
      <c r="A7" s="143"/>
      <c r="B7" s="143"/>
      <c r="C7" s="143"/>
      <c r="D7" s="143"/>
      <c r="E7" s="143"/>
    </row>
    <row customHeight="1" ht="15">
      <c r="A8" s="143"/>
      <c r="B8" s="143"/>
      <c r="C8" s="143"/>
      <c r="D8" s="143"/>
      <c r="E8" s="14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2151B-A6B4-A85A-F088-7A9774A56CA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3322</v>
      </c>
      <c r="B1" s="0" t="b">
        <v>1</v>
      </c>
    </row>
    <row customHeight="1" ht="11.25">
      <c r="A2" s="0" t="s">
        <v>3323</v>
      </c>
      <c r="B2" s="0" t="b">
        <v>0</v>
      </c>
    </row>
    <row customHeight="1" ht="11.25">
      <c r="A3" s="0" t="s">
        <v>3324</v>
      </c>
      <c r="B3" s="0" t="b">
        <v>0</v>
      </c>
    </row>
    <row customHeight="1" ht="11.25">
      <c r="A4" s="0" t="s">
        <v>3325</v>
      </c>
      <c r="B4" s="0" t="b">
        <v>1</v>
      </c>
    </row>
    <row customHeight="1" ht="11.25">
      <c r="A5" s="0" t="s">
        <v>3326</v>
      </c>
      <c r="B5" s="0" t="b">
        <v>0</v>
      </c>
    </row>
    <row customHeight="1" ht="11.25">
      <c r="A6" s="0" t="s">
        <v>3327</v>
      </c>
      <c r="B6" s="0" t="b">
        <v>0</v>
      </c>
    </row>
    <row customHeight="1" ht="11.25">
      <c r="A7" s="0" t="s">
        <v>3328</v>
      </c>
      <c r="B7" s="0" t="b">
        <v>0</v>
      </c>
    </row>
    <row customHeight="1" ht="11.25">
      <c r="A8" s="0" t="s">
        <v>3329</v>
      </c>
      <c r="B8" s="0" t="b">
        <v>0</v>
      </c>
    </row>
    <row customHeight="1" ht="11.25">
      <c r="A9" s="0" t="s">
        <v>3330</v>
      </c>
      <c r="B9" s="0" t="b">
        <v>0</v>
      </c>
    </row>
    <row customHeight="1" ht="11.25">
      <c r="A10" s="0" t="s">
        <v>3331</v>
      </c>
      <c r="B10" s="0" t="b">
        <v>1</v>
      </c>
    </row>
    <row customHeight="1" ht="11.25">
      <c r="A11" s="0" t="s">
        <v>3332</v>
      </c>
      <c r="B11" s="0" t="b">
        <v>0</v>
      </c>
    </row>
    <row customHeight="1" ht="11.25">
      <c r="A12" s="0" t="s">
        <v>3333</v>
      </c>
      <c r="B12" s="0" t="b">
        <v>0</v>
      </c>
    </row>
    <row customHeight="1" ht="11.25">
      <c r="A13" s="0" t="s">
        <v>3334</v>
      </c>
      <c r="B13" s="0" t="b">
        <v>0</v>
      </c>
    </row>
    <row customHeight="1" ht="11.25">
      <c r="A14" s="0" t="s">
        <v>3335</v>
      </c>
      <c r="B14" s="0" t="b">
        <v>0</v>
      </c>
    </row>
    <row customHeight="1" ht="11.25">
      <c r="A15" s="0" t="s">
        <v>3336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CB588-B1D5-1EAF-797F-DA27452F099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34" width="9.140625"/>
  </cols>
  <sheetData>
    <row customHeight="1" ht="12.75">
      <c r="A1" s="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205DF-5567-66B3-EFE4-75CDBEB511A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12" width="36.28125" customWidth="1"/>
    <col min="2" max="2" style="2412" width="21.140625" customWidth="1"/>
  </cols>
  <sheetData>
    <row customHeight="1" ht="11.25">
      <c r="A1" s="49" t="s">
        <v>3337</v>
      </c>
      <c r="B1" s="49" t="s">
        <v>3338</v>
      </c>
    </row>
    <row customHeight="1" ht="11.25">
      <c r="A2" s="0" t="s">
        <v>3339</v>
      </c>
      <c r="B2" s="0" t="s">
        <v>3340</v>
      </c>
    </row>
    <row customHeight="1" ht="11.25">
      <c r="A3" s="0" t="s">
        <v>3341</v>
      </c>
      <c r="B3" s="0" t="s">
        <v>3342</v>
      </c>
    </row>
    <row customHeight="1" ht="11.25">
      <c r="A4" s="0" t="s">
        <v>3343</v>
      </c>
      <c r="B4" s="0" t="s">
        <v>3344</v>
      </c>
    </row>
    <row customHeight="1" ht="11.25">
      <c r="A5" s="0" t="s">
        <v>3345</v>
      </c>
      <c r="B5" s="0" t="s">
        <v>3346</v>
      </c>
    </row>
    <row customHeight="1" ht="11.25">
      <c r="A6" s="0" t="s">
        <v>3347</v>
      </c>
      <c r="B6" s="0" t="s">
        <v>3348</v>
      </c>
    </row>
    <row customHeight="1" ht="11.25">
      <c r="A7" s="0" t="s">
        <v>3349</v>
      </c>
      <c r="B7" s="0" t="s">
        <v>3350</v>
      </c>
    </row>
    <row customHeight="1" ht="11.25">
      <c r="A8" s="0" t="s">
        <v>3351</v>
      </c>
      <c r="B8" s="0" t="s">
        <v>3352</v>
      </c>
    </row>
    <row customHeight="1" ht="11.25">
      <c r="A9" s="0" t="s">
        <v>3353</v>
      </c>
      <c r="B9" s="0" t="s">
        <v>3354</v>
      </c>
    </row>
    <row customHeight="1" ht="11.25">
      <c r="A10" s="0" t="s">
        <v>3355</v>
      </c>
      <c r="B10" s="0" t="s">
        <v>3356</v>
      </c>
    </row>
    <row customHeight="1" ht="11.25">
      <c r="A11" s="0" t="s">
        <v>3357</v>
      </c>
      <c r="B11" s="0" t="s">
        <v>3358</v>
      </c>
    </row>
    <row customHeight="1" ht="11.25">
      <c r="A12" s="0" t="s">
        <v>3359</v>
      </c>
      <c r="B12" s="0" t="s">
        <v>3360</v>
      </c>
    </row>
    <row customHeight="1" ht="11.25">
      <c r="A13" s="0" t="s">
        <v>3361</v>
      </c>
      <c r="B13" s="0" t="s">
        <v>3362</v>
      </c>
    </row>
    <row customHeight="1" ht="11.25">
      <c r="A14" s="0" t="s">
        <v>3363</v>
      </c>
      <c r="B14" s="0" t="s">
        <v>3364</v>
      </c>
    </row>
    <row customHeight="1" ht="11.25">
      <c r="A15" s="0" t="s">
        <v>3365</v>
      </c>
      <c r="B15" s="0" t="s">
        <v>3366</v>
      </c>
    </row>
    <row customHeight="1" ht="11.25">
      <c r="A16" s="0" t="s">
        <v>3367</v>
      </c>
      <c r="B16" s="0" t="s">
        <v>3368</v>
      </c>
    </row>
    <row customHeight="1" ht="11.25">
      <c r="A17" s="0" t="s">
        <v>3369</v>
      </c>
      <c r="B17" s="0" t="s">
        <v>3370</v>
      </c>
    </row>
    <row customHeight="1" ht="11.25">
      <c r="A18" s="0" t="s">
        <v>3371</v>
      </c>
      <c r="B18" s="0" t="s">
        <v>3372</v>
      </c>
    </row>
    <row customHeight="1" ht="11.25">
      <c r="A19" s="0" t="s">
        <v>3373</v>
      </c>
      <c r="B19" s="0" t="s">
        <v>3374</v>
      </c>
    </row>
    <row customHeight="1" ht="11.25">
      <c r="A20" s="0" t="s">
        <v>3375</v>
      </c>
      <c r="B20" s="0" t="s">
        <v>3376</v>
      </c>
    </row>
    <row customHeight="1" ht="11.25">
      <c r="A21" s="0" t="s">
        <v>3377</v>
      </c>
      <c r="B21" s="0" t="s">
        <v>3378</v>
      </c>
    </row>
    <row customHeight="1" ht="11.25">
      <c r="A22" s="0" t="s">
        <v>3379</v>
      </c>
      <c r="B22" s="0" t="s">
        <v>3380</v>
      </c>
    </row>
    <row customHeight="1" ht="11.25">
      <c r="A23" s="0" t="s">
        <v>3381</v>
      </c>
      <c r="B23" s="0" t="s">
        <v>3382</v>
      </c>
    </row>
    <row customHeight="1" ht="11.25">
      <c r="A24" s="0" t="s">
        <v>3383</v>
      </c>
      <c r="B24" s="0" t="s">
        <v>3384</v>
      </c>
    </row>
    <row customHeight="1" ht="11.25">
      <c r="A25" s="0" t="s">
        <v>3385</v>
      </c>
      <c r="B25" s="0" t="s">
        <v>3386</v>
      </c>
    </row>
    <row customHeight="1" ht="11.25">
      <c r="A26" s="0" t="s">
        <v>3387</v>
      </c>
      <c r="B26" s="0" t="s">
        <v>3388</v>
      </c>
    </row>
    <row customHeight="1" ht="11.25">
      <c r="A27" s="0" t="s">
        <v>3389</v>
      </c>
      <c r="B27" s="0" t="s">
        <v>3390</v>
      </c>
    </row>
    <row customHeight="1" ht="11.25">
      <c r="A28" s="0" t="s">
        <v>3391</v>
      </c>
      <c r="B28" s="0" t="s">
        <v>3392</v>
      </c>
    </row>
    <row customHeight="1" ht="11.25">
      <c r="A29" s="0" t="s">
        <v>3393</v>
      </c>
      <c r="B29" s="0" t="s">
        <v>3394</v>
      </c>
    </row>
    <row customHeight="1" ht="11.25">
      <c r="A30" s="0" t="s">
        <v>3395</v>
      </c>
      <c r="B30" s="0" t="s">
        <v>3396</v>
      </c>
    </row>
    <row customHeight="1" ht="11.25">
      <c r="A31" s="0" t="s">
        <v>3397</v>
      </c>
      <c r="B31" s="0" t="s">
        <v>3398</v>
      </c>
    </row>
    <row customHeight="1" ht="11.25">
      <c r="A32" s="0" t="s">
        <v>3399</v>
      </c>
      <c r="B32" s="0" t="s">
        <v>3400</v>
      </c>
    </row>
    <row customHeight="1" ht="11.25">
      <c r="A33" s="0" t="s">
        <v>3401</v>
      </c>
      <c r="B33" s="0" t="s">
        <v>3402</v>
      </c>
    </row>
    <row customHeight="1" ht="11.25">
      <c r="A34" s="0" t="s">
        <v>3403</v>
      </c>
      <c r="B34" s="0" t="s">
        <v>3404</v>
      </c>
    </row>
    <row customHeight="1" ht="11.25">
      <c r="A35" s="0" t="s">
        <v>3405</v>
      </c>
      <c r="B35" s="0" t="s">
        <v>3406</v>
      </c>
    </row>
    <row customHeight="1" ht="11.25">
      <c r="A36" s="0" t="s">
        <v>3407</v>
      </c>
      <c r="B36" s="0" t="s">
        <v>3408</v>
      </c>
    </row>
    <row customHeight="1" ht="11.25">
      <c r="A37" s="0" t="s">
        <v>3409</v>
      </c>
      <c r="B37" s="0" t="s">
        <v>3410</v>
      </c>
    </row>
    <row customHeight="1" ht="11.25">
      <c r="A38" s="0" t="s">
        <v>3411</v>
      </c>
      <c r="B38" s="0" t="s">
        <v>3412</v>
      </c>
    </row>
    <row customHeight="1" ht="11.25">
      <c r="A39" s="0" t="s">
        <v>3413</v>
      </c>
      <c r="B39" s="0" t="s">
        <v>3414</v>
      </c>
    </row>
    <row customHeight="1" ht="11.25">
      <c r="A40" s="0" t="s">
        <v>3415</v>
      </c>
      <c r="B40" s="0" t="s">
        <v>3416</v>
      </c>
    </row>
    <row customHeight="1" ht="11.25">
      <c r="A41" s="0" t="s">
        <v>3417</v>
      </c>
      <c r="B41" s="0" t="s">
        <v>3418</v>
      </c>
    </row>
    <row customHeight="1" ht="11.25">
      <c r="A42" s="0" t="s">
        <v>3419</v>
      </c>
      <c r="B42" s="0" t="s">
        <v>3420</v>
      </c>
    </row>
    <row customHeight="1" ht="11.25">
      <c r="A43" s="0" t="s">
        <v>3421</v>
      </c>
      <c r="B43" s="0" t="s">
        <v>3422</v>
      </c>
    </row>
    <row customHeight="1" ht="11.25">
      <c r="A44" s="0" t="s">
        <v>3423</v>
      </c>
      <c r="B44" s="0" t="s">
        <v>3424</v>
      </c>
    </row>
    <row customHeight="1" ht="11.25">
      <c r="A45" s="0" t="s">
        <v>3425</v>
      </c>
      <c r="B45" s="0" t="s">
        <v>3426</v>
      </c>
    </row>
    <row customHeight="1" ht="11.25">
      <c r="A46" s="0" t="s">
        <v>3427</v>
      </c>
      <c r="B46" s="0" t="s">
        <v>3428</v>
      </c>
    </row>
    <row customHeight="1" ht="11.25">
      <c r="A47" s="0" t="s">
        <v>3429</v>
      </c>
      <c r="B47" s="0" t="s">
        <v>3430</v>
      </c>
    </row>
    <row customHeight="1" ht="11.25">
      <c r="A48" s="0" t="s">
        <v>3431</v>
      </c>
      <c r="B48" s="0" t="s">
        <v>3432</v>
      </c>
    </row>
    <row customHeight="1" ht="11.25">
      <c r="A49" s="0" t="s">
        <v>3433</v>
      </c>
      <c r="B49" s="0" t="s">
        <v>3434</v>
      </c>
    </row>
    <row customHeight="1" ht="11.25">
      <c r="A50" s="0" t="s">
        <v>3435</v>
      </c>
      <c r="B50" s="0" t="s">
        <v>3436</v>
      </c>
    </row>
    <row customHeight="1" ht="11.25">
      <c r="A51" s="0" t="s">
        <v>3437</v>
      </c>
      <c r="B51" s="0" t="s">
        <v>3438</v>
      </c>
    </row>
    <row customHeight="1" ht="11.25">
      <c r="A52" s="0" t="s">
        <v>3439</v>
      </c>
      <c r="B52" s="0" t="s">
        <v>3440</v>
      </c>
    </row>
    <row customHeight="1" ht="11.25">
      <c r="A53" s="0" t="s">
        <v>3441</v>
      </c>
      <c r="B53" s="0" t="s">
        <v>3442</v>
      </c>
    </row>
    <row customHeight="1" ht="11.25">
      <c r="A54" s="0" t="s">
        <v>3443</v>
      </c>
      <c r="B54" s="0" t="s">
        <v>3444</v>
      </c>
    </row>
    <row customHeight="1" ht="11.25">
      <c r="A55" s="0" t="s">
        <v>3445</v>
      </c>
      <c r="B55" s="0" t="s">
        <v>3446</v>
      </c>
    </row>
    <row customHeight="1" ht="11.25">
      <c r="A56" s="0" t="s">
        <v>3447</v>
      </c>
      <c r="B56" s="0" t="s">
        <v>3448</v>
      </c>
    </row>
    <row customHeight="1" ht="11.25">
      <c r="A57" s="0" t="s">
        <v>3449</v>
      </c>
      <c r="B57" s="0" t="s">
        <v>3450</v>
      </c>
    </row>
    <row customHeight="1" ht="11.25">
      <c r="A58" s="0" t="s">
        <v>3451</v>
      </c>
      <c r="B58" s="0" t="s">
        <v>3452</v>
      </c>
    </row>
    <row customHeight="1" ht="11.25">
      <c r="A59" s="0" t="s">
        <v>3453</v>
      </c>
      <c r="B59" s="0" t="s">
        <v>3454</v>
      </c>
    </row>
    <row customHeight="1" ht="11.25">
      <c r="A60" s="0" t="s">
        <v>3455</v>
      </c>
      <c r="B60" s="0" t="s">
        <v>3456</v>
      </c>
    </row>
    <row customHeight="1" ht="11.25">
      <c r="A61" s="0"/>
      <c r="B61" s="0" t="s">
        <v>3457</v>
      </c>
    </row>
    <row customHeight="1" ht="11.25">
      <c r="A62" s="0"/>
      <c r="B62" s="0" t="s">
        <v>3458</v>
      </c>
    </row>
    <row customHeight="1" ht="11.25">
      <c r="A63" s="0"/>
      <c r="B63" s="0" t="s">
        <v>3459</v>
      </c>
    </row>
    <row customHeight="1" ht="11.25">
      <c r="A64" s="0"/>
      <c r="B64" s="0" t="s">
        <v>3460</v>
      </c>
    </row>
    <row customHeight="1" ht="11.25">
      <c r="A65" s="0"/>
      <c r="B65" s="0" t="s">
        <v>3461</v>
      </c>
    </row>
    <row customHeight="1" ht="11.25">
      <c r="A66" s="0"/>
      <c r="B66" s="0" t="s">
        <v>3462</v>
      </c>
    </row>
    <row customHeight="1" ht="11.25">
      <c r="A67" s="0"/>
      <c r="B67" s="0" t="s">
        <v>3463</v>
      </c>
    </row>
    <row customHeight="1" ht="11.25">
      <c r="A68" s="0"/>
      <c r="B68" s="0" t="s">
        <v>3464</v>
      </c>
    </row>
    <row customHeight="1" ht="11.25">
      <c r="A69" s="0"/>
      <c r="B69" s="0" t="s">
        <v>3465</v>
      </c>
    </row>
    <row customHeight="1" ht="11.25">
      <c r="A70" s="0"/>
      <c r="B70" s="0" t="s">
        <v>3466</v>
      </c>
    </row>
    <row customHeight="1" ht="11.25">
      <c r="A71" s="0"/>
      <c r="B71" s="0"/>
    </row>
    <row customHeight="1" ht="11.25">
      <c r="A72" s="0"/>
      <c r="B72" s="0"/>
    </row>
    <row customHeight="1" ht="11.25">
      <c r="A73" s="0"/>
      <c r="B73" s="0"/>
    </row>
    <row customHeight="1" ht="11.25">
      <c r="A74" s="0"/>
      <c r="B74" s="0"/>
    </row>
    <row customHeight="1" ht="11.25">
      <c r="A75" s="0"/>
      <c r="B75" s="0"/>
    </row>
    <row customHeight="1" ht="11.25">
      <c r="A76" s="0"/>
      <c r="B76" s="0"/>
    </row>
    <row customHeight="1" ht="11.25">
      <c r="A77" s="0"/>
      <c r="B77" s="0"/>
    </row>
    <row customHeight="1" ht="11.25">
      <c r="A78" s="0"/>
      <c r="B78" s="0"/>
    </row>
    <row customHeight="1" ht="11.25">
      <c r="A79" s="0"/>
      <c r="B79" s="0"/>
    </row>
    <row customHeight="1" ht="11.25">
      <c r="A80" s="0"/>
      <c r="B80" s="0"/>
    </row>
    <row customHeight="1" ht="11.25">
      <c r="A81" s="0"/>
      <c r="B81" s="0"/>
    </row>
    <row customHeight="1" ht="11.25">
      <c r="A82" s="0"/>
      <c r="B82" s="0"/>
    </row>
    <row customHeight="1" ht="11.25">
      <c r="A83" s="0"/>
      <c r="B83" s="0"/>
    </row>
    <row customHeight="1" ht="11.25">
      <c r="A84" s="0"/>
      <c r="B84" s="0"/>
    </row>
    <row customHeight="1" ht="11.25">
      <c r="A85" s="0"/>
      <c r="B85" s="0"/>
    </row>
    <row customHeight="1" ht="11.25">
      <c r="A86" s="0"/>
      <c r="B86" s="0"/>
    </row>
    <row customHeight="1" ht="11.25">
      <c r="A87" s="0"/>
      <c r="B87" s="0"/>
    </row>
    <row customHeight="1" ht="11.25">
      <c r="A88" s="0"/>
      <c r="B88" s="0"/>
    </row>
    <row customHeight="1" ht="11.25">
      <c r="A89" s="0"/>
      <c r="B89" s="0"/>
    </row>
    <row customHeight="1" ht="11.25">
      <c r="A90" s="0"/>
      <c r="B90" s="0"/>
    </row>
    <row customHeight="1" ht="11.25">
      <c r="A91" s="0"/>
      <c r="B91" s="0"/>
    </row>
    <row customHeight="1" ht="11.25">
      <c r="A92" s="0"/>
      <c r="B92" s="0"/>
    </row>
    <row customHeight="1" ht="11.25">
      <c r="A93" s="0"/>
      <c r="B93" s="0"/>
    </row>
    <row customHeight="1" ht="11.25">
      <c r="A94" s="0"/>
      <c r="B94" s="0"/>
    </row>
    <row customHeight="1" ht="11.25">
      <c r="A95" s="0"/>
      <c r="B95" s="0"/>
    </row>
    <row customHeight="1" ht="11.25">
      <c r="A96" s="0"/>
      <c r="B96" s="0"/>
    </row>
    <row customHeight="1" ht="11.25">
      <c r="A97" s="0"/>
      <c r="B97" s="0"/>
    </row>
    <row customHeight="1" ht="11.25">
      <c r="A98" s="0"/>
      <c r="B98" s="0"/>
    </row>
    <row customHeight="1" ht="11.25">
      <c r="A99" s="0"/>
      <c r="B99" s="0"/>
    </row>
    <row customHeight="1" ht="11.25">
      <c r="A100" s="0"/>
      <c r="B100" s="0"/>
    </row>
    <row customHeight="1" ht="11.25">
      <c r="A101" s="0"/>
      <c r="B101" s="0"/>
    </row>
    <row customHeight="1" ht="11.25">
      <c r="A102" s="0"/>
      <c r="B102" s="0"/>
    </row>
    <row customHeight="1" ht="11.25">
      <c r="A103" s="0"/>
      <c r="B103" s="0"/>
    </row>
    <row customHeight="1" ht="11.25">
      <c r="A104" s="0"/>
      <c r="B104" s="0"/>
    </row>
    <row customHeight="1" ht="11.25">
      <c r="A105" s="0"/>
      <c r="B105" s="0"/>
    </row>
    <row customHeight="1" ht="11.25">
      <c r="A106" s="0"/>
      <c r="B106" s="0"/>
    </row>
    <row customHeight="1" ht="11.25">
      <c r="A107" s="0"/>
      <c r="B107" s="0"/>
    </row>
    <row customHeight="1" ht="11.25">
      <c r="A108" s="0"/>
      <c r="B108" s="0"/>
    </row>
    <row customHeight="1" ht="11.25">
      <c r="A109" s="0"/>
      <c r="B109" s="0"/>
    </row>
    <row customHeight="1" ht="11.25">
      <c r="A110" s="0"/>
      <c r="B110" s="0"/>
    </row>
    <row customHeight="1" ht="11.25">
      <c r="A111" s="0"/>
      <c r="B111" s="0"/>
    </row>
    <row customHeight="1" ht="11.25">
      <c r="A112" s="0"/>
      <c r="B112" s="0"/>
    </row>
    <row customHeight="1" ht="11.25">
      <c r="A113" s="0"/>
      <c r="B113" s="0"/>
    </row>
    <row customHeight="1" ht="11.25">
      <c r="A114" s="0"/>
      <c r="B114" s="0"/>
    </row>
    <row customHeight="1" ht="11.25">
      <c r="A115" s="0"/>
      <c r="B115" s="0"/>
    </row>
    <row customHeight="1" ht="11.25">
      <c r="A116" s="0"/>
      <c r="B116" s="0"/>
    </row>
    <row customHeight="1" ht="11.25">
      <c r="A117" s="0"/>
      <c r="B117" s="0"/>
    </row>
    <row customHeight="1" ht="11.25">
      <c r="A118" s="0"/>
      <c r="B118" s="0"/>
    </row>
    <row customHeight="1" ht="11.25">
      <c r="A119" s="0"/>
      <c r="B119" s="0"/>
    </row>
    <row customHeight="1" ht="11.25">
      <c r="A120" s="0"/>
      <c r="B120" s="0"/>
    </row>
    <row customHeight="1" ht="11.25">
      <c r="A121" s="0"/>
      <c r="B121" s="0"/>
    </row>
    <row customHeight="1" ht="11.25">
      <c r="A122" s="0"/>
      <c r="B122" s="0"/>
    </row>
    <row customHeight="1" ht="11.25">
      <c r="A123" s="0"/>
      <c r="B123" s="0"/>
    </row>
    <row customHeight="1" ht="11.25">
      <c r="A124" s="0"/>
      <c r="B124" s="0"/>
    </row>
    <row customHeight="1" ht="11.25">
      <c r="A125" s="0"/>
      <c r="B125" s="0"/>
    </row>
    <row customHeight="1" ht="11.25">
      <c r="A126" s="0"/>
      <c r="B126" s="0"/>
    </row>
    <row customHeight="1" ht="11.25">
      <c r="A127" s="0"/>
      <c r="B127" s="0"/>
    </row>
    <row customHeight="1" ht="11.25">
      <c r="A128" s="0"/>
      <c r="B128" s="0"/>
    </row>
    <row customHeight="1" ht="11.25">
      <c r="A129" s="0"/>
      <c r="B129" s="0"/>
    </row>
    <row customHeight="1" ht="11.25">
      <c r="A130" s="0"/>
      <c r="B130" s="0"/>
    </row>
    <row customHeight="1" ht="11.25">
      <c r="A131" s="0"/>
      <c r="B131" s="0"/>
    </row>
    <row customHeight="1" ht="11.25">
      <c r="A132" s="0"/>
      <c r="B132" s="0"/>
    </row>
    <row customHeight="1" ht="11.25">
      <c r="A133" s="0"/>
      <c r="B133" s="0"/>
    </row>
    <row customHeight="1" ht="11.25">
      <c r="A134" s="0"/>
      <c r="B134" s="0"/>
    </row>
    <row customHeight="1" ht="11.25">
      <c r="A135" s="0"/>
      <c r="B135" s="0"/>
    </row>
    <row customHeight="1" ht="11.25">
      <c r="A136" s="0"/>
      <c r="B136" s="0"/>
    </row>
    <row customHeight="1" ht="11.25">
      <c r="A137" s="0"/>
      <c r="B137" s="0"/>
    </row>
    <row customHeight="1" ht="11.25">
      <c r="A138" s="0"/>
      <c r="B138" s="0"/>
    </row>
    <row customHeight="1" ht="11.25">
      <c r="A139" s="0"/>
      <c r="B139" s="0"/>
    </row>
    <row customHeight="1" ht="11.25">
      <c r="A140" s="0"/>
      <c r="B140" s="0"/>
    </row>
    <row customHeight="1" ht="11.25">
      <c r="A141" s="0"/>
      <c r="B141" s="0"/>
    </row>
    <row customHeight="1" ht="11.25">
      <c r="A142" s="0"/>
      <c r="B142" s="0"/>
    </row>
    <row customHeight="1" ht="11.25">
      <c r="A143" s="0"/>
      <c r="B143" s="0"/>
    </row>
    <row customHeight="1" ht="11.25">
      <c r="A144" s="0"/>
      <c r="B144" s="0"/>
    </row>
    <row customHeight="1" ht="11.25">
      <c r="A145" s="0"/>
      <c r="B145" s="0"/>
    </row>
    <row customHeight="1" ht="11.25">
      <c r="A146" s="0"/>
      <c r="B146" s="0"/>
    </row>
    <row customHeight="1" ht="11.25">
      <c r="A147" s="0"/>
      <c r="B147" s="0"/>
    </row>
    <row customHeight="1" ht="11.25">
      <c r="A148" s="0"/>
      <c r="B148" s="0"/>
    </row>
    <row customHeight="1" ht="11.25">
      <c r="A149" s="0"/>
      <c r="B149" s="0"/>
    </row>
    <row customHeight="1" ht="11.25">
      <c r="A150" s="0"/>
      <c r="B150" s="0"/>
    </row>
    <row customHeight="1" ht="11.25">
      <c r="A151" s="0"/>
      <c r="B151" s="0"/>
    </row>
    <row customHeight="1" ht="11.25">
      <c r="A152" s="0"/>
      <c r="B152" s="0"/>
    </row>
    <row customHeight="1" ht="11.25">
      <c r="A153" s="0"/>
      <c r="B153" s="0"/>
    </row>
    <row customHeight="1" ht="11.25">
      <c r="A154" s="0"/>
      <c r="B154" s="0"/>
    </row>
    <row customHeight="1" ht="11.25">
      <c r="A155" s="0"/>
      <c r="B155" s="0"/>
    </row>
    <row customHeight="1" ht="11.25">
      <c r="A156" s="0"/>
      <c r="B156" s="0"/>
    </row>
    <row customHeight="1" ht="11.25">
      <c r="A157" s="0"/>
      <c r="B157" s="0"/>
    </row>
    <row customHeight="1" ht="11.25">
      <c r="A158" s="0"/>
      <c r="B158" s="0"/>
    </row>
    <row customHeight="1" ht="11.25">
      <c r="A159" s="0"/>
      <c r="B159" s="0"/>
    </row>
    <row customHeight="1" ht="11.25">
      <c r="A160" s="0"/>
      <c r="B160" s="0"/>
    </row>
    <row customHeight="1" ht="11.25">
      <c r="A161" s="0"/>
      <c r="B161" s="0"/>
    </row>
    <row customHeight="1" ht="11.25">
      <c r="A162" s="0"/>
      <c r="B162" s="0"/>
    </row>
    <row customHeight="1" ht="11.25">
      <c r="A163" s="0"/>
      <c r="B163" s="0"/>
    </row>
    <row customHeight="1" ht="11.25">
      <c r="A164" s="0"/>
      <c r="B164" s="0"/>
    </row>
    <row customHeight="1" ht="11.25">
      <c r="A165" s="0"/>
      <c r="B165" s="0"/>
    </row>
    <row customHeight="1" ht="11.25">
      <c r="A166" s="0"/>
      <c r="B166" s="0"/>
    </row>
    <row customHeight="1" ht="11.25">
      <c r="A167" s="0"/>
      <c r="B167" s="0"/>
    </row>
    <row customHeight="1" ht="11.25">
      <c r="A168" s="0"/>
      <c r="B168" s="0"/>
    </row>
    <row customHeight="1" ht="11.25">
      <c r="A169" s="0"/>
      <c r="B169" s="0"/>
    </row>
    <row customHeight="1" ht="11.25">
      <c r="A170" s="0"/>
      <c r="B170" s="0"/>
    </row>
    <row customHeight="1" ht="11.25">
      <c r="A171" s="0"/>
      <c r="B171" s="0"/>
    </row>
    <row customHeight="1" ht="11.25">
      <c r="A172" s="0"/>
      <c r="B172" s="0"/>
    </row>
    <row customHeight="1" ht="11.25">
      <c r="A173" s="0"/>
      <c r="B173" s="0"/>
    </row>
    <row customHeight="1" ht="11.25">
      <c r="A174" s="0"/>
      <c r="B174" s="0"/>
    </row>
    <row customHeight="1" ht="11.25">
      <c r="A175" s="0"/>
      <c r="B175" s="0"/>
    </row>
    <row customHeight="1" ht="11.25">
      <c r="A176" s="0"/>
      <c r="B176" s="0"/>
    </row>
    <row customHeight="1" ht="11.25">
      <c r="A177" s="0"/>
      <c r="B177" s="0"/>
    </row>
    <row customHeight="1" ht="11.25">
      <c r="A178" s="0"/>
      <c r="B178" s="0"/>
    </row>
    <row customHeight="1" ht="11.25">
      <c r="A179" s="0"/>
      <c r="B179" s="0"/>
    </row>
    <row customHeight="1" ht="11.25">
      <c r="A180" s="0"/>
      <c r="B180" s="0"/>
    </row>
    <row customHeight="1" ht="11.25">
      <c r="A181" s="0"/>
      <c r="B181" s="0"/>
    </row>
    <row customHeight="1" ht="11.25">
      <c r="A182" s="0"/>
      <c r="B182" s="0"/>
    </row>
    <row customHeight="1" ht="11.25">
      <c r="A183" s="0"/>
      <c r="B183" s="0"/>
    </row>
    <row customHeight="1" ht="11.25">
      <c r="A184" s="0"/>
      <c r="B184" s="0"/>
    </row>
    <row customHeight="1" ht="11.25">
      <c r="A185" s="0"/>
      <c r="B185" s="0"/>
    </row>
    <row customHeight="1" ht="11.25">
      <c r="A186" s="0"/>
      <c r="B186" s="0"/>
    </row>
    <row customHeight="1" ht="11.25">
      <c r="A187" s="0"/>
      <c r="B187" s="0"/>
    </row>
    <row customHeight="1" ht="11.25">
      <c r="A188" s="0"/>
      <c r="B188" s="0"/>
    </row>
    <row customHeight="1" ht="11.25">
      <c r="A189" s="0"/>
      <c r="B189" s="0"/>
    </row>
    <row customHeight="1" ht="11.25">
      <c r="A190" s="0"/>
      <c r="B190" s="0"/>
    </row>
    <row customHeight="1" ht="11.25">
      <c r="A191" s="0"/>
      <c r="B191" s="0"/>
    </row>
    <row customHeight="1" ht="11.25">
      <c r="A192" s="0"/>
      <c r="B192" s="0"/>
    </row>
    <row customHeight="1" ht="11.25">
      <c r="A193" s="0"/>
      <c r="B193" s="0"/>
    </row>
    <row customHeight="1" ht="11.25">
      <c r="A194" s="0"/>
      <c r="B194" s="0"/>
    </row>
    <row customHeight="1" ht="11.25">
      <c r="A195" s="0"/>
      <c r="B195" s="0"/>
    </row>
    <row customHeight="1" ht="11.25">
      <c r="A196" s="0"/>
      <c r="B196" s="0"/>
    </row>
    <row customHeight="1" ht="11.25">
      <c r="A197" s="0"/>
      <c r="B197" s="0"/>
    </row>
    <row customHeight="1" ht="11.25">
      <c r="A198" s="0"/>
      <c r="B198" s="0"/>
    </row>
    <row customHeight="1" ht="11.25">
      <c r="A199" s="0"/>
      <c r="B199" s="0"/>
    </row>
    <row customHeight="1" ht="11.25">
      <c r="A200" s="0"/>
      <c r="B200" s="0"/>
    </row>
    <row customHeight="1" ht="11.25">
      <c r="A201" s="0"/>
      <c r="B201" s="0"/>
    </row>
    <row customHeight="1" ht="11.25">
      <c r="A202" s="0"/>
      <c r="B202" s="0"/>
    </row>
    <row customHeight="1" ht="11.25">
      <c r="A203" s="0"/>
      <c r="B203" s="0"/>
    </row>
    <row customHeight="1" ht="11.25">
      <c r="A204" s="0"/>
      <c r="B204" s="0"/>
    </row>
    <row customHeight="1" ht="11.25">
      <c r="A205" s="0"/>
      <c r="B205" s="0"/>
    </row>
    <row customHeight="1" ht="11.25">
      <c r="A206" s="0"/>
      <c r="B206" s="0"/>
    </row>
    <row customHeight="1" ht="11.25">
      <c r="A207" s="0"/>
      <c r="B207" s="0"/>
    </row>
    <row customHeight="1" ht="11.25">
      <c r="A208" s="0"/>
      <c r="B208" s="0"/>
    </row>
    <row customHeight="1" ht="11.25">
      <c r="A209" s="0"/>
      <c r="B209" s="0"/>
    </row>
    <row customHeight="1" ht="11.25">
      <c r="A210" s="0"/>
      <c r="B210" s="0"/>
    </row>
    <row customHeight="1" ht="11.25">
      <c r="A211" s="0"/>
      <c r="B211" s="0"/>
    </row>
    <row customHeight="1" ht="11.25">
      <c r="A212" s="0"/>
      <c r="B212" s="0"/>
    </row>
    <row customHeight="1" ht="11.25">
      <c r="A213" s="0"/>
      <c r="B213" s="0"/>
    </row>
    <row customHeight="1" ht="11.25">
      <c r="A214" s="0"/>
      <c r="B214" s="0"/>
    </row>
    <row customHeight="1" ht="11.25">
      <c r="A215" s="0"/>
      <c r="B215" s="0"/>
    </row>
    <row customHeight="1" ht="11.25">
      <c r="A216" s="0"/>
      <c r="B216" s="0"/>
    </row>
    <row customHeight="1" ht="11.25">
      <c r="A217" s="0"/>
      <c r="B217" s="0"/>
    </row>
    <row customHeight="1" ht="11.25">
      <c r="A218" s="0"/>
      <c r="B218" s="0"/>
    </row>
    <row customHeight="1" ht="11.25">
      <c r="A219" s="0"/>
      <c r="B219" s="0"/>
    </row>
    <row customHeight="1" ht="11.25">
      <c r="A220" s="0"/>
      <c r="B220" s="0"/>
    </row>
    <row customHeight="1" ht="11.25">
      <c r="A221" s="0"/>
      <c r="B221" s="0"/>
    </row>
    <row customHeight="1" ht="11.25">
      <c r="A222" s="0"/>
      <c r="B222" s="0"/>
    </row>
    <row customHeight="1" ht="11.25">
      <c r="A223" s="0"/>
      <c r="B223" s="0"/>
    </row>
    <row customHeight="1" ht="11.25">
      <c r="A224" s="0"/>
      <c r="B224" s="0"/>
    </row>
    <row customHeight="1" ht="11.25">
      <c r="A225" s="0"/>
      <c r="B225" s="0"/>
    </row>
    <row customHeight="1" ht="11.25">
      <c r="A226" s="0"/>
      <c r="B226" s="0"/>
    </row>
    <row customHeight="1" ht="11.25">
      <c r="A227" s="0"/>
      <c r="B227" s="0"/>
    </row>
    <row customHeight="1" ht="11.25">
      <c r="A228" s="0"/>
      <c r="B228" s="0"/>
    </row>
    <row customHeight="1" ht="11.25">
      <c r="A229" s="0"/>
      <c r="B229" s="0"/>
    </row>
    <row customHeight="1" ht="11.25">
      <c r="A230" s="0"/>
      <c r="B230" s="0"/>
    </row>
    <row customHeight="1" ht="11.25">
      <c r="A231" s="0"/>
      <c r="B231" s="0"/>
    </row>
    <row customHeight="1" ht="11.25">
      <c r="A232" s="0"/>
      <c r="B232" s="0"/>
    </row>
    <row customHeight="1" ht="11.25">
      <c r="A233" s="0"/>
      <c r="B233" s="0"/>
    </row>
    <row customHeight="1" ht="11.25">
      <c r="A234" s="0"/>
      <c r="B234" s="0"/>
    </row>
    <row customHeight="1" ht="11.25">
      <c r="A235" s="0"/>
      <c r="B235" s="0"/>
    </row>
    <row customHeight="1" ht="11.25">
      <c r="A236" s="0"/>
      <c r="B236" s="0"/>
    </row>
    <row customHeight="1" ht="11.25">
      <c r="A237" s="0"/>
      <c r="B237" s="0"/>
    </row>
    <row customHeight="1" ht="11.25">
      <c r="A238" s="0"/>
      <c r="B238" s="0"/>
    </row>
    <row customHeight="1" ht="11.25">
      <c r="A239" s="0"/>
      <c r="B239" s="0"/>
    </row>
    <row customHeight="1" ht="11.25">
      <c r="A240" s="0"/>
      <c r="B240" s="0"/>
    </row>
    <row customHeight="1" ht="11.25">
      <c r="A241" s="0"/>
      <c r="B241" s="0"/>
    </row>
    <row customHeight="1" ht="11.25">
      <c r="A242" s="0"/>
      <c r="B242" s="0"/>
    </row>
    <row customHeight="1" ht="11.25">
      <c r="A243" s="0"/>
      <c r="B243" s="0"/>
    </row>
    <row customHeight="1" ht="11.25">
      <c r="A244" s="0"/>
      <c r="B244" s="0"/>
    </row>
    <row customHeight="1" ht="11.25">
      <c r="A245" s="0"/>
      <c r="B245" s="0"/>
    </row>
    <row customHeight="1" ht="11.25">
      <c r="A246" s="0"/>
      <c r="B246" s="0"/>
    </row>
    <row customHeight="1" ht="11.25">
      <c r="A247" s="0"/>
      <c r="B247" s="0"/>
    </row>
    <row customHeight="1" ht="11.25">
      <c r="A248" s="0"/>
      <c r="B248" s="0"/>
    </row>
    <row customHeight="1" ht="11.25">
      <c r="A249" s="0"/>
      <c r="B249" s="0"/>
    </row>
    <row customHeight="1" ht="11.25">
      <c r="A250" s="0"/>
      <c r="B250" s="0"/>
    </row>
    <row customHeight="1" ht="11.25">
      <c r="A251" s="0"/>
      <c r="B251" s="0"/>
    </row>
    <row customHeight="1" ht="11.25">
      <c r="A252" s="0"/>
      <c r="B252" s="0"/>
    </row>
    <row customHeight="1" ht="11.25">
      <c r="A253" s="0"/>
      <c r="B253" s="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F8058-81FC-97B2-5CC8-A8D9453D1F6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12" width="3.7109375" customWidth="1"/>
    <col min="2" max="2" style="2412" width="90.7109375" customWidth="1"/>
    <col min="3" max="4" style="2412" width="9.140625"/>
  </cols>
  <sheetData>
    <row customHeight="1" ht="11.25">
      <c r="B1" s="72" t="s">
        <v>3467</v>
      </c>
    </row>
    <row customHeight="1" ht="90">
      <c r="B2" s="73" t="s">
        <v>3468</v>
      </c>
    </row>
    <row customHeight="1" ht="67.5">
      <c r="B3" s="73" t="s">
        <v>3469</v>
      </c>
    </row>
    <row customHeight="1" ht="33.75">
      <c r="B4" s="73" t="s">
        <v>3470</v>
      </c>
    </row>
    <row customHeight="1" ht="11.25">
      <c r="B5" s="73" t="s">
        <v>3471</v>
      </c>
    </row>
    <row customHeight="1" ht="22.5">
      <c r="B6" s="73" t="s">
        <v>3472</v>
      </c>
    </row>
    <row customHeight="1" ht="22.5">
      <c r="B7" s="73" t="s">
        <v>3473</v>
      </c>
    </row>
    <row customHeight="1" ht="22.5">
      <c r="B8" s="73" t="s">
        <v>3474</v>
      </c>
    </row>
    <row customHeight="1" ht="22.5">
      <c r="B9" s="73" t="s">
        <v>3475</v>
      </c>
    </row>
    <row customHeight="1" ht="56.25">
      <c r="B10" s="73" t="s">
        <v>3476</v>
      </c>
    </row>
    <row customHeight="1" ht="12.75">
      <c r="B11" s="139" t="s">
        <v>3477</v>
      </c>
    </row>
    <row customHeight="1" ht="11.25">
      <c r="B12" s="72" t="s">
        <v>3478</v>
      </c>
    </row>
    <row customHeight="1" ht="22.5">
      <c r="B13" s="73" t="s">
        <v>3479</v>
      </c>
    </row>
    <row customHeight="1" ht="67.5">
      <c r="B14" s="73" t="s">
        <v>3480</v>
      </c>
    </row>
    <row customHeight="1" ht="22.5">
      <c r="B15" s="73" t="s">
        <v>3481</v>
      </c>
    </row>
    <row customHeight="1" ht="11.25">
      <c r="B16" s="72" t="s">
        <v>3482</v>
      </c>
      <c r="D16" s="80"/>
    </row>
    <row customHeight="1" ht="33.75">
      <c r="B17" s="73" t="s">
        <v>3483</v>
      </c>
    </row>
    <row customHeight="1" ht="33.75">
      <c r="B18" s="73" t="s">
        <v>3484</v>
      </c>
    </row>
    <row customHeight="1" ht="11.25">
      <c r="B19" s="73" t="s">
        <v>3485</v>
      </c>
    </row>
    <row customHeight="1" ht="33.75">
      <c r="B20" s="73" t="s">
        <v>3486</v>
      </c>
    </row>
    <row customHeight="1" ht="11.25">
      <c r="B21" s="72" t="s">
        <v>3487</v>
      </c>
    </row>
    <row customHeight="1" ht="11.25">
      <c r="B22" s="73" t="s">
        <v>3488</v>
      </c>
    </row>
    <row r="24" customHeight="1" ht="22.5">
      <c r="B24" s="141" t="s">
        <v>3489</v>
      </c>
    </row>
    <row r="26" customHeight="1" ht="11.25">
      <c r="B26" s="72" t="s">
        <v>3490</v>
      </c>
    </row>
    <row customHeight="1" ht="22.5">
      <c r="B27" s="140" t="s">
        <v>458</v>
      </c>
    </row>
    <row customHeight="1" ht="56.25">
      <c r="B28" s="140" t="s">
        <v>3491</v>
      </c>
    </row>
    <row customHeight="1" ht="11.25">
      <c r="B29" s="189" t="s">
        <v>3492</v>
      </c>
    </row>
    <row customHeight="1" ht="22.5">
      <c r="B30" s="140" t="s">
        <v>3493</v>
      </c>
    </row>
    <row r="32" customHeight="1" ht="11.25">
      <c r="A32" s="0"/>
      <c r="B32" s="168" t="s">
        <v>3494</v>
      </c>
    </row>
    <row customHeight="1" ht="14.25">
      <c r="A33" s="169">
        <v>1</v>
      </c>
      <c r="B33" s="170" t="s">
        <v>3495</v>
      </c>
    </row>
    <row customHeight="1" ht="14.25">
      <c r="A34" s="169">
        <v>2</v>
      </c>
      <c r="B34" s="170" t="s">
        <v>3496</v>
      </c>
    </row>
    <row customHeight="1" ht="11.25">
      <c r="B35" s="168" t="s">
        <v>3497</v>
      </c>
    </row>
    <row customHeight="1" ht="11.25">
      <c r="B36" s="170" t="s">
        <v>3498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F6B86-AD79-75E6-B477-8AC03FF003A3}"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1663" width="9.140625" hidden="1" customWidth="1"/>
    <col min="2" max="2" style="1666" width="9.140625" hidden="1" customWidth="1"/>
    <col min="3" max="3" style="1877" width="3.7109375" customWidth="1"/>
    <col min="4" max="4" style="1666" width="5.57421875" customWidth="1"/>
    <col min="5" max="5" style="1666" width="38.140625" customWidth="1"/>
    <col min="6" max="7" style="1666" width="3.7109375" customWidth="1"/>
    <col min="8" max="8" style="1666" width="38.28125" customWidth="1"/>
    <col min="9" max="9" style="1666" width="35.7109375" customWidth="1"/>
    <col min="10" max="10" style="1666" width="103.7109375" customWidth="1"/>
    <col min="11" max="11" style="1854" width="3.7109375" customWidth="1"/>
    <col min="12" max="14" style="1673" width="10.57421875"/>
    <col min="15" max="15" style="1673" width="13.7109375" customWidth="1"/>
    <col min="16" max="16" style="1673" width="15.421875" customWidth="1"/>
    <col min="17" max="17" style="1673" width="16.28125" customWidth="1"/>
    <col min="18" max="21" style="1673" width="10.57421875"/>
  </cols>
  <sheetData>
    <row customHeight="1" ht="14.25" hidden="1">
      <c r="E1" s="410"/>
      <c r="F1" s="410"/>
      <c r="G1" s="410"/>
      <c r="H1" s="2038" t="s">
        <v>344</v>
      </c>
      <c r="I1" s="2038"/>
    </row>
    <row s="1666" customFormat="1" customHeight="1" ht="14.25" hidden="1">
      <c r="C2" s="1650"/>
      <c r="D2" s="2054" t="s">
        <v>108</v>
      </c>
      <c r="E2" s="2056"/>
      <c r="F2" s="1656"/>
      <c r="G2" s="1651" t="s">
        <v>108</v>
      </c>
      <c r="H2" s="1654"/>
      <c r="I2" s="1652"/>
      <c r="L2" s="1653"/>
      <c r="M2" s="1653"/>
      <c r="N2" s="1653"/>
      <c r="O2" s="1653" t="s">
        <v>374</v>
      </c>
      <c r="P2" s="1653"/>
      <c r="Q2" s="1653"/>
      <c r="R2" s="1655" t="s">
        <v>373</v>
      </c>
      <c r="S2" s="1655" t="s">
        <v>373</v>
      </c>
      <c r="T2" s="1653"/>
      <c r="U2" s="1653"/>
    </row>
    <row s="1666" customFormat="1" customHeight="1" ht="14.25" hidden="1">
      <c r="C3" s="1650"/>
      <c r="D3" s="2055"/>
      <c r="E3" s="2057"/>
      <c r="F3" s="403"/>
      <c r="G3" s="867"/>
      <c r="H3" s="867" t="s">
        <v>375</v>
      </c>
      <c r="I3" s="295"/>
      <c r="L3" s="1653"/>
      <c r="M3" s="1653"/>
      <c r="N3" s="1653"/>
      <c r="O3" s="1653"/>
      <c r="P3" s="1653"/>
      <c r="Q3" s="1653"/>
      <c r="R3" s="1655"/>
      <c r="S3" s="1655"/>
      <c r="T3" s="1653"/>
      <c r="U3" s="1653"/>
    </row>
    <row customHeight="1" ht="14.25" hidden="1"/>
    <row s="1644" customFormat="1" customHeight="1" ht="6">
      <c r="C5" s="698"/>
      <c r="D5" s="699"/>
      <c r="E5" s="699"/>
      <c r="F5" s="699"/>
      <c r="G5" s="699"/>
      <c r="H5" s="699" t="s">
        <v>348</v>
      </c>
      <c r="I5" s="699"/>
      <c r="J5" s="699"/>
      <c r="L5" s="1645"/>
      <c r="M5" s="1645"/>
      <c r="N5" s="1645"/>
      <c r="O5" s="1645"/>
      <c r="P5" s="1645"/>
      <c r="Q5" s="1645"/>
      <c r="R5" s="1645"/>
      <c r="S5" s="1645"/>
      <c r="T5" s="1645"/>
      <c r="U5" s="1645"/>
    </row>
    <row customHeight="1" ht="17.25">
      <c r="C6" s="1539"/>
      <c r="D6" s="1978" t="s">
        <v>376</v>
      </c>
      <c r="E6" s="1979"/>
      <c r="F6" s="1979"/>
      <c r="G6" s="1979"/>
      <c r="H6" s="1979"/>
      <c r="I6" s="1979"/>
      <c r="J6" s="489"/>
      <c r="K6" s="1646"/>
    </row>
    <row customHeight="1" ht="17.25">
      <c r="C7" s="1539"/>
      <c r="D7" s="2035" t="str">
        <f>IF(org=0,"Не определено",org)</f>
        <v>ПАО "ТГК-2"</v>
      </c>
      <c r="E7" s="2036"/>
      <c r="F7" s="2036"/>
      <c r="G7" s="2036"/>
      <c r="H7" s="2036"/>
      <c r="I7" s="2036"/>
      <c r="J7" s="489"/>
      <c r="K7" s="1646"/>
    </row>
    <row s="1643" customFormat="1" customHeight="1" ht="6">
      <c r="A8" s="1642"/>
      <c r="C8" s="484"/>
      <c r="D8" s="483"/>
      <c r="E8" s="483"/>
      <c r="F8" s="483"/>
      <c r="G8" s="483"/>
      <c r="H8" s="483"/>
      <c r="I8" s="483"/>
      <c r="J8" s="483"/>
      <c r="L8" s="1645"/>
      <c r="M8" s="1645"/>
      <c r="N8" s="1645"/>
      <c r="O8" s="1645"/>
      <c r="P8" s="1645"/>
      <c r="Q8" s="1645"/>
      <c r="R8" s="1645"/>
      <c r="S8" s="1645"/>
      <c r="T8" s="1645"/>
      <c r="U8" s="1645"/>
    </row>
    <row s="1643" customFormat="1" customHeight="1" ht="6">
      <c r="A9" s="1642"/>
      <c r="C9" s="484"/>
      <c r="D9" s="483"/>
      <c r="E9" s="483"/>
      <c r="F9" s="483"/>
      <c r="G9" s="483"/>
      <c r="H9" s="483"/>
      <c r="I9" s="483"/>
      <c r="J9" s="483"/>
      <c r="L9" s="1653"/>
      <c r="M9" s="1653"/>
      <c r="N9" s="1653"/>
      <c r="O9" s="1653"/>
      <c r="P9" s="1653"/>
      <c r="Q9" s="1653"/>
      <c r="R9" s="1653"/>
      <c r="S9" s="1653"/>
      <c r="T9" s="1653"/>
      <c r="U9" s="1653"/>
    </row>
    <row customHeight="1" ht="14.25">
      <c r="C10" s="1539"/>
      <c r="D10" s="2039" t="s">
        <v>290</v>
      </c>
      <c r="E10" s="2040"/>
      <c r="F10" s="2040"/>
      <c r="G10" s="2040"/>
      <c r="H10" s="2040"/>
      <c r="I10" s="2040"/>
      <c r="J10" s="2044" t="s">
        <v>291</v>
      </c>
    </row>
    <row customHeight="1" ht="25.5">
      <c r="C11" s="1539"/>
      <c r="D11" s="1948" t="s">
        <v>87</v>
      </c>
      <c r="E11" s="2044" t="str">
        <f>IF(TEMPLATE_SPHERE&lt;&gt;"HEAT","Регулируемый вид деятельности","Вид регулируемой деятельности")</f>
        <v>Регулируемый вид деятельности</v>
      </c>
      <c r="F11" s="2011" t="s">
        <v>87</v>
      </c>
      <c r="G11" s="2012"/>
      <c r="H11" s="1994" t="s">
        <v>377</v>
      </c>
      <c r="I11" s="1994" t="s">
        <v>378</v>
      </c>
      <c r="J11" s="2044"/>
    </row>
    <row customHeight="1" ht="14.25">
      <c r="C12" s="1539"/>
      <c r="D12" s="1948"/>
      <c r="E12" s="2044"/>
      <c r="F12" s="2019"/>
      <c r="G12" s="2020"/>
      <c r="H12" s="2053"/>
      <c r="I12" s="2053"/>
      <c r="J12" s="2044"/>
    </row>
    <row s="1672" customFormat="1" customHeight="1" ht="11.25">
      <c r="C13" s="496"/>
      <c r="D13" s="497" t="s">
        <v>368</v>
      </c>
      <c r="E13" s="497"/>
      <c r="F13" s="497"/>
      <c r="G13" s="497"/>
      <c r="H13" s="495"/>
      <c r="I13" s="495"/>
      <c r="J13" s="433"/>
      <c r="L13" s="1645"/>
      <c r="M13" s="1645"/>
      <c r="N13" s="1645"/>
      <c r="O13" s="1645"/>
      <c r="P13" s="1645"/>
      <c r="Q13" s="1645"/>
      <c r="R13" s="1645"/>
      <c r="S13" s="1645"/>
      <c r="T13" s="1645"/>
      <c r="U13" s="1645"/>
    </row>
    <row customHeight="1" ht="14.25">
      <c r="A14" s="1638"/>
      <c r="C14" s="1539"/>
      <c r="D14" s="2054" t="s">
        <v>108</v>
      </c>
      <c r="E14" s="2056"/>
      <c r="F14" s="1648"/>
      <c r="G14" s="1647" t="s">
        <v>108</v>
      </c>
      <c r="H14" s="1654"/>
      <c r="I14" s="1652"/>
      <c r="J14" s="1988" t="s">
        <v>379</v>
      </c>
      <c r="K14" s="1638"/>
      <c r="R14" s="498" t="s">
        <v>373</v>
      </c>
      <c r="S14" s="498" t="s">
        <v>373</v>
      </c>
    </row>
    <row customHeight="1" ht="14.25">
      <c r="A15" s="1638"/>
      <c r="C15" s="1539"/>
      <c r="D15" s="2055"/>
      <c r="E15" s="2057"/>
      <c r="F15" s="403"/>
      <c r="G15" s="867"/>
      <c r="H15" s="867" t="s">
        <v>375</v>
      </c>
      <c r="I15" s="295"/>
      <c r="J15" s="1989"/>
      <c r="K15" s="1638"/>
      <c r="R15" s="498"/>
      <c r="S15" s="498"/>
    </row>
    <row customHeight="1" ht="14.25">
      <c r="A16" s="1638"/>
      <c r="C16" s="1539"/>
      <c r="D16" s="403"/>
      <c r="E16" s="867" t="s">
        <v>125</v>
      </c>
      <c r="F16" s="295"/>
      <c r="G16" s="295"/>
      <c r="H16" s="404"/>
      <c r="I16" s="404"/>
      <c r="J16" s="1990"/>
      <c r="K16" s="1638"/>
    </row>
    <row customHeight="1" ht="14.25">
      <c r="K17" s="1638"/>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1806</vt:i4>
      </vt:variant>
    </vt:vector>
  </HeadingPairs>
  <TitlesOfParts>
    <vt:vector size="1807"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et_OFFER_p2</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pIns_PT_VTAR_A_HOTVSNA</vt:lpstr>
      <vt:lpstr>pIns_PT_VTAR_A_VOTV</vt:lpstr>
      <vt:lpstr>pIns_PT_VTAR_B</vt:lpstr>
      <vt:lpstr>pIns_PT_VTAR_B_COLDVSNA</vt:lpstr>
      <vt:lpstr>pIns_PT_VTAR_B_HOTVSNA</vt:lpstr>
      <vt:lpstr>pIns_PT_VTAR_B_VOTV</vt:lpstr>
      <vt:lpstr>pIns_PT_VTAR_C</vt:lpstr>
      <vt:lpstr>pIns_PT_VTAR_C_COLDVSNA</vt:lpstr>
      <vt:lpstr>pIns_PT_VTAR_C_HOTVSNA</vt:lpstr>
      <vt:lpstr>pIns_PT_VTAR_C_VOTV</vt:lpstr>
      <vt:lpstr>pIns_PT_VTAR_D</vt:lpstr>
      <vt:lpstr>pIns_PT_VTAR_D_COLDVSNA</vt:lpstr>
      <vt:lpstr>pIns_PT_VTAR_E_COLDVSNA</vt:lpstr>
      <vt:lpstr>pIns_PT_VTAR_E1</vt:lpstr>
      <vt:lpstr>pIns_PT_VTAR_E2</vt:lpstr>
      <vt:lpstr>pIns_PT_VTAR_F</vt:lpstr>
      <vt:lpstr>pIns_PT_VTAR_G</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2023-09-18T06:57:30Z</dcterms:modified>
</cp:coreProperties>
</file>

<file path=docProps/custom.xml><?xml version="1.0" encoding="utf-8"?>
<Properties xmlns="http://schemas.openxmlformats.org/officeDocument/2006/custom-properties" xmlns:vt="http://schemas.openxmlformats.org/officeDocument/2006/docPropsVTypes"/>
</file>